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Andrea Ward\Downloads\"/>
    </mc:Choice>
  </mc:AlternateContent>
  <xr:revisionPtr revIDLastSave="0" documentId="13_ncr:1_{A18BBE71-508E-4876-A334-6E717DF20F80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Welcome" sheetId="1" r:id="rId1"/>
    <sheet name="Info" sheetId="6" r:id="rId2"/>
    <sheet name="Model 2" sheetId="10" r:id="rId3"/>
  </sheets>
  <definedNames>
    <definedName name="switch">Info!$N$10</definedName>
  </definedNames>
  <calcPr calcId="191029" calcMode="autoNoTable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109" i="10" l="1"/>
  <c r="N109" i="10"/>
  <c r="M109" i="10"/>
  <c r="L109" i="10"/>
  <c r="K109" i="10"/>
  <c r="J109" i="10"/>
  <c r="I109" i="10"/>
  <c r="H109" i="10"/>
  <c r="G109" i="10"/>
  <c r="F109" i="10"/>
  <c r="E115" i="10" l="1"/>
  <c r="D115" i="10"/>
  <c r="D114" i="10"/>
  <c r="B84" i="10"/>
  <c r="B83" i="10"/>
  <c r="E80" i="10"/>
  <c r="F79" i="10" s="1"/>
  <c r="B73" i="10"/>
  <c r="B44" i="10"/>
  <c r="B43" i="10"/>
  <c r="E29" i="10"/>
  <c r="D29" i="10"/>
  <c r="C29" i="10"/>
  <c r="E27" i="10"/>
  <c r="D27" i="10"/>
  <c r="C27" i="10"/>
  <c r="E24" i="10"/>
  <c r="E6" i="10" s="1"/>
  <c r="D24" i="10"/>
  <c r="D25" i="10" s="1"/>
  <c r="D108" i="10" s="1"/>
  <c r="C24" i="10"/>
  <c r="C6" i="10" s="1"/>
  <c r="D6" i="10" l="1"/>
  <c r="D28" i="10"/>
  <c r="D30" i="10" s="1"/>
  <c r="D111" i="10" s="1"/>
  <c r="C25" i="10"/>
  <c r="E25" i="10"/>
  <c r="C28" i="10" l="1"/>
  <c r="C108" i="10"/>
  <c r="E28" i="10"/>
  <c r="E30" i="10" s="1"/>
  <c r="E111" i="10" s="1"/>
  <c r="E108" i="10"/>
  <c r="D7" i="10"/>
  <c r="C30" i="10"/>
  <c r="C111" i="10" s="1"/>
  <c r="C7" i="10"/>
  <c r="E7" i="10"/>
  <c r="A7" i="1" l="1"/>
  <c r="E55" i="10" l="1"/>
  <c r="D55" i="10"/>
  <c r="E54" i="10"/>
  <c r="E11" i="10" s="1"/>
  <c r="D54" i="10"/>
  <c r="D56" i="10" s="1"/>
  <c r="D59" i="10" s="1"/>
  <c r="E49" i="10"/>
  <c r="D49" i="10"/>
  <c r="E97" i="10"/>
  <c r="E95" i="10"/>
  <c r="N90" i="10"/>
  <c r="N100" i="10" s="1"/>
  <c r="M90" i="10"/>
  <c r="M100" i="10" s="1"/>
  <c r="I90" i="10"/>
  <c r="I100" i="10" s="1"/>
  <c r="H90" i="10"/>
  <c r="H100" i="10" s="1"/>
  <c r="G90" i="10"/>
  <c r="G100" i="10" s="1"/>
  <c r="B90" i="10"/>
  <c r="B100" i="10" s="1"/>
  <c r="B74" i="10" s="1"/>
  <c r="F87" i="10"/>
  <c r="O90" i="10"/>
  <c r="O100" i="10" s="1"/>
  <c r="L90" i="10"/>
  <c r="L100" i="10" s="1"/>
  <c r="K90" i="10"/>
  <c r="K100" i="10" s="1"/>
  <c r="J90" i="10"/>
  <c r="J100" i="10" s="1"/>
  <c r="F90" i="10"/>
  <c r="F100" i="10" s="1"/>
  <c r="E101" i="10"/>
  <c r="E51" i="10"/>
  <c r="E41" i="10"/>
  <c r="F38" i="10" s="1"/>
  <c r="E36" i="10"/>
  <c r="F33" i="10" s="1"/>
  <c r="E13" i="10"/>
  <c r="E12" i="10"/>
  <c r="D12" i="10"/>
  <c r="F23" i="10"/>
  <c r="F24" i="10" s="1"/>
  <c r="F25" i="10" s="1"/>
  <c r="E5" i="10"/>
  <c r="D5" i="10"/>
  <c r="E2" i="10"/>
  <c r="F2" i="10" s="1"/>
  <c r="G2" i="10" s="1"/>
  <c r="H2" i="10" s="1"/>
  <c r="I2" i="10" s="1"/>
  <c r="J2" i="10" s="1"/>
  <c r="K2" i="10" s="1"/>
  <c r="L2" i="10" s="1"/>
  <c r="M2" i="10" s="1"/>
  <c r="N2" i="10" s="1"/>
  <c r="O2" i="10" s="1"/>
  <c r="F93" i="10" l="1"/>
  <c r="E118" i="10"/>
  <c r="E119" i="10" s="1"/>
  <c r="F108" i="10"/>
  <c r="F35" i="10"/>
  <c r="F65" i="10" s="1"/>
  <c r="D51" i="10"/>
  <c r="D61" i="10" s="1"/>
  <c r="D10" i="10"/>
  <c r="E56" i="10"/>
  <c r="E59" i="10" s="1"/>
  <c r="E61" i="10" s="1"/>
  <c r="E44" i="10"/>
  <c r="E10" i="10"/>
  <c r="E43" i="10"/>
  <c r="D2" i="10"/>
  <c r="C2" i="10" s="1"/>
  <c r="D11" i="10"/>
  <c r="G23" i="10"/>
  <c r="F99" i="10"/>
  <c r="F101" i="10" s="1"/>
  <c r="F104" i="10" s="1"/>
  <c r="F54" i="10"/>
  <c r="F44" i="10" s="1"/>
  <c r="F49" i="10"/>
  <c r="F34" i="10"/>
  <c r="F69" i="10" s="1"/>
  <c r="F70" i="10" s="1"/>
  <c r="F84" i="10" s="1"/>
  <c r="E184" i="10"/>
  <c r="E185" i="10" s="1"/>
  <c r="F110" i="10" l="1"/>
  <c r="F36" i="10"/>
  <c r="F43" i="10"/>
  <c r="F45" i="10" s="1"/>
  <c r="F114" i="10" s="1"/>
  <c r="E45" i="10"/>
  <c r="E114" i="10" s="1"/>
  <c r="H23" i="10"/>
  <c r="H54" i="10" s="1"/>
  <c r="H44" i="10" s="1"/>
  <c r="G24" i="10"/>
  <c r="G25" i="10" s="1"/>
  <c r="G34" i="10"/>
  <c r="G69" i="10" s="1"/>
  <c r="G70" i="10" s="1"/>
  <c r="G84" i="10" s="1"/>
  <c r="G54" i="10"/>
  <c r="G44" i="10" s="1"/>
  <c r="G49" i="10"/>
  <c r="F50" i="10"/>
  <c r="F115" i="10" s="1"/>
  <c r="G99" i="10"/>
  <c r="G101" i="10" s="1"/>
  <c r="G104" i="10" s="1"/>
  <c r="F55" i="10"/>
  <c r="F74" i="10" s="1"/>
  <c r="E14" i="10"/>
  <c r="G108" i="10" l="1"/>
  <c r="F66" i="10"/>
  <c r="G43" i="10"/>
  <c r="G45" i="10" s="1"/>
  <c r="G114" i="10" s="1"/>
  <c r="H34" i="10"/>
  <c r="H69" i="10" s="1"/>
  <c r="H70" i="10" s="1"/>
  <c r="H84" i="10" s="1"/>
  <c r="H49" i="10"/>
  <c r="I23" i="10"/>
  <c r="J23" i="10" s="1"/>
  <c r="J24" i="10" s="1"/>
  <c r="J25" i="10" s="1"/>
  <c r="H24" i="10"/>
  <c r="H25" i="10" s="1"/>
  <c r="D14" i="10"/>
  <c r="G33" i="10"/>
  <c r="H99" i="10"/>
  <c r="H101" i="10" s="1"/>
  <c r="G55" i="10"/>
  <c r="G74" i="10" s="1"/>
  <c r="I49" i="10" l="1"/>
  <c r="H108" i="10"/>
  <c r="J108" i="10"/>
  <c r="G35" i="10"/>
  <c r="G66" i="10"/>
  <c r="G65" i="10"/>
  <c r="I24" i="10"/>
  <c r="I25" i="10" s="1"/>
  <c r="I34" i="10"/>
  <c r="I69" i="10" s="1"/>
  <c r="I70" i="10" s="1"/>
  <c r="I84" i="10" s="1"/>
  <c r="I43" i="10"/>
  <c r="H43" i="10"/>
  <c r="H45" i="10" s="1"/>
  <c r="H114" i="10" s="1"/>
  <c r="I54" i="10"/>
  <c r="I44" i="10" s="1"/>
  <c r="J54" i="10"/>
  <c r="J44" i="10" s="1"/>
  <c r="J49" i="10"/>
  <c r="J34" i="10"/>
  <c r="J69" i="10" s="1"/>
  <c r="J70" i="10" s="1"/>
  <c r="J84" i="10" s="1"/>
  <c r="K23" i="10"/>
  <c r="I99" i="10"/>
  <c r="I101" i="10" s="1"/>
  <c r="H55" i="10"/>
  <c r="H74" i="10" s="1"/>
  <c r="H104" i="10"/>
  <c r="H66" i="10" l="1"/>
  <c r="I45" i="10"/>
  <c r="I114" i="10" s="1"/>
  <c r="I108" i="10"/>
  <c r="G36" i="10"/>
  <c r="H33" i="10" s="1"/>
  <c r="G110" i="10"/>
  <c r="I66" i="10"/>
  <c r="H35" i="10"/>
  <c r="J43" i="10"/>
  <c r="J45" i="10" s="1"/>
  <c r="J114" i="10" s="1"/>
  <c r="K24" i="10"/>
  <c r="K25" i="10" s="1"/>
  <c r="J99" i="10"/>
  <c r="J101" i="10" s="1"/>
  <c r="J104" i="10" s="1"/>
  <c r="I55" i="10"/>
  <c r="I74" i="10" s="1"/>
  <c r="K54" i="10"/>
  <c r="K44" i="10" s="1"/>
  <c r="K49" i="10"/>
  <c r="K34" i="10"/>
  <c r="K69" i="10" s="1"/>
  <c r="K70" i="10" s="1"/>
  <c r="K84" i="10" s="1"/>
  <c r="L23" i="10"/>
  <c r="I104" i="10"/>
  <c r="H36" i="10" l="1"/>
  <c r="G50" i="10"/>
  <c r="G115" i="10" s="1"/>
  <c r="K108" i="10"/>
  <c r="J66" i="10"/>
  <c r="H65" i="10"/>
  <c r="I33" i="10"/>
  <c r="K43" i="10"/>
  <c r="K45" i="10" s="1"/>
  <c r="K114" i="10" s="1"/>
  <c r="L24" i="10"/>
  <c r="L25" i="10" s="1"/>
  <c r="H50" i="10"/>
  <c r="H115" i="10" s="1"/>
  <c r="J55" i="10"/>
  <c r="J74" i="10" s="1"/>
  <c r="K99" i="10"/>
  <c r="K101" i="10" s="1"/>
  <c r="M23" i="10"/>
  <c r="L54" i="10"/>
  <c r="L44" i="10" s="1"/>
  <c r="L49" i="10"/>
  <c r="L34" i="10"/>
  <c r="L69" i="10" s="1"/>
  <c r="L70" i="10" s="1"/>
  <c r="L84" i="10" s="1"/>
  <c r="L108" i="10" l="1"/>
  <c r="H110" i="10"/>
  <c r="K66" i="10"/>
  <c r="I35" i="10"/>
  <c r="I36" i="10"/>
  <c r="L43" i="10"/>
  <c r="L45" i="10" s="1"/>
  <c r="L114" i="10" s="1"/>
  <c r="M24" i="10"/>
  <c r="M25" i="10" s="1"/>
  <c r="L99" i="10"/>
  <c r="L101" i="10" s="1"/>
  <c r="L104" i="10" s="1"/>
  <c r="K55" i="10"/>
  <c r="K74" i="10" s="1"/>
  <c r="M54" i="10"/>
  <c r="M44" i="10" s="1"/>
  <c r="M49" i="10"/>
  <c r="M34" i="10"/>
  <c r="M69" i="10" s="1"/>
  <c r="M70" i="10" s="1"/>
  <c r="M84" i="10" s="1"/>
  <c r="N23" i="10"/>
  <c r="N24" i="10" s="1"/>
  <c r="N25" i="10" s="1"/>
  <c r="K104" i="10"/>
  <c r="N108" i="10" l="1"/>
  <c r="I110" i="10"/>
  <c r="M108" i="10"/>
  <c r="L66" i="10"/>
  <c r="I65" i="10"/>
  <c r="M43" i="10"/>
  <c r="M45" i="10" s="1"/>
  <c r="M114" i="10" s="1"/>
  <c r="N54" i="10"/>
  <c r="N44" i="10" s="1"/>
  <c r="N49" i="10"/>
  <c r="N34" i="10"/>
  <c r="N69" i="10" s="1"/>
  <c r="N70" i="10" s="1"/>
  <c r="N84" i="10" s="1"/>
  <c r="O23" i="10"/>
  <c r="M99" i="10"/>
  <c r="M101" i="10" s="1"/>
  <c r="M104" i="10" s="1"/>
  <c r="L55" i="10"/>
  <c r="L74" i="10" s="1"/>
  <c r="M66" i="10" l="1"/>
  <c r="N43" i="10"/>
  <c r="N45" i="10" s="1"/>
  <c r="N114" i="10" s="1"/>
  <c r="O24" i="10"/>
  <c r="O25" i="10" s="1"/>
  <c r="I50" i="10"/>
  <c r="I115" i="10" s="1"/>
  <c r="J33" i="10"/>
  <c r="O54" i="10"/>
  <c r="O44" i="10" s="1"/>
  <c r="O49" i="10"/>
  <c r="O34" i="10"/>
  <c r="O69" i="10" s="1"/>
  <c r="O70" i="10" s="1"/>
  <c r="O84" i="10" s="1"/>
  <c r="N99" i="10"/>
  <c r="N101" i="10" s="1"/>
  <c r="N104" i="10" s="1"/>
  <c r="M55" i="10"/>
  <c r="M74" i="10" s="1"/>
  <c r="O108" i="10" l="1"/>
  <c r="N66" i="10"/>
  <c r="J35" i="10"/>
  <c r="O43" i="10"/>
  <c r="O45" i="10" s="1"/>
  <c r="O114" i="10" s="1"/>
  <c r="N55" i="10"/>
  <c r="N74" i="10" s="1"/>
  <c r="O99" i="10"/>
  <c r="O101" i="10" s="1"/>
  <c r="O55" i="10" s="1"/>
  <c r="O74" i="10" s="1"/>
  <c r="J110" i="10" l="1"/>
  <c r="O66" i="10"/>
  <c r="J36" i="10"/>
  <c r="K33" i="10" s="1"/>
  <c r="J65" i="10"/>
  <c r="O104" i="10"/>
  <c r="K35" i="10" l="1"/>
  <c r="J50" i="10"/>
  <c r="J115" i="10" s="1"/>
  <c r="K36" i="10" l="1"/>
  <c r="K65" i="10"/>
  <c r="K110" i="10" l="1"/>
  <c r="L33" i="10"/>
  <c r="K50" i="10"/>
  <c r="K115" i="10" s="1"/>
  <c r="L35" i="10" l="1"/>
  <c r="L36" i="10" l="1"/>
  <c r="L50" i="10" s="1"/>
  <c r="L115" i="10" s="1"/>
  <c r="L65" i="10"/>
  <c r="L110" i="10" l="1"/>
  <c r="M33" i="10"/>
  <c r="M35" i="10" l="1"/>
  <c r="M65" i="10"/>
  <c r="M36" i="10" l="1"/>
  <c r="N33" i="10" s="1"/>
  <c r="M110" i="10"/>
  <c r="M50" i="10" l="1"/>
  <c r="M115" i="10" s="1"/>
  <c r="N35" i="10"/>
  <c r="N36" i="10"/>
  <c r="N110" i="10" l="1"/>
  <c r="N65" i="10"/>
  <c r="N50" i="10" l="1"/>
  <c r="N115" i="10" s="1"/>
  <c r="O33" i="10"/>
  <c r="O35" i="10" l="1"/>
  <c r="O36" i="10"/>
  <c r="O110" i="10" l="1"/>
  <c r="O65" i="10"/>
  <c r="O50" i="10"/>
  <c r="O115" i="10" s="1"/>
  <c r="A1" i="6" l="1"/>
  <c r="H75" i="10"/>
  <c r="H72" i="10"/>
  <c r="H122" i="10"/>
  <c r="H27" i="10"/>
  <c r="H103" i="10"/>
  <c r="H188" i="10"/>
  <c r="J75" i="10"/>
  <c r="J72" i="10"/>
  <c r="F188" i="10"/>
  <c r="F122" i="10"/>
  <c r="F103" i="10"/>
  <c r="F27" i="10"/>
  <c r="J94" i="10"/>
  <c r="F187" i="10"/>
  <c r="F185" i="10"/>
  <c r="F189" i="10"/>
  <c r="K29" i="10"/>
  <c r="I59" i="10"/>
  <c r="I56" i="10"/>
  <c r="K59" i="10"/>
  <c r="K56" i="10"/>
  <c r="I122" i="10"/>
  <c r="I188" i="10"/>
  <c r="I103" i="10"/>
  <c r="I27" i="10"/>
  <c r="K123" i="10"/>
  <c r="K119" i="10"/>
  <c r="K121" i="10"/>
  <c r="I189" i="10"/>
  <c r="I185" i="10"/>
  <c r="I187" i="10"/>
  <c r="O59" i="10"/>
  <c r="O56" i="10"/>
  <c r="J111" i="10"/>
  <c r="L94" i="10"/>
  <c r="J40" i="10"/>
  <c r="J85" i="10"/>
  <c r="M111" i="10"/>
  <c r="O61" i="10"/>
  <c r="O51" i="10"/>
  <c r="O48" i="10"/>
  <c r="O80" i="10"/>
  <c r="O77" i="10"/>
  <c r="H79" i="10"/>
  <c r="M59" i="10"/>
  <c r="M56" i="10"/>
  <c r="K118" i="10"/>
  <c r="K120" i="10"/>
  <c r="F29" i="10"/>
  <c r="J79" i="10"/>
  <c r="O53" i="10"/>
  <c r="O73" i="10"/>
  <c r="I94" i="10"/>
  <c r="F184" i="10"/>
  <c r="F186" i="10"/>
  <c r="G186" i="10"/>
  <c r="H186" i="10"/>
  <c r="L120" i="10"/>
  <c r="M53" i="10"/>
  <c r="M73" i="10"/>
  <c r="L61" i="10"/>
  <c r="L51" i="10"/>
  <c r="K75" i="10"/>
  <c r="K72" i="10"/>
  <c r="L75" i="10"/>
  <c r="L72" i="10"/>
  <c r="N59" i="10"/>
  <c r="N56" i="10"/>
  <c r="I58" i="10"/>
  <c r="M29" i="10"/>
  <c r="L187" i="10"/>
  <c r="L185" i="10"/>
  <c r="L189" i="10"/>
  <c r="G75" i="10"/>
  <c r="G72" i="10"/>
  <c r="H61" i="10"/>
  <c r="H51" i="10"/>
  <c r="N79" i="10"/>
  <c r="H189" i="10"/>
  <c r="H184" i="10"/>
  <c r="H185" i="10"/>
  <c r="H187" i="10"/>
  <c r="L123" i="10"/>
  <c r="L118" i="10"/>
  <c r="L119" i="10"/>
  <c r="L121" i="10"/>
  <c r="H73" i="10"/>
  <c r="O186" i="10"/>
  <c r="G73" i="10"/>
  <c r="N58" i="10"/>
  <c r="H29" i="10"/>
  <c r="G79" i="10"/>
  <c r="F120" i="10"/>
  <c r="K53" i="10"/>
  <c r="K73" i="10"/>
  <c r="H58" i="10"/>
  <c r="F111" i="10"/>
  <c r="G40" i="10"/>
  <c r="G85" i="10"/>
  <c r="J59" i="10"/>
  <c r="J56" i="10"/>
  <c r="F73" i="10"/>
  <c r="G120" i="10"/>
  <c r="F85" i="10"/>
  <c r="M58" i="10"/>
  <c r="N61" i="10"/>
  <c r="N51" i="10"/>
  <c r="J121" i="10"/>
  <c r="J119" i="10"/>
  <c r="J123" i="10"/>
  <c r="H53" i="10"/>
  <c r="H56" i="10"/>
  <c r="H59" i="10"/>
  <c r="G58" i="10"/>
  <c r="L122" i="10"/>
  <c r="L188" i="10"/>
  <c r="L103" i="10"/>
  <c r="L27" i="10"/>
  <c r="I53" i="10"/>
  <c r="I73" i="10"/>
  <c r="F58" i="10"/>
  <c r="N123" i="10"/>
  <c r="N119" i="10"/>
  <c r="N121" i="10"/>
  <c r="L87" i="10"/>
  <c r="K122" i="10"/>
  <c r="K27" i="10"/>
  <c r="K103" i="10"/>
  <c r="K188" i="10"/>
  <c r="M94" i="10"/>
  <c r="F123" i="10"/>
  <c r="F118" i="10"/>
  <c r="F119" i="10"/>
  <c r="F121" i="10"/>
  <c r="O189" i="10"/>
  <c r="O184" i="10"/>
  <c r="O185" i="10"/>
  <c r="O187" i="10"/>
  <c r="L58" i="10"/>
  <c r="L40" i="10"/>
  <c r="L85" i="10"/>
  <c r="O97" i="10"/>
  <c r="O39" i="10"/>
  <c r="O64" i="10"/>
  <c r="O67" i="10"/>
  <c r="O83" i="10"/>
  <c r="O86" i="10"/>
  <c r="O88" i="10"/>
  <c r="O91" i="10"/>
  <c r="O94" i="10"/>
  <c r="N53" i="10"/>
  <c r="N73" i="10"/>
  <c r="F53" i="10"/>
  <c r="F56" i="10"/>
  <c r="F59" i="10"/>
  <c r="I79" i="10"/>
  <c r="F40" i="10"/>
  <c r="F72" i="10"/>
  <c r="F75" i="10"/>
  <c r="N87" i="10"/>
  <c r="N48" i="10"/>
  <c r="O87" i="10"/>
  <c r="H77" i="10"/>
  <c r="H80" i="10"/>
  <c r="H48" i="10"/>
  <c r="I87" i="10"/>
  <c r="J58" i="10"/>
  <c r="M121" i="10"/>
  <c r="M119" i="10"/>
  <c r="M123" i="10"/>
  <c r="G111" i="10"/>
  <c r="K111" i="10"/>
  <c r="O85" i="10"/>
  <c r="L38" i="10"/>
  <c r="L41" i="10"/>
  <c r="M38" i="10"/>
  <c r="M41" i="10"/>
  <c r="N38" i="10"/>
  <c r="N41" i="10"/>
  <c r="O38" i="10"/>
  <c r="O41" i="10"/>
  <c r="O58" i="10"/>
  <c r="I29" i="10"/>
  <c r="N118" i="10"/>
  <c r="N120" i="10"/>
  <c r="K48" i="10"/>
  <c r="K51" i="10"/>
  <c r="K61" i="10"/>
  <c r="J87" i="10"/>
  <c r="N111" i="10"/>
  <c r="H40" i="10"/>
  <c r="H85" i="10"/>
  <c r="J189" i="10"/>
  <c r="J185" i="10"/>
  <c r="J187" i="10"/>
  <c r="H123" i="10"/>
  <c r="H119" i="10"/>
  <c r="H121" i="10"/>
  <c r="L59" i="10"/>
  <c r="L56" i="10"/>
  <c r="O121" i="10"/>
  <c r="O119" i="10"/>
  <c r="O123" i="10"/>
  <c r="H111" i="10"/>
  <c r="M75" i="10"/>
  <c r="M72" i="10"/>
  <c r="G123" i="10"/>
  <c r="G118" i="10"/>
  <c r="G119" i="10"/>
  <c r="G121" i="10"/>
  <c r="M77" i="10"/>
  <c r="M80" i="10"/>
  <c r="M48" i="10"/>
  <c r="M51" i="10"/>
  <c r="M61" i="10"/>
  <c r="N77" i="10"/>
  <c r="N80" i="10"/>
  <c r="O79" i="10"/>
  <c r="L111" i="10"/>
  <c r="K79" i="10"/>
  <c r="K94" i="10"/>
  <c r="O40" i="10"/>
  <c r="O72" i="10"/>
  <c r="O75" i="10"/>
  <c r="N94" i="10"/>
  <c r="K40" i="10"/>
  <c r="K85" i="10"/>
  <c r="K87" i="10"/>
  <c r="M188" i="10"/>
  <c r="M27" i="10"/>
  <c r="M103" i="10"/>
  <c r="M122" i="10"/>
  <c r="L184" i="10"/>
  <c r="L186" i="10"/>
  <c r="N29" i="10"/>
  <c r="M79" i="10"/>
  <c r="O29" i="10"/>
  <c r="G29" i="10"/>
  <c r="J184" i="10"/>
  <c r="J186" i="10"/>
  <c r="M186" i="10"/>
  <c r="L53" i="10"/>
  <c r="L73" i="10"/>
  <c r="O93" i="10"/>
  <c r="O95" i="10"/>
  <c r="O118" i="10"/>
  <c r="O120" i="10"/>
  <c r="G87" i="10"/>
  <c r="L29" i="10"/>
  <c r="J29" i="10"/>
  <c r="G61" i="10"/>
  <c r="G51" i="10"/>
  <c r="I123" i="10"/>
  <c r="I119" i="10"/>
  <c r="I121" i="10"/>
  <c r="K77" i="10"/>
  <c r="K80" i="10"/>
  <c r="L79" i="10"/>
  <c r="H94" i="10"/>
  <c r="K186" i="10"/>
  <c r="N186" i="10"/>
  <c r="M118" i="10"/>
  <c r="M120" i="10"/>
  <c r="F41" i="10"/>
  <c r="G38" i="10"/>
  <c r="G41" i="10"/>
  <c r="H38" i="10"/>
  <c r="H41" i="10"/>
  <c r="I38" i="10"/>
  <c r="I41" i="10"/>
  <c r="J38" i="10"/>
  <c r="J41" i="10"/>
  <c r="K38" i="10"/>
  <c r="K41" i="10"/>
  <c r="K58" i="10"/>
  <c r="G94" i="10"/>
  <c r="N75" i="10"/>
  <c r="N72" i="10"/>
  <c r="I85" i="10"/>
  <c r="J77" i="10"/>
  <c r="J80" i="10"/>
  <c r="J48" i="10"/>
  <c r="J51" i="10"/>
  <c r="J61" i="10"/>
  <c r="G27" i="10"/>
  <c r="G122" i="10"/>
  <c r="G103" i="10"/>
  <c r="G188" i="10"/>
  <c r="H118" i="10"/>
  <c r="H120" i="10"/>
  <c r="I77" i="10"/>
  <c r="I80" i="10"/>
  <c r="I48" i="10"/>
  <c r="I51" i="10"/>
  <c r="I61" i="10"/>
  <c r="M40" i="10"/>
  <c r="M85" i="10"/>
  <c r="M189" i="10"/>
  <c r="M184" i="10"/>
  <c r="M185" i="10"/>
  <c r="M187" i="10"/>
  <c r="N39" i="10"/>
  <c r="N64" i="10"/>
  <c r="N67" i="10"/>
  <c r="N83" i="10"/>
  <c r="N86" i="10"/>
  <c r="N88" i="10"/>
  <c r="N91" i="10"/>
  <c r="N97" i="10"/>
  <c r="O105" i="10"/>
  <c r="O26" i="10"/>
  <c r="O28" i="10"/>
  <c r="O30" i="10"/>
  <c r="O111" i="10"/>
  <c r="F77" i="10"/>
  <c r="F80" i="10"/>
  <c r="F48" i="10"/>
  <c r="F51" i="10"/>
  <c r="F61" i="10"/>
  <c r="G189" i="10"/>
  <c r="G184" i="10"/>
  <c r="G185" i="10"/>
  <c r="G187" i="10"/>
  <c r="L77" i="10"/>
  <c r="L80" i="10"/>
  <c r="L48" i="10"/>
  <c r="M87" i="10"/>
  <c r="J27" i="10"/>
  <c r="J122" i="10"/>
  <c r="J103" i="10"/>
  <c r="J188" i="10"/>
  <c r="G77" i="10"/>
  <c r="G80" i="10"/>
  <c r="G48" i="10"/>
  <c r="H87" i="10"/>
  <c r="I118" i="10"/>
  <c r="I120" i="10"/>
  <c r="N27" i="10"/>
  <c r="N122" i="10"/>
  <c r="N103" i="10"/>
  <c r="N188" i="10"/>
  <c r="N187" i="10"/>
  <c r="N184" i="10"/>
  <c r="N185" i="10"/>
  <c r="N189" i="10"/>
  <c r="J53" i="10"/>
  <c r="J73" i="10"/>
  <c r="K189" i="10"/>
  <c r="K184" i="10"/>
  <c r="K185" i="10"/>
  <c r="K187" i="10"/>
  <c r="J118" i="10"/>
  <c r="J120" i="10"/>
  <c r="G53" i="10"/>
  <c r="G56" i="10"/>
  <c r="G59" i="10"/>
  <c r="I184" i="10"/>
  <c r="I186" i="10"/>
  <c r="I39" i="10"/>
  <c r="I64" i="10"/>
  <c r="I67" i="10"/>
  <c r="I83" i="10"/>
  <c r="I86" i="10"/>
  <c r="I88" i="10"/>
  <c r="I91" i="10"/>
  <c r="I97" i="10"/>
  <c r="J105" i="10"/>
  <c r="J26" i="10"/>
  <c r="J28" i="10"/>
  <c r="J30" i="10"/>
  <c r="J39" i="10"/>
  <c r="J64" i="10"/>
  <c r="J67" i="10"/>
  <c r="J83" i="10"/>
  <c r="J86" i="10"/>
  <c r="J88" i="10"/>
  <c r="J91" i="10"/>
  <c r="J97" i="10"/>
  <c r="K105" i="10"/>
  <c r="K26" i="10"/>
  <c r="K28" i="10"/>
  <c r="K30" i="10"/>
  <c r="K39" i="10"/>
  <c r="K64" i="10"/>
  <c r="K67" i="10"/>
  <c r="K83" i="10"/>
  <c r="K86" i="10"/>
  <c r="K88" i="10"/>
  <c r="K91" i="10"/>
  <c r="K97" i="10"/>
  <c r="L105" i="10"/>
  <c r="L26" i="10"/>
  <c r="L28" i="10"/>
  <c r="L30" i="10"/>
  <c r="L39" i="10"/>
  <c r="L64" i="10"/>
  <c r="L67" i="10"/>
  <c r="L83" i="10"/>
  <c r="L86" i="10"/>
  <c r="L88" i="10"/>
  <c r="L91" i="10"/>
  <c r="L97" i="10"/>
  <c r="M105" i="10"/>
  <c r="M26" i="10"/>
  <c r="M28" i="10"/>
  <c r="M30" i="10"/>
  <c r="M39" i="10"/>
  <c r="M64" i="10"/>
  <c r="M67" i="10"/>
  <c r="M83" i="10"/>
  <c r="M86" i="10"/>
  <c r="M88" i="10"/>
  <c r="M91" i="10"/>
  <c r="M97" i="10"/>
  <c r="N105" i="10"/>
  <c r="N26" i="10"/>
  <c r="N28" i="10"/>
  <c r="N30" i="10"/>
  <c r="N40" i="10"/>
  <c r="N85" i="10"/>
  <c r="I111" i="10"/>
  <c r="G105" i="10"/>
  <c r="G26" i="10"/>
  <c r="G28" i="10"/>
  <c r="G30" i="10"/>
  <c r="G39" i="10"/>
  <c r="G64" i="10"/>
  <c r="G67" i="10"/>
  <c r="G83" i="10"/>
  <c r="G86" i="10"/>
  <c r="G88" i="10"/>
  <c r="G91" i="10"/>
  <c r="G97" i="10"/>
  <c r="H105" i="10"/>
  <c r="H26" i="10"/>
  <c r="H28" i="10"/>
  <c r="H30" i="10"/>
  <c r="H39" i="10"/>
  <c r="H64" i="10"/>
  <c r="H67" i="10"/>
  <c r="H83" i="10"/>
  <c r="H86" i="10"/>
  <c r="H88" i="10"/>
  <c r="H91" i="10"/>
  <c r="H97" i="10"/>
  <c r="I105" i="10"/>
  <c r="I26" i="10"/>
  <c r="I28" i="10"/>
  <c r="I30" i="10"/>
  <c r="I40" i="10"/>
  <c r="I72" i="10"/>
  <c r="I75" i="10"/>
  <c r="O188" i="10"/>
  <c r="O27" i="10"/>
  <c r="F97" i="10"/>
  <c r="F105" i="10"/>
  <c r="F26" i="10"/>
  <c r="F28" i="10"/>
  <c r="F30" i="10"/>
  <c r="F39" i="10"/>
  <c r="F64" i="10"/>
  <c r="F67" i="10"/>
  <c r="F83" i="10"/>
  <c r="F86" i="10"/>
  <c r="F88" i="10"/>
  <c r="F91" i="10"/>
  <c r="F94" i="10"/>
  <c r="F95" i="10"/>
  <c r="G93" i="10"/>
  <c r="G95" i="10"/>
  <c r="H93" i="10"/>
  <c r="H95" i="10"/>
  <c r="I93" i="10"/>
  <c r="I95" i="10"/>
  <c r="J93" i="10"/>
  <c r="J95" i="10"/>
  <c r="K93" i="10"/>
  <c r="K95" i="10"/>
  <c r="L93" i="10"/>
  <c r="L95" i="10"/>
  <c r="M93" i="10"/>
  <c r="M95" i="10"/>
  <c r="N93" i="10"/>
  <c r="N95" i="10"/>
  <c r="O103" i="10"/>
  <c r="O122" i="10"/>
</calcChain>
</file>

<file path=xl/sharedStrings.xml><?xml version="1.0" encoding="utf-8"?>
<sst xmlns="http://schemas.openxmlformats.org/spreadsheetml/2006/main" count="146" uniqueCount="114">
  <si>
    <t>Features</t>
  </si>
  <si>
    <t>◦</t>
  </si>
  <si>
    <t>Model Details</t>
  </si>
  <si>
    <t>Company name</t>
  </si>
  <si>
    <t>Date</t>
  </si>
  <si>
    <t>Currency</t>
  </si>
  <si>
    <t>Units</t>
  </si>
  <si>
    <t>Analyst Name</t>
  </si>
  <si>
    <t>Circular Switch</t>
  </si>
  <si>
    <t>Millions</t>
  </si>
  <si>
    <t>Firstname Lastname</t>
  </si>
  <si>
    <t>This document is for training purposes only. Financial Edge accepts no responsibility or liability for any other purpose or usage.</t>
  </si>
  <si>
    <t>Hist.</t>
  </si>
  <si>
    <t>Proj.</t>
  </si>
  <si>
    <t>Formatting</t>
  </si>
  <si>
    <t>Input</t>
  </si>
  <si>
    <t>Hard coded</t>
  </si>
  <si>
    <t>Formulas</t>
  </si>
  <si>
    <t>Workout Information</t>
  </si>
  <si>
    <t>Tab Structure</t>
  </si>
  <si>
    <t>Modeling</t>
  </si>
  <si>
    <t>Modeling an income statement</t>
  </si>
  <si>
    <t>Modeling a balance sheet</t>
  </si>
  <si>
    <t>Modeling a cash flow statement</t>
  </si>
  <si>
    <t>Assumptions, income statement, balance sheet, cash flow statement</t>
  </si>
  <si>
    <t>Revenue growth</t>
  </si>
  <si>
    <t>Operating costs % revenues</t>
  </si>
  <si>
    <t>Income Statement</t>
  </si>
  <si>
    <t>Revenues</t>
  </si>
  <si>
    <t>Operating costs</t>
  </si>
  <si>
    <t>Tax expense</t>
  </si>
  <si>
    <t>Net income</t>
  </si>
  <si>
    <t>Balance Sheet</t>
  </si>
  <si>
    <t>Cash and cash equivalents</t>
  </si>
  <si>
    <t>Long term assets</t>
  </si>
  <si>
    <t>Total assets</t>
  </si>
  <si>
    <t>Total liabilities</t>
  </si>
  <si>
    <t>Equity</t>
  </si>
  <si>
    <t>Total liabilities and equity</t>
  </si>
  <si>
    <t>Balance ?</t>
  </si>
  <si>
    <t>Operating cash flow</t>
  </si>
  <si>
    <t>Investing cash flow</t>
  </si>
  <si>
    <t>Net cash flow</t>
  </si>
  <si>
    <t>Beginning cash and cash equivalents</t>
  </si>
  <si>
    <t>Ending cash and cash equivalents</t>
  </si>
  <si>
    <t>Model 2</t>
  </si>
  <si>
    <t>Model 1</t>
  </si>
  <si>
    <t>Modeling interest</t>
  </si>
  <si>
    <t>Dealing with circular references</t>
  </si>
  <si>
    <t>Income Statement Assumptions</t>
  </si>
  <si>
    <t>Balance Sheet Assumptions</t>
  </si>
  <si>
    <t>EBITDA</t>
  </si>
  <si>
    <t>EBIT</t>
  </si>
  <si>
    <t>Interest income</t>
  </si>
  <si>
    <t>Interest expense</t>
  </si>
  <si>
    <t>Earnings before tax</t>
  </si>
  <si>
    <t>Revolver</t>
  </si>
  <si>
    <t>Net Debt and Interest Assumptions</t>
  </si>
  <si>
    <t>Cash Flow Statement</t>
  </si>
  <si>
    <t>Net Debt and Interest Calculations</t>
  </si>
  <si>
    <t>Taxes % of earnings before tax</t>
  </si>
  <si>
    <t>EBIT margin</t>
  </si>
  <si>
    <t>NI margin</t>
  </si>
  <si>
    <t>Capex % revenues</t>
  </si>
  <si>
    <t>Long term debt issuance / (repayment)</t>
  </si>
  <si>
    <t xml:space="preserve">Dividend payout </t>
  </si>
  <si>
    <t>Beginning long term assets</t>
  </si>
  <si>
    <t>Capex</t>
  </si>
  <si>
    <t>D&amp;A % prior year long term assets</t>
  </si>
  <si>
    <t>D&amp;A</t>
  </si>
  <si>
    <t>Ending long term assets</t>
  </si>
  <si>
    <t>Beginning equity</t>
  </si>
  <si>
    <t>Dividends</t>
  </si>
  <si>
    <t>Ending equity</t>
  </si>
  <si>
    <t>OWC</t>
  </si>
  <si>
    <t>OWC % revenues</t>
  </si>
  <si>
    <t>Long term assets % revenue</t>
  </si>
  <si>
    <t>Debt</t>
  </si>
  <si>
    <t>Cash and cash equivalents interest rate</t>
  </si>
  <si>
    <t>Revolver interest rate</t>
  </si>
  <si>
    <t>Long term debt interest rate</t>
  </si>
  <si>
    <t>Cash available to service debt</t>
  </si>
  <si>
    <t>Cash flow generated to service debt</t>
  </si>
  <si>
    <t>Change in OWC</t>
  </si>
  <si>
    <t>Surplus cash / (revolver requirement)</t>
  </si>
  <si>
    <t>Beginning revolver</t>
  </si>
  <si>
    <t>Revolver issuance (repayment)</t>
  </si>
  <si>
    <t xml:space="preserve"> Ending revolver</t>
  </si>
  <si>
    <t>Beginning long term debt</t>
  </si>
  <si>
    <t>Ending long term debt</t>
  </si>
  <si>
    <t>Interest on revolver</t>
  </si>
  <si>
    <t>Interest on long term debt</t>
  </si>
  <si>
    <t>Interest on cash and cash equivalents</t>
  </si>
  <si>
    <t>Net Debt and Interest Statistics</t>
  </si>
  <si>
    <t>Net debt</t>
  </si>
  <si>
    <t>Debt / EBITDA</t>
  </si>
  <si>
    <t>Net debt / EBITDA</t>
  </si>
  <si>
    <t>EBITDA / interest expense</t>
  </si>
  <si>
    <t>Net debt / net debt + equity</t>
  </si>
  <si>
    <t>EBITDA margin</t>
  </si>
  <si>
    <t>Dividends paid</t>
  </si>
  <si>
    <t>Financing cash flow</t>
  </si>
  <si>
    <t>Workout</t>
  </si>
  <si>
    <t>Luxottica</t>
  </si>
  <si>
    <t>EUR</t>
  </si>
  <si>
    <t>Long term debt (including currently due)</t>
  </si>
  <si>
    <t>Operating current assets</t>
  </si>
  <si>
    <t>Operating current liabilities</t>
  </si>
  <si>
    <t>Operating current assets % revenues</t>
  </si>
  <si>
    <t>Operating current liabilities % revenues</t>
  </si>
  <si>
    <t>End</t>
  </si>
  <si>
    <t>Income Statement Operating Statistics</t>
  </si>
  <si>
    <t>Balance Sheet Operating Statistics</t>
  </si>
  <si>
    <t>Calculations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</si>
</sst>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64" formatCode="_(&quot;£&quot;* #,##0_);_(&quot;£&quot;* \(#,##0\);_(&quot;£&quot;* &quot;-&quot;_);_(@_)"/>
    <numFmt numFmtId="165" formatCode="_(* #,##0_);_(* \(#,##0\);_(* &quot;-&quot;_);_(@_)"/>
    <numFmt numFmtId="166" formatCode="_(&quot;£&quot;* #,##0.00_);_(&quot;£&quot;* \(#,##0.00\);_(&quot;£&quot;* &quot;-&quot;??_);_(@_)"/>
    <numFmt numFmtId="167" formatCode="_(* #,##0.00_);_(* \(#,##0.00\);_(* &quot;-&quot;??_);_(@_)"/>
    <numFmt numFmtId="168" formatCode="[$-409]d\-mmm\-yy;@"/>
    <numFmt numFmtId="169" formatCode="0.0"/>
    <numFmt numFmtId="170" formatCode="#,##0.0_);\(#,##0.0\)\,0.0_);@_)"/>
    <numFmt numFmtId="171" formatCode="#,##0.0\ \x_);\(#,##0.0\ \x\);"/>
    <numFmt numFmtId="172" formatCode="0.0%_);\(0.0%\)"/>
    <numFmt numFmtId="173" formatCode=";;;"/>
    <numFmt numFmtId="174" formatCode="#,##0.0_);\(#,##0.0\);0.0_);@_)"/>
  </numFmts>
  <fonts count="33" x14ac:knownFonts="1">
    <font>
      <sz val="11"/>
      <color theme="1" tint="0.2499465926084170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rgb="FF085393"/>
      <name val="Calibri"/>
      <family val="2"/>
      <scheme val="minor"/>
    </font>
    <font>
      <b/>
      <sz val="12"/>
      <color rgb="FF163260"/>
      <name val="Calibri"/>
      <family val="2"/>
      <scheme val="minor"/>
    </font>
    <font>
      <sz val="10"/>
      <color rgb="FF085393"/>
      <name val="Calibri"/>
      <family val="2"/>
      <scheme val="minor"/>
    </font>
    <font>
      <u/>
      <sz val="11"/>
      <color rgb="FF085393"/>
      <name val="Calibri"/>
      <family val="2"/>
      <scheme val="minor"/>
    </font>
    <font>
      <u/>
      <sz val="14"/>
      <color rgb="FF085393"/>
      <name val="Calibri"/>
      <family val="2"/>
      <scheme val="minor"/>
    </font>
    <font>
      <sz val="16"/>
      <color theme="0"/>
      <name val="Calibri Light"/>
      <family val="2"/>
      <scheme val="maj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8"/>
      <color rgb="FF006100"/>
      <name val="Calibri"/>
      <family val="2"/>
      <scheme val="minor"/>
    </font>
    <font>
      <sz val="18"/>
      <color rgb="FF9C0006"/>
      <name val="Calibri"/>
      <family val="2"/>
      <scheme val="minor"/>
    </font>
    <font>
      <sz val="18"/>
      <color rgb="FF9C6500"/>
      <name val="Calibri"/>
      <family val="2"/>
      <scheme val="minor"/>
    </font>
    <font>
      <sz val="18"/>
      <color rgb="FF3F3F76"/>
      <name val="Calibri"/>
      <family val="2"/>
      <scheme val="minor"/>
    </font>
    <font>
      <b/>
      <sz val="18"/>
      <color rgb="FF3F3F3F"/>
      <name val="Calibri"/>
      <family val="2"/>
      <scheme val="minor"/>
    </font>
    <font>
      <b/>
      <sz val="18"/>
      <color rgb="FFFA7D00"/>
      <name val="Calibri"/>
      <family val="2"/>
      <scheme val="minor"/>
    </font>
    <font>
      <sz val="18"/>
      <color rgb="FFFA7D00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8"/>
      <color rgb="FFFF0000"/>
      <name val="Calibri"/>
      <family val="2"/>
      <scheme val="minor"/>
    </font>
    <font>
      <i/>
      <sz val="18"/>
      <color rgb="FF7F7F7F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0000FF"/>
      <name val="Calibri"/>
      <family val="2"/>
      <scheme val="minor"/>
    </font>
    <font>
      <sz val="9"/>
      <color rgb="FF085393"/>
      <name val="Calibri"/>
      <family val="2"/>
      <scheme val="minor"/>
    </font>
    <font>
      <sz val="22"/>
      <color theme="0"/>
      <name val="Calibri Light"/>
      <family val="2"/>
      <scheme val="major"/>
    </font>
  </fonts>
  <fills count="39">
    <fill>
      <patternFill patternType="none"/>
    </fill>
    <fill>
      <patternFill patternType="gray125"/>
    </fill>
    <fill>
      <patternFill patternType="solid">
        <fgColor rgb="FF163260"/>
        <bgColor indexed="64"/>
      </patternFill>
    </fill>
    <fill>
      <patternFill patternType="solid">
        <fgColor rgb="FF0853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0F8FE"/>
        <bgColor indexed="64"/>
      </patternFill>
    </fill>
    <fill>
      <patternFill patternType="solid">
        <fgColor theme="7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theme="0" tint="-0.1499984740745262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BDEFB"/>
      </left>
      <right style="thin">
        <color rgb="FFBBDEFB"/>
      </right>
      <top style="thin">
        <color rgb="FFBBDEFB"/>
      </top>
      <bottom style="thin">
        <color rgb="FFBBDEFB"/>
      </bottom>
      <diagonal/>
    </border>
    <border>
      <left/>
      <right/>
      <top/>
      <bottom style="medium">
        <color theme="0" tint="-0.14996795556505021"/>
      </bottom>
      <diagonal/>
    </border>
  </borders>
  <cellStyleXfs count="65">
    <xf numFmtId="174" fontId="0" fillId="0" borderId="0"/>
    <xf numFmtId="0" fontId="6" fillId="0" borderId="0" applyNumberFormat="0" applyFill="0" applyBorder="0" applyAlignment="0" applyProtection="0"/>
    <xf numFmtId="167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2" applyNumberFormat="0" applyFill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14" fillId="6" borderId="0" applyNumberFormat="0" applyBorder="0" applyAlignment="0" applyProtection="0"/>
    <xf numFmtId="0" fontId="15" fillId="7" borderId="0" applyNumberFormat="0" applyBorder="0" applyAlignment="0" applyProtection="0"/>
    <xf numFmtId="0" fontId="16" fillId="8" borderId="0" applyNumberFormat="0" applyBorder="0" applyAlignment="0" applyProtection="0"/>
    <xf numFmtId="0" fontId="17" fillId="9" borderId="5" applyNumberFormat="0" applyAlignment="0" applyProtection="0"/>
    <xf numFmtId="0" fontId="18" fillId="10" borderId="6" applyNumberFormat="0" applyAlignment="0" applyProtection="0"/>
    <xf numFmtId="0" fontId="19" fillId="10" borderId="5" applyNumberFormat="0" applyAlignment="0" applyProtection="0"/>
    <xf numFmtId="0" fontId="20" fillId="0" borderId="7" applyNumberFormat="0" applyFill="0" applyAlignment="0" applyProtection="0"/>
    <xf numFmtId="0" fontId="21" fillId="11" borderId="8" applyNumberFormat="0" applyAlignment="0" applyProtection="0"/>
    <xf numFmtId="0" fontId="22" fillId="0" borderId="0" applyNumberFormat="0" applyFill="0" applyBorder="0" applyAlignment="0" applyProtection="0"/>
    <xf numFmtId="0" fontId="9" fillId="12" borderId="9" applyNumberFormat="0" applyFont="0" applyAlignment="0" applyProtection="0"/>
    <xf numFmtId="0" fontId="23" fillId="0" borderId="0" applyNumberFormat="0" applyFill="0" applyBorder="0" applyAlignment="0" applyProtection="0"/>
    <xf numFmtId="0" fontId="24" fillId="0" borderId="10" applyNumberFormat="0" applyFill="0" applyAlignment="0" applyProtection="0"/>
    <xf numFmtId="0" fontId="25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5" fillId="16" borderId="0" applyNumberFormat="0" applyBorder="0" applyAlignment="0" applyProtection="0"/>
    <xf numFmtId="0" fontId="25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5" fillId="20" borderId="0" applyNumberFormat="0" applyBorder="0" applyAlignment="0" applyProtection="0"/>
    <xf numFmtId="0" fontId="25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5" fillId="24" borderId="0" applyNumberFormat="0" applyBorder="0" applyAlignment="0" applyProtection="0"/>
    <xf numFmtId="0" fontId="25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5" fillId="28" borderId="0" applyNumberFormat="0" applyBorder="0" applyAlignment="0" applyProtection="0"/>
    <xf numFmtId="0" fontId="25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5" fillId="32" borderId="0" applyNumberFormat="0" applyBorder="0" applyAlignment="0" applyProtection="0"/>
    <xf numFmtId="0" fontId="25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5" fillId="36" borderId="0" applyNumberFormat="0" applyBorder="0" applyAlignment="0" applyProtection="0"/>
    <xf numFmtId="0" fontId="32" fillId="2" borderId="0" applyNumberFormat="0">
      <alignment horizontal="left"/>
    </xf>
    <xf numFmtId="0" fontId="8" fillId="3" borderId="0" applyNumberFormat="0" applyAlignment="0">
      <alignment horizontal="left"/>
    </xf>
    <xf numFmtId="0" fontId="4" fillId="0" borderId="0" applyNumberFormat="0" applyFill="0" applyBorder="0">
      <alignment horizontal="left" vertical="center"/>
    </xf>
    <xf numFmtId="0" fontId="2" fillId="5" borderId="0" applyNumberFormat="0" applyFont="0" applyAlignment="0" applyProtection="0">
      <alignment vertical="top"/>
    </xf>
    <xf numFmtId="168" fontId="28" fillId="3" borderId="0">
      <alignment horizontal="center"/>
    </xf>
    <xf numFmtId="170" fontId="27" fillId="2" borderId="0">
      <alignment horizontal="center"/>
    </xf>
    <xf numFmtId="170" fontId="3" fillId="0" borderId="0">
      <alignment vertical="top"/>
    </xf>
    <xf numFmtId="168" fontId="29" fillId="0" borderId="0" applyFont="0" applyFill="0" applyBorder="0" applyAlignment="0" applyProtection="0"/>
    <xf numFmtId="171" fontId="9" fillId="0" borderId="0" applyFont="0" applyFill="0" applyBorder="0" applyAlignment="0" applyProtection="0"/>
    <xf numFmtId="172" fontId="29" fillId="2" borderId="0" applyFont="0" applyFill="0" applyBorder="0" applyAlignment="0" applyProtection="0"/>
    <xf numFmtId="170" fontId="30" fillId="2" borderId="0" applyNumberFormat="0" applyFill="0" applyBorder="0" applyAlignment="0" applyProtection="0"/>
    <xf numFmtId="170" fontId="31" fillId="0" borderId="0" applyNumberFormat="0" applyFill="0" applyBorder="0" applyAlignment="0">
      <alignment vertical="top"/>
    </xf>
    <xf numFmtId="173" fontId="29" fillId="2" borderId="0" applyFont="0" applyFill="0" applyBorder="0" applyAlignment="0" applyProtection="0"/>
    <xf numFmtId="171" fontId="30" fillId="37" borderId="11" applyNumberFormat="0">
      <protection locked="0"/>
    </xf>
    <xf numFmtId="0" fontId="2" fillId="5" borderId="12" applyFont="0" applyAlignment="0" applyProtection="0">
      <alignment vertical="top"/>
    </xf>
    <xf numFmtId="170" fontId="32" fillId="3" borderId="0" applyNumberFormat="0" applyBorder="0">
      <alignment horizontal="center" vertical="top"/>
    </xf>
    <xf numFmtId="170" fontId="3" fillId="38" borderId="0" applyNumberFormat="0" applyFont="0" applyBorder="0" applyAlignment="0" applyProtection="0">
      <alignment vertical="top"/>
    </xf>
  </cellStyleXfs>
  <cellXfs count="83">
    <xf numFmtId="174" fontId="0" fillId="0" borderId="0" xfId="0"/>
    <xf numFmtId="174" fontId="2" fillId="5" borderId="0" xfId="0" applyFont="1" applyFill="1" applyBorder="1"/>
    <xf numFmtId="174" fontId="2" fillId="4" borderId="0" xfId="0" applyFont="1" applyFill="1" applyBorder="1"/>
    <xf numFmtId="174" fontId="2" fillId="5" borderId="0" xfId="0" applyFont="1" applyFill="1" applyBorder="1" applyAlignment="1">
      <alignment vertical="top" wrapText="1"/>
    </xf>
    <xf numFmtId="174" fontId="2" fillId="5" borderId="1" xfId="0" applyFont="1" applyFill="1" applyBorder="1" applyAlignment="1">
      <alignment vertical="top"/>
    </xf>
    <xf numFmtId="170" fontId="32" fillId="2" borderId="0" xfId="48" applyNumberFormat="1">
      <alignment horizontal="left"/>
    </xf>
    <xf numFmtId="174" fontId="25" fillId="2" borderId="0" xfId="0" applyFont="1" applyFill="1" applyBorder="1" applyAlignment="1"/>
    <xf numFmtId="174" fontId="26" fillId="3" borderId="0" xfId="0" applyFont="1" applyFill="1" applyBorder="1" applyAlignment="1"/>
    <xf numFmtId="174" fontId="3" fillId="5" borderId="0" xfId="0" applyFont="1" applyFill="1" applyBorder="1" applyAlignment="1">
      <alignment horizontal="center" vertical="top"/>
    </xf>
    <xf numFmtId="174" fontId="3" fillId="5" borderId="0" xfId="0" applyFont="1" applyFill="1" applyBorder="1" applyAlignment="1">
      <alignment vertical="top"/>
    </xf>
    <xf numFmtId="174" fontId="25" fillId="2" borderId="0" xfId="0" applyFont="1" applyFill="1" applyBorder="1" applyAlignment="1">
      <alignment vertical="center"/>
    </xf>
    <xf numFmtId="168" fontId="28" fillId="3" borderId="0" xfId="52">
      <alignment horizontal="center"/>
    </xf>
    <xf numFmtId="170" fontId="27" fillId="2" borderId="0" xfId="53">
      <alignment horizontal="center"/>
    </xf>
    <xf numFmtId="170" fontId="32" fillId="2" borderId="0" xfId="48" applyNumberFormat="1" applyAlignment="1"/>
    <xf numFmtId="170" fontId="8" fillId="3" borderId="0" xfId="49" applyNumberFormat="1" applyAlignment="1"/>
    <xf numFmtId="170" fontId="4" fillId="0" borderId="0" xfId="50" applyNumberFormat="1">
      <alignment horizontal="left" vertical="center"/>
    </xf>
    <xf numFmtId="170" fontId="3" fillId="0" borderId="0" xfId="54">
      <alignment vertical="top"/>
    </xf>
    <xf numFmtId="174" fontId="2" fillId="5" borderId="0" xfId="0" applyFont="1" applyFill="1" applyBorder="1" applyAlignment="1">
      <alignment horizontal="left" vertical="top"/>
    </xf>
    <xf numFmtId="174" fontId="2" fillId="5" borderId="0" xfId="0" applyFont="1" applyFill="1" applyBorder="1" applyAlignment="1">
      <alignment vertical="top"/>
    </xf>
    <xf numFmtId="174" fontId="2" fillId="0" borderId="0" xfId="0" applyFont="1" applyFill="1" applyBorder="1" applyAlignment="1">
      <alignment vertical="top" wrapText="1"/>
    </xf>
    <xf numFmtId="174" fontId="3" fillId="0" borderId="0" xfId="0" applyFont="1" applyFill="1" applyBorder="1" applyAlignment="1">
      <alignment vertical="top"/>
    </xf>
    <xf numFmtId="174" fontId="2" fillId="0" borderId="0" xfId="0" applyFont="1" applyFill="1" applyBorder="1" applyAlignment="1">
      <alignment horizontal="left" wrapText="1"/>
    </xf>
    <xf numFmtId="174" fontId="2" fillId="0" borderId="0" xfId="0" applyFont="1" applyFill="1" applyBorder="1" applyAlignment="1">
      <alignment vertical="top"/>
    </xf>
    <xf numFmtId="174" fontId="2" fillId="0" borderId="0" xfId="0" applyFont="1" applyFill="1" applyBorder="1"/>
    <xf numFmtId="174" fontId="4" fillId="0" borderId="0" xfId="0" applyFont="1" applyFill="1" applyBorder="1" applyAlignment="1">
      <alignment vertical="center"/>
    </xf>
    <xf numFmtId="174" fontId="5" fillId="0" borderId="0" xfId="0" applyFont="1" applyFill="1" applyBorder="1" applyAlignment="1">
      <alignment vertical="center" wrapText="1"/>
    </xf>
    <xf numFmtId="174" fontId="2" fillId="0" borderId="0" xfId="0" applyFont="1" applyFill="1" applyBorder="1" applyAlignment="1">
      <alignment horizontal="left" vertical="top"/>
    </xf>
    <xf numFmtId="174" fontId="3" fillId="0" borderId="0" xfId="0" applyFont="1" applyFill="1" applyBorder="1" applyAlignment="1">
      <alignment horizontal="center" vertical="top"/>
    </xf>
    <xf numFmtId="174" fontId="7" fillId="0" borderId="0" xfId="0" applyFont="1" applyFill="1" applyBorder="1" applyAlignment="1">
      <alignment vertical="center" wrapText="1"/>
    </xf>
    <xf numFmtId="168" fontId="2" fillId="0" borderId="0" xfId="0" applyNumberFormat="1" applyFont="1" applyFill="1" applyBorder="1" applyAlignment="1">
      <alignment horizontal="left"/>
    </xf>
    <xf numFmtId="174" fontId="2" fillId="0" borderId="0" xfId="0" applyFont="1" applyFill="1" applyBorder="1" applyAlignment="1">
      <alignment horizontal="left"/>
    </xf>
    <xf numFmtId="169" fontId="2" fillId="0" borderId="0" xfId="0" applyNumberFormat="1" applyFont="1" applyFill="1" applyBorder="1" applyAlignment="1">
      <alignment horizontal="left"/>
    </xf>
    <xf numFmtId="174" fontId="0" fillId="0" borderId="0" xfId="0" applyFill="1"/>
    <xf numFmtId="174" fontId="3" fillId="0" borderId="0" xfId="0" applyFont="1" applyFill="1" applyBorder="1" applyAlignment="1">
      <alignment horizontal="left" vertical="top"/>
    </xf>
    <xf numFmtId="174" fontId="3" fillId="0" borderId="0" xfId="0" applyFont="1" applyFill="1" applyBorder="1"/>
    <xf numFmtId="174" fontId="0" fillId="0" borderId="0" xfId="0" applyFill="1" applyBorder="1"/>
    <xf numFmtId="174" fontId="25" fillId="0" borderId="0" xfId="0" applyFont="1" applyFill="1" applyBorder="1" applyAlignment="1"/>
    <xf numFmtId="174" fontId="26" fillId="0" borderId="0" xfId="0" applyFont="1" applyFill="1" applyBorder="1" applyAlignment="1"/>
    <xf numFmtId="170" fontId="30" fillId="0" borderId="0" xfId="58" applyFill="1" applyBorder="1" applyAlignment="1">
      <alignment vertical="top"/>
    </xf>
    <xf numFmtId="170" fontId="2" fillId="5" borderId="0" xfId="51" applyNumberFormat="1" applyFont="1" applyBorder="1" applyAlignment="1">
      <alignment horizontal="left" vertical="top"/>
    </xf>
    <xf numFmtId="170" fontId="3" fillId="5" borderId="0" xfId="51" applyNumberFormat="1" applyFont="1" applyBorder="1" applyAlignment="1">
      <alignment horizontal="center" vertical="top"/>
    </xf>
    <xf numFmtId="170" fontId="2" fillId="5" borderId="0" xfId="51" applyNumberFormat="1" applyFont="1" applyBorder="1" applyAlignment="1"/>
    <xf numFmtId="170" fontId="5" fillId="5" borderId="0" xfId="51" applyNumberFormat="1" applyFont="1" applyBorder="1" applyAlignment="1">
      <alignment vertical="center" wrapText="1"/>
    </xf>
    <xf numFmtId="170" fontId="2" fillId="5" borderId="0" xfId="51" applyNumberFormat="1" applyFont="1" applyAlignment="1">
      <alignment vertical="top"/>
    </xf>
    <xf numFmtId="170" fontId="2" fillId="5" borderId="0" xfId="51" applyNumberFormat="1" applyFont="1" applyAlignment="1"/>
    <xf numFmtId="170" fontId="5" fillId="5" borderId="0" xfId="51" applyNumberFormat="1" applyFont="1" applyAlignment="1">
      <alignment vertical="center" wrapText="1"/>
    </xf>
    <xf numFmtId="0" fontId="2" fillId="5" borderId="12" xfId="62" applyFont="1" applyAlignment="1">
      <alignment vertical="top"/>
    </xf>
    <xf numFmtId="0" fontId="3" fillId="5" borderId="12" xfId="62" applyFont="1" applyAlignment="1">
      <alignment horizontal="center" vertical="top"/>
    </xf>
    <xf numFmtId="0" fontId="2" fillId="5" borderId="12" xfId="62" applyFont="1" applyAlignment="1"/>
    <xf numFmtId="0" fontId="5" fillId="5" borderId="12" xfId="62" applyFont="1" applyAlignment="1">
      <alignment vertical="center" wrapText="1"/>
    </xf>
    <xf numFmtId="174" fontId="25" fillId="0" borderId="0" xfId="0" applyFont="1" applyFill="1" applyBorder="1" applyAlignment="1">
      <alignment vertical="center"/>
    </xf>
    <xf numFmtId="170" fontId="7" fillId="5" borderId="0" xfId="51" applyNumberFormat="1" applyFont="1" applyAlignment="1">
      <alignment vertical="center" wrapText="1"/>
    </xf>
    <xf numFmtId="0" fontId="3" fillId="5" borderId="12" xfId="62" applyFont="1" applyAlignment="1"/>
    <xf numFmtId="0" fontId="2" fillId="5" borderId="12" xfId="62" applyFont="1" applyAlignment="1">
      <alignment horizontal="left"/>
    </xf>
    <xf numFmtId="0" fontId="7" fillId="5" borderId="12" xfId="62" applyFont="1" applyAlignment="1">
      <alignment horizontal="center" vertical="center" wrapText="1"/>
    </xf>
    <xf numFmtId="0" fontId="7" fillId="5" borderId="12" xfId="62" applyFont="1" applyAlignment="1">
      <alignment vertical="center" wrapText="1"/>
    </xf>
    <xf numFmtId="170" fontId="30" fillId="37" borderId="11" xfId="61" applyNumberFormat="1">
      <protection locked="0"/>
    </xf>
    <xf numFmtId="170" fontId="2" fillId="0" borderId="0" xfId="51" applyNumberFormat="1" applyFont="1" applyFill="1" applyAlignment="1"/>
    <xf numFmtId="0" fontId="2" fillId="0" borderId="0" xfId="62" applyFont="1" applyFill="1" applyBorder="1" applyAlignment="1"/>
    <xf numFmtId="174" fontId="0" fillId="5" borderId="0" xfId="51" applyNumberFormat="1" applyFont="1" applyAlignment="1"/>
    <xf numFmtId="174" fontId="2" fillId="5" borderId="0" xfId="51" applyNumberFormat="1" applyFont="1" applyAlignment="1">
      <alignment vertical="top"/>
    </xf>
    <xf numFmtId="0" fontId="0" fillId="5" borderId="12" xfId="62" applyFont="1" applyAlignment="1"/>
    <xf numFmtId="174" fontId="4" fillId="5" borderId="0" xfId="51" applyNumberFormat="1" applyFont="1" applyAlignment="1">
      <alignment vertical="center"/>
    </xf>
    <xf numFmtId="0" fontId="3" fillId="5" borderId="12" xfId="62" applyFont="1" applyAlignment="1">
      <alignment horizontal="left" vertical="top"/>
    </xf>
    <xf numFmtId="174" fontId="4" fillId="0" borderId="0" xfId="50" applyNumberFormat="1" applyFill="1">
      <alignment horizontal="left" vertical="center"/>
    </xf>
    <xf numFmtId="174" fontId="30" fillId="0" borderId="0" xfId="58" applyNumberFormat="1" applyFill="1"/>
    <xf numFmtId="172" fontId="0" fillId="0" borderId="0" xfId="57" applyFont="1" applyFill="1"/>
    <xf numFmtId="172" fontId="30" fillId="37" borderId="11" xfId="57" applyFont="1" applyFill="1" applyBorder="1" applyProtection="1">
      <protection locked="0"/>
    </xf>
    <xf numFmtId="172" fontId="30" fillId="37" borderId="11" xfId="61" applyNumberFormat="1">
      <protection locked="0"/>
    </xf>
    <xf numFmtId="174" fontId="30" fillId="37" borderId="11" xfId="61" applyNumberFormat="1">
      <protection locked="0"/>
    </xf>
    <xf numFmtId="171" fontId="0" fillId="0" borderId="0" xfId="56" applyFont="1"/>
    <xf numFmtId="170" fontId="32" fillId="2" borderId="0" xfId="48" applyNumberFormat="1" applyFill="1" applyAlignment="1">
      <alignment horizontal="center"/>
    </xf>
    <xf numFmtId="174" fontId="5" fillId="0" borderId="0" xfId="0" applyFont="1" applyFill="1" applyBorder="1" applyAlignment="1">
      <alignment horizontal="center" vertical="center" wrapText="1"/>
    </xf>
    <xf numFmtId="170" fontId="2" fillId="5" borderId="0" xfId="51" applyNumberFormat="1" applyFont="1" applyBorder="1" applyAlignment="1">
      <alignment horizontal="left" vertical="top"/>
    </xf>
    <xf numFmtId="170" fontId="32" fillId="3" borderId="0" xfId="49" applyNumberFormat="1" applyFont="1" applyAlignment="1">
      <alignment horizontal="center" vertical="center"/>
    </xf>
    <xf numFmtId="170" fontId="31" fillId="5" borderId="0" xfId="59" applyNumberFormat="1" applyFill="1" applyBorder="1" applyAlignment="1">
      <alignment horizontal="center" vertical="center" wrapText="1"/>
    </xf>
    <xf numFmtId="174" fontId="7" fillId="0" borderId="0" xfId="0" applyFont="1" applyFill="1" applyBorder="1" applyAlignment="1">
      <alignment horizontal="center" vertical="center" wrapText="1"/>
    </xf>
    <xf numFmtId="174" fontId="0" fillId="5" borderId="0" xfId="51" applyNumberFormat="1" applyFont="1" applyAlignment="1">
      <alignment horizontal="left"/>
    </xf>
    <xf numFmtId="170" fontId="2" fillId="5" borderId="0" xfId="51" applyNumberFormat="1" applyFont="1" applyAlignment="1">
      <alignment horizontal="left"/>
    </xf>
    <xf numFmtId="168" fontId="2" fillId="5" borderId="0" xfId="51" applyNumberFormat="1" applyFont="1" applyAlignment="1">
      <alignment horizontal="left"/>
    </xf>
    <xf numFmtId="0" fontId="2" fillId="5" borderId="0" xfId="51" applyNumberFormat="1" applyFont="1" applyAlignment="1">
      <alignment horizontal="left"/>
    </xf>
    <xf numFmtId="174" fontId="4" fillId="5" borderId="0" xfId="0" applyFont="1" applyFill="1" applyBorder="1" applyAlignment="1">
      <alignment horizontal="left" vertical="center"/>
    </xf>
    <xf numFmtId="174" fontId="4" fillId="5" borderId="0" xfId="50" applyNumberFormat="1" applyFill="1" applyAlignment="1">
      <alignment horizontal="left" vertical="center"/>
    </xf>
  </cellXfs>
  <cellStyles count="65">
    <cellStyle name="20% - Accent1" xfId="25" builtinId="30" hidden="1"/>
    <cellStyle name="20% - Accent2" xfId="29" builtinId="34" hidden="1"/>
    <cellStyle name="20% - Accent3" xfId="33" builtinId="38" hidden="1"/>
    <cellStyle name="20% - Accent4" xfId="37" builtinId="42" hidden="1"/>
    <cellStyle name="20% - Accent5" xfId="41" builtinId="46" hidden="1"/>
    <cellStyle name="20% - Accent6" xfId="45" builtinId="50" hidden="1"/>
    <cellStyle name="40% - Accent1" xfId="26" builtinId="31" hidden="1"/>
    <cellStyle name="40% - Accent2" xfId="30" builtinId="35" hidden="1"/>
    <cellStyle name="40% - Accent3" xfId="34" builtinId="39" hidden="1"/>
    <cellStyle name="40% - Accent4" xfId="38" builtinId="43" hidden="1"/>
    <cellStyle name="40% - Accent5" xfId="42" builtinId="47" hidden="1"/>
    <cellStyle name="40% - Accent6" xfId="46" builtinId="51" hidden="1"/>
    <cellStyle name="60% - Accent1" xfId="27" builtinId="32" hidden="1"/>
    <cellStyle name="60% - Accent2" xfId="31" builtinId="36" hidden="1"/>
    <cellStyle name="60% - Accent3" xfId="35" builtinId="40" hidden="1"/>
    <cellStyle name="60% - Accent4" xfId="39" builtinId="44" hidden="1"/>
    <cellStyle name="60% - Accent5" xfId="43" builtinId="48" hidden="1"/>
    <cellStyle name="60% - Accent6" xfId="47" builtinId="52" hidden="1"/>
    <cellStyle name="Accent1" xfId="24" builtinId="29" hidden="1"/>
    <cellStyle name="Accent2" xfId="28" builtinId="33" hidden="1"/>
    <cellStyle name="Accent3" xfId="32" builtinId="37" hidden="1"/>
    <cellStyle name="Accent4" xfId="36" builtinId="41" hidden="1"/>
    <cellStyle name="Accent5" xfId="40" builtinId="45" hidden="1"/>
    <cellStyle name="Accent6" xfId="44" builtinId="49" hidden="1"/>
    <cellStyle name="Background Fill" xfId="51" xr:uid="{00000000-0005-0000-0000-000018000000}"/>
    <cellStyle name="Bad" xfId="13" builtinId="27" hidden="1"/>
    <cellStyle name="BG Border" xfId="62" xr:uid="{00000000-0005-0000-0000-00001A000000}"/>
    <cellStyle name="Blank" xfId="60" xr:uid="{00000000-0005-0000-0000-00001B000000}"/>
    <cellStyle name="Calculation" xfId="17" builtinId="22" hidden="1"/>
    <cellStyle name="Check Cell" xfId="19" builtinId="23" hidden="1"/>
    <cellStyle name="Comma" xfId="2" builtinId="3" hidden="1"/>
    <cellStyle name="Comma [0]" xfId="3" builtinId="6" hidden="1"/>
    <cellStyle name="Cover Title" xfId="63" xr:uid="{00000000-0005-0000-0000-000020000000}"/>
    <cellStyle name="Currency" xfId="4" builtinId="4" hidden="1"/>
    <cellStyle name="Currency [0]" xfId="5" builtinId="7" hidden="1"/>
    <cellStyle name="Date" xfId="55" xr:uid="{00000000-0005-0000-0000-000023000000}"/>
    <cellStyle name="Date Heading" xfId="52" xr:uid="{00000000-0005-0000-0000-000024000000}"/>
    <cellStyle name="Explanatory Text" xfId="22" builtinId="53" hidden="1"/>
    <cellStyle name="Good" xfId="12" builtinId="26" hidden="1"/>
    <cellStyle name="Hard Coded Number" xfId="58" xr:uid="{00000000-0005-0000-0000-000027000000}"/>
    <cellStyle name="Heading 1" xfId="8" builtinId="16" hidden="1"/>
    <cellStyle name="Heading 2" xfId="9" builtinId="17" hidden="1"/>
    <cellStyle name="Heading 3" xfId="10" builtinId="18" hidden="1"/>
    <cellStyle name="Heading 4" xfId="11" builtinId="19" hidden="1"/>
    <cellStyle name="Highlight" xfId="64" xr:uid="{00000000-0005-0000-0000-00002C000000}"/>
    <cellStyle name="Hist Proj Title" xfId="53" xr:uid="{00000000-0005-0000-0000-00002D000000}"/>
    <cellStyle name="Hyperlink" xfId="1" builtinId="8" hidden="1" customBuiltin="1"/>
    <cellStyle name="Input" xfId="15" builtinId="20" hidden="1"/>
    <cellStyle name="Input" xfId="61" builtinId="20" customBuiltin="1"/>
    <cellStyle name="Linked Cell" xfId="18" builtinId="24" hidden="1"/>
    <cellStyle name="Multiple" xfId="56" xr:uid="{00000000-0005-0000-0000-000032000000}"/>
    <cellStyle name="Neutral" xfId="14" builtinId="28" hidden="1"/>
    <cellStyle name="Normal" xfId="0" builtinId="0" customBuiltin="1"/>
    <cellStyle name="Note" xfId="21" builtinId="10" hidden="1"/>
    <cellStyle name="Notes and Comments" xfId="59" xr:uid="{00000000-0005-0000-0000-000036000000}"/>
    <cellStyle name="Output" xfId="16" builtinId="21" hidden="1"/>
    <cellStyle name="Percent" xfId="6" builtinId="5" hidden="1"/>
    <cellStyle name="Percent" xfId="57" builtinId="5" customBuiltin="1"/>
    <cellStyle name="Primary Title" xfId="48" xr:uid="{00000000-0005-0000-0000-00003A000000}"/>
    <cellStyle name="Row Label" xfId="54" xr:uid="{00000000-0005-0000-0000-00003B000000}"/>
    <cellStyle name="Secondary Title" xfId="49" xr:uid="{00000000-0005-0000-0000-00003C000000}"/>
    <cellStyle name="Tertiary Title" xfId="50" xr:uid="{00000000-0005-0000-0000-00003D000000}"/>
    <cellStyle name="Title" xfId="7" builtinId="15" hidden="1"/>
    <cellStyle name="Total" xfId="23" builtinId="25" hidden="1"/>
    <cellStyle name="Warning Text" xfId="20" builtinId="11" hidden="1"/>
  </cellStyles>
  <dxfs count="0"/>
  <tableStyles count="0" defaultTableStyle="TableStyleMedium2" defaultPivotStyle="PivotStyleLight16"/>
  <colors>
    <mruColors>
      <color rgb="FF163260"/>
      <color rgb="FF085393"/>
      <color rgb="FFBBDEFB"/>
      <color rgb="FFF0F8FE"/>
      <color rgb="FF0000FF"/>
      <color rgb="FFEBF1FB"/>
      <color rgb="FFD3E0F5"/>
      <color rgb="FFC9D9F3"/>
      <color rgb="FFE2F1FE"/>
      <color rgb="FFC4E3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19050</xdr:colOff>
      <xdr:row>0</xdr:row>
      <xdr:rowOff>1019175</xdr:rowOff>
    </xdr:from>
    <xdr:to>
      <xdr:col>9</xdr:col>
      <xdr:colOff>457200</xdr:colOff>
      <xdr:row>0</xdr:row>
      <xdr:rowOff>1503980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95550" y="1019175"/>
          <a:ext cx="3533775" cy="48480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1931713</xdr:colOff>
      <xdr:row>0</xdr:row>
      <xdr:rowOff>123826</xdr:rowOff>
    </xdr:from>
    <xdr:to>
      <xdr:col>16</xdr:col>
      <xdr:colOff>161849</xdr:colOff>
      <xdr:row>0</xdr:row>
      <xdr:rowOff>466726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27738" y="123826"/>
          <a:ext cx="401836" cy="342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1"/>
  <sheetViews>
    <sheetView showGridLines="0" tabSelected="1" zoomScaleNormal="100" workbookViewId="0">
      <selection sqref="A1:N1"/>
    </sheetView>
  </sheetViews>
  <sheetFormatPr defaultColWidth="9.109375" defaultRowHeight="14.4" x14ac:dyDescent="0.3"/>
  <cols>
    <col min="1" max="1" width="9.88671875" style="32" customWidth="1"/>
    <col min="2" max="13" width="9.21875" style="32" customWidth="1"/>
    <col min="14" max="14" width="9.88671875" style="32" customWidth="1"/>
    <col min="15" max="26" width="9.109375" style="32" customWidth="1"/>
    <col min="27" max="16384" width="9.109375" style="32"/>
  </cols>
  <sheetData>
    <row r="1" spans="1:14" s="36" customFormat="1" ht="189.75" customHeight="1" x14ac:dyDescent="0.55000000000000004">
      <c r="A1" s="71"/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</row>
    <row r="2" spans="1:14" s="22" customFormat="1" ht="75" customHeight="1" x14ac:dyDescent="0.3">
      <c r="A2" s="74" t="s">
        <v>20</v>
      </c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</row>
    <row r="3" spans="1:14" s="23" customFormat="1" ht="7.5" customHeight="1" x14ac:dyDescent="0.3">
      <c r="B3" s="24"/>
      <c r="C3" s="24"/>
      <c r="F3" s="25"/>
      <c r="G3" s="25"/>
      <c r="H3" s="25"/>
      <c r="I3" s="25"/>
      <c r="J3" s="25"/>
      <c r="K3" s="25"/>
    </row>
    <row r="4" spans="1:14" s="23" customFormat="1" ht="15" customHeight="1" x14ac:dyDescent="0.3">
      <c r="A4" s="39"/>
      <c r="B4" s="40"/>
      <c r="C4" s="73"/>
      <c r="D4" s="73"/>
      <c r="E4" s="41"/>
      <c r="F4" s="42"/>
      <c r="G4" s="42"/>
      <c r="H4" s="42"/>
      <c r="I4" s="42"/>
      <c r="J4" s="42"/>
      <c r="K4" s="42"/>
      <c r="L4" s="41"/>
      <c r="M4" s="41"/>
      <c r="N4" s="41"/>
    </row>
    <row r="5" spans="1:14" s="23" customFormat="1" ht="15" customHeight="1" x14ac:dyDescent="0.3">
      <c r="A5" s="75" t="s">
        <v>11</v>
      </c>
      <c r="B5" s="75"/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</row>
    <row r="6" spans="1:14" s="23" customFormat="1" ht="15" customHeight="1" x14ac:dyDescent="0.3">
      <c r="A6" s="75"/>
      <c r="B6" s="75"/>
      <c r="C6" s="75"/>
      <c r="D6" s="75"/>
      <c r="E6" s="75"/>
      <c r="F6" s="75"/>
      <c r="G6" s="75"/>
      <c r="H6" s="75"/>
      <c r="I6" s="75"/>
      <c r="J6" s="75"/>
      <c r="K6" s="75"/>
      <c r="L6" s="75"/>
      <c r="M6" s="75"/>
      <c r="N6" s="75"/>
    </row>
    <row r="7" spans="1:14" s="23" customFormat="1" ht="15" customHeight="1" x14ac:dyDescent="0.3">
      <c r="A7" s="75" t="str">
        <f ca="1">"© "&amp;YEAR(TODAY())&amp;" Financial Edge Training "</f>
        <v xml:space="preserve">© 2020 Financial Edge Training </v>
      </c>
      <c r="B7" s="75"/>
      <c r="C7" s="75"/>
      <c r="D7" s="75"/>
      <c r="E7" s="75"/>
      <c r="F7" s="75"/>
      <c r="G7" s="75"/>
      <c r="H7" s="75"/>
      <c r="I7" s="75"/>
      <c r="J7" s="75"/>
      <c r="K7" s="75"/>
      <c r="L7" s="75"/>
      <c r="M7" s="75"/>
      <c r="N7" s="75"/>
    </row>
    <row r="8" spans="1:14" s="23" customFormat="1" ht="15" customHeight="1" thickBot="1" x14ac:dyDescent="0.35">
      <c r="A8" s="46"/>
      <c r="B8" s="47"/>
      <c r="C8" s="46"/>
      <c r="D8" s="46"/>
      <c r="E8" s="48"/>
      <c r="F8" s="49"/>
      <c r="G8" s="49"/>
      <c r="H8" s="49"/>
      <c r="I8" s="49"/>
      <c r="J8" s="49"/>
      <c r="K8" s="49"/>
      <c r="L8" s="48"/>
      <c r="M8" s="48"/>
      <c r="N8" s="48"/>
    </row>
    <row r="9" spans="1:14" s="23" customFormat="1" ht="15" customHeight="1" x14ac:dyDescent="0.3">
      <c r="F9" s="28"/>
      <c r="G9" s="76"/>
      <c r="H9" s="76"/>
      <c r="I9" s="76"/>
      <c r="J9" s="76"/>
      <c r="K9" s="28"/>
    </row>
    <row r="10" spans="1:14" s="23" customFormat="1" ht="15" customHeight="1" x14ac:dyDescent="0.3">
      <c r="B10" s="24"/>
      <c r="C10" s="24"/>
      <c r="F10" s="28"/>
      <c r="G10" s="76"/>
      <c r="H10" s="76"/>
      <c r="I10" s="76"/>
      <c r="J10" s="76"/>
      <c r="K10" s="28"/>
    </row>
    <row r="11" spans="1:14" s="23" customFormat="1" ht="15" customHeight="1" x14ac:dyDescent="0.3">
      <c r="B11" s="20"/>
      <c r="C11" s="20"/>
      <c r="D11" s="21"/>
      <c r="F11" s="25"/>
      <c r="G11" s="25"/>
      <c r="H11" s="25"/>
      <c r="I11" s="25"/>
      <c r="J11" s="25"/>
      <c r="K11" s="25"/>
    </row>
    <row r="12" spans="1:14" s="23" customFormat="1" ht="15" customHeight="1" x14ac:dyDescent="0.3">
      <c r="A12" s="26"/>
      <c r="B12" s="20"/>
      <c r="C12" s="20"/>
      <c r="D12" s="29"/>
      <c r="F12" s="25"/>
      <c r="G12" s="72"/>
      <c r="H12" s="72"/>
      <c r="I12" s="72"/>
      <c r="J12" s="72"/>
      <c r="K12" s="25"/>
    </row>
    <row r="13" spans="1:14" s="23" customFormat="1" ht="15" customHeight="1" x14ac:dyDescent="0.3">
      <c r="A13" s="19"/>
      <c r="B13" s="20"/>
      <c r="C13" s="20"/>
      <c r="D13" s="30"/>
      <c r="F13" s="25"/>
      <c r="G13" s="72"/>
      <c r="H13" s="72"/>
      <c r="I13" s="72"/>
      <c r="J13" s="72"/>
      <c r="K13" s="25"/>
    </row>
    <row r="14" spans="1:14" s="23" customFormat="1" ht="15" customHeight="1" x14ac:dyDescent="0.3">
      <c r="A14" s="22"/>
      <c r="B14" s="20"/>
      <c r="C14" s="20"/>
      <c r="D14" s="30"/>
      <c r="F14" s="25"/>
      <c r="G14" s="72"/>
      <c r="H14" s="72"/>
      <c r="I14" s="72"/>
      <c r="J14" s="72"/>
      <c r="K14" s="25"/>
    </row>
    <row r="15" spans="1:14" s="23" customFormat="1" ht="15" customHeight="1" x14ac:dyDescent="0.3">
      <c r="A15" s="22"/>
      <c r="B15" s="20"/>
      <c r="C15" s="20"/>
      <c r="D15" s="30"/>
      <c r="F15" s="25"/>
      <c r="G15" s="25"/>
      <c r="H15" s="25"/>
      <c r="I15" s="25"/>
      <c r="J15" s="25"/>
      <c r="K15" s="25"/>
    </row>
    <row r="16" spans="1:14" s="23" customFormat="1" ht="15" customHeight="1" x14ac:dyDescent="0.3">
      <c r="A16" s="22"/>
      <c r="B16" s="20"/>
      <c r="C16" s="20"/>
      <c r="D16" s="31"/>
      <c r="F16" s="25"/>
      <c r="G16" s="72"/>
      <c r="H16" s="72"/>
      <c r="I16" s="72"/>
      <c r="J16" s="72"/>
      <c r="K16" s="25"/>
    </row>
    <row r="17" spans="1:12" s="23" customFormat="1" ht="15" customHeight="1" x14ac:dyDescent="0.3">
      <c r="A17" s="22"/>
      <c r="B17" s="33"/>
      <c r="C17" s="34"/>
      <c r="D17" s="31"/>
      <c r="F17" s="25"/>
      <c r="G17" s="25"/>
      <c r="H17" s="25"/>
      <c r="I17" s="25"/>
      <c r="J17" s="25"/>
      <c r="K17" s="25"/>
    </row>
    <row r="18" spans="1:12" ht="15" customHeight="1" x14ac:dyDescent="0.3">
      <c r="A18" s="35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5"/>
    </row>
    <row r="19" spans="1:12" x14ac:dyDescent="0.3">
      <c r="A19" s="35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</row>
    <row r="20" spans="1:12" x14ac:dyDescent="0.3">
      <c r="A20" s="35"/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35"/>
    </row>
    <row r="21" spans="1:12" x14ac:dyDescent="0.3">
      <c r="A21" s="35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</row>
  </sheetData>
  <mergeCells count="8">
    <mergeCell ref="A1:N1"/>
    <mergeCell ref="G16:J16"/>
    <mergeCell ref="G12:J14"/>
    <mergeCell ref="C4:D4"/>
    <mergeCell ref="A2:N2"/>
    <mergeCell ref="A5:N6"/>
    <mergeCell ref="A7:N7"/>
    <mergeCell ref="G9:J10"/>
  </mergeCells>
  <pageMargins left="0.7" right="0.7" top="0.75" bottom="0.75" header="0.3" footer="0.3"/>
  <pageSetup paperSize="9" orientation="landscape" verticalDpi="0" r:id="rId1"/>
  <headerFooter>
    <oddHeader xml:space="preserve">&amp;R&amp;10&amp;F 
&amp;A
</oddHeader>
    <oddFooter>&amp;L&amp;10© 2016&amp;C&amp;10Page &amp;P of &amp;N&amp;R&amp;G</oddFoot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6"/>
  <sheetViews>
    <sheetView showGridLines="0" zoomScaleNormal="100" workbookViewId="0"/>
  </sheetViews>
  <sheetFormatPr defaultColWidth="9.109375" defaultRowHeight="14.4" x14ac:dyDescent="0.3"/>
  <cols>
    <col min="1" max="1" width="1.44140625" customWidth="1"/>
    <col min="2" max="2" width="2.88671875" customWidth="1"/>
    <col min="3" max="3" width="13.21875" customWidth="1"/>
    <col min="4" max="4" width="2.88671875" customWidth="1"/>
    <col min="5" max="7" width="1.44140625" customWidth="1"/>
    <col min="8" max="8" width="2.88671875" customWidth="1"/>
    <col min="9" max="9" width="42.77734375" customWidth="1"/>
    <col min="10" max="11" width="1.44140625" customWidth="1"/>
    <col min="12" max="12" width="15.5546875" bestFit="1" customWidth="1"/>
    <col min="13" max="14" width="1.44140625" customWidth="1"/>
    <col min="15" max="15" width="2.88671875" customWidth="1"/>
    <col min="16" max="16" width="32.5546875" customWidth="1"/>
    <col min="17" max="17" width="2.88671875" customWidth="1"/>
    <col min="18" max="18" width="1.44140625" customWidth="1"/>
    <col min="23" max="23" width="17.77734375" bestFit="1" customWidth="1"/>
  </cols>
  <sheetData>
    <row r="1" spans="1:18" s="36" customFormat="1" ht="45" customHeight="1" x14ac:dyDescent="0.55000000000000004">
      <c r="A1" s="13" t="str">
        <f>Welcome!A2</f>
        <v>Modeling</v>
      </c>
      <c r="B1" s="13"/>
      <c r="C1" s="13"/>
      <c r="D1" s="13"/>
      <c r="E1" s="13"/>
      <c r="F1" s="13"/>
      <c r="G1" s="13"/>
      <c r="H1" s="13"/>
      <c r="I1" s="13"/>
      <c r="J1" s="6"/>
      <c r="K1" s="6"/>
      <c r="L1" s="6"/>
      <c r="M1" s="6"/>
      <c r="N1" s="6"/>
      <c r="O1" s="6"/>
      <c r="P1" s="6"/>
      <c r="Q1" s="6"/>
      <c r="R1" s="6"/>
    </row>
    <row r="2" spans="1:18" s="37" customFormat="1" ht="30" customHeight="1" x14ac:dyDescent="0.4">
      <c r="A2" s="14" t="s">
        <v>18</v>
      </c>
      <c r="B2" s="14"/>
      <c r="C2" s="14"/>
      <c r="D2" s="14"/>
      <c r="E2" s="14"/>
      <c r="F2" s="14"/>
      <c r="G2" s="14"/>
      <c r="H2" s="14"/>
      <c r="I2" s="14"/>
      <c r="J2" s="7"/>
      <c r="K2" s="7"/>
      <c r="L2" s="7"/>
      <c r="M2" s="7"/>
      <c r="N2" s="7"/>
      <c r="O2" s="7"/>
      <c r="P2" s="7"/>
      <c r="Q2" s="7"/>
      <c r="R2" s="7"/>
    </row>
    <row r="3" spans="1:18" s="2" customFormat="1" ht="7.5" customHeight="1" x14ac:dyDescent="0.3"/>
    <row r="4" spans="1:18" s="2" customFormat="1" ht="22.5" customHeight="1" x14ac:dyDescent="0.3">
      <c r="A4" s="1"/>
      <c r="B4" s="81" t="s">
        <v>0</v>
      </c>
      <c r="C4" s="81"/>
      <c r="D4" s="81"/>
      <c r="E4" s="81"/>
      <c r="F4" s="81"/>
      <c r="G4" s="81"/>
      <c r="H4" s="81"/>
      <c r="I4" s="81"/>
      <c r="K4" s="1"/>
      <c r="L4" s="81" t="s">
        <v>2</v>
      </c>
      <c r="M4" s="81"/>
      <c r="N4" s="81"/>
      <c r="O4" s="81"/>
      <c r="P4" s="81"/>
      <c r="Q4" s="45"/>
      <c r="R4" s="45"/>
    </row>
    <row r="5" spans="1:18" s="2" customFormat="1" ht="15" customHeight="1" x14ac:dyDescent="0.3">
      <c r="A5" s="17"/>
      <c r="B5" s="8" t="s">
        <v>1</v>
      </c>
      <c r="C5" s="59" t="s">
        <v>21</v>
      </c>
      <c r="D5" s="18"/>
      <c r="E5" s="18"/>
      <c r="F5" s="18"/>
      <c r="G5" s="18"/>
      <c r="H5" s="18"/>
      <c r="I5" s="18"/>
      <c r="K5" s="1"/>
      <c r="L5" s="9" t="s">
        <v>3</v>
      </c>
      <c r="M5" s="9"/>
      <c r="N5" s="78" t="s">
        <v>103</v>
      </c>
      <c r="O5" s="78"/>
      <c r="P5" s="78"/>
      <c r="Q5" s="78"/>
      <c r="R5" s="45"/>
    </row>
    <row r="6" spans="1:18" s="2" customFormat="1" ht="15" customHeight="1" x14ac:dyDescent="0.3">
      <c r="A6" s="3"/>
      <c r="B6" s="8" t="s">
        <v>1</v>
      </c>
      <c r="C6" s="18" t="s">
        <v>22</v>
      </c>
      <c r="D6" s="18"/>
      <c r="E6" s="18"/>
      <c r="F6" s="18"/>
      <c r="G6" s="18"/>
      <c r="H6" s="18"/>
      <c r="I6" s="18"/>
      <c r="K6" s="17"/>
      <c r="L6" s="9" t="s">
        <v>4</v>
      </c>
      <c r="M6" s="9"/>
      <c r="N6" s="79">
        <v>42004</v>
      </c>
      <c r="O6" s="79"/>
      <c r="P6" s="79"/>
      <c r="Q6" s="79"/>
      <c r="R6" s="45"/>
    </row>
    <row r="7" spans="1:18" s="2" customFormat="1" ht="15" customHeight="1" x14ac:dyDescent="0.3">
      <c r="A7" s="18"/>
      <c r="B7" s="8" t="s">
        <v>1</v>
      </c>
      <c r="C7" s="18" t="s">
        <v>23</v>
      </c>
      <c r="D7" s="18"/>
      <c r="E7" s="18"/>
      <c r="F7" s="18"/>
      <c r="G7" s="18"/>
      <c r="H7" s="18"/>
      <c r="I7" s="18"/>
      <c r="K7" s="3"/>
      <c r="L7" s="9" t="s">
        <v>5</v>
      </c>
      <c r="M7" s="9"/>
      <c r="N7" s="78" t="s">
        <v>104</v>
      </c>
      <c r="O7" s="78"/>
      <c r="P7" s="78"/>
      <c r="Q7" s="78"/>
      <c r="R7" s="45"/>
    </row>
    <row r="8" spans="1:18" s="2" customFormat="1" ht="15" customHeight="1" x14ac:dyDescent="0.3">
      <c r="A8" s="18"/>
      <c r="B8" s="8" t="s">
        <v>1</v>
      </c>
      <c r="C8" s="18" t="s">
        <v>47</v>
      </c>
      <c r="D8" s="18"/>
      <c r="E8" s="18"/>
      <c r="F8" s="18"/>
      <c r="G8" s="18"/>
      <c r="H8" s="18"/>
      <c r="I8" s="18"/>
      <c r="K8" s="18"/>
      <c r="L8" s="9" t="s">
        <v>6</v>
      </c>
      <c r="M8" s="9"/>
      <c r="N8" s="78" t="s">
        <v>9</v>
      </c>
      <c r="O8" s="78"/>
      <c r="P8" s="78"/>
      <c r="Q8" s="78"/>
      <c r="R8" s="45"/>
    </row>
    <row r="9" spans="1:18" s="2" customFormat="1" ht="15" customHeight="1" x14ac:dyDescent="0.3">
      <c r="A9" s="43"/>
      <c r="B9" s="8" t="s">
        <v>1</v>
      </c>
      <c r="C9" s="18" t="s">
        <v>48</v>
      </c>
      <c r="D9" s="43"/>
      <c r="E9" s="43"/>
      <c r="F9" s="43"/>
      <c r="G9" s="43"/>
      <c r="H9" s="43"/>
      <c r="I9" s="43"/>
      <c r="K9" s="18"/>
      <c r="L9" s="9" t="s">
        <v>7</v>
      </c>
      <c r="M9" s="9"/>
      <c r="N9" s="78" t="s">
        <v>10</v>
      </c>
      <c r="O9" s="78"/>
      <c r="P9" s="78"/>
      <c r="Q9" s="78"/>
      <c r="R9" s="45"/>
    </row>
    <row r="10" spans="1:18" s="2" customFormat="1" ht="15" customHeight="1" x14ac:dyDescent="0.3">
      <c r="A10" s="44"/>
      <c r="B10" s="44"/>
      <c r="C10" s="44"/>
      <c r="D10" s="44"/>
      <c r="E10" s="44"/>
      <c r="F10" s="44"/>
      <c r="G10" s="44"/>
      <c r="H10" s="44"/>
      <c r="I10" s="44"/>
      <c r="K10" s="18"/>
      <c r="L10" s="9" t="s">
        <v>8</v>
      </c>
      <c r="M10" s="9"/>
      <c r="N10" s="80">
        <v>1</v>
      </c>
      <c r="O10" s="80"/>
      <c r="P10" s="80"/>
      <c r="Q10" s="80"/>
      <c r="R10" s="51"/>
    </row>
    <row r="11" spans="1:18" s="2" customFormat="1" ht="15" customHeight="1" thickBot="1" x14ac:dyDescent="0.35">
      <c r="A11" s="48"/>
      <c r="B11" s="48"/>
      <c r="C11" s="48"/>
      <c r="D11" s="48"/>
      <c r="E11" s="48"/>
      <c r="F11" s="48"/>
      <c r="G11" s="48"/>
      <c r="H11" s="48"/>
      <c r="I11" s="48"/>
      <c r="K11" s="4"/>
      <c r="L11" s="63"/>
      <c r="M11" s="63"/>
      <c r="N11" s="52"/>
      <c r="O11" s="53"/>
      <c r="P11" s="53"/>
      <c r="Q11" s="54"/>
      <c r="R11" s="55"/>
    </row>
    <row r="12" spans="1:18" s="2" customFormat="1" ht="7.5" customHeight="1" x14ac:dyDescent="0.3">
      <c r="K12" s="25"/>
      <c r="L12" s="25"/>
      <c r="M12" s="25"/>
      <c r="N12" s="25"/>
      <c r="O12" s="25"/>
      <c r="P12" s="25"/>
      <c r="Q12" s="25"/>
      <c r="R12" s="25"/>
    </row>
    <row r="13" spans="1:18" s="2" customFormat="1" ht="22.5" customHeight="1" x14ac:dyDescent="0.3">
      <c r="A13" s="59"/>
      <c r="B13" s="82" t="s">
        <v>19</v>
      </c>
      <c r="C13" s="82"/>
      <c r="D13" s="82"/>
      <c r="E13" s="82"/>
      <c r="F13" s="82"/>
      <c r="G13" s="82"/>
      <c r="H13" s="82"/>
      <c r="I13" s="82"/>
      <c r="J13" s="82"/>
      <c r="K13" s="82"/>
      <c r="L13" s="82"/>
      <c r="N13" s="1"/>
      <c r="O13" s="81" t="s">
        <v>14</v>
      </c>
      <c r="P13" s="81"/>
      <c r="Q13" s="81"/>
      <c r="R13" s="62"/>
    </row>
    <row r="14" spans="1:18" s="2" customFormat="1" ht="15" customHeight="1" x14ac:dyDescent="0.3">
      <c r="A14" s="60"/>
      <c r="B14" s="77" t="s">
        <v>46</v>
      </c>
      <c r="C14" s="77"/>
      <c r="D14" s="77" t="s">
        <v>24</v>
      </c>
      <c r="E14" s="77"/>
      <c r="F14" s="77"/>
      <c r="G14" s="77"/>
      <c r="H14" s="77"/>
      <c r="I14" s="77"/>
      <c r="J14" s="77"/>
      <c r="K14" s="77"/>
      <c r="L14" s="77"/>
      <c r="N14" s="17"/>
      <c r="O14" s="27"/>
      <c r="P14" s="22"/>
      <c r="Q14" s="22"/>
      <c r="R14" s="60"/>
    </row>
    <row r="15" spans="1:18" s="2" customFormat="1" ht="15" customHeight="1" x14ac:dyDescent="0.3">
      <c r="A15" s="60"/>
      <c r="B15" s="77" t="s">
        <v>45</v>
      </c>
      <c r="C15" s="77"/>
      <c r="D15" s="77" t="s">
        <v>24</v>
      </c>
      <c r="E15" s="77"/>
      <c r="F15" s="77"/>
      <c r="G15" s="77"/>
      <c r="H15" s="77"/>
      <c r="I15" s="77"/>
      <c r="J15" s="77"/>
      <c r="K15" s="77"/>
      <c r="L15" s="77"/>
      <c r="N15" s="3"/>
      <c r="O15" s="27"/>
      <c r="P15" s="56" t="s">
        <v>15</v>
      </c>
      <c r="Q15" s="22"/>
      <c r="R15" s="60"/>
    </row>
    <row r="16" spans="1:18" s="2" customFormat="1" ht="15" customHeight="1" x14ac:dyDescent="0.3">
      <c r="A16" s="60"/>
      <c r="B16" s="77"/>
      <c r="C16" s="77"/>
      <c r="D16" s="77"/>
      <c r="E16" s="77"/>
      <c r="F16" s="77"/>
      <c r="G16" s="77"/>
      <c r="H16" s="77"/>
      <c r="I16" s="77"/>
      <c r="J16" s="77"/>
      <c r="K16" s="77"/>
      <c r="L16" s="77"/>
      <c r="N16" s="18"/>
      <c r="O16" s="27"/>
      <c r="P16" s="38" t="s">
        <v>16</v>
      </c>
      <c r="Q16" s="22"/>
      <c r="R16" s="60"/>
    </row>
    <row r="17" spans="1:18" s="2" customFormat="1" ht="15" customHeight="1" x14ac:dyDescent="0.3">
      <c r="A17" s="60"/>
      <c r="B17" s="77"/>
      <c r="C17" s="77"/>
      <c r="D17" s="77"/>
      <c r="E17" s="77"/>
      <c r="F17" s="77"/>
      <c r="G17" s="77"/>
      <c r="H17" s="77"/>
      <c r="I17" s="77"/>
      <c r="J17" s="77"/>
      <c r="K17" s="77"/>
      <c r="L17" s="77"/>
      <c r="N17" s="18"/>
      <c r="O17" s="27"/>
      <c r="P17" t="s">
        <v>17</v>
      </c>
      <c r="Q17" s="22"/>
      <c r="R17" s="60"/>
    </row>
    <row r="18" spans="1:18" s="2" customFormat="1" ht="15" customHeight="1" x14ac:dyDescent="0.3">
      <c r="A18" s="44"/>
      <c r="B18" s="77"/>
      <c r="C18" s="77"/>
      <c r="D18" s="77"/>
      <c r="E18" s="77"/>
      <c r="F18" s="77"/>
      <c r="G18" s="77"/>
      <c r="H18" s="77"/>
      <c r="I18" s="77"/>
      <c r="J18" s="77"/>
      <c r="K18" s="77"/>
      <c r="L18" s="77"/>
      <c r="N18" s="44"/>
      <c r="O18" s="57"/>
      <c r="P18" s="57"/>
      <c r="Q18" s="57"/>
      <c r="R18" s="44"/>
    </row>
    <row r="19" spans="1:18" ht="15" thickBot="1" x14ac:dyDescent="0.35">
      <c r="A19" s="48"/>
      <c r="B19" s="48"/>
      <c r="C19" s="48"/>
      <c r="D19" s="61"/>
      <c r="E19" s="61"/>
      <c r="F19" s="61"/>
      <c r="G19" s="61"/>
      <c r="H19" s="61"/>
      <c r="I19" s="61"/>
      <c r="J19" s="61"/>
      <c r="K19" s="61"/>
      <c r="L19" s="61"/>
      <c r="N19" s="48"/>
      <c r="O19" s="48"/>
      <c r="P19" s="48"/>
      <c r="Q19" s="48"/>
      <c r="R19" s="48"/>
    </row>
    <row r="20" spans="1:18" x14ac:dyDescent="0.3">
      <c r="Q20" s="58"/>
      <c r="R20" s="35"/>
    </row>
    <row r="21" spans="1:18" x14ac:dyDescent="0.3"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</row>
    <row r="22" spans="1:18" x14ac:dyDescent="0.3"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</row>
    <row r="23" spans="1:18" x14ac:dyDescent="0.3">
      <c r="F23" s="35"/>
      <c r="G23" s="35"/>
      <c r="H23" s="35"/>
      <c r="I23" s="35"/>
      <c r="J23" s="35"/>
      <c r="K23" s="35"/>
      <c r="L23" s="35"/>
      <c r="M23" s="35"/>
      <c r="N23" s="32"/>
      <c r="O23" s="32"/>
      <c r="P23" s="32"/>
      <c r="Q23" s="32"/>
    </row>
    <row r="24" spans="1:18" x14ac:dyDescent="0.3"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</row>
    <row r="25" spans="1:18" x14ac:dyDescent="0.3"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</row>
    <row r="26" spans="1:18" x14ac:dyDescent="0.3"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</row>
  </sheetData>
  <mergeCells count="20">
    <mergeCell ref="B17:C17"/>
    <mergeCell ref="L4:P4"/>
    <mergeCell ref="B4:I4"/>
    <mergeCell ref="B13:L13"/>
    <mergeCell ref="B18:C18"/>
    <mergeCell ref="D16:L16"/>
    <mergeCell ref="D17:L17"/>
    <mergeCell ref="D18:L18"/>
    <mergeCell ref="N5:Q5"/>
    <mergeCell ref="N6:Q6"/>
    <mergeCell ref="N7:Q7"/>
    <mergeCell ref="N8:Q8"/>
    <mergeCell ref="N9:Q9"/>
    <mergeCell ref="N10:Q10"/>
    <mergeCell ref="O13:Q13"/>
    <mergeCell ref="D14:L14"/>
    <mergeCell ref="D15:L15"/>
    <mergeCell ref="B14:C14"/>
    <mergeCell ref="B15:C15"/>
    <mergeCell ref="B16:C16"/>
  </mergeCells>
  <pageMargins left="0.7" right="0.7" top="0.75" bottom="0.75" header="0.3" footer="0.3"/>
  <pageSetup paperSize="9" orientation="landscape" verticalDpi="0" r:id="rId1"/>
  <headerFooter>
    <oddHeader xml:space="preserve">&amp;R&amp;10&amp;F 
&amp;A
</oddHeader>
    <oddFooter>&amp;L&amp;10© 2016&amp;C&amp;10Page &amp;P of &amp;N&amp;R&amp;G</oddFooter>
  </headerFooter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O210"/>
  <sheetViews>
    <sheetView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ColWidth="9.109375" defaultRowHeight="15" customHeight="1" x14ac:dyDescent="0.3"/>
  <cols>
    <col min="1" max="1" width="1.44140625" style="15" customWidth="1"/>
    <col min="2" max="2" width="41.77734375" style="16" customWidth="1"/>
    <col min="3" max="10" width="11" customWidth="1"/>
    <col min="11" max="12" width="9.21875" customWidth="1"/>
  </cols>
  <sheetData>
    <row r="1" spans="1:15" s="50" customFormat="1" ht="45" customHeight="1" x14ac:dyDescent="0.55000000000000004">
      <c r="A1" s="5" t="s">
        <v>20</v>
      </c>
      <c r="B1" s="10"/>
      <c r="C1" s="12" t="s">
        <v>12</v>
      </c>
      <c r="D1" s="12" t="s">
        <v>12</v>
      </c>
      <c r="E1" s="12" t="s">
        <v>12</v>
      </c>
      <c r="F1" s="12" t="s">
        <v>13</v>
      </c>
      <c r="G1" s="12" t="s">
        <v>13</v>
      </c>
      <c r="H1" s="12" t="s">
        <v>13</v>
      </c>
      <c r="I1" s="12" t="s">
        <v>13</v>
      </c>
      <c r="J1" s="12" t="s">
        <v>13</v>
      </c>
      <c r="K1" s="12" t="s">
        <v>13</v>
      </c>
      <c r="L1" s="12" t="s">
        <v>13</v>
      </c>
      <c r="M1" s="12" t="s">
        <v>13</v>
      </c>
      <c r="N1" s="12" t="s">
        <v>13</v>
      </c>
      <c r="O1" s="12" t="s">
        <v>13</v>
      </c>
    </row>
    <row r="2" spans="1:15" s="37" customFormat="1" ht="30" customHeight="1" x14ac:dyDescent="0.4">
      <c r="A2" s="14" t="s">
        <v>102</v>
      </c>
      <c r="B2" s="7"/>
      <c r="C2" s="11">
        <f>DATE(YEAR(D2)-1,MONTH(D2),DAY(D2))</f>
        <v>41274</v>
      </c>
      <c r="D2" s="11">
        <f>DATE(YEAR(E2)-1,MONTH(E2),DAY(E2))</f>
        <v>41639</v>
      </c>
      <c r="E2" s="11">
        <f>Info!N6</f>
        <v>42004</v>
      </c>
      <c r="F2" s="11">
        <f>DATE(YEAR(E2)+1,MONTH(E2),DAY(E2))</f>
        <v>42369</v>
      </c>
      <c r="G2" s="11">
        <f>DATE(YEAR(F2)+1,MONTH(F2),DAY(F2))</f>
        <v>42735</v>
      </c>
      <c r="H2" s="11">
        <f>DATE(YEAR(G2)+1,MONTH(G2),DAY(G2))</f>
        <v>43100</v>
      </c>
      <c r="I2" s="11">
        <f>DATE(YEAR(H2)+1,MONTH(H2),DAY(H2))</f>
        <v>43465</v>
      </c>
      <c r="J2" s="11">
        <f>DATE(YEAR(I2)+1,MONTH(I2),DAY(I2))</f>
        <v>43830</v>
      </c>
      <c r="K2" s="11">
        <f t="shared" ref="K2:O2" si="0">DATE(YEAR(J2)+1,MONTH(J2),DAY(J2))</f>
        <v>44196</v>
      </c>
      <c r="L2" s="11">
        <f t="shared" si="0"/>
        <v>44561</v>
      </c>
      <c r="M2" s="11">
        <f t="shared" si="0"/>
        <v>44926</v>
      </c>
      <c r="N2" s="11">
        <f t="shared" si="0"/>
        <v>45291</v>
      </c>
      <c r="O2" s="11">
        <f t="shared" si="0"/>
        <v>45657</v>
      </c>
    </row>
    <row r="4" spans="1:15" ht="15" customHeight="1" x14ac:dyDescent="0.3">
      <c r="A4" s="15" t="s">
        <v>49</v>
      </c>
    </row>
    <row r="5" spans="1:15" ht="15" customHeight="1" x14ac:dyDescent="0.3">
      <c r="B5" s="16" t="s">
        <v>25</v>
      </c>
      <c r="D5" s="66">
        <f>D23/C23-1</f>
        <v>3.1959421642975938E-2</v>
      </c>
      <c r="E5" s="66">
        <f>E23/D23-1</f>
        <v>4.645481620723424E-2</v>
      </c>
      <c r="F5" s="67">
        <v>0.06</v>
      </c>
      <c r="G5" s="67">
        <v>0.06</v>
      </c>
      <c r="H5" s="67">
        <v>0.06</v>
      </c>
      <c r="I5" s="67">
        <v>0.06</v>
      </c>
      <c r="J5" s="67">
        <v>0.06</v>
      </c>
      <c r="K5" s="67">
        <v>0.05</v>
      </c>
      <c r="L5" s="67">
        <v>0.05</v>
      </c>
      <c r="M5" s="67">
        <v>4.4999999999999998E-2</v>
      </c>
      <c r="N5" s="67">
        <v>0.04</v>
      </c>
      <c r="O5" s="67">
        <v>0.04</v>
      </c>
    </row>
    <row r="6" spans="1:15" ht="15" customHeight="1" x14ac:dyDescent="0.3">
      <c r="B6" s="16" t="s">
        <v>26</v>
      </c>
      <c r="C6" s="66">
        <f>C24/C23*-1</f>
        <v>0.86309334472834442</v>
      </c>
      <c r="D6" s="66">
        <f t="shared" ref="D6:E6" si="1">D24/D23*-1</f>
        <v>0.85563651614997704</v>
      </c>
      <c r="E6" s="66">
        <f t="shared" si="1"/>
        <v>0.84872385710105835</v>
      </c>
      <c r="F6" s="67">
        <v>0.85</v>
      </c>
      <c r="G6" s="67">
        <v>0.85</v>
      </c>
      <c r="H6" s="67">
        <v>0.85</v>
      </c>
      <c r="I6" s="67">
        <v>0.85</v>
      </c>
      <c r="J6" s="67">
        <v>0.85</v>
      </c>
      <c r="K6" s="67">
        <v>0.85</v>
      </c>
      <c r="L6" s="67">
        <v>0.85</v>
      </c>
      <c r="M6" s="67">
        <v>0.85</v>
      </c>
      <c r="N6" s="67">
        <v>0.85</v>
      </c>
      <c r="O6" s="67">
        <v>0.85</v>
      </c>
    </row>
    <row r="7" spans="1:15" ht="15" customHeight="1" x14ac:dyDescent="0.3">
      <c r="B7" s="16" t="s">
        <v>60</v>
      </c>
      <c r="C7" s="66">
        <f>C29/C28*-1</f>
        <v>0.36223824585794029</v>
      </c>
      <c r="D7" s="66">
        <f t="shared" ref="D7:E7" si="2">D29/D28*-1</f>
        <v>0.42609688540068796</v>
      </c>
      <c r="E7" s="66">
        <f t="shared" si="2"/>
        <v>0.39059845426906042</v>
      </c>
      <c r="F7" s="67">
        <v>0.36</v>
      </c>
      <c r="G7" s="67">
        <v>0.36</v>
      </c>
      <c r="H7" s="67">
        <v>0.36</v>
      </c>
      <c r="I7" s="67">
        <v>0.36</v>
      </c>
      <c r="J7" s="67">
        <v>0.36</v>
      </c>
      <c r="K7" s="67">
        <v>0.36</v>
      </c>
      <c r="L7" s="67">
        <v>0.36</v>
      </c>
      <c r="M7" s="67">
        <v>0.36</v>
      </c>
      <c r="N7" s="67">
        <v>0.36</v>
      </c>
      <c r="O7" s="67">
        <v>0.36</v>
      </c>
    </row>
    <row r="8" spans="1:15" ht="15" customHeight="1" x14ac:dyDescent="0.3">
      <c r="A8" s="64"/>
    </row>
    <row r="9" spans="1:15" ht="15" customHeight="1" x14ac:dyDescent="0.3">
      <c r="A9" s="15" t="s">
        <v>50</v>
      </c>
    </row>
    <row r="10" spans="1:15" ht="15" customHeight="1" x14ac:dyDescent="0.3">
      <c r="B10" s="16" t="s">
        <v>108</v>
      </c>
      <c r="D10" s="66">
        <f>D49/D23</f>
        <v>0.22126255587778429</v>
      </c>
      <c r="E10" s="66">
        <f>E49/E23</f>
        <v>0.22399843080206946</v>
      </c>
      <c r="F10" s="67">
        <v>0.22500000000000001</v>
      </c>
      <c r="G10" s="67">
        <v>0.22500000000000001</v>
      </c>
      <c r="H10" s="67">
        <v>0.22500000000000001</v>
      </c>
      <c r="I10" s="67">
        <v>0.22500000000000001</v>
      </c>
      <c r="J10" s="67">
        <v>0.22500000000000001</v>
      </c>
      <c r="K10" s="67">
        <v>0.22500000000000001</v>
      </c>
      <c r="L10" s="67">
        <v>0.22500000000000001</v>
      </c>
      <c r="M10" s="67">
        <v>0.22500000000000001</v>
      </c>
      <c r="N10" s="67">
        <v>0.22500000000000001</v>
      </c>
      <c r="O10" s="67">
        <v>0.22500000000000001</v>
      </c>
    </row>
    <row r="11" spans="1:15" ht="15" customHeight="1" x14ac:dyDescent="0.3">
      <c r="B11" s="16" t="s">
        <v>109</v>
      </c>
      <c r="D11" s="66">
        <f>D54/D23</f>
        <v>0.2534714344848919</v>
      </c>
      <c r="E11" s="66">
        <f>E54/E23</f>
        <v>0.28736564363447042</v>
      </c>
      <c r="F11" s="67">
        <v>0.28999999999999998</v>
      </c>
      <c r="G11" s="67">
        <v>0.28999999999999998</v>
      </c>
      <c r="H11" s="67">
        <v>0.28999999999999998</v>
      </c>
      <c r="I11" s="67">
        <v>0.28999999999999998</v>
      </c>
      <c r="J11" s="67">
        <v>0.28999999999999998</v>
      </c>
      <c r="K11" s="67">
        <v>0.28999999999999998</v>
      </c>
      <c r="L11" s="67">
        <v>0.28999999999999998</v>
      </c>
      <c r="M11" s="67">
        <v>0.28999999999999998</v>
      </c>
      <c r="N11" s="67">
        <v>0.28999999999999998</v>
      </c>
      <c r="O11" s="67">
        <v>0.28999999999999998</v>
      </c>
    </row>
    <row r="12" spans="1:15" ht="15" customHeight="1" x14ac:dyDescent="0.3">
      <c r="B12" s="16" t="s">
        <v>63</v>
      </c>
      <c r="D12" s="66">
        <f>274.114/D23</f>
        <v>1.5618794253744203E-2</v>
      </c>
      <c r="E12" s="66">
        <f>280.779/E23</f>
        <v>1.5288343386715423E-2</v>
      </c>
      <c r="F12" s="67">
        <v>3.6999999999999998E-2</v>
      </c>
      <c r="G12" s="67">
        <v>3.6999999999999998E-2</v>
      </c>
      <c r="H12" s="67">
        <v>3.6999999999999998E-2</v>
      </c>
      <c r="I12" s="67">
        <v>3.6999999999999998E-2</v>
      </c>
      <c r="J12" s="67">
        <v>3.6999999999999998E-2</v>
      </c>
      <c r="K12" s="67">
        <v>3.6999999999999998E-2</v>
      </c>
      <c r="L12" s="67">
        <v>3.6999999999999998E-2</v>
      </c>
      <c r="M12" s="67">
        <v>3.6999999999999998E-2</v>
      </c>
      <c r="N12" s="67">
        <v>3.6999999999999998E-2</v>
      </c>
      <c r="O12" s="67">
        <v>3.6999999999999998E-2</v>
      </c>
    </row>
    <row r="13" spans="1:15" ht="15" customHeight="1" x14ac:dyDescent="0.3">
      <c r="B13" s="16" t="s">
        <v>68</v>
      </c>
      <c r="D13" s="66"/>
      <c r="E13" s="66">
        <f>383.996/D50</f>
        <v>2.736462933168779E-2</v>
      </c>
      <c r="F13" s="68">
        <v>6.6000000000000003E-2</v>
      </c>
      <c r="G13" s="68">
        <v>6.6000000000000003E-2</v>
      </c>
      <c r="H13" s="68">
        <v>6.6000000000000003E-2</v>
      </c>
      <c r="I13" s="68">
        <v>6.6000000000000003E-2</v>
      </c>
      <c r="J13" s="68">
        <v>6.6000000000000003E-2</v>
      </c>
      <c r="K13" s="68">
        <v>6.6000000000000003E-2</v>
      </c>
      <c r="L13" s="68">
        <v>6.6000000000000003E-2</v>
      </c>
      <c r="M13" s="68">
        <v>6.6000000000000003E-2</v>
      </c>
      <c r="N13" s="68">
        <v>6.6000000000000003E-2</v>
      </c>
      <c r="O13" s="68">
        <v>6.6000000000000003E-2</v>
      </c>
    </row>
    <row r="14" spans="1:15" ht="15" customHeight="1" x14ac:dyDescent="0.3">
      <c r="B14" s="16" t="s">
        <v>65</v>
      </c>
      <c r="D14" s="66">
        <f>216.855/D30</f>
        <v>0.16462471440908624</v>
      </c>
      <c r="E14" s="66">
        <f>156.129/E30</f>
        <v>0.10070006114409101</v>
      </c>
      <c r="F14" s="68">
        <v>0.32</v>
      </c>
      <c r="G14" s="68">
        <v>0.32</v>
      </c>
      <c r="H14" s="68">
        <v>0.32</v>
      </c>
      <c r="I14" s="68">
        <v>0.32</v>
      </c>
      <c r="J14" s="68">
        <v>0.32</v>
      </c>
      <c r="K14" s="68">
        <v>0.32</v>
      </c>
      <c r="L14" s="68">
        <v>0.32</v>
      </c>
      <c r="M14" s="68">
        <v>0.32</v>
      </c>
      <c r="N14" s="68">
        <v>0.32</v>
      </c>
      <c r="O14" s="68">
        <v>0.32</v>
      </c>
    </row>
    <row r="15" spans="1:15" ht="15" customHeight="1" x14ac:dyDescent="0.3">
      <c r="A15" s="64"/>
    </row>
    <row r="16" spans="1:15" ht="15" customHeight="1" x14ac:dyDescent="0.3">
      <c r="A16" s="15" t="s">
        <v>57</v>
      </c>
    </row>
    <row r="17" spans="1:15" ht="15" customHeight="1" x14ac:dyDescent="0.3">
      <c r="B17" s="16" t="s">
        <v>64</v>
      </c>
      <c r="D17" s="66"/>
      <c r="E17" s="66"/>
      <c r="F17" s="69">
        <v>-1442.1176000000003</v>
      </c>
      <c r="G17" s="69">
        <v>-48.052399999999999</v>
      </c>
      <c r="H17" s="69">
        <v>-200.61580000000001</v>
      </c>
      <c r="I17" s="69">
        <v>-231.94160000000002</v>
      </c>
      <c r="J17" s="69">
        <v>-1195.5170754098353</v>
      </c>
      <c r="K17" s="69">
        <v>-207.91601311475412</v>
      </c>
      <c r="L17" s="69">
        <v>-727.7060459016393</v>
      </c>
      <c r="M17" s="69">
        <v>0</v>
      </c>
      <c r="N17" s="69">
        <v>0</v>
      </c>
      <c r="O17" s="69">
        <v>-1039.5800655737708</v>
      </c>
    </row>
    <row r="18" spans="1:15" ht="15" customHeight="1" x14ac:dyDescent="0.3">
      <c r="B18" s="16" t="s">
        <v>79</v>
      </c>
      <c r="F18" s="68">
        <v>0.02</v>
      </c>
      <c r="G18" s="68">
        <v>0.02</v>
      </c>
      <c r="H18" s="68">
        <v>0.02</v>
      </c>
      <c r="I18" s="68">
        <v>0.02</v>
      </c>
      <c r="J18" s="68">
        <v>0.02</v>
      </c>
      <c r="K18" s="68">
        <v>0.02</v>
      </c>
      <c r="L18" s="68">
        <v>0.02</v>
      </c>
      <c r="M18" s="68">
        <v>0.02</v>
      </c>
      <c r="N18" s="68">
        <v>0.02</v>
      </c>
      <c r="O18" s="68">
        <v>0.02</v>
      </c>
    </row>
    <row r="19" spans="1:15" ht="15" customHeight="1" x14ac:dyDescent="0.3">
      <c r="B19" s="16" t="s">
        <v>80</v>
      </c>
      <c r="F19" s="68">
        <v>0.04</v>
      </c>
      <c r="G19" s="68">
        <v>0.04</v>
      </c>
      <c r="H19" s="68">
        <v>0.04</v>
      </c>
      <c r="I19" s="68">
        <v>0.04</v>
      </c>
      <c r="J19" s="68">
        <v>0.04</v>
      </c>
      <c r="K19" s="68">
        <v>0.04</v>
      </c>
      <c r="L19" s="68">
        <v>0.04</v>
      </c>
      <c r="M19" s="68">
        <v>0.04</v>
      </c>
      <c r="N19" s="68">
        <v>0.04</v>
      </c>
      <c r="O19" s="68">
        <v>0.04</v>
      </c>
    </row>
    <row r="20" spans="1:15" ht="15" customHeight="1" x14ac:dyDescent="0.3">
      <c r="B20" s="16" t="s">
        <v>78</v>
      </c>
      <c r="F20" s="68">
        <v>5.0000000000000001E-3</v>
      </c>
      <c r="G20" s="68">
        <v>5.0000000000000001E-3</v>
      </c>
      <c r="H20" s="68">
        <v>5.0000000000000001E-3</v>
      </c>
      <c r="I20" s="68">
        <v>5.0000000000000001E-3</v>
      </c>
      <c r="J20" s="68">
        <v>5.0000000000000001E-3</v>
      </c>
      <c r="K20" s="68">
        <v>5.0000000000000001E-3</v>
      </c>
      <c r="L20" s="68">
        <v>5.0000000000000001E-3</v>
      </c>
      <c r="M20" s="68">
        <v>5.0000000000000001E-3</v>
      </c>
      <c r="N20" s="68">
        <v>5.0000000000000001E-3</v>
      </c>
      <c r="O20" s="68">
        <v>5.0000000000000001E-3</v>
      </c>
    </row>
    <row r="21" spans="1:15" ht="15" customHeight="1" x14ac:dyDescent="0.3">
      <c r="A21" s="64"/>
    </row>
    <row r="22" spans="1:15" ht="15" customHeight="1" x14ac:dyDescent="0.3">
      <c r="A22" s="15" t="s">
        <v>27</v>
      </c>
    </row>
    <row r="23" spans="1:15" ht="15" customHeight="1" x14ac:dyDescent="0.3">
      <c r="B23" s="16" t="s">
        <v>28</v>
      </c>
      <c r="C23" s="65">
        <v>17006.7408</v>
      </c>
      <c r="D23" s="65">
        <v>17550.2664</v>
      </c>
      <c r="E23" s="65">
        <v>18365.560799999999</v>
      </c>
      <c r="F23">
        <f t="shared" ref="F23:O23" si="3">E23*(1+F5)</f>
        <v>19467.494448000001</v>
      </c>
      <c r="G23">
        <f t="shared" si="3"/>
        <v>20635.544114880002</v>
      </c>
      <c r="H23">
        <f t="shared" si="3"/>
        <v>21873.676761772804</v>
      </c>
      <c r="I23">
        <f t="shared" si="3"/>
        <v>23186.097367479175</v>
      </c>
      <c r="J23">
        <f t="shared" si="3"/>
        <v>24577.263209527926</v>
      </c>
      <c r="K23">
        <f t="shared" si="3"/>
        <v>25806.126370004324</v>
      </c>
      <c r="L23">
        <f t="shared" si="3"/>
        <v>27096.432688504541</v>
      </c>
      <c r="M23">
        <f t="shared" si="3"/>
        <v>28315.772159487242</v>
      </c>
      <c r="N23">
        <f t="shared" si="3"/>
        <v>29448.403045866733</v>
      </c>
      <c r="O23">
        <f t="shared" si="3"/>
        <v>30626.339167701404</v>
      </c>
    </row>
    <row r="24" spans="1:15" ht="15" customHeight="1" x14ac:dyDescent="0.3">
      <c r="B24" s="16" t="s">
        <v>29</v>
      </c>
      <c r="C24" s="65">
        <f>(2435.993+3680.009)*2.4*-1</f>
        <v>-14678.4048</v>
      </c>
      <c r="D24" s="65">
        <f>(2524.006+3732.931)*2.4*-1</f>
        <v>-15016.648799999999</v>
      </c>
      <c r="E24" s="65">
        <f>(2574.685+3920.019)*2.4*-1</f>
        <v>-15587.289599999998</v>
      </c>
      <c r="F24">
        <f>F6*F23*-1</f>
        <v>-16547.370280800002</v>
      </c>
      <c r="G24">
        <f t="shared" ref="G24:O24" si="4">G6*G23*-1</f>
        <v>-17540.212497648001</v>
      </c>
      <c r="H24">
        <f t="shared" si="4"/>
        <v>-18592.625247506883</v>
      </c>
      <c r="I24">
        <f t="shared" si="4"/>
        <v>-19708.182762357297</v>
      </c>
      <c r="J24">
        <f t="shared" si="4"/>
        <v>-20890.673728098736</v>
      </c>
      <c r="K24">
        <f t="shared" si="4"/>
        <v>-21935.207414503675</v>
      </c>
      <c r="L24">
        <f t="shared" si="4"/>
        <v>-23031.967785228859</v>
      </c>
      <c r="M24">
        <f t="shared" si="4"/>
        <v>-24068.406335564156</v>
      </c>
      <c r="N24">
        <f t="shared" si="4"/>
        <v>-25031.142588986724</v>
      </c>
      <c r="O24">
        <f t="shared" si="4"/>
        <v>-26032.388292546191</v>
      </c>
    </row>
    <row r="25" spans="1:15" ht="15" customHeight="1" x14ac:dyDescent="0.3">
      <c r="B25" s="16" t="s">
        <v>52</v>
      </c>
      <c r="C25">
        <f>SUM(C23:C24)</f>
        <v>2328.3359999999993</v>
      </c>
      <c r="D25">
        <f t="shared" ref="D25:O25" si="5">SUM(D23:D24)</f>
        <v>2533.6176000000014</v>
      </c>
      <c r="E25">
        <f t="shared" si="5"/>
        <v>2778.271200000001</v>
      </c>
      <c r="F25">
        <f t="shared" si="5"/>
        <v>2920.1241671999996</v>
      </c>
      <c r="G25">
        <f t="shared" si="5"/>
        <v>3095.331617232001</v>
      </c>
      <c r="H25">
        <f t="shared" si="5"/>
        <v>3281.0515142659206</v>
      </c>
      <c r="I25">
        <f t="shared" si="5"/>
        <v>3477.9146051218777</v>
      </c>
      <c r="J25">
        <f t="shared" si="5"/>
        <v>3686.5894814291896</v>
      </c>
      <c r="K25">
        <f t="shared" si="5"/>
        <v>3870.9189555006487</v>
      </c>
      <c r="L25">
        <f t="shared" si="5"/>
        <v>4064.4649032756824</v>
      </c>
      <c r="M25">
        <f t="shared" si="5"/>
        <v>4247.3658239230863</v>
      </c>
      <c r="N25">
        <f t="shared" si="5"/>
        <v>4417.2604568800089</v>
      </c>
      <c r="O25">
        <f t="shared" si="5"/>
        <v>4593.950875155213</v>
      </c>
    </row>
    <row r="26" spans="1:15" ht="15" customHeight="1" x14ac:dyDescent="0.3">
      <c r="B26" s="16" t="s">
        <v>53</v>
      </c>
      <c r="C26" s="65">
        <v>45.384</v>
      </c>
      <c r="D26" s="65">
        <v>24.172799999999999</v>
      </c>
      <c r="E26" s="65">
        <v>29.104800000000001</v>
      </c>
      <c r="F26">
        <f t="shared" ref="F26:O26" ca="1" si="6">IF(switch=1,F105,0)</f>
        <v>16.909259099269601</v>
      </c>
      <c r="G26">
        <f t="shared" ca="1" si="6"/>
        <v>20.243916019787793</v>
      </c>
      <c r="H26">
        <f t="shared" ca="1" si="6"/>
        <v>27.673065558614546</v>
      </c>
      <c r="I26">
        <f t="shared" ca="1" si="6"/>
        <v>34.809575298595853</v>
      </c>
      <c r="J26">
        <f t="shared" ca="1" si="6"/>
        <v>39.681027506863785</v>
      </c>
      <c r="K26">
        <f t="shared" ca="1" si="6"/>
        <v>44.828979339127272</v>
      </c>
      <c r="L26">
        <f t="shared" ca="1" si="6"/>
        <v>51.3618823759561</v>
      </c>
      <c r="M26">
        <f t="shared" ca="1" si="6"/>
        <v>58.647822972417906</v>
      </c>
      <c r="N26">
        <f t="shared" ca="1" si="6"/>
        <v>67.948622762115804</v>
      </c>
      <c r="O26">
        <f t="shared" ca="1" si="6"/>
        <v>74.881405033362228</v>
      </c>
    </row>
    <row r="27" spans="1:15" ht="15" customHeight="1" x14ac:dyDescent="0.3">
      <c r="B27" s="16" t="s">
        <v>54</v>
      </c>
      <c r="C27" s="65">
        <f>347.0472*-1</f>
        <v>-347.04719999999998</v>
      </c>
      <c r="D27" s="65">
        <f>262.5096*-1</f>
        <v>-262.50959999999998</v>
      </c>
      <c r="E27" s="65">
        <f>263.1816*-1</f>
        <v>-263.1816</v>
      </c>
      <c r="F27">
        <f t="shared" ref="F27:O27" ca="1" si="7">IF(switch=1,F103+F104,0)*-1</f>
        <v>-197.04840799999997</v>
      </c>
      <c r="G27">
        <f t="shared" ca="1" si="7"/>
        <v>-163.61373599999996</v>
      </c>
      <c r="H27">
        <f t="shared" ca="1" si="7"/>
        <v>-158.64037199999996</v>
      </c>
      <c r="I27">
        <f t="shared" ca="1" si="7"/>
        <v>-149.98922399999995</v>
      </c>
      <c r="J27">
        <f t="shared" ca="1" si="7"/>
        <v>-121.44005049180325</v>
      </c>
      <c r="K27">
        <f t="shared" ca="1" si="7"/>
        <v>-93.371388721311448</v>
      </c>
      <c r="L27">
        <f t="shared" ca="1" si="7"/>
        <v>-74.65894754098359</v>
      </c>
      <c r="M27">
        <f t="shared" ca="1" si="7"/>
        <v>-60.104826622950803</v>
      </c>
      <c r="N27">
        <f t="shared" ca="1" si="7"/>
        <v>-60.104826622950803</v>
      </c>
      <c r="O27">
        <f t="shared" ca="1" si="7"/>
        <v>-39.313225311475392</v>
      </c>
    </row>
    <row r="28" spans="1:15" ht="15" customHeight="1" x14ac:dyDescent="0.3">
      <c r="B28" s="16" t="s">
        <v>55</v>
      </c>
      <c r="C28">
        <f>SUM(C25:C27)</f>
        <v>2026.6727999999994</v>
      </c>
      <c r="D28">
        <f t="shared" ref="D28:O28" si="8">SUM(D25:D27)</f>
        <v>2295.2808000000014</v>
      </c>
      <c r="E28">
        <f t="shared" si="8"/>
        <v>2544.1944000000012</v>
      </c>
      <c r="F28">
        <f t="shared" ca="1" si="8"/>
        <v>2739.9850182992691</v>
      </c>
      <c r="G28">
        <f t="shared" ca="1" si="8"/>
        <v>2951.961797251789</v>
      </c>
      <c r="H28">
        <f t="shared" ca="1" si="8"/>
        <v>3150.084207824535</v>
      </c>
      <c r="I28">
        <f t="shared" ca="1" si="8"/>
        <v>3362.7349564204737</v>
      </c>
      <c r="J28">
        <f t="shared" ca="1" si="8"/>
        <v>3604.8304584442503</v>
      </c>
      <c r="K28">
        <f t="shared" ca="1" si="8"/>
        <v>3822.3765461184644</v>
      </c>
      <c r="L28">
        <f t="shared" ca="1" si="8"/>
        <v>4041.1678381106549</v>
      </c>
      <c r="M28">
        <f t="shared" ca="1" si="8"/>
        <v>4245.9088202725534</v>
      </c>
      <c r="N28">
        <f t="shared" ca="1" si="8"/>
        <v>4425.1042530191735</v>
      </c>
      <c r="O28">
        <f t="shared" ca="1" si="8"/>
        <v>4629.5190548770997</v>
      </c>
    </row>
    <row r="29" spans="1:15" ht="15" customHeight="1" x14ac:dyDescent="0.3">
      <c r="B29" s="16" t="s">
        <v>30</v>
      </c>
      <c r="C29" s="65">
        <f>734.1384*-1</f>
        <v>-734.13840000000005</v>
      </c>
      <c r="D29" s="65">
        <f>978.012*-1</f>
        <v>-978.01199999999994</v>
      </c>
      <c r="E29" s="65">
        <f>993.7584*-1</f>
        <v>-993.75840000000005</v>
      </c>
      <c r="F29">
        <f ca="1">F7*F28*-1</f>
        <v>-986.3946065877368</v>
      </c>
      <c r="G29">
        <f t="shared" ref="G29:O29" ca="1" si="9">G7*G28*-1</f>
        <v>-1062.7062470106439</v>
      </c>
      <c r="H29">
        <f t="shared" ca="1" si="9"/>
        <v>-1134.0303148168325</v>
      </c>
      <c r="I29">
        <f t="shared" ca="1" si="9"/>
        <v>-1210.5845843113705</v>
      </c>
      <c r="J29">
        <f t="shared" ca="1" si="9"/>
        <v>-1297.73896503993</v>
      </c>
      <c r="K29">
        <f t="shared" ca="1" si="9"/>
        <v>-1376.0555566026471</v>
      </c>
      <c r="L29">
        <f t="shared" ca="1" si="9"/>
        <v>-1454.8204217198356</v>
      </c>
      <c r="M29">
        <f t="shared" ca="1" si="9"/>
        <v>-1528.5271752981191</v>
      </c>
      <c r="N29">
        <f t="shared" ca="1" si="9"/>
        <v>-1593.0375310869024</v>
      </c>
      <c r="O29">
        <f t="shared" ca="1" si="9"/>
        <v>-1666.6268597557557</v>
      </c>
    </row>
    <row r="30" spans="1:15" ht="15" customHeight="1" x14ac:dyDescent="0.3">
      <c r="B30" s="16" t="s">
        <v>31</v>
      </c>
      <c r="C30">
        <f>SUM(C28:C29)</f>
        <v>1292.5343999999993</v>
      </c>
      <c r="D30">
        <f t="shared" ref="D30:O30" si="10">SUM(D28:D29)</f>
        <v>1317.2688000000014</v>
      </c>
      <c r="E30">
        <f t="shared" si="10"/>
        <v>1550.4360000000011</v>
      </c>
      <c r="F30">
        <f t="shared" ca="1" si="10"/>
        <v>1753.5904117115324</v>
      </c>
      <c r="G30">
        <f t="shared" ca="1" si="10"/>
        <v>1889.2555502411451</v>
      </c>
      <c r="H30">
        <f t="shared" ca="1" si="10"/>
        <v>2016.0538930077025</v>
      </c>
      <c r="I30">
        <f t="shared" ca="1" si="10"/>
        <v>2152.150372109103</v>
      </c>
      <c r="J30">
        <f t="shared" ca="1" si="10"/>
        <v>2307.0914934043203</v>
      </c>
      <c r="K30">
        <f t="shared" ca="1" si="10"/>
        <v>2446.320989515817</v>
      </c>
      <c r="L30">
        <f t="shared" ca="1" si="10"/>
        <v>2586.3474163908195</v>
      </c>
      <c r="M30">
        <f t="shared" ca="1" si="10"/>
        <v>2717.3816449744345</v>
      </c>
      <c r="N30">
        <f t="shared" ca="1" si="10"/>
        <v>2832.0667219322713</v>
      </c>
      <c r="O30">
        <f t="shared" ca="1" si="10"/>
        <v>2962.8921951213442</v>
      </c>
    </row>
    <row r="31" spans="1:15" ht="15" customHeight="1" x14ac:dyDescent="0.3">
      <c r="A31" s="64"/>
      <c r="C31">
        <v>1292.5343999999993</v>
      </c>
      <c r="D31">
        <v>1317.2688000000014</v>
      </c>
      <c r="E31">
        <v>1550.4360000000013</v>
      </c>
      <c r="F31">
        <v>2027.5579123200012</v>
      </c>
      <c r="G31">
        <v>2149.2113870591998</v>
      </c>
      <c r="H31">
        <v>2278.1640702827531</v>
      </c>
      <c r="I31">
        <v>2414.8539144997185</v>
      </c>
      <c r="J31">
        <v>2559.7451493697008</v>
      </c>
      <c r="K31">
        <v>2687.7324068381868</v>
      </c>
      <c r="L31">
        <v>2822.119027180097</v>
      </c>
      <c r="M31">
        <v>2949.1143834032</v>
      </c>
      <c r="N31">
        <v>3067.0789587393288</v>
      </c>
      <c r="O31">
        <v>3189.7621170889006</v>
      </c>
    </row>
    <row r="32" spans="1:15" ht="15" customHeight="1" x14ac:dyDescent="0.3">
      <c r="A32" s="15" t="s">
        <v>113</v>
      </c>
    </row>
    <row r="33" spans="1:15" ht="15" customHeight="1" x14ac:dyDescent="0.3">
      <c r="B33" s="16" t="s">
        <v>66</v>
      </c>
      <c r="F33">
        <f>E36</f>
        <v>15423.8472</v>
      </c>
      <c r="G33">
        <f t="shared" ref="G33:O33" si="11">F36</f>
        <v>15126.170579375999</v>
      </c>
      <c r="H33">
        <f t="shared" si="11"/>
        <v>14891.358453387744</v>
      </c>
      <c r="I33">
        <f t="shared" si="11"/>
        <v>14717.854835649745</v>
      </c>
      <c r="J33">
        <f t="shared" si="11"/>
        <v>14604.362019093591</v>
      </c>
      <c r="K33">
        <f t="shared" si="11"/>
        <v>14549.832864585947</v>
      </c>
      <c r="L33">
        <f t="shared" si="11"/>
        <v>14544.370571213434</v>
      </c>
      <c r="M33">
        <f t="shared" si="11"/>
        <v>14587.010122988015</v>
      </c>
      <c r="N33">
        <f t="shared" si="11"/>
        <v>14671.951024771834</v>
      </c>
      <c r="O33">
        <f t="shared" si="11"/>
        <v>14793.193169833961</v>
      </c>
    </row>
    <row r="34" spans="1:15" ht="15" customHeight="1" x14ac:dyDescent="0.3">
      <c r="B34" s="16" t="s">
        <v>67</v>
      </c>
      <c r="F34">
        <f t="shared" ref="F34:O34" si="12">F12*F23</f>
        <v>720.29729457600001</v>
      </c>
      <c r="G34">
        <f t="shared" si="12"/>
        <v>763.51513225055999</v>
      </c>
      <c r="H34">
        <f t="shared" si="12"/>
        <v>809.32604018559368</v>
      </c>
      <c r="I34">
        <f t="shared" si="12"/>
        <v>857.88560259672943</v>
      </c>
      <c r="J34">
        <f t="shared" si="12"/>
        <v>909.35873875253321</v>
      </c>
      <c r="K34">
        <f t="shared" si="12"/>
        <v>954.82667569015996</v>
      </c>
      <c r="L34">
        <f t="shared" si="12"/>
        <v>1002.568009474668</v>
      </c>
      <c r="M34">
        <f t="shared" si="12"/>
        <v>1047.6835699010278</v>
      </c>
      <c r="N34">
        <f t="shared" si="12"/>
        <v>1089.5909126970691</v>
      </c>
      <c r="O34">
        <f t="shared" si="12"/>
        <v>1133.174549204952</v>
      </c>
    </row>
    <row r="35" spans="1:15" ht="15" customHeight="1" x14ac:dyDescent="0.3">
      <c r="B35" s="16" t="s">
        <v>69</v>
      </c>
      <c r="F35">
        <f>F13*F33*-1</f>
        <v>-1017.9739152000001</v>
      </c>
      <c r="G35">
        <f t="shared" ref="G35:O35" si="13">G13*G33*-1</f>
        <v>-998.32725823881606</v>
      </c>
      <c r="H35">
        <f t="shared" si="13"/>
        <v>-982.82965792359118</v>
      </c>
      <c r="I35">
        <f t="shared" si="13"/>
        <v>-971.37841915288323</v>
      </c>
      <c r="J35">
        <f t="shared" si="13"/>
        <v>-963.88789326017707</v>
      </c>
      <c r="K35">
        <f t="shared" si="13"/>
        <v>-960.28896906267255</v>
      </c>
      <c r="L35">
        <f t="shared" si="13"/>
        <v>-959.92845770008671</v>
      </c>
      <c r="M35">
        <f t="shared" si="13"/>
        <v>-962.74266811720906</v>
      </c>
      <c r="N35">
        <f t="shared" si="13"/>
        <v>-968.34876763494105</v>
      </c>
      <c r="O35">
        <f t="shared" si="13"/>
        <v>-976.35074920904151</v>
      </c>
    </row>
    <row r="36" spans="1:15" ht="15" customHeight="1" x14ac:dyDescent="0.3">
      <c r="B36" s="16" t="s">
        <v>70</v>
      </c>
      <c r="E36">
        <f>E50</f>
        <v>15423.8472</v>
      </c>
      <c r="F36">
        <f>SUM(F33:F35)</f>
        <v>15126.170579375999</v>
      </c>
      <c r="G36">
        <f t="shared" ref="G36:O36" si="14">SUM(G33:G35)</f>
        <v>14891.358453387744</v>
      </c>
      <c r="H36">
        <f t="shared" si="14"/>
        <v>14717.854835649745</v>
      </c>
      <c r="I36">
        <f t="shared" si="14"/>
        <v>14604.362019093591</v>
      </c>
      <c r="J36">
        <f t="shared" si="14"/>
        <v>14549.832864585947</v>
      </c>
      <c r="K36">
        <f t="shared" si="14"/>
        <v>14544.370571213434</v>
      </c>
      <c r="L36">
        <f t="shared" si="14"/>
        <v>14587.010122988015</v>
      </c>
      <c r="M36">
        <f t="shared" si="14"/>
        <v>14671.951024771834</v>
      </c>
      <c r="N36">
        <f t="shared" si="14"/>
        <v>14793.193169833961</v>
      </c>
      <c r="O36">
        <f t="shared" si="14"/>
        <v>14950.016969829872</v>
      </c>
    </row>
    <row r="38" spans="1:15" ht="15" customHeight="1" x14ac:dyDescent="0.3">
      <c r="B38" s="16" t="s">
        <v>71</v>
      </c>
      <c r="F38">
        <f>E41</f>
        <v>11829.0672</v>
      </c>
      <c r="G38">
        <f t="shared" ref="G38:O38" ca="1" si="15">F41</f>
        <v>13021.508679963843</v>
      </c>
      <c r="H38">
        <f t="shared" ca="1" si="15"/>
        <v>14306.202454127822</v>
      </c>
      <c r="I38">
        <f t="shared" ca="1" si="15"/>
        <v>15677.11910137306</v>
      </c>
      <c r="J38">
        <f t="shared" ca="1" si="15"/>
        <v>17140.581354407252</v>
      </c>
      <c r="K38">
        <f t="shared" ca="1" si="15"/>
        <v>18709.403569922189</v>
      </c>
      <c r="L38">
        <f t="shared" ca="1" si="15"/>
        <v>20372.901842792948</v>
      </c>
      <c r="M38">
        <f t="shared" ca="1" si="15"/>
        <v>22131.618085938702</v>
      </c>
      <c r="N38">
        <f t="shared" ca="1" si="15"/>
        <v>23979.437604521318</v>
      </c>
      <c r="O38">
        <f t="shared" ca="1" si="15"/>
        <v>25905.242975435263</v>
      </c>
    </row>
    <row r="39" spans="1:15" ht="15" customHeight="1" x14ac:dyDescent="0.3">
      <c r="B39" s="16" t="s">
        <v>31</v>
      </c>
      <c r="F39">
        <f t="shared" ref="F39:O39" ca="1" si="16">F30</f>
        <v>1753.5904117115324</v>
      </c>
      <c r="G39">
        <f t="shared" ca="1" si="16"/>
        <v>1889.2555502411451</v>
      </c>
      <c r="H39">
        <f t="shared" ca="1" si="16"/>
        <v>2016.0538930077025</v>
      </c>
      <c r="I39">
        <f t="shared" ca="1" si="16"/>
        <v>2152.150372109103</v>
      </c>
      <c r="J39">
        <f t="shared" ca="1" si="16"/>
        <v>2307.0914934043203</v>
      </c>
      <c r="K39">
        <f t="shared" ca="1" si="16"/>
        <v>2446.320989515817</v>
      </c>
      <c r="L39">
        <f t="shared" ca="1" si="16"/>
        <v>2586.3474163908195</v>
      </c>
      <c r="M39">
        <f t="shared" ca="1" si="16"/>
        <v>2717.3816449744345</v>
      </c>
      <c r="N39">
        <f t="shared" ca="1" si="16"/>
        <v>2832.0667219322713</v>
      </c>
      <c r="O39">
        <f t="shared" ca="1" si="16"/>
        <v>2962.8921951213442</v>
      </c>
    </row>
    <row r="40" spans="1:15" ht="15" customHeight="1" x14ac:dyDescent="0.3">
      <c r="B40" s="16" t="s">
        <v>72</v>
      </c>
      <c r="F40">
        <f ca="1">F14*F30*-1</f>
        <v>-561.14893174769043</v>
      </c>
      <c r="G40">
        <f t="shared" ref="G40:O40" ca="1" si="17">G14*G30*-1</f>
        <v>-604.56177607716643</v>
      </c>
      <c r="H40">
        <f t="shared" ca="1" si="17"/>
        <v>-645.13724576246477</v>
      </c>
      <c r="I40">
        <f t="shared" ca="1" si="17"/>
        <v>-688.68811907491295</v>
      </c>
      <c r="J40">
        <f t="shared" ca="1" si="17"/>
        <v>-738.26927788938247</v>
      </c>
      <c r="K40">
        <f t="shared" ca="1" si="17"/>
        <v>-782.82271664506152</v>
      </c>
      <c r="L40">
        <f t="shared" ca="1" si="17"/>
        <v>-827.6311732450622</v>
      </c>
      <c r="M40">
        <f t="shared" ca="1" si="17"/>
        <v>-869.56212639181911</v>
      </c>
      <c r="N40">
        <f t="shared" ca="1" si="17"/>
        <v>-906.26135101832688</v>
      </c>
      <c r="O40">
        <f t="shared" ca="1" si="17"/>
        <v>-948.12550243883015</v>
      </c>
    </row>
    <row r="41" spans="1:15" ht="15" customHeight="1" x14ac:dyDescent="0.3">
      <c r="B41" s="16" t="s">
        <v>73</v>
      </c>
      <c r="E41">
        <f>E58</f>
        <v>11829.0672</v>
      </c>
      <c r="F41">
        <f ca="1">SUM(F38:F40)</f>
        <v>13021.508679963843</v>
      </c>
      <c r="G41">
        <f t="shared" ref="G41:O41" ca="1" si="18">SUM(G38:G40)</f>
        <v>14306.202454127822</v>
      </c>
      <c r="H41">
        <f t="shared" ca="1" si="18"/>
        <v>15677.11910137306</v>
      </c>
      <c r="I41">
        <f t="shared" ca="1" si="18"/>
        <v>17140.581354407252</v>
      </c>
      <c r="J41">
        <f t="shared" ca="1" si="18"/>
        <v>18709.403569922189</v>
      </c>
      <c r="K41">
        <f t="shared" ca="1" si="18"/>
        <v>20372.901842792948</v>
      </c>
      <c r="L41">
        <f t="shared" ca="1" si="18"/>
        <v>22131.618085938702</v>
      </c>
      <c r="M41">
        <f t="shared" ca="1" si="18"/>
        <v>23979.437604521318</v>
      </c>
      <c r="N41">
        <f t="shared" ca="1" si="18"/>
        <v>25905.242975435263</v>
      </c>
      <c r="O41">
        <f t="shared" ca="1" si="18"/>
        <v>27920.009668117778</v>
      </c>
    </row>
    <row r="43" spans="1:15" ht="15" customHeight="1" x14ac:dyDescent="0.3">
      <c r="B43" s="16" t="str">
        <f>B49</f>
        <v>Operating current assets</v>
      </c>
      <c r="E43">
        <f t="shared" ref="E43:O43" si="19">E49</f>
        <v>4113.8567999999996</v>
      </c>
      <c r="F43">
        <f t="shared" si="19"/>
        <v>4380.1862508000004</v>
      </c>
      <c r="G43">
        <f t="shared" si="19"/>
        <v>4642.9974258480006</v>
      </c>
      <c r="H43">
        <f t="shared" si="19"/>
        <v>4921.5772713988808</v>
      </c>
      <c r="I43">
        <f t="shared" si="19"/>
        <v>5216.8719076828147</v>
      </c>
      <c r="J43">
        <f t="shared" si="19"/>
        <v>5529.8842221437835</v>
      </c>
      <c r="K43">
        <f t="shared" si="19"/>
        <v>5806.3784332509731</v>
      </c>
      <c r="L43">
        <f t="shared" si="19"/>
        <v>6096.6973549135218</v>
      </c>
      <c r="M43">
        <f t="shared" si="19"/>
        <v>6371.0487358846294</v>
      </c>
      <c r="N43">
        <f t="shared" si="19"/>
        <v>6625.8906853200151</v>
      </c>
      <c r="O43">
        <f t="shared" si="19"/>
        <v>6890.9263127328159</v>
      </c>
    </row>
    <row r="44" spans="1:15" ht="15" customHeight="1" x14ac:dyDescent="0.3">
      <c r="B44" s="16" t="str">
        <f>B54</f>
        <v>Operating current liabilities</v>
      </c>
      <c r="E44">
        <f t="shared" ref="E44:O44" si="20">E54</f>
        <v>5277.6311999999998</v>
      </c>
      <c r="F44">
        <f t="shared" si="20"/>
        <v>5645.5733899200004</v>
      </c>
      <c r="G44">
        <f t="shared" si="20"/>
        <v>5984.3077933151999</v>
      </c>
      <c r="H44">
        <f t="shared" si="20"/>
        <v>6343.3662609141129</v>
      </c>
      <c r="I44">
        <f t="shared" si="20"/>
        <v>6723.9682365689605</v>
      </c>
      <c r="J44">
        <f t="shared" si="20"/>
        <v>7127.4063307630977</v>
      </c>
      <c r="K44">
        <f t="shared" si="20"/>
        <v>7483.7766473012534</v>
      </c>
      <c r="L44">
        <f t="shared" si="20"/>
        <v>7857.9654796663162</v>
      </c>
      <c r="M44">
        <f t="shared" si="20"/>
        <v>8211.5739262512998</v>
      </c>
      <c r="N44">
        <f t="shared" si="20"/>
        <v>8540.0368833013526</v>
      </c>
      <c r="O44">
        <f t="shared" si="20"/>
        <v>8881.6383586334068</v>
      </c>
    </row>
    <row r="45" spans="1:15" ht="15" customHeight="1" x14ac:dyDescent="0.3">
      <c r="B45" s="16" t="s">
        <v>74</v>
      </c>
      <c r="E45">
        <f>E43-E44</f>
        <v>-1163.7744000000002</v>
      </c>
      <c r="F45">
        <f t="shared" ref="F45:O45" si="21">F43-F44</f>
        <v>-1265.38713912</v>
      </c>
      <c r="G45">
        <f t="shared" si="21"/>
        <v>-1341.3103674671993</v>
      </c>
      <c r="H45">
        <f t="shared" si="21"/>
        <v>-1421.7889895152321</v>
      </c>
      <c r="I45">
        <f t="shared" si="21"/>
        <v>-1507.0963288861458</v>
      </c>
      <c r="J45">
        <f t="shared" si="21"/>
        <v>-1597.5221086193142</v>
      </c>
      <c r="K45">
        <f t="shared" si="21"/>
        <v>-1677.3982140502803</v>
      </c>
      <c r="L45">
        <f t="shared" si="21"/>
        <v>-1761.2681247527944</v>
      </c>
      <c r="M45">
        <f t="shared" si="21"/>
        <v>-1840.5251903666704</v>
      </c>
      <c r="N45">
        <f t="shared" si="21"/>
        <v>-1914.1461979813375</v>
      </c>
      <c r="O45">
        <f t="shared" si="21"/>
        <v>-1990.712045900591</v>
      </c>
    </row>
    <row r="46" spans="1:15" ht="15" customHeight="1" x14ac:dyDescent="0.3">
      <c r="A46" s="64"/>
    </row>
    <row r="47" spans="1:15" ht="15" customHeight="1" x14ac:dyDescent="0.3">
      <c r="A47" s="15" t="s">
        <v>32</v>
      </c>
    </row>
    <row r="48" spans="1:15" ht="15" customHeight="1" x14ac:dyDescent="0.3">
      <c r="B48" s="16" t="s">
        <v>33</v>
      </c>
      <c r="D48" s="65">
        <v>1483.1879999999999</v>
      </c>
      <c r="E48" s="65">
        <v>3488.6088</v>
      </c>
      <c r="F48">
        <f t="shared" ref="F48:O48" ca="1" si="22">F80</f>
        <v>3275.0948397078409</v>
      </c>
      <c r="G48">
        <f t="shared" ca="1" si="22"/>
        <v>4822.4715682072747</v>
      </c>
      <c r="H48">
        <f t="shared" ca="1" si="22"/>
        <v>6246.7546552385429</v>
      </c>
      <c r="I48">
        <f t="shared" ca="1" si="22"/>
        <v>7677.0754641998001</v>
      </c>
      <c r="J48">
        <f t="shared" ca="1" si="22"/>
        <v>8195.3355385457144</v>
      </c>
      <c r="K48">
        <f t="shared" ca="1" si="22"/>
        <v>9736.2561971051946</v>
      </c>
      <c r="L48">
        <f t="shared" ca="1" si="22"/>
        <v>10808.496753277246</v>
      </c>
      <c r="M48">
        <f t="shared" ca="1" si="22"/>
        <v>12650.632435689919</v>
      </c>
      <c r="N48">
        <f t="shared" ca="1" si="22"/>
        <v>14528.816669156402</v>
      </c>
      <c r="O48">
        <f t="shared" ca="1" si="22"/>
        <v>15423.745344188488</v>
      </c>
    </row>
    <row r="49" spans="1:15" ht="15" customHeight="1" x14ac:dyDescent="0.3">
      <c r="B49" s="16" t="s">
        <v>106</v>
      </c>
      <c r="D49" s="65">
        <f>(680.296+698.95+238.761)*2.4</f>
        <v>3883.2168000000001</v>
      </c>
      <c r="E49" s="65">
        <f>(754.306+728.404+231.397)*2.4</f>
        <v>4113.8567999999996</v>
      </c>
      <c r="F49">
        <f t="shared" ref="F49:O49" si="23">F10*F23</f>
        <v>4380.1862508000004</v>
      </c>
      <c r="G49">
        <f t="shared" si="23"/>
        <v>4642.9974258480006</v>
      </c>
      <c r="H49">
        <f t="shared" si="23"/>
        <v>4921.5772713988808</v>
      </c>
      <c r="I49">
        <f t="shared" si="23"/>
        <v>5216.8719076828147</v>
      </c>
      <c r="J49">
        <f t="shared" si="23"/>
        <v>5529.8842221437835</v>
      </c>
      <c r="K49">
        <f t="shared" si="23"/>
        <v>5806.3784332509731</v>
      </c>
      <c r="L49">
        <f t="shared" si="23"/>
        <v>6096.6973549135218</v>
      </c>
      <c r="M49">
        <f t="shared" si="23"/>
        <v>6371.0487358846294</v>
      </c>
      <c r="N49">
        <f t="shared" si="23"/>
        <v>6625.8906853200151</v>
      </c>
      <c r="O49">
        <f t="shared" si="23"/>
        <v>6890.9263127328159</v>
      </c>
    </row>
    <row r="50" spans="1:15" ht="15" customHeight="1" x14ac:dyDescent="0.3">
      <c r="B50" s="16" t="s">
        <v>34</v>
      </c>
      <c r="D50" s="65">
        <v>14032.5672</v>
      </c>
      <c r="E50" s="65">
        <v>15423.8472</v>
      </c>
      <c r="F50">
        <f t="shared" ref="F50:O50" si="24">F36</f>
        <v>15126.170579375999</v>
      </c>
      <c r="G50">
        <f t="shared" si="24"/>
        <v>14891.358453387744</v>
      </c>
      <c r="H50">
        <f t="shared" si="24"/>
        <v>14717.854835649745</v>
      </c>
      <c r="I50">
        <f t="shared" si="24"/>
        <v>14604.362019093591</v>
      </c>
      <c r="J50">
        <f t="shared" si="24"/>
        <v>14549.832864585947</v>
      </c>
      <c r="K50">
        <f t="shared" si="24"/>
        <v>14544.370571213434</v>
      </c>
      <c r="L50">
        <f t="shared" si="24"/>
        <v>14587.010122988015</v>
      </c>
      <c r="M50">
        <f t="shared" si="24"/>
        <v>14671.951024771834</v>
      </c>
      <c r="N50">
        <f t="shared" si="24"/>
        <v>14793.193169833961</v>
      </c>
      <c r="O50">
        <f t="shared" si="24"/>
        <v>14950.016969829872</v>
      </c>
    </row>
    <row r="51" spans="1:15" ht="15" customHeight="1" x14ac:dyDescent="0.3">
      <c r="B51" s="16" t="s">
        <v>35</v>
      </c>
      <c r="D51">
        <f>SUM(D48:D50)</f>
        <v>19398.972000000002</v>
      </c>
      <c r="E51">
        <f>SUM(E48:E50)</f>
        <v>23026.3128</v>
      </c>
      <c r="F51">
        <f ca="1">SUM(F48:F50)</f>
        <v>22781.451669883842</v>
      </c>
      <c r="G51">
        <f t="shared" ref="G51:O51" ca="1" si="25">SUM(G48:G50)</f>
        <v>24356.827447443018</v>
      </c>
      <c r="H51">
        <f t="shared" ca="1" si="25"/>
        <v>25886.186762287169</v>
      </c>
      <c r="I51">
        <f t="shared" ca="1" si="25"/>
        <v>27498.309390976206</v>
      </c>
      <c r="J51">
        <f t="shared" ca="1" si="25"/>
        <v>28275.052625275446</v>
      </c>
      <c r="K51">
        <f t="shared" ca="1" si="25"/>
        <v>30087.005201569602</v>
      </c>
      <c r="L51">
        <f t="shared" ca="1" si="25"/>
        <v>31492.204231178781</v>
      </c>
      <c r="M51">
        <f t="shared" ca="1" si="25"/>
        <v>33693.632196346385</v>
      </c>
      <c r="N51">
        <f t="shared" ca="1" si="25"/>
        <v>35947.900524310375</v>
      </c>
      <c r="O51">
        <f t="shared" ca="1" si="25"/>
        <v>37264.688626751173</v>
      </c>
    </row>
    <row r="53" spans="1:15" ht="15" customHeight="1" x14ac:dyDescent="0.3">
      <c r="B53" s="16" t="s">
        <v>56</v>
      </c>
      <c r="D53" s="65">
        <v>107.8104</v>
      </c>
      <c r="E53" s="65">
        <v>363.12719999999996</v>
      </c>
      <c r="F53">
        <f t="shared" ref="F53:O53" ca="1" si="26">F95</f>
        <v>0</v>
      </c>
      <c r="G53">
        <f t="shared" ca="1" si="26"/>
        <v>0</v>
      </c>
      <c r="H53">
        <f t="shared" ca="1" si="26"/>
        <v>0</v>
      </c>
      <c r="I53">
        <f t="shared" ca="1" si="26"/>
        <v>0</v>
      </c>
      <c r="J53">
        <f t="shared" ca="1" si="26"/>
        <v>0</v>
      </c>
      <c r="K53">
        <f t="shared" ca="1" si="26"/>
        <v>0</v>
      </c>
      <c r="L53">
        <f t="shared" ca="1" si="26"/>
        <v>0</v>
      </c>
      <c r="M53">
        <f t="shared" ca="1" si="26"/>
        <v>0</v>
      </c>
      <c r="N53">
        <f t="shared" ca="1" si="26"/>
        <v>0</v>
      </c>
      <c r="O53">
        <f t="shared" ca="1" si="26"/>
        <v>0</v>
      </c>
    </row>
    <row r="54" spans="1:15" ht="15" customHeight="1" x14ac:dyDescent="0.3">
      <c r="B54" s="16" t="s">
        <v>107</v>
      </c>
      <c r="D54" s="65">
        <f>(681.151+9.477+123.688+523.05+76.399+268.078+97.544+74.151)*2.4</f>
        <v>4448.4911999999995</v>
      </c>
      <c r="E54" s="65">
        <f>(744.272+42.603+187.719+636.055+138.475+266.896+99.223+83.77)*2.4</f>
        <v>5277.6311999999998</v>
      </c>
      <c r="F54">
        <f t="shared" ref="F54:O54" si="27">F11*F23</f>
        <v>5645.5733899200004</v>
      </c>
      <c r="G54">
        <f t="shared" si="27"/>
        <v>5984.3077933151999</v>
      </c>
      <c r="H54">
        <f t="shared" si="27"/>
        <v>6343.3662609141129</v>
      </c>
      <c r="I54">
        <f t="shared" si="27"/>
        <v>6723.9682365689605</v>
      </c>
      <c r="J54">
        <f t="shared" si="27"/>
        <v>7127.4063307630977</v>
      </c>
      <c r="K54">
        <f t="shared" si="27"/>
        <v>7483.7766473012534</v>
      </c>
      <c r="L54">
        <f t="shared" si="27"/>
        <v>7857.9654796663162</v>
      </c>
      <c r="M54">
        <f t="shared" si="27"/>
        <v>8211.5739262512998</v>
      </c>
      <c r="N54">
        <f t="shared" si="27"/>
        <v>8540.0368833013526</v>
      </c>
      <c r="O54">
        <f t="shared" si="27"/>
        <v>8881.6383586334068</v>
      </c>
    </row>
    <row r="55" spans="1:15" ht="15" customHeight="1" x14ac:dyDescent="0.3">
      <c r="B55" s="16" t="s">
        <v>105</v>
      </c>
      <c r="D55" s="65">
        <f>(318.1+1716.41)*2.4</f>
        <v>4882.8240000000005</v>
      </c>
      <c r="E55" s="65">
        <f>(626.788+1688.415)*2.4</f>
        <v>5556.4871999999996</v>
      </c>
      <c r="F55">
        <f t="shared" ref="F55:O55" si="28">F101</f>
        <v>4114.3695999999991</v>
      </c>
      <c r="G55">
        <f t="shared" si="28"/>
        <v>4066.317199999999</v>
      </c>
      <c r="H55">
        <f t="shared" si="28"/>
        <v>3865.701399999999</v>
      </c>
      <c r="I55">
        <f t="shared" si="28"/>
        <v>3633.7597999999989</v>
      </c>
      <c r="J55">
        <f t="shared" si="28"/>
        <v>2438.2427245901636</v>
      </c>
      <c r="K55">
        <f t="shared" si="28"/>
        <v>2230.3267114754094</v>
      </c>
      <c r="L55">
        <f t="shared" si="28"/>
        <v>1502.6206655737701</v>
      </c>
      <c r="M55">
        <f t="shared" si="28"/>
        <v>1502.6206655737701</v>
      </c>
      <c r="N55">
        <f t="shared" si="28"/>
        <v>1502.6206655737701</v>
      </c>
      <c r="O55">
        <f t="shared" si="28"/>
        <v>463.04059999999936</v>
      </c>
    </row>
    <row r="56" spans="1:15" ht="15" customHeight="1" x14ac:dyDescent="0.3">
      <c r="B56" s="16" t="s">
        <v>36</v>
      </c>
      <c r="D56">
        <f>SUM(D53:D55)</f>
        <v>9439.1255999999994</v>
      </c>
      <c r="E56">
        <f>SUM(E53:E55)</f>
        <v>11197.245599999998</v>
      </c>
      <c r="F56">
        <f ca="1">SUM(F53:F55)</f>
        <v>9759.9429899200004</v>
      </c>
      <c r="G56">
        <f t="shared" ref="G56:O56" ca="1" si="29">SUM(G53:G55)</f>
        <v>10050.624993315199</v>
      </c>
      <c r="H56">
        <f t="shared" ca="1" si="29"/>
        <v>10209.067660914112</v>
      </c>
      <c r="I56">
        <f t="shared" ca="1" si="29"/>
        <v>10357.728036568958</v>
      </c>
      <c r="J56">
        <f t="shared" ca="1" si="29"/>
        <v>9565.6490553532603</v>
      </c>
      <c r="K56">
        <f t="shared" ca="1" si="29"/>
        <v>9714.1033587766633</v>
      </c>
      <c r="L56">
        <f t="shared" ca="1" si="29"/>
        <v>9360.5861452400859</v>
      </c>
      <c r="M56">
        <f t="shared" ca="1" si="29"/>
        <v>9714.1945918250694</v>
      </c>
      <c r="N56">
        <f t="shared" ca="1" si="29"/>
        <v>10042.657548875122</v>
      </c>
      <c r="O56">
        <f t="shared" ca="1" si="29"/>
        <v>9344.6789586334053</v>
      </c>
    </row>
    <row r="58" spans="1:15" ht="15" customHeight="1" x14ac:dyDescent="0.3">
      <c r="B58" s="16" t="s">
        <v>37</v>
      </c>
      <c r="D58" s="65">
        <v>9959.8463999999985</v>
      </c>
      <c r="E58" s="65">
        <v>11829.0672</v>
      </c>
      <c r="F58">
        <f t="shared" ref="F58:O58" ca="1" si="30">F41</f>
        <v>13021.508679963843</v>
      </c>
      <c r="G58">
        <f t="shared" ca="1" si="30"/>
        <v>14306.202454127822</v>
      </c>
      <c r="H58">
        <f t="shared" ca="1" si="30"/>
        <v>15677.11910137306</v>
      </c>
      <c r="I58">
        <f t="shared" ca="1" si="30"/>
        <v>17140.581354407252</v>
      </c>
      <c r="J58">
        <f t="shared" ca="1" si="30"/>
        <v>18709.403569922189</v>
      </c>
      <c r="K58">
        <f t="shared" ca="1" si="30"/>
        <v>20372.901842792948</v>
      </c>
      <c r="L58">
        <f t="shared" ca="1" si="30"/>
        <v>22131.618085938702</v>
      </c>
      <c r="M58">
        <f t="shared" ca="1" si="30"/>
        <v>23979.437604521318</v>
      </c>
      <c r="N58">
        <f t="shared" ca="1" si="30"/>
        <v>25905.242975435263</v>
      </c>
      <c r="O58">
        <f t="shared" ca="1" si="30"/>
        <v>27920.009668117778</v>
      </c>
    </row>
    <row r="59" spans="1:15" ht="15" customHeight="1" x14ac:dyDescent="0.3">
      <c r="B59" s="16" t="s">
        <v>38</v>
      </c>
      <c r="D59">
        <f>D56+D58</f>
        <v>19398.971999999998</v>
      </c>
      <c r="E59">
        <f>E56+E58</f>
        <v>23026.3128</v>
      </c>
      <c r="F59">
        <f ca="1">F56+F58</f>
        <v>22781.451669883842</v>
      </c>
      <c r="G59">
        <f t="shared" ref="G59:O59" ca="1" si="31">G56+G58</f>
        <v>24356.827447443022</v>
      </c>
      <c r="H59">
        <f t="shared" ca="1" si="31"/>
        <v>25886.186762287172</v>
      </c>
      <c r="I59">
        <f t="shared" ca="1" si="31"/>
        <v>27498.30939097621</v>
      </c>
      <c r="J59">
        <f t="shared" ca="1" si="31"/>
        <v>28275.05262527545</v>
      </c>
      <c r="K59">
        <f t="shared" ca="1" si="31"/>
        <v>30087.005201569613</v>
      </c>
      <c r="L59">
        <f t="shared" ca="1" si="31"/>
        <v>31492.204231178788</v>
      </c>
      <c r="M59">
        <f t="shared" ca="1" si="31"/>
        <v>33693.632196346385</v>
      </c>
      <c r="N59">
        <f t="shared" ca="1" si="31"/>
        <v>35947.900524310389</v>
      </c>
      <c r="O59">
        <f t="shared" ca="1" si="31"/>
        <v>37264.688626751187</v>
      </c>
    </row>
    <row r="61" spans="1:15" ht="15" customHeight="1" x14ac:dyDescent="0.3">
      <c r="B61" s="16" t="s">
        <v>39</v>
      </c>
      <c r="D61">
        <f>D51-D59</f>
        <v>0</v>
      </c>
      <c r="E61">
        <f t="shared" ref="E61:O61" si="32">E51-E59</f>
        <v>0</v>
      </c>
      <c r="F61">
        <f t="shared" ca="1" si="32"/>
        <v>0</v>
      </c>
      <c r="G61">
        <f t="shared" ca="1" si="32"/>
        <v>0</v>
      </c>
      <c r="H61">
        <f t="shared" ca="1" si="32"/>
        <v>0</v>
      </c>
      <c r="I61">
        <f t="shared" ca="1" si="32"/>
        <v>0</v>
      </c>
      <c r="J61">
        <f t="shared" ca="1" si="32"/>
        <v>0</v>
      </c>
      <c r="K61">
        <f t="shared" ca="1" si="32"/>
        <v>0</v>
      </c>
      <c r="L61">
        <f t="shared" ca="1" si="32"/>
        <v>0</v>
      </c>
      <c r="M61">
        <f t="shared" ca="1" si="32"/>
        <v>0</v>
      </c>
      <c r="N61">
        <f t="shared" ca="1" si="32"/>
        <v>0</v>
      </c>
      <c r="O61">
        <f t="shared" ca="1" si="32"/>
        <v>0</v>
      </c>
    </row>
    <row r="62" spans="1:15" ht="15" customHeight="1" x14ac:dyDescent="0.3">
      <c r="A62" s="64"/>
    </row>
    <row r="63" spans="1:15" ht="15" customHeight="1" x14ac:dyDescent="0.3">
      <c r="A63" s="15" t="s">
        <v>58</v>
      </c>
    </row>
    <row r="64" spans="1:15" ht="15" customHeight="1" x14ac:dyDescent="0.3">
      <c r="B64" s="16" t="s">
        <v>31</v>
      </c>
      <c r="F64">
        <f t="shared" ref="F64:O64" ca="1" si="33">F39</f>
        <v>1753.5904117115324</v>
      </c>
      <c r="G64">
        <f t="shared" ca="1" si="33"/>
        <v>1889.2555502411451</v>
      </c>
      <c r="H64">
        <f t="shared" ca="1" si="33"/>
        <v>2016.0538930077025</v>
      </c>
      <c r="I64">
        <f t="shared" ca="1" si="33"/>
        <v>2152.150372109103</v>
      </c>
      <c r="J64">
        <f t="shared" ca="1" si="33"/>
        <v>2307.0914934043203</v>
      </c>
      <c r="K64">
        <f t="shared" ca="1" si="33"/>
        <v>2446.320989515817</v>
      </c>
      <c r="L64">
        <f t="shared" ca="1" si="33"/>
        <v>2586.3474163908195</v>
      </c>
      <c r="M64">
        <f t="shared" ca="1" si="33"/>
        <v>2717.3816449744345</v>
      </c>
      <c r="N64">
        <f t="shared" ca="1" si="33"/>
        <v>2832.0667219322713</v>
      </c>
      <c r="O64">
        <f t="shared" ca="1" si="33"/>
        <v>2962.8921951213442</v>
      </c>
    </row>
    <row r="65" spans="2:15" ht="15" customHeight="1" x14ac:dyDescent="0.3">
      <c r="B65" s="16" t="s">
        <v>69</v>
      </c>
      <c r="F65">
        <f>F35*-1</f>
        <v>1017.9739152000001</v>
      </c>
      <c r="G65">
        <f t="shared" ref="G65:O65" si="34">G35*-1</f>
        <v>998.32725823881606</v>
      </c>
      <c r="H65">
        <f t="shared" si="34"/>
        <v>982.82965792359118</v>
      </c>
      <c r="I65">
        <f t="shared" si="34"/>
        <v>971.37841915288323</v>
      </c>
      <c r="J65">
        <f t="shared" si="34"/>
        <v>963.88789326017707</v>
      </c>
      <c r="K65">
        <f t="shared" si="34"/>
        <v>960.28896906267255</v>
      </c>
      <c r="L65">
        <f t="shared" si="34"/>
        <v>959.92845770008671</v>
      </c>
      <c r="M65">
        <f t="shared" si="34"/>
        <v>962.74266811720906</v>
      </c>
      <c r="N65">
        <f t="shared" si="34"/>
        <v>968.34876763494105</v>
      </c>
      <c r="O65">
        <f t="shared" si="34"/>
        <v>976.35074920904151</v>
      </c>
    </row>
    <row r="66" spans="2:15" ht="15" customHeight="1" x14ac:dyDescent="0.3">
      <c r="B66" s="16" t="s">
        <v>83</v>
      </c>
      <c r="F66">
        <f t="shared" ref="F66:O66" si="35">E45-F45</f>
        <v>101.61273911999979</v>
      </c>
      <c r="G66">
        <f t="shared" si="35"/>
        <v>75.923228347199256</v>
      </c>
      <c r="H66">
        <f t="shared" si="35"/>
        <v>80.478622048032776</v>
      </c>
      <c r="I66">
        <f t="shared" si="35"/>
        <v>85.307339370913724</v>
      </c>
      <c r="J66">
        <f t="shared" si="35"/>
        <v>90.425779733168383</v>
      </c>
      <c r="K66">
        <f t="shared" si="35"/>
        <v>79.876105430966163</v>
      </c>
      <c r="L66">
        <f t="shared" si="35"/>
        <v>83.869910702514062</v>
      </c>
      <c r="M66">
        <f t="shared" si="35"/>
        <v>79.257065613875966</v>
      </c>
      <c r="N66">
        <f t="shared" si="35"/>
        <v>73.621007614667178</v>
      </c>
      <c r="O66">
        <f t="shared" si="35"/>
        <v>76.565847919253429</v>
      </c>
    </row>
    <row r="67" spans="2:15" ht="15" customHeight="1" x14ac:dyDescent="0.3">
      <c r="B67" s="16" t="s">
        <v>40</v>
      </c>
      <c r="F67">
        <f t="shared" ref="F67:O67" ca="1" si="36">SUM(F64:F66)</f>
        <v>2873.1770660315324</v>
      </c>
      <c r="G67">
        <f t="shared" ca="1" si="36"/>
        <v>2963.5060368271606</v>
      </c>
      <c r="H67">
        <f t="shared" ca="1" si="36"/>
        <v>3079.3621729793267</v>
      </c>
      <c r="I67">
        <f t="shared" ca="1" si="36"/>
        <v>3208.8361306328998</v>
      </c>
      <c r="J67">
        <f t="shared" ca="1" si="36"/>
        <v>3361.4051663976657</v>
      </c>
      <c r="K67">
        <f t="shared" ca="1" si="36"/>
        <v>3486.4860640094557</v>
      </c>
      <c r="L67">
        <f t="shared" ca="1" si="36"/>
        <v>3630.1457847934203</v>
      </c>
      <c r="M67">
        <f t="shared" ca="1" si="36"/>
        <v>3759.3813787055196</v>
      </c>
      <c r="N67">
        <f t="shared" ca="1" si="36"/>
        <v>3874.0364971818794</v>
      </c>
      <c r="O67">
        <f t="shared" ca="1" si="36"/>
        <v>4015.8087922496393</v>
      </c>
    </row>
    <row r="69" spans="2:15" ht="15" customHeight="1" x14ac:dyDescent="0.3">
      <c r="B69" s="16" t="s">
        <v>67</v>
      </c>
      <c r="F69">
        <f t="shared" ref="F69:O69" si="37">F34*-1</f>
        <v>-720.29729457600001</v>
      </c>
      <c r="G69">
        <f t="shared" si="37"/>
        <v>-763.51513225055999</v>
      </c>
      <c r="H69">
        <f t="shared" si="37"/>
        <v>-809.32604018559368</v>
      </c>
      <c r="I69">
        <f t="shared" si="37"/>
        <v>-857.88560259672943</v>
      </c>
      <c r="J69">
        <f t="shared" si="37"/>
        <v>-909.35873875253321</v>
      </c>
      <c r="K69">
        <f t="shared" si="37"/>
        <v>-954.82667569015996</v>
      </c>
      <c r="L69">
        <f t="shared" si="37"/>
        <v>-1002.568009474668</v>
      </c>
      <c r="M69">
        <f t="shared" si="37"/>
        <v>-1047.6835699010278</v>
      </c>
      <c r="N69">
        <f t="shared" si="37"/>
        <v>-1089.5909126970691</v>
      </c>
      <c r="O69">
        <f t="shared" si="37"/>
        <v>-1133.174549204952</v>
      </c>
    </row>
    <row r="70" spans="2:15" ht="15" customHeight="1" x14ac:dyDescent="0.3">
      <c r="B70" s="16" t="s">
        <v>41</v>
      </c>
      <c r="F70">
        <f t="shared" ref="F70:O70" si="38">SUM(F69)</f>
        <v>-720.29729457600001</v>
      </c>
      <c r="G70">
        <f t="shared" si="38"/>
        <v>-763.51513225055999</v>
      </c>
      <c r="H70">
        <f t="shared" si="38"/>
        <v>-809.32604018559368</v>
      </c>
      <c r="I70">
        <f t="shared" si="38"/>
        <v>-857.88560259672943</v>
      </c>
      <c r="J70">
        <f t="shared" si="38"/>
        <v>-909.35873875253321</v>
      </c>
      <c r="K70">
        <f t="shared" si="38"/>
        <v>-954.82667569015996</v>
      </c>
      <c r="L70">
        <f t="shared" si="38"/>
        <v>-1002.568009474668</v>
      </c>
      <c r="M70">
        <f t="shared" si="38"/>
        <v>-1047.6835699010278</v>
      </c>
      <c r="N70">
        <f t="shared" si="38"/>
        <v>-1089.5909126970691</v>
      </c>
      <c r="O70">
        <f t="shared" si="38"/>
        <v>-1133.174549204952</v>
      </c>
    </row>
    <row r="72" spans="2:15" ht="15" customHeight="1" x14ac:dyDescent="0.3">
      <c r="B72" s="16" t="s">
        <v>100</v>
      </c>
      <c r="F72">
        <f ca="1">F40</f>
        <v>-561.14893174769043</v>
      </c>
      <c r="G72">
        <f t="shared" ref="G72:O72" ca="1" si="39">G40</f>
        <v>-604.56177607716643</v>
      </c>
      <c r="H72">
        <f t="shared" ca="1" si="39"/>
        <v>-645.13724576246477</v>
      </c>
      <c r="I72">
        <f t="shared" ca="1" si="39"/>
        <v>-688.68811907491295</v>
      </c>
      <c r="J72">
        <f t="shared" ca="1" si="39"/>
        <v>-738.26927788938247</v>
      </c>
      <c r="K72">
        <f t="shared" ca="1" si="39"/>
        <v>-782.82271664506152</v>
      </c>
      <c r="L72">
        <f t="shared" ca="1" si="39"/>
        <v>-827.6311732450622</v>
      </c>
      <c r="M72">
        <f t="shared" ca="1" si="39"/>
        <v>-869.56212639181911</v>
      </c>
      <c r="N72">
        <f t="shared" ca="1" si="39"/>
        <v>-906.26135101832688</v>
      </c>
      <c r="O72">
        <f t="shared" ca="1" si="39"/>
        <v>-948.12550243883015</v>
      </c>
    </row>
    <row r="73" spans="2:15" ht="15" customHeight="1" x14ac:dyDescent="0.3">
      <c r="B73" s="16" t="str">
        <f>B94</f>
        <v>Revolver issuance (repayment)</v>
      </c>
      <c r="F73">
        <f t="shared" ref="F73:O73" ca="1" si="40">F53-E53</f>
        <v>-363.12719999999996</v>
      </c>
      <c r="G73">
        <f t="shared" ca="1" si="40"/>
        <v>0</v>
      </c>
      <c r="H73">
        <f t="shared" ca="1" si="40"/>
        <v>0</v>
      </c>
      <c r="I73">
        <f t="shared" ca="1" si="40"/>
        <v>0</v>
      </c>
      <c r="J73">
        <f t="shared" ca="1" si="40"/>
        <v>0</v>
      </c>
      <c r="K73">
        <f t="shared" ca="1" si="40"/>
        <v>0</v>
      </c>
      <c r="L73">
        <f t="shared" ca="1" si="40"/>
        <v>0</v>
      </c>
      <c r="M73">
        <f t="shared" ca="1" si="40"/>
        <v>0</v>
      </c>
      <c r="N73">
        <f t="shared" ca="1" si="40"/>
        <v>0</v>
      </c>
      <c r="O73">
        <f t="shared" ca="1" si="40"/>
        <v>0</v>
      </c>
    </row>
    <row r="74" spans="2:15" ht="15" customHeight="1" x14ac:dyDescent="0.3">
      <c r="B74" s="16" t="str">
        <f>B100</f>
        <v>Long term debt issuance / (repayment)</v>
      </c>
      <c r="F74">
        <f t="shared" ref="F74:O74" si="41">F55-E55</f>
        <v>-1442.1176000000005</v>
      </c>
      <c r="G74">
        <f t="shared" si="41"/>
        <v>-48.052400000000034</v>
      </c>
      <c r="H74">
        <f t="shared" si="41"/>
        <v>-200.61580000000004</v>
      </c>
      <c r="I74">
        <f t="shared" si="41"/>
        <v>-231.94160000000011</v>
      </c>
      <c r="J74">
        <f t="shared" si="41"/>
        <v>-1195.5170754098353</v>
      </c>
      <c r="K74">
        <f t="shared" si="41"/>
        <v>-207.91601311475415</v>
      </c>
      <c r="L74">
        <f t="shared" si="41"/>
        <v>-727.7060459016393</v>
      </c>
      <c r="M74">
        <f t="shared" si="41"/>
        <v>0</v>
      </c>
      <c r="N74">
        <f t="shared" si="41"/>
        <v>0</v>
      </c>
      <c r="O74">
        <f t="shared" si="41"/>
        <v>-1039.5800655737708</v>
      </c>
    </row>
    <row r="75" spans="2:15" ht="15" customHeight="1" x14ac:dyDescent="0.3">
      <c r="B75" s="16" t="s">
        <v>101</v>
      </c>
      <c r="F75">
        <f ca="1">SUM(F72:F74)</f>
        <v>-2366.3937317476912</v>
      </c>
      <c r="G75">
        <f t="shared" ref="G75:O75" ca="1" si="42">SUM(G72:G74)</f>
        <v>-652.61417607716646</v>
      </c>
      <c r="H75">
        <f t="shared" ca="1" si="42"/>
        <v>-845.75304576246481</v>
      </c>
      <c r="I75">
        <f t="shared" ca="1" si="42"/>
        <v>-920.62971907491306</v>
      </c>
      <c r="J75">
        <f t="shared" ca="1" si="42"/>
        <v>-1933.7863532992178</v>
      </c>
      <c r="K75">
        <f t="shared" ca="1" si="42"/>
        <v>-990.73872975981567</v>
      </c>
      <c r="L75">
        <f t="shared" ca="1" si="42"/>
        <v>-1555.3372191467015</v>
      </c>
      <c r="M75">
        <f t="shared" ca="1" si="42"/>
        <v>-869.56212639181911</v>
      </c>
      <c r="N75">
        <f t="shared" ca="1" si="42"/>
        <v>-906.26135101832688</v>
      </c>
      <c r="O75">
        <f t="shared" ca="1" si="42"/>
        <v>-1987.7055680126009</v>
      </c>
    </row>
    <row r="77" spans="2:15" ht="15" customHeight="1" x14ac:dyDescent="0.3">
      <c r="B77" s="16" t="s">
        <v>42</v>
      </c>
      <c r="F77">
        <f ca="1">F67+F70+F75</f>
        <v>-213.51396029215903</v>
      </c>
      <c r="G77">
        <f t="shared" ref="G77:O77" ca="1" si="43">G67+G70+G75</f>
        <v>1547.3767284994342</v>
      </c>
      <c r="H77">
        <f t="shared" ca="1" si="43"/>
        <v>1424.2830870312682</v>
      </c>
      <c r="I77">
        <f t="shared" ca="1" si="43"/>
        <v>1430.3208089612574</v>
      </c>
      <c r="J77">
        <f t="shared" ca="1" si="43"/>
        <v>518.26007434591475</v>
      </c>
      <c r="K77">
        <f t="shared" ca="1" si="43"/>
        <v>1540.9206585594802</v>
      </c>
      <c r="L77">
        <f t="shared" ca="1" si="43"/>
        <v>1072.2405561720507</v>
      </c>
      <c r="M77">
        <f t="shared" ca="1" si="43"/>
        <v>1842.1356824126724</v>
      </c>
      <c r="N77">
        <f t="shared" ca="1" si="43"/>
        <v>1878.1842334664834</v>
      </c>
      <c r="O77">
        <f t="shared" ca="1" si="43"/>
        <v>894.92867503208663</v>
      </c>
    </row>
    <row r="79" spans="2:15" ht="15" customHeight="1" x14ac:dyDescent="0.3">
      <c r="B79" s="16" t="s">
        <v>43</v>
      </c>
      <c r="F79">
        <f>E80</f>
        <v>3488.6088</v>
      </c>
      <c r="G79">
        <f t="shared" ref="G79:O79" ca="1" si="44">F80</f>
        <v>3275.0948397078409</v>
      </c>
      <c r="H79">
        <f t="shared" ca="1" si="44"/>
        <v>4822.4715682072747</v>
      </c>
      <c r="I79">
        <f t="shared" ca="1" si="44"/>
        <v>6246.7546552385429</v>
      </c>
      <c r="J79">
        <f t="shared" ca="1" si="44"/>
        <v>7677.0754641998001</v>
      </c>
      <c r="K79">
        <f t="shared" ca="1" si="44"/>
        <v>8195.3355385457144</v>
      </c>
      <c r="L79">
        <f t="shared" ca="1" si="44"/>
        <v>9736.2561971051946</v>
      </c>
      <c r="M79">
        <f t="shared" ca="1" si="44"/>
        <v>10808.496753277246</v>
      </c>
      <c r="N79">
        <f t="shared" ca="1" si="44"/>
        <v>12650.632435689919</v>
      </c>
      <c r="O79">
        <f t="shared" ca="1" si="44"/>
        <v>14528.816669156402</v>
      </c>
    </row>
    <row r="80" spans="2:15" ht="15" customHeight="1" x14ac:dyDescent="0.3">
      <c r="B80" s="16" t="s">
        <v>44</v>
      </c>
      <c r="E80">
        <f>E48</f>
        <v>3488.6088</v>
      </c>
      <c r="F80">
        <f ca="1">F77+F79</f>
        <v>3275.0948397078409</v>
      </c>
      <c r="G80">
        <f t="shared" ref="G80:O80" ca="1" si="45">G77+G79</f>
        <v>4822.4715682072747</v>
      </c>
      <c r="H80">
        <f t="shared" ca="1" si="45"/>
        <v>6246.7546552385429</v>
      </c>
      <c r="I80">
        <f t="shared" ca="1" si="45"/>
        <v>7677.0754641998001</v>
      </c>
      <c r="J80">
        <f t="shared" ca="1" si="45"/>
        <v>8195.3355385457144</v>
      </c>
      <c r="K80">
        <f t="shared" ca="1" si="45"/>
        <v>9736.2561971051946</v>
      </c>
      <c r="L80">
        <f t="shared" ca="1" si="45"/>
        <v>10808.496753277246</v>
      </c>
      <c r="M80">
        <f t="shared" ca="1" si="45"/>
        <v>12650.632435689919</v>
      </c>
      <c r="N80">
        <f t="shared" ca="1" si="45"/>
        <v>14528.816669156402</v>
      </c>
      <c r="O80">
        <f t="shared" ca="1" si="45"/>
        <v>15423.745344188488</v>
      </c>
    </row>
    <row r="81" spans="1:15" ht="15" customHeight="1" x14ac:dyDescent="0.3">
      <c r="A81" s="64"/>
    </row>
    <row r="82" spans="1:15" ht="15" customHeight="1" x14ac:dyDescent="0.3">
      <c r="A82" s="15" t="s">
        <v>59</v>
      </c>
    </row>
    <row r="83" spans="1:15" ht="15" customHeight="1" x14ac:dyDescent="0.3">
      <c r="B83" s="16" t="str">
        <f>B67</f>
        <v>Operating cash flow</v>
      </c>
      <c r="F83">
        <f t="shared" ref="F83:O83" ca="1" si="46">F67</f>
        <v>2873.1770660315324</v>
      </c>
      <c r="G83">
        <f t="shared" ca="1" si="46"/>
        <v>2963.5060368271606</v>
      </c>
      <c r="H83">
        <f t="shared" ca="1" si="46"/>
        <v>3079.3621729793267</v>
      </c>
      <c r="I83">
        <f t="shared" ca="1" si="46"/>
        <v>3208.8361306328998</v>
      </c>
      <c r="J83">
        <f t="shared" ca="1" si="46"/>
        <v>3361.4051663976657</v>
      </c>
      <c r="K83">
        <f t="shared" ca="1" si="46"/>
        <v>3486.4860640094557</v>
      </c>
      <c r="L83">
        <f t="shared" ca="1" si="46"/>
        <v>3630.1457847934203</v>
      </c>
      <c r="M83">
        <f t="shared" ca="1" si="46"/>
        <v>3759.3813787055196</v>
      </c>
      <c r="N83">
        <f t="shared" ca="1" si="46"/>
        <v>3874.0364971818794</v>
      </c>
      <c r="O83">
        <f t="shared" ca="1" si="46"/>
        <v>4015.8087922496393</v>
      </c>
    </row>
    <row r="84" spans="1:15" ht="15" customHeight="1" x14ac:dyDescent="0.3">
      <c r="B84" s="16" t="str">
        <f>B70</f>
        <v>Investing cash flow</v>
      </c>
      <c r="F84">
        <f t="shared" ref="F84:O84" si="47">F70</f>
        <v>-720.29729457600001</v>
      </c>
      <c r="G84">
        <f t="shared" si="47"/>
        <v>-763.51513225055999</v>
      </c>
      <c r="H84">
        <f t="shared" si="47"/>
        <v>-809.32604018559368</v>
      </c>
      <c r="I84">
        <f t="shared" si="47"/>
        <v>-857.88560259672943</v>
      </c>
      <c r="J84">
        <f t="shared" si="47"/>
        <v>-909.35873875253321</v>
      </c>
      <c r="K84">
        <f t="shared" si="47"/>
        <v>-954.82667569015996</v>
      </c>
      <c r="L84">
        <f t="shared" si="47"/>
        <v>-1002.568009474668</v>
      </c>
      <c r="M84">
        <f t="shared" si="47"/>
        <v>-1047.6835699010278</v>
      </c>
      <c r="N84">
        <f t="shared" si="47"/>
        <v>-1089.5909126970691</v>
      </c>
      <c r="O84">
        <f t="shared" si="47"/>
        <v>-1133.174549204952</v>
      </c>
    </row>
    <row r="85" spans="1:15" ht="15" customHeight="1" x14ac:dyDescent="0.3">
      <c r="B85" s="16" t="s">
        <v>72</v>
      </c>
      <c r="F85">
        <f ca="1">F40</f>
        <v>-561.14893174769043</v>
      </c>
      <c r="G85">
        <f t="shared" ref="G85:O85" ca="1" si="48">G40</f>
        <v>-604.56177607716643</v>
      </c>
      <c r="H85">
        <f t="shared" ca="1" si="48"/>
        <v>-645.13724576246477</v>
      </c>
      <c r="I85">
        <f t="shared" ca="1" si="48"/>
        <v>-688.68811907491295</v>
      </c>
      <c r="J85">
        <f t="shared" ca="1" si="48"/>
        <v>-738.26927788938247</v>
      </c>
      <c r="K85">
        <f t="shared" ca="1" si="48"/>
        <v>-782.82271664506152</v>
      </c>
      <c r="L85">
        <f t="shared" ca="1" si="48"/>
        <v>-827.6311732450622</v>
      </c>
      <c r="M85">
        <f t="shared" ca="1" si="48"/>
        <v>-869.56212639181911</v>
      </c>
      <c r="N85">
        <f t="shared" ca="1" si="48"/>
        <v>-906.26135101832688</v>
      </c>
      <c r="O85">
        <f t="shared" ca="1" si="48"/>
        <v>-948.12550243883015</v>
      </c>
    </row>
    <row r="86" spans="1:15" ht="15" customHeight="1" x14ac:dyDescent="0.3">
      <c r="B86" s="16" t="s">
        <v>82</v>
      </c>
      <c r="F86">
        <f t="shared" ref="F86:O86" ca="1" si="49">SUM(F83:F85)</f>
        <v>1591.7308397078418</v>
      </c>
      <c r="G86">
        <f t="shared" ca="1" si="49"/>
        <v>1595.4291284994342</v>
      </c>
      <c r="H86">
        <f t="shared" ca="1" si="49"/>
        <v>1624.8988870312683</v>
      </c>
      <c r="I86">
        <f t="shared" ca="1" si="49"/>
        <v>1662.2624089612575</v>
      </c>
      <c r="J86">
        <f t="shared" ca="1" si="49"/>
        <v>1713.7771497557501</v>
      </c>
      <c r="K86">
        <f t="shared" ca="1" si="49"/>
        <v>1748.8366716742344</v>
      </c>
      <c r="L86">
        <f t="shared" ca="1" si="49"/>
        <v>1799.94660207369</v>
      </c>
      <c r="M86">
        <f t="shared" ca="1" si="49"/>
        <v>1842.1356824126724</v>
      </c>
      <c r="N86">
        <f t="shared" ca="1" si="49"/>
        <v>1878.1842334664834</v>
      </c>
      <c r="O86">
        <f t="shared" ca="1" si="49"/>
        <v>1934.5087406058574</v>
      </c>
    </row>
    <row r="87" spans="1:15" ht="15" customHeight="1" x14ac:dyDescent="0.3">
      <c r="B87" s="16" t="s">
        <v>43</v>
      </c>
      <c r="F87">
        <f t="shared" ref="F87:O87" si="50">E48</f>
        <v>3488.6088</v>
      </c>
      <c r="G87">
        <f t="shared" ca="1" si="50"/>
        <v>3275.0948397078409</v>
      </c>
      <c r="H87">
        <f t="shared" ca="1" si="50"/>
        <v>4822.4715682072747</v>
      </c>
      <c r="I87">
        <f t="shared" ca="1" si="50"/>
        <v>6246.7546552385429</v>
      </c>
      <c r="J87">
        <f t="shared" ca="1" si="50"/>
        <v>7677.0754641998001</v>
      </c>
      <c r="K87">
        <f t="shared" ca="1" si="50"/>
        <v>8195.3355385457144</v>
      </c>
      <c r="L87">
        <f t="shared" ca="1" si="50"/>
        <v>9736.2561971051946</v>
      </c>
      <c r="M87">
        <f t="shared" ca="1" si="50"/>
        <v>10808.496753277246</v>
      </c>
      <c r="N87">
        <f t="shared" ca="1" si="50"/>
        <v>12650.632435689919</v>
      </c>
      <c r="O87">
        <f t="shared" ca="1" si="50"/>
        <v>14528.816669156402</v>
      </c>
    </row>
    <row r="88" spans="1:15" ht="15" customHeight="1" x14ac:dyDescent="0.3">
      <c r="B88" s="16" t="s">
        <v>81</v>
      </c>
      <c r="F88">
        <f ca="1">SUM(F86:F87)</f>
        <v>5080.3396397078413</v>
      </c>
      <c r="G88">
        <f t="shared" ref="G88:O88" ca="1" si="51">SUM(G86:G87)</f>
        <v>4870.5239682072752</v>
      </c>
      <c r="H88">
        <f t="shared" ca="1" si="51"/>
        <v>6447.3704552385425</v>
      </c>
      <c r="I88">
        <f t="shared" ca="1" si="51"/>
        <v>7909.0170641998002</v>
      </c>
      <c r="J88">
        <f t="shared" ca="1" si="51"/>
        <v>9390.8526139555506</v>
      </c>
      <c r="K88">
        <f t="shared" ca="1" si="51"/>
        <v>9944.1722102199492</v>
      </c>
      <c r="L88">
        <f t="shared" ca="1" si="51"/>
        <v>11536.202799178885</v>
      </c>
      <c r="M88">
        <f t="shared" ca="1" si="51"/>
        <v>12650.632435689919</v>
      </c>
      <c r="N88">
        <f t="shared" ca="1" si="51"/>
        <v>14528.816669156402</v>
      </c>
      <c r="O88">
        <f t="shared" ca="1" si="51"/>
        <v>16463.325409762259</v>
      </c>
    </row>
    <row r="90" spans="1:15" ht="15" customHeight="1" x14ac:dyDescent="0.3">
      <c r="B90" s="16" t="str">
        <f>B17</f>
        <v>Long term debt issuance / (repayment)</v>
      </c>
      <c r="F90">
        <f t="shared" ref="F90:O90" si="52">F17</f>
        <v>-1442.1176000000003</v>
      </c>
      <c r="G90">
        <f t="shared" si="52"/>
        <v>-48.052399999999999</v>
      </c>
      <c r="H90">
        <f t="shared" si="52"/>
        <v>-200.61580000000001</v>
      </c>
      <c r="I90">
        <f t="shared" si="52"/>
        <v>-231.94160000000002</v>
      </c>
      <c r="J90">
        <f t="shared" si="52"/>
        <v>-1195.5170754098353</v>
      </c>
      <c r="K90">
        <f t="shared" si="52"/>
        <v>-207.91601311475412</v>
      </c>
      <c r="L90">
        <f t="shared" si="52"/>
        <v>-727.7060459016393</v>
      </c>
      <c r="M90">
        <f t="shared" si="52"/>
        <v>0</v>
      </c>
      <c r="N90">
        <f t="shared" si="52"/>
        <v>0</v>
      </c>
      <c r="O90">
        <f t="shared" si="52"/>
        <v>-1039.5800655737708</v>
      </c>
    </row>
    <row r="91" spans="1:15" ht="15" customHeight="1" x14ac:dyDescent="0.3">
      <c r="B91" s="16" t="s">
        <v>84</v>
      </c>
      <c r="F91">
        <f ca="1">SUM(F88,F90)</f>
        <v>3638.2220397078408</v>
      </c>
      <c r="G91">
        <f t="shared" ref="G91:O91" ca="1" si="53">SUM(G88,G90)</f>
        <v>4822.4715682072756</v>
      </c>
      <c r="H91">
        <f t="shared" ca="1" si="53"/>
        <v>6246.7546552385429</v>
      </c>
      <c r="I91">
        <f t="shared" ca="1" si="53"/>
        <v>7677.0754641998001</v>
      </c>
      <c r="J91">
        <f t="shared" ca="1" si="53"/>
        <v>8195.3355385457144</v>
      </c>
      <c r="K91">
        <f t="shared" ca="1" si="53"/>
        <v>9736.2561971051946</v>
      </c>
      <c r="L91">
        <f t="shared" ca="1" si="53"/>
        <v>10808.496753277246</v>
      </c>
      <c r="M91">
        <f t="shared" ca="1" si="53"/>
        <v>12650.632435689919</v>
      </c>
      <c r="N91">
        <f t="shared" ca="1" si="53"/>
        <v>14528.816669156402</v>
      </c>
      <c r="O91">
        <f t="shared" ca="1" si="53"/>
        <v>15423.745344188488</v>
      </c>
    </row>
    <row r="93" spans="1:15" ht="15" customHeight="1" x14ac:dyDescent="0.3">
      <c r="B93" s="16" t="s">
        <v>85</v>
      </c>
      <c r="F93">
        <f>E95</f>
        <v>363.12719999999996</v>
      </c>
      <c r="G93">
        <f t="shared" ref="G93:O93" ca="1" si="54">F95</f>
        <v>0</v>
      </c>
      <c r="H93">
        <f t="shared" ca="1" si="54"/>
        <v>0</v>
      </c>
      <c r="I93">
        <f t="shared" ca="1" si="54"/>
        <v>0</v>
      </c>
      <c r="J93">
        <f t="shared" ca="1" si="54"/>
        <v>0</v>
      </c>
      <c r="K93">
        <f t="shared" ca="1" si="54"/>
        <v>0</v>
      </c>
      <c r="L93">
        <f t="shared" ca="1" si="54"/>
        <v>0</v>
      </c>
      <c r="M93">
        <f t="shared" ca="1" si="54"/>
        <v>0</v>
      </c>
      <c r="N93">
        <f t="shared" ca="1" si="54"/>
        <v>0</v>
      </c>
      <c r="O93">
        <f t="shared" ca="1" si="54"/>
        <v>0</v>
      </c>
    </row>
    <row r="94" spans="1:15" ht="15" customHeight="1" x14ac:dyDescent="0.3">
      <c r="B94" s="16" t="s">
        <v>86</v>
      </c>
      <c r="F94">
        <f ca="1">MIN(F91,F93)*-1</f>
        <v>-363.12719999999996</v>
      </c>
      <c r="G94">
        <f t="shared" ref="G94:O94" ca="1" si="55">MIN(G91,G93)*-1</f>
        <v>0</v>
      </c>
      <c r="H94">
        <f t="shared" ca="1" si="55"/>
        <v>0</v>
      </c>
      <c r="I94">
        <f t="shared" ca="1" si="55"/>
        <v>0</v>
      </c>
      <c r="J94">
        <f t="shared" ca="1" si="55"/>
        <v>0</v>
      </c>
      <c r="K94">
        <f t="shared" ca="1" si="55"/>
        <v>0</v>
      </c>
      <c r="L94">
        <f t="shared" ca="1" si="55"/>
        <v>0</v>
      </c>
      <c r="M94">
        <f t="shared" ca="1" si="55"/>
        <v>0</v>
      </c>
      <c r="N94">
        <f t="shared" ca="1" si="55"/>
        <v>0</v>
      </c>
      <c r="O94">
        <f t="shared" ca="1" si="55"/>
        <v>0</v>
      </c>
    </row>
    <row r="95" spans="1:15" ht="15" customHeight="1" x14ac:dyDescent="0.3">
      <c r="B95" s="16" t="s">
        <v>87</v>
      </c>
      <c r="E95">
        <f>E53</f>
        <v>363.12719999999996</v>
      </c>
      <c r="F95">
        <f ca="1">SUM(F93:F94)</f>
        <v>0</v>
      </c>
      <c r="G95">
        <f t="shared" ref="G95:O95" ca="1" si="56">SUM(G93:G94)</f>
        <v>0</v>
      </c>
      <c r="H95">
        <f t="shared" ca="1" si="56"/>
        <v>0</v>
      </c>
      <c r="I95">
        <f t="shared" ca="1" si="56"/>
        <v>0</v>
      </c>
      <c r="J95">
        <f t="shared" ca="1" si="56"/>
        <v>0</v>
      </c>
      <c r="K95">
        <f t="shared" ca="1" si="56"/>
        <v>0</v>
      </c>
      <c r="L95">
        <f t="shared" ca="1" si="56"/>
        <v>0</v>
      </c>
      <c r="M95">
        <f t="shared" ca="1" si="56"/>
        <v>0</v>
      </c>
      <c r="N95">
        <f t="shared" ca="1" si="56"/>
        <v>0</v>
      </c>
      <c r="O95">
        <f t="shared" ca="1" si="56"/>
        <v>0</v>
      </c>
    </row>
    <row r="97" spans="1:15" ht="15" customHeight="1" x14ac:dyDescent="0.3">
      <c r="B97" s="16" t="s">
        <v>44</v>
      </c>
      <c r="E97">
        <f>E48</f>
        <v>3488.6088</v>
      </c>
      <c r="F97">
        <f ca="1">F91+F94</f>
        <v>3275.0948397078409</v>
      </c>
      <c r="G97">
        <f t="shared" ref="G97:O97" ca="1" si="57">G91+G94</f>
        <v>4822.4715682072756</v>
      </c>
      <c r="H97">
        <f t="shared" ca="1" si="57"/>
        <v>6246.7546552385429</v>
      </c>
      <c r="I97">
        <f t="shared" ca="1" si="57"/>
        <v>7677.0754641998001</v>
      </c>
      <c r="J97">
        <f t="shared" ca="1" si="57"/>
        <v>8195.3355385457144</v>
      </c>
      <c r="K97">
        <f t="shared" ca="1" si="57"/>
        <v>9736.2561971051946</v>
      </c>
      <c r="L97">
        <f t="shared" ca="1" si="57"/>
        <v>10808.496753277246</v>
      </c>
      <c r="M97">
        <f t="shared" ca="1" si="57"/>
        <v>12650.632435689919</v>
      </c>
      <c r="N97">
        <f t="shared" ca="1" si="57"/>
        <v>14528.816669156402</v>
      </c>
      <c r="O97">
        <f t="shared" ca="1" si="57"/>
        <v>15423.745344188488</v>
      </c>
    </row>
    <row r="99" spans="1:15" ht="15" customHeight="1" x14ac:dyDescent="0.3">
      <c r="B99" s="16" t="s">
        <v>88</v>
      </c>
      <c r="F99">
        <f>E101</f>
        <v>5556.4871999999996</v>
      </c>
      <c r="G99">
        <f t="shared" ref="G99:O99" si="58">F101</f>
        <v>4114.3695999999991</v>
      </c>
      <c r="H99">
        <f t="shared" si="58"/>
        <v>4066.317199999999</v>
      </c>
      <c r="I99">
        <f t="shared" si="58"/>
        <v>3865.701399999999</v>
      </c>
      <c r="J99">
        <f t="shared" si="58"/>
        <v>3633.7597999999989</v>
      </c>
      <c r="K99">
        <f t="shared" si="58"/>
        <v>2438.2427245901636</v>
      </c>
      <c r="L99">
        <f t="shared" si="58"/>
        <v>2230.3267114754094</v>
      </c>
      <c r="M99">
        <f t="shared" si="58"/>
        <v>1502.6206655737701</v>
      </c>
      <c r="N99">
        <f t="shared" si="58"/>
        <v>1502.6206655737701</v>
      </c>
      <c r="O99">
        <f t="shared" si="58"/>
        <v>1502.6206655737701</v>
      </c>
    </row>
    <row r="100" spans="1:15" ht="15" customHeight="1" x14ac:dyDescent="0.3">
      <c r="B100" s="16" t="str">
        <f>B90</f>
        <v>Long term debt issuance / (repayment)</v>
      </c>
      <c r="F100">
        <f>F90</f>
        <v>-1442.1176000000003</v>
      </c>
      <c r="G100">
        <f t="shared" ref="G100:O100" si="59">G90</f>
        <v>-48.052399999999999</v>
      </c>
      <c r="H100">
        <f t="shared" si="59"/>
        <v>-200.61580000000001</v>
      </c>
      <c r="I100">
        <f t="shared" si="59"/>
        <v>-231.94160000000002</v>
      </c>
      <c r="J100">
        <f t="shared" si="59"/>
        <v>-1195.5170754098353</v>
      </c>
      <c r="K100">
        <f t="shared" si="59"/>
        <v>-207.91601311475412</v>
      </c>
      <c r="L100">
        <f t="shared" si="59"/>
        <v>-727.7060459016393</v>
      </c>
      <c r="M100">
        <f t="shared" si="59"/>
        <v>0</v>
      </c>
      <c r="N100">
        <f t="shared" si="59"/>
        <v>0</v>
      </c>
      <c r="O100">
        <f t="shared" si="59"/>
        <v>-1039.5800655737708</v>
      </c>
    </row>
    <row r="101" spans="1:15" ht="15" customHeight="1" x14ac:dyDescent="0.3">
      <c r="B101" s="16" t="s">
        <v>89</v>
      </c>
      <c r="E101">
        <f>E55</f>
        <v>5556.4871999999996</v>
      </c>
      <c r="F101">
        <f>SUM(F99:F100)</f>
        <v>4114.3695999999991</v>
      </c>
      <c r="G101">
        <f t="shared" ref="G101:O101" si="60">SUM(G99:G100)</f>
        <v>4066.317199999999</v>
      </c>
      <c r="H101">
        <f t="shared" si="60"/>
        <v>3865.701399999999</v>
      </c>
      <c r="I101">
        <f t="shared" si="60"/>
        <v>3633.7597999999989</v>
      </c>
      <c r="J101">
        <f t="shared" si="60"/>
        <v>2438.2427245901636</v>
      </c>
      <c r="K101">
        <f t="shared" si="60"/>
        <v>2230.3267114754094</v>
      </c>
      <c r="L101">
        <f t="shared" si="60"/>
        <v>1502.6206655737701</v>
      </c>
      <c r="M101">
        <f t="shared" si="60"/>
        <v>1502.6206655737701</v>
      </c>
      <c r="N101">
        <f t="shared" si="60"/>
        <v>1502.6206655737701</v>
      </c>
      <c r="O101">
        <f t="shared" si="60"/>
        <v>463.04059999999936</v>
      </c>
    </row>
    <row r="103" spans="1:15" ht="15" customHeight="1" x14ac:dyDescent="0.3">
      <c r="B103" s="16" t="s">
        <v>90</v>
      </c>
      <c r="F103">
        <f t="shared" ref="F103:O103" ca="1" si="61">AVERAGE(E95:F95)*F18</f>
        <v>3.6312719999999996</v>
      </c>
      <c r="G103">
        <f t="shared" ca="1" si="61"/>
        <v>0</v>
      </c>
      <c r="H103">
        <f t="shared" ca="1" si="61"/>
        <v>0</v>
      </c>
      <c r="I103">
        <f t="shared" ca="1" si="61"/>
        <v>0</v>
      </c>
      <c r="J103">
        <f t="shared" ca="1" si="61"/>
        <v>0</v>
      </c>
      <c r="K103">
        <f t="shared" ca="1" si="61"/>
        <v>0</v>
      </c>
      <c r="L103">
        <f t="shared" ca="1" si="61"/>
        <v>0</v>
      </c>
      <c r="M103">
        <f t="shared" ca="1" si="61"/>
        <v>0</v>
      </c>
      <c r="N103">
        <f t="shared" ca="1" si="61"/>
        <v>0</v>
      </c>
      <c r="O103">
        <f t="shared" ca="1" si="61"/>
        <v>0</v>
      </c>
    </row>
    <row r="104" spans="1:15" ht="15" customHeight="1" x14ac:dyDescent="0.3">
      <c r="B104" s="16" t="s">
        <v>91</v>
      </c>
      <c r="F104">
        <f t="shared" ref="F104:O104" si="62">AVERAGE(E101:F101)*F19</f>
        <v>193.41713599999997</v>
      </c>
      <c r="G104">
        <f t="shared" si="62"/>
        <v>163.61373599999996</v>
      </c>
      <c r="H104">
        <f t="shared" si="62"/>
        <v>158.64037199999996</v>
      </c>
      <c r="I104">
        <f t="shared" si="62"/>
        <v>149.98922399999995</v>
      </c>
      <c r="J104">
        <f t="shared" si="62"/>
        <v>121.44005049180325</v>
      </c>
      <c r="K104">
        <f t="shared" si="62"/>
        <v>93.371388721311448</v>
      </c>
      <c r="L104">
        <f t="shared" si="62"/>
        <v>74.65894754098359</v>
      </c>
      <c r="M104">
        <f t="shared" si="62"/>
        <v>60.104826622950803</v>
      </c>
      <c r="N104">
        <f t="shared" si="62"/>
        <v>60.104826622950803</v>
      </c>
      <c r="O104">
        <f t="shared" si="62"/>
        <v>39.313225311475392</v>
      </c>
    </row>
    <row r="105" spans="1:15" ht="15" customHeight="1" x14ac:dyDescent="0.3">
      <c r="B105" s="16" t="s">
        <v>92</v>
      </c>
      <c r="F105">
        <f t="shared" ref="F105:O105" ca="1" si="63">AVERAGE(E97:F97)*F20</f>
        <v>16.909259099269601</v>
      </c>
      <c r="G105">
        <f t="shared" ca="1" si="63"/>
        <v>20.243916019787793</v>
      </c>
      <c r="H105">
        <f t="shared" ca="1" si="63"/>
        <v>27.673065558614546</v>
      </c>
      <c r="I105">
        <f t="shared" ca="1" si="63"/>
        <v>34.809575298595853</v>
      </c>
      <c r="J105">
        <f t="shared" ca="1" si="63"/>
        <v>39.681027506863785</v>
      </c>
      <c r="K105">
        <f t="shared" ca="1" si="63"/>
        <v>44.828979339127272</v>
      </c>
      <c r="L105">
        <f t="shared" ca="1" si="63"/>
        <v>51.3618823759561</v>
      </c>
      <c r="M105">
        <f t="shared" ca="1" si="63"/>
        <v>58.647822972417906</v>
      </c>
      <c r="N105">
        <f t="shared" ca="1" si="63"/>
        <v>67.948622762115804</v>
      </c>
      <c r="O105">
        <f t="shared" ca="1" si="63"/>
        <v>74.881405033362228</v>
      </c>
    </row>
    <row r="107" spans="1:15" ht="15" customHeight="1" x14ac:dyDescent="0.3">
      <c r="A107" s="15" t="s">
        <v>111</v>
      </c>
    </row>
    <row r="108" spans="1:15" ht="15" customHeight="1" x14ac:dyDescent="0.3">
      <c r="B108" s="16" t="s">
        <v>61</v>
      </c>
      <c r="C108" s="66">
        <f t="shared" ref="C108:O108" si="64">C25/C23</f>
        <v>0.13690665527165555</v>
      </c>
      <c r="D108" s="66">
        <f t="shared" si="64"/>
        <v>0.14436348385002301</v>
      </c>
      <c r="E108" s="66">
        <f t="shared" si="64"/>
        <v>0.15127614289894165</v>
      </c>
      <c r="F108" s="66">
        <f t="shared" si="64"/>
        <v>0.14999999999999997</v>
      </c>
      <c r="G108" s="66">
        <f t="shared" si="64"/>
        <v>0.15000000000000002</v>
      </c>
      <c r="H108" s="66">
        <f t="shared" si="64"/>
        <v>0.15</v>
      </c>
      <c r="I108" s="66">
        <f t="shared" si="64"/>
        <v>0.15000000000000005</v>
      </c>
      <c r="J108" s="66">
        <f t="shared" si="64"/>
        <v>0.15000000000000002</v>
      </c>
      <c r="K108" s="66">
        <f t="shared" si="64"/>
        <v>0.15</v>
      </c>
      <c r="L108" s="66">
        <f t="shared" si="64"/>
        <v>0.15000000000000005</v>
      </c>
      <c r="M108" s="66">
        <f t="shared" si="64"/>
        <v>0.15</v>
      </c>
      <c r="N108" s="66">
        <f t="shared" si="64"/>
        <v>0.14999999999999997</v>
      </c>
      <c r="O108" s="66">
        <f t="shared" si="64"/>
        <v>0.15000000000000008</v>
      </c>
    </row>
    <row r="109" spans="1:15" ht="15" customHeight="1" x14ac:dyDescent="0.3">
      <c r="B109" s="16" t="s">
        <v>51</v>
      </c>
      <c r="C109" s="66"/>
      <c r="D109" s="66"/>
      <c r="E109" s="66"/>
      <c r="F109">
        <f>F25-F35</f>
        <v>3938.0980823999998</v>
      </c>
      <c r="G109">
        <f t="shared" ref="G109:O109" si="65">G25-G35</f>
        <v>4093.6588754708173</v>
      </c>
      <c r="H109">
        <f t="shared" si="65"/>
        <v>4263.8811721895117</v>
      </c>
      <c r="I109">
        <f t="shared" si="65"/>
        <v>4449.2930242747607</v>
      </c>
      <c r="J109">
        <f t="shared" si="65"/>
        <v>4650.477374689367</v>
      </c>
      <c r="K109">
        <f t="shared" si="65"/>
        <v>4831.2079245633213</v>
      </c>
      <c r="L109">
        <f t="shared" si="65"/>
        <v>5024.3933609757696</v>
      </c>
      <c r="M109">
        <f t="shared" si="65"/>
        <v>5210.1084920402955</v>
      </c>
      <c r="N109">
        <f t="shared" si="65"/>
        <v>5385.6092245149503</v>
      </c>
      <c r="O109">
        <f t="shared" si="65"/>
        <v>5570.3016243642542</v>
      </c>
    </row>
    <row r="110" spans="1:15" ht="15" customHeight="1" x14ac:dyDescent="0.3">
      <c r="B110" s="16" t="s">
        <v>99</v>
      </c>
      <c r="C110" s="66"/>
      <c r="D110" s="66"/>
      <c r="E110" s="66"/>
      <c r="F110" s="66">
        <f t="shared" ref="F110:O110" si="66">F109/F23</f>
        <v>0.20229095700626135</v>
      </c>
      <c r="G110" s="66">
        <f t="shared" si="66"/>
        <v>0.19837901306023412</v>
      </c>
      <c r="H110" s="66">
        <f t="shared" si="66"/>
        <v>0.1949320737719421</v>
      </c>
      <c r="I110" s="66">
        <f t="shared" si="66"/>
        <v>0.19189486500282449</v>
      </c>
      <c r="J110" s="66">
        <f t="shared" si="66"/>
        <v>0.18921868293645103</v>
      </c>
      <c r="K110" s="66">
        <f t="shared" si="66"/>
        <v>0.18721166653585258</v>
      </c>
      <c r="L110" s="66">
        <f t="shared" si="66"/>
        <v>0.18542637766141559</v>
      </c>
      <c r="M110" s="66">
        <f t="shared" si="66"/>
        <v>0.18400022654139914</v>
      </c>
      <c r="N110" s="66">
        <f t="shared" si="66"/>
        <v>0.18288289575929498</v>
      </c>
      <c r="O110" s="66">
        <f t="shared" si="66"/>
        <v>0.18187944676844384</v>
      </c>
    </row>
    <row r="111" spans="1:15" ht="15" customHeight="1" x14ac:dyDescent="0.3">
      <c r="B111" s="16" t="s">
        <v>62</v>
      </c>
      <c r="C111" s="66">
        <f t="shared" ref="C111:O111" si="67">C30/C23</f>
        <v>7.6001299437691169E-2</v>
      </c>
      <c r="D111" s="66">
        <f t="shared" si="67"/>
        <v>7.505691195661858E-2</v>
      </c>
      <c r="E111" s="66">
        <f t="shared" si="67"/>
        <v>8.4420836199023186E-2</v>
      </c>
      <c r="F111" s="66">
        <f t="shared" ca="1" si="67"/>
        <v>9.007786884930577E-2</v>
      </c>
      <c r="G111" s="66">
        <f t="shared" ca="1" si="67"/>
        <v>9.1553464242255161E-2</v>
      </c>
      <c r="H111" s="66">
        <f t="shared" ca="1" si="67"/>
        <v>9.2168039007096803E-2</v>
      </c>
      <c r="I111" s="66">
        <f t="shared" ca="1" si="67"/>
        <v>9.282072519576795E-2</v>
      </c>
      <c r="J111" s="66">
        <f t="shared" ca="1" si="67"/>
        <v>9.3870968208938935E-2</v>
      </c>
      <c r="K111" s="66">
        <f t="shared" ca="1" si="67"/>
        <v>9.4796133074791539E-2</v>
      </c>
      <c r="L111" s="66">
        <f t="shared" ca="1" si="67"/>
        <v>9.5449738573449114E-2</v>
      </c>
      <c r="M111" s="66">
        <f t="shared" ca="1" si="67"/>
        <v>9.5967068447539106E-2</v>
      </c>
      <c r="N111" s="66">
        <f t="shared" ca="1" si="67"/>
        <v>9.6170468650583402E-2</v>
      </c>
      <c r="O111" s="66">
        <f t="shared" ca="1" si="67"/>
        <v>9.6743269866416681E-2</v>
      </c>
    </row>
    <row r="113" spans="1:15" ht="15" customHeight="1" x14ac:dyDescent="0.3">
      <c r="A113" s="15" t="s">
        <v>112</v>
      </c>
    </row>
    <row r="114" spans="1:15" ht="15" customHeight="1" x14ac:dyDescent="0.3">
      <c r="B114" s="16" t="s">
        <v>75</v>
      </c>
      <c r="D114" s="66">
        <f t="shared" ref="D114:O114" si="68">D45/D23</f>
        <v>0</v>
      </c>
      <c r="E114" s="66">
        <f t="shared" si="68"/>
        <v>-6.3367212832400974E-2</v>
      </c>
      <c r="F114" s="66">
        <f t="shared" si="68"/>
        <v>-6.5000000000000002E-2</v>
      </c>
      <c r="G114" s="66">
        <f t="shared" si="68"/>
        <v>-6.4999999999999961E-2</v>
      </c>
      <c r="H114" s="66">
        <f t="shared" si="68"/>
        <v>-6.4999999999999988E-2</v>
      </c>
      <c r="I114" s="66">
        <f t="shared" si="68"/>
        <v>-6.4999999999999974E-2</v>
      </c>
      <c r="J114" s="66">
        <f t="shared" si="68"/>
        <v>-6.4999999999999961E-2</v>
      </c>
      <c r="K114" s="66">
        <f t="shared" si="68"/>
        <v>-6.4999999999999974E-2</v>
      </c>
      <c r="L114" s="66">
        <f t="shared" si="68"/>
        <v>-6.4999999999999974E-2</v>
      </c>
      <c r="M114" s="66">
        <f t="shared" si="68"/>
        <v>-6.4999999999999988E-2</v>
      </c>
      <c r="N114" s="66">
        <f t="shared" si="68"/>
        <v>-6.5000000000000002E-2</v>
      </c>
      <c r="O114" s="66">
        <f t="shared" si="68"/>
        <v>-6.4999999999999988E-2</v>
      </c>
    </row>
    <row r="115" spans="1:15" ht="15" customHeight="1" x14ac:dyDescent="0.3">
      <c r="B115" s="16" t="s">
        <v>76</v>
      </c>
      <c r="D115" s="66">
        <f t="shared" ref="D115:O115" si="69">D50/D23</f>
        <v>0.79956434165580526</v>
      </c>
      <c r="E115" s="66">
        <f t="shared" si="69"/>
        <v>0.83982446100965236</v>
      </c>
      <c r="F115" s="66">
        <f t="shared" si="69"/>
        <v>0.77699627036133512</v>
      </c>
      <c r="G115" s="66">
        <f t="shared" si="69"/>
        <v>0.72163633633725188</v>
      </c>
      <c r="H115" s="66">
        <f t="shared" si="69"/>
        <v>0.67285692277263498</v>
      </c>
      <c r="I115" s="66">
        <f t="shared" si="69"/>
        <v>0.62987581685815186</v>
      </c>
      <c r="J115" s="66">
        <f t="shared" si="69"/>
        <v>0.59200378579765456</v>
      </c>
      <c r="K115" s="66">
        <f t="shared" si="69"/>
        <v>0.56360146279524703</v>
      </c>
      <c r="L115" s="66">
        <f t="shared" si="69"/>
        <v>0.53833692023881963</v>
      </c>
      <c r="M115" s="66">
        <f t="shared" si="69"/>
        <v>0.51815472105555749</v>
      </c>
      <c r="N115" s="66">
        <f t="shared" si="69"/>
        <v>0.50234279756335642</v>
      </c>
      <c r="O115" s="66">
        <f t="shared" si="69"/>
        <v>0.48814247396555277</v>
      </c>
    </row>
    <row r="117" spans="1:15" ht="15" customHeight="1" x14ac:dyDescent="0.3">
      <c r="A117" s="15" t="s">
        <v>93</v>
      </c>
    </row>
    <row r="118" spans="1:15" ht="15" customHeight="1" x14ac:dyDescent="0.3">
      <c r="B118" s="16" t="s">
        <v>77</v>
      </c>
      <c r="E118">
        <f t="shared" ref="E118:O118" si="70">E95+E101</f>
        <v>5919.6143999999995</v>
      </c>
      <c r="F118">
        <f t="shared" ca="1" si="70"/>
        <v>4114.3695999999991</v>
      </c>
      <c r="G118">
        <f t="shared" ca="1" si="70"/>
        <v>4066.317199999999</v>
      </c>
      <c r="H118">
        <f t="shared" ca="1" si="70"/>
        <v>3865.701399999999</v>
      </c>
      <c r="I118">
        <f t="shared" ca="1" si="70"/>
        <v>3633.7597999999989</v>
      </c>
      <c r="J118">
        <f t="shared" ca="1" si="70"/>
        <v>2438.2427245901636</v>
      </c>
      <c r="K118">
        <f t="shared" ca="1" si="70"/>
        <v>2230.3267114754094</v>
      </c>
      <c r="L118">
        <f t="shared" ca="1" si="70"/>
        <v>1502.6206655737701</v>
      </c>
      <c r="M118">
        <f t="shared" ca="1" si="70"/>
        <v>1502.6206655737701</v>
      </c>
      <c r="N118">
        <f t="shared" ca="1" si="70"/>
        <v>1502.6206655737701</v>
      </c>
      <c r="O118">
        <f t="shared" ca="1" si="70"/>
        <v>463.04059999999936</v>
      </c>
    </row>
    <row r="119" spans="1:15" ht="15" customHeight="1" x14ac:dyDescent="0.3">
      <c r="B119" s="16" t="s">
        <v>94</v>
      </c>
      <c r="E119">
        <f t="shared" ref="E119:O119" si="71">E118-E97</f>
        <v>2431.0055999999995</v>
      </c>
      <c r="F119">
        <f t="shared" ca="1" si="71"/>
        <v>839.27476029215813</v>
      </c>
      <c r="G119">
        <f t="shared" ca="1" si="71"/>
        <v>-756.15436820727655</v>
      </c>
      <c r="H119">
        <f t="shared" ca="1" si="71"/>
        <v>-2381.0532552385439</v>
      </c>
      <c r="I119">
        <f t="shared" ca="1" si="71"/>
        <v>-4043.3156641998012</v>
      </c>
      <c r="J119">
        <f t="shared" ca="1" si="71"/>
        <v>-5757.0928139555508</v>
      </c>
      <c r="K119">
        <f t="shared" ca="1" si="71"/>
        <v>-7505.9294856297856</v>
      </c>
      <c r="L119">
        <f t="shared" ca="1" si="71"/>
        <v>-9305.8760877034765</v>
      </c>
      <c r="M119">
        <f t="shared" ca="1" si="71"/>
        <v>-11148.011770116149</v>
      </c>
      <c r="N119">
        <f t="shared" ca="1" si="71"/>
        <v>-13026.196003582632</v>
      </c>
      <c r="O119">
        <f t="shared" ca="1" si="71"/>
        <v>-14960.70474418849</v>
      </c>
    </row>
    <row r="120" spans="1:15" ht="15" customHeight="1" x14ac:dyDescent="0.3">
      <c r="B120" s="16" t="s">
        <v>95</v>
      </c>
      <c r="F120" s="70">
        <f t="shared" ref="F120:O120" ca="1" si="72">F118/F109</f>
        <v>2.1630097809959969</v>
      </c>
      <c r="G120" s="70">
        <f t="shared" ca="1" si="72"/>
        <v>1.9391076525717488</v>
      </c>
      <c r="H120" s="70">
        <f t="shared" ca="1" si="72"/>
        <v>1.6820401343464497</v>
      </c>
      <c r="I120" s="70">
        <f t="shared" ca="1" si="72"/>
        <v>1.4497136807124267</v>
      </c>
      <c r="J120" s="70">
        <f t="shared" ca="1" si="72"/>
        <v>0.89552330493546872</v>
      </c>
      <c r="K120" s="70">
        <f t="shared" ca="1" si="72"/>
        <v>0.76626940623424256</v>
      </c>
      <c r="L120" s="70">
        <f t="shared" ca="1" si="72"/>
        <v>0.48400806107952682</v>
      </c>
      <c r="M120" s="70">
        <f t="shared" ca="1" si="72"/>
        <v>0.45747125143344014</v>
      </c>
      <c r="N120" s="70">
        <f t="shared" ca="1" si="72"/>
        <v>0.43567965809605252</v>
      </c>
      <c r="O120" s="70">
        <f t="shared" ca="1" si="72"/>
        <v>0.12799662314222543</v>
      </c>
    </row>
    <row r="121" spans="1:15" ht="15" customHeight="1" x14ac:dyDescent="0.3">
      <c r="B121" s="16" t="s">
        <v>96</v>
      </c>
      <c r="F121" s="70">
        <f t="shared" ref="F121:O121" ca="1" si="73">F119/F109</f>
        <v>0.44122421949039509</v>
      </c>
      <c r="G121" s="70">
        <f t="shared" ca="1" si="73"/>
        <v>-0.36058788574494044</v>
      </c>
      <c r="H121" s="70">
        <f t="shared" ca="1" si="73"/>
        <v>-1.0360415156037384</v>
      </c>
      <c r="I121" s="70">
        <f t="shared" ca="1" si="73"/>
        <v>-1.6131088339491526</v>
      </c>
      <c r="J121" s="70">
        <f t="shared" ca="1" si="73"/>
        <v>-2.114478075368933</v>
      </c>
      <c r="K121" s="70">
        <f t="shared" ca="1" si="73"/>
        <v>-2.5787989269001961</v>
      </c>
      <c r="L121" s="70">
        <f t="shared" ca="1" si="73"/>
        <v>-2.9975090487230931</v>
      </c>
      <c r="M121" s="70">
        <f t="shared" ca="1" si="73"/>
        <v>-3.3940002372603995</v>
      </c>
      <c r="N121" s="70">
        <f t="shared" ca="1" si="73"/>
        <v>-3.7769004188199249</v>
      </c>
      <c r="O121" s="70">
        <f t="shared" ca="1" si="73"/>
        <v>-4.1355330117575022</v>
      </c>
    </row>
    <row r="122" spans="1:15" ht="15" customHeight="1" x14ac:dyDescent="0.3">
      <c r="B122" s="16" t="s">
        <v>97</v>
      </c>
      <c r="F122" s="70">
        <f t="shared" ref="F122:O122" ca="1" si="74">F109/(F103+F104)</f>
        <v>9.6532129911955433</v>
      </c>
      <c r="G122" s="70">
        <f t="shared" ca="1" si="74"/>
        <v>12.816798945249836</v>
      </c>
      <c r="H122" s="70">
        <f t="shared" ca="1" si="74"/>
        <v>14.486992354898979</v>
      </c>
      <c r="I122" s="70">
        <f t="shared" ca="1" si="74"/>
        <v>16.711441789771481</v>
      </c>
      <c r="J122" s="70">
        <f t="shared" ca="1" si="74"/>
        <v>22.420128920753246</v>
      </c>
      <c r="K122" s="70">
        <f t="shared" ca="1" si="74"/>
        <v>31.172611078168988</v>
      </c>
      <c r="L122" s="70">
        <f t="shared" ca="1" si="74"/>
        <v>41.58291199954806</v>
      </c>
      <c r="M122" s="70">
        <f t="shared" ca="1" si="74"/>
        <v>54.648242751134667</v>
      </c>
      <c r="N122" s="70">
        <f t="shared" ca="1" si="74"/>
        <v>57.381609481726947</v>
      </c>
      <c r="O122" s="70">
        <f t="shared" ca="1" si="74"/>
        <v>92.019927067398527</v>
      </c>
    </row>
    <row r="123" spans="1:15" ht="15" customHeight="1" x14ac:dyDescent="0.3">
      <c r="B123" s="16" t="s">
        <v>98</v>
      </c>
      <c r="F123" s="66">
        <f t="shared" ref="F123:O123" ca="1" si="75">F119/(F119+F58)</f>
        <v>6.0550311886025485E-2</v>
      </c>
      <c r="G123" s="66">
        <f t="shared" ca="1" si="75"/>
        <v>-5.5804552383321368E-2</v>
      </c>
      <c r="H123" s="66">
        <f t="shared" ca="1" si="75"/>
        <v>-0.17907953245664568</v>
      </c>
      <c r="I123" s="66">
        <f t="shared" ca="1" si="75"/>
        <v>-0.30871448742334845</v>
      </c>
      <c r="J123" s="66">
        <f t="shared" ca="1" si="75"/>
        <v>-0.44448383940321046</v>
      </c>
      <c r="K123" s="66">
        <f t="shared" ca="1" si="75"/>
        <v>-0.58334853586991386</v>
      </c>
      <c r="L123" s="66">
        <f t="shared" ca="1" si="75"/>
        <v>-0.72556239545313872</v>
      </c>
      <c r="M123" s="66">
        <f t="shared" ca="1" si="75"/>
        <v>-0.86880537782673795</v>
      </c>
      <c r="N123" s="66">
        <f t="shared" ca="1" si="75"/>
        <v>-1.0114254596672874</v>
      </c>
      <c r="O123" s="66">
        <f t="shared" ca="1" si="75"/>
        <v>-1.1544372813208235</v>
      </c>
    </row>
    <row r="125" spans="1:15" ht="15" customHeight="1" x14ac:dyDescent="0.3">
      <c r="A125" s="15" t="s">
        <v>110</v>
      </c>
    </row>
    <row r="183" spans="1:15" ht="15" customHeight="1" x14ac:dyDescent="0.3">
      <c r="A183" s="15" t="s">
        <v>93</v>
      </c>
    </row>
    <row r="184" spans="1:15" ht="15" customHeight="1" x14ac:dyDescent="0.3">
      <c r="B184" s="16" t="s">
        <v>77</v>
      </c>
      <c r="E184">
        <f t="shared" ref="E184:O184" si="76">E95+E101</f>
        <v>5919.6143999999995</v>
      </c>
      <c r="F184">
        <f t="shared" ca="1" si="76"/>
        <v>4114.3695999999991</v>
      </c>
      <c r="G184">
        <f t="shared" ca="1" si="76"/>
        <v>4066.317199999999</v>
      </c>
      <c r="H184">
        <f t="shared" ca="1" si="76"/>
        <v>3865.701399999999</v>
      </c>
      <c r="I184">
        <f t="shared" ca="1" si="76"/>
        <v>3633.7597999999989</v>
      </c>
      <c r="J184">
        <f t="shared" ca="1" si="76"/>
        <v>2438.2427245901636</v>
      </c>
      <c r="K184">
        <f t="shared" ca="1" si="76"/>
        <v>2230.3267114754094</v>
      </c>
      <c r="L184">
        <f t="shared" ca="1" si="76"/>
        <v>1502.6206655737701</v>
      </c>
      <c r="M184">
        <f t="shared" ca="1" si="76"/>
        <v>1502.6206655737701</v>
      </c>
      <c r="N184">
        <f t="shared" ca="1" si="76"/>
        <v>1502.6206655737701</v>
      </c>
      <c r="O184">
        <f t="shared" ca="1" si="76"/>
        <v>463.04059999999936</v>
      </c>
    </row>
    <row r="185" spans="1:15" ht="15" customHeight="1" x14ac:dyDescent="0.3">
      <c r="B185" s="16" t="s">
        <v>94</v>
      </c>
      <c r="E185">
        <f t="shared" ref="E185:O185" si="77">E184-E97</f>
        <v>2431.0055999999995</v>
      </c>
      <c r="F185">
        <f t="shared" ca="1" si="77"/>
        <v>839.27476029215813</v>
      </c>
      <c r="G185">
        <f t="shared" ca="1" si="77"/>
        <v>-756.15436820727655</v>
      </c>
      <c r="H185">
        <f t="shared" ca="1" si="77"/>
        <v>-2381.0532552385439</v>
      </c>
      <c r="I185">
        <f t="shared" ca="1" si="77"/>
        <v>-4043.3156641998012</v>
      </c>
      <c r="J185">
        <f t="shared" ca="1" si="77"/>
        <v>-5757.0928139555508</v>
      </c>
      <c r="K185">
        <f t="shared" ca="1" si="77"/>
        <v>-7505.9294856297856</v>
      </c>
      <c r="L185">
        <f t="shared" ca="1" si="77"/>
        <v>-9305.8760877034765</v>
      </c>
      <c r="M185">
        <f t="shared" ca="1" si="77"/>
        <v>-11148.011770116149</v>
      </c>
      <c r="N185">
        <f t="shared" ca="1" si="77"/>
        <v>-13026.196003582632</v>
      </c>
      <c r="O185">
        <f t="shared" ca="1" si="77"/>
        <v>-14960.70474418849</v>
      </c>
    </row>
    <row r="186" spans="1:15" ht="15" customHeight="1" x14ac:dyDescent="0.3">
      <c r="B186" s="16" t="s">
        <v>95</v>
      </c>
      <c r="F186" s="70">
        <f t="shared" ref="F186:O186" ca="1" si="78">F184/F114</f>
        <v>-63297.993846153833</v>
      </c>
      <c r="G186" s="70">
        <f t="shared" ca="1" si="78"/>
        <v>-62558.726153846175</v>
      </c>
      <c r="H186" s="70">
        <f t="shared" ca="1" si="78"/>
        <v>-59472.329230769225</v>
      </c>
      <c r="I186" s="70">
        <f t="shared" ca="1" si="78"/>
        <v>-55903.996923076927</v>
      </c>
      <c r="J186" s="70">
        <f t="shared" ca="1" si="78"/>
        <v>-37511.426532156387</v>
      </c>
      <c r="K186" s="70">
        <f t="shared" ca="1" si="78"/>
        <v>-34312.718638083235</v>
      </c>
      <c r="L186" s="70">
        <f t="shared" ca="1" si="78"/>
        <v>-23117.241008827241</v>
      </c>
      <c r="M186" s="70">
        <f t="shared" ca="1" si="78"/>
        <v>-23117.241008827237</v>
      </c>
      <c r="N186" s="70">
        <f t="shared" ca="1" si="78"/>
        <v>-23117.24100882723</v>
      </c>
      <c r="O186" s="70">
        <f t="shared" ca="1" si="78"/>
        <v>-7123.7015384615297</v>
      </c>
    </row>
    <row r="187" spans="1:15" ht="15" customHeight="1" x14ac:dyDescent="0.3">
      <c r="B187" s="16" t="s">
        <v>96</v>
      </c>
      <c r="F187" s="70">
        <f t="shared" ref="F187:O187" ca="1" si="79">F185/F114</f>
        <v>-12911.919389110124</v>
      </c>
      <c r="G187" s="70">
        <f t="shared" ca="1" si="79"/>
        <v>11633.144126265801</v>
      </c>
      <c r="H187" s="70">
        <f t="shared" ca="1" si="79"/>
        <v>36631.588542131452</v>
      </c>
      <c r="I187" s="70">
        <f t="shared" ca="1" si="79"/>
        <v>62204.856372304661</v>
      </c>
      <c r="J187" s="70">
        <f t="shared" ca="1" si="79"/>
        <v>88570.658676239298</v>
      </c>
      <c r="K187" s="70">
        <f t="shared" ca="1" si="79"/>
        <v>115475.83824045828</v>
      </c>
      <c r="L187" s="70">
        <f t="shared" ca="1" si="79"/>
        <v>143167.3244262074</v>
      </c>
      <c r="M187" s="70">
        <f t="shared" ca="1" si="79"/>
        <v>171507.87338640232</v>
      </c>
      <c r="N187" s="70">
        <f t="shared" ca="1" si="79"/>
        <v>200403.01543973279</v>
      </c>
      <c r="O187" s="70">
        <f t="shared" ca="1" si="79"/>
        <v>230164.68837213065</v>
      </c>
    </row>
    <row r="188" spans="1:15" ht="15" customHeight="1" x14ac:dyDescent="0.3">
      <c r="B188" s="16" t="s">
        <v>97</v>
      </c>
      <c r="F188" s="70">
        <f t="shared" ref="F188:O188" ca="1" si="80">F114/(F103+F104)</f>
        <v>-3.2986818142676904E-4</v>
      </c>
      <c r="G188" s="70">
        <f t="shared" ca="1" si="80"/>
        <v>-3.9727715770758991E-4</v>
      </c>
      <c r="H188" s="70">
        <f t="shared" ca="1" si="80"/>
        <v>-4.0973176739651118E-4</v>
      </c>
      <c r="I188" s="70">
        <f t="shared" ca="1" si="80"/>
        <v>-4.3336446623658774E-4</v>
      </c>
      <c r="J188" s="70">
        <f t="shared" ca="1" si="80"/>
        <v>-5.352435192242218E-4</v>
      </c>
      <c r="K188" s="70">
        <f t="shared" ca="1" si="80"/>
        <v>-6.9614472795309428E-4</v>
      </c>
      <c r="L188" s="70">
        <f t="shared" ca="1" si="80"/>
        <v>-8.706257205717856E-4</v>
      </c>
      <c r="M188" s="70">
        <f t="shared" ca="1" si="80"/>
        <v>-1.0814439314126561E-3</v>
      </c>
      <c r="N188" s="70">
        <f t="shared" ca="1" si="80"/>
        <v>-1.0814439314126563E-3</v>
      </c>
      <c r="O188" s="70">
        <f t="shared" ca="1" si="80"/>
        <v>-1.6533876191793075E-3</v>
      </c>
    </row>
    <row r="189" spans="1:15" ht="15" customHeight="1" x14ac:dyDescent="0.3">
      <c r="B189" s="16" t="s">
        <v>98</v>
      </c>
      <c r="F189" s="66">
        <f t="shared" ref="F189:O189" ca="1" si="81">F185/(F185+F58)</f>
        <v>6.0550311886025485E-2</v>
      </c>
      <c r="G189" s="66">
        <f t="shared" ca="1" si="81"/>
        <v>-5.5804552383321368E-2</v>
      </c>
      <c r="H189" s="66">
        <f t="shared" ca="1" si="81"/>
        <v>-0.17907953245664568</v>
      </c>
      <c r="I189" s="66">
        <f t="shared" ca="1" si="81"/>
        <v>-0.30871448742334845</v>
      </c>
      <c r="J189" s="66">
        <f t="shared" ca="1" si="81"/>
        <v>-0.44448383940321046</v>
      </c>
      <c r="K189" s="66">
        <f t="shared" ca="1" si="81"/>
        <v>-0.58334853586991386</v>
      </c>
      <c r="L189" s="66">
        <f t="shared" ca="1" si="81"/>
        <v>-0.72556239545313872</v>
      </c>
      <c r="M189" s="66">
        <f t="shared" ca="1" si="81"/>
        <v>-0.86880537782673795</v>
      </c>
      <c r="N189" s="66">
        <f t="shared" ca="1" si="81"/>
        <v>-1.0114254596672874</v>
      </c>
      <c r="O189" s="66">
        <f t="shared" ca="1" si="81"/>
        <v>-1.1544372813208235</v>
      </c>
    </row>
    <row r="210" spans="1:1" ht="15" customHeight="1" x14ac:dyDescent="0.3">
      <c r="A210" s="15" t="s">
        <v>110</v>
      </c>
    </row>
  </sheetData>
  <pageMargins left="0.70866141732283472" right="0.70866141732283472" top="0.74803149606299213" bottom="0.74803149606299213" header="0.31496062992125984" footer="0.31496062992125984"/>
  <pageSetup paperSize="9" scale="74" fitToHeight="5" orientation="landscape" verticalDpi="597" r:id="rId1"/>
  <headerFooter>
    <oddHeader xml:space="preserve">&amp;R&amp;10&amp;F 
&amp;A
</oddHeader>
    <oddFooter>&amp;L&amp;10© 2016&amp;C&amp;10Page &amp;P of &amp;N&amp;R&amp;G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Welcome</vt:lpstr>
      <vt:lpstr>Info</vt:lpstr>
      <vt:lpstr>Model 2</vt:lpstr>
      <vt:lpstr>switch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</dc:creator>
  <cp:lastModifiedBy>Andrea Ward</cp:lastModifiedBy>
  <cp:lastPrinted>2016-05-30T11:46:51Z</cp:lastPrinted>
  <dcterms:created xsi:type="dcterms:W3CDTF">2016-02-03T14:06:14Z</dcterms:created>
  <dcterms:modified xsi:type="dcterms:W3CDTF">2020-02-22T13:30:09Z</dcterms:modified>
</cp:coreProperties>
</file>