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G:\My Drive\Editing A Model\3 Inserting a New Item - Example 1\"/>
    </mc:Choice>
  </mc:AlternateContent>
  <xr:revisionPtr revIDLastSave="0" documentId="13_ncr:1_{8FC2DFFD-2029-4658-85B5-9CB652F8C94F}" xr6:coauthVersionLast="40" xr6:coauthVersionMax="40" xr10:uidLastSave="{00000000-0000-0000-0000-000000000000}"/>
  <bookViews>
    <workbookView xWindow="0" yWindow="0" windowWidth="20520" windowHeight="10968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2" l="1"/>
  <c r="O35" i="2" l="1"/>
  <c r="G103" i="2" l="1"/>
  <c r="G93" i="2" s="1"/>
  <c r="H103" i="2"/>
  <c r="H93" i="2" s="1"/>
  <c r="I103" i="2"/>
  <c r="I93" i="2" s="1"/>
  <c r="M103" i="2"/>
  <c r="M93" i="2" s="1"/>
  <c r="N103" i="2"/>
  <c r="N93" i="2" s="1"/>
  <c r="B103" i="2"/>
  <c r="G35" i="2"/>
  <c r="G71" i="2" s="1"/>
  <c r="H35" i="2"/>
  <c r="H71" i="2" s="1"/>
  <c r="I35" i="2"/>
  <c r="I71" i="2" s="1"/>
  <c r="J35" i="2"/>
  <c r="J71" i="2" s="1"/>
  <c r="K35" i="2"/>
  <c r="K71" i="2" s="1"/>
  <c r="L35" i="2"/>
  <c r="L71" i="2" s="1"/>
  <c r="M35" i="2"/>
  <c r="M71" i="2" s="1"/>
  <c r="N35" i="2"/>
  <c r="N71" i="2" s="1"/>
  <c r="O71" i="2"/>
  <c r="F35" i="2"/>
  <c r="F71" i="2" s="1"/>
  <c r="B46" i="2" l="1"/>
  <c r="B45" i="2"/>
  <c r="E30" i="2" l="1"/>
  <c r="D30" i="2"/>
  <c r="C30" i="2"/>
  <c r="E28" i="2"/>
  <c r="D28" i="2"/>
  <c r="C28" i="2"/>
  <c r="E25" i="2"/>
  <c r="D25" i="2"/>
  <c r="D6" i="2" s="1"/>
  <c r="C25" i="2"/>
  <c r="B87" i="2"/>
  <c r="B86" i="2"/>
  <c r="E26" i="2" l="1"/>
  <c r="E6" i="2"/>
  <c r="C26" i="2"/>
  <c r="C29" i="2" s="1"/>
  <c r="C31" i="2" s="1"/>
  <c r="C6" i="2"/>
  <c r="D26" i="2"/>
  <c r="D29" i="2" s="1"/>
  <c r="E83" i="2"/>
  <c r="F82" i="2" s="1"/>
  <c r="C7" i="2" l="1"/>
  <c r="D31" i="2"/>
  <c r="D7" i="2"/>
  <c r="F90" i="2"/>
  <c r="A7" i="1"/>
  <c r="J18" i="2" l="1"/>
  <c r="J103" i="2" s="1"/>
  <c r="J93" i="2" s="1"/>
  <c r="E14" i="2"/>
  <c r="D12" i="2" l="1"/>
  <c r="E12" i="2"/>
  <c r="A2" i="2" l="1"/>
  <c r="O18" i="2"/>
  <c r="O103" i="2" s="1"/>
  <c r="O93" i="2" s="1"/>
  <c r="L18" i="2"/>
  <c r="L103" i="2" s="1"/>
  <c r="L93" i="2" s="1"/>
  <c r="K18" i="2"/>
  <c r="K103" i="2" s="1"/>
  <c r="K93" i="2" s="1"/>
  <c r="F18" i="2"/>
  <c r="F103" i="2" s="1"/>
  <c r="F93" i="2" s="1"/>
  <c r="D57" i="2"/>
  <c r="D56" i="2"/>
  <c r="D46" i="2" s="1"/>
  <c r="D51" i="2"/>
  <c r="D45" i="2" s="1"/>
  <c r="E56" i="2"/>
  <c r="E46" i="2" s="1"/>
  <c r="E51" i="2"/>
  <c r="E45" i="2" s="1"/>
  <c r="E27" i="2"/>
  <c r="E29" i="2" s="1"/>
  <c r="D47" i="2" l="1"/>
  <c r="E31" i="2"/>
  <c r="E7" i="2"/>
  <c r="E47" i="2"/>
  <c r="F24" i="2"/>
  <c r="F36" i="2" l="1"/>
  <c r="F72" i="2" s="1"/>
  <c r="F25" i="2"/>
  <c r="F26" i="2" s="1"/>
  <c r="F51" i="2"/>
  <c r="F45" i="2" s="1"/>
  <c r="F56" i="2"/>
  <c r="F46" i="2" s="1"/>
  <c r="F73" i="2" l="1"/>
  <c r="F87" i="2" s="1"/>
  <c r="F47" i="2"/>
  <c r="E100" i="2"/>
  <c r="E104" i="2"/>
  <c r="E98" i="2"/>
  <c r="E121" i="2" l="1"/>
  <c r="F96" i="2"/>
  <c r="E122" i="2"/>
  <c r="F102" i="2"/>
  <c r="F104" i="2" s="1"/>
  <c r="E43" i="2"/>
  <c r="F40" i="2" s="1"/>
  <c r="E58" i="2"/>
  <c r="F107" i="2" l="1"/>
  <c r="F57" i="2"/>
  <c r="F77" i="2"/>
  <c r="G102" i="2"/>
  <c r="G104" i="2" s="1"/>
  <c r="G57" i="2" s="1"/>
  <c r="D58" i="2"/>
  <c r="D118" i="2"/>
  <c r="E10" i="2"/>
  <c r="D10" i="2"/>
  <c r="D117" i="2"/>
  <c r="E38" i="2"/>
  <c r="F34" i="2" s="1"/>
  <c r="E118" i="2"/>
  <c r="G77" i="2" l="1"/>
  <c r="F37" i="2"/>
  <c r="F67" i="2" s="1"/>
  <c r="G107" i="2"/>
  <c r="H102" i="2"/>
  <c r="H104" i="2" s="1"/>
  <c r="H57" i="2" s="1"/>
  <c r="E117" i="2"/>
  <c r="I102" i="2" l="1"/>
  <c r="I104" i="2" s="1"/>
  <c r="I57" i="2" s="1"/>
  <c r="F38" i="2"/>
  <c r="F52" i="2" s="1"/>
  <c r="H77" i="2"/>
  <c r="H107" i="2"/>
  <c r="J102" i="2"/>
  <c r="J104" i="2" s="1"/>
  <c r="J57" i="2" s="1"/>
  <c r="I107" i="2" l="1"/>
  <c r="I77" i="2"/>
  <c r="K102" i="2"/>
  <c r="K104" i="2" s="1"/>
  <c r="K57" i="2" s="1"/>
  <c r="J107" i="2"/>
  <c r="J77" i="2" l="1"/>
  <c r="K107" i="2"/>
  <c r="L102" i="2"/>
  <c r="L104" i="2" s="1"/>
  <c r="L57" i="2" s="1"/>
  <c r="K77" i="2"/>
  <c r="L107" i="2" l="1"/>
  <c r="L77" i="2"/>
  <c r="M102" i="2"/>
  <c r="M104" i="2" s="1"/>
  <c r="M57" i="2" s="1"/>
  <c r="N102" i="2" l="1"/>
  <c r="N104" i="2" s="1"/>
  <c r="N57" i="2" s="1"/>
  <c r="M77" i="2"/>
  <c r="M107" i="2"/>
  <c r="N107" i="2" l="1"/>
  <c r="N77" i="2"/>
  <c r="O102" i="2"/>
  <c r="O104" i="2" s="1"/>
  <c r="O57" i="2" s="1"/>
  <c r="O77" i="2" l="1"/>
  <c r="O107" i="2"/>
  <c r="E5" i="2" l="1"/>
  <c r="D5" i="2"/>
  <c r="D11" i="2"/>
  <c r="E61" i="2"/>
  <c r="D111" i="2" l="1"/>
  <c r="E111" i="2"/>
  <c r="C111" i="2"/>
  <c r="F112" i="2"/>
  <c r="G24" i="2"/>
  <c r="E11" i="2"/>
  <c r="D61" i="2"/>
  <c r="D53" i="2"/>
  <c r="E53" i="2"/>
  <c r="E63" i="2" s="1"/>
  <c r="G36" i="2" l="1"/>
  <c r="G72" i="2" s="1"/>
  <c r="G25" i="2"/>
  <c r="G26" i="2"/>
  <c r="D63" i="2"/>
  <c r="F113" i="2"/>
  <c r="F111" i="2"/>
  <c r="C114" i="2"/>
  <c r="F68" i="2"/>
  <c r="G51" i="2"/>
  <c r="G45" i="2" s="1"/>
  <c r="G56" i="2"/>
  <c r="G46" i="2" s="1"/>
  <c r="H24" i="2"/>
  <c r="G73" i="2" l="1"/>
  <c r="G87" i="2" s="1"/>
  <c r="G47" i="2"/>
  <c r="H36" i="2"/>
  <c r="H72" i="2" s="1"/>
  <c r="H73" i="2" s="1"/>
  <c r="H87" i="2" s="1"/>
  <c r="H25" i="2"/>
  <c r="H26" i="2" s="1"/>
  <c r="G34" i="2"/>
  <c r="F117" i="2"/>
  <c r="G68" i="2"/>
  <c r="E15" i="2"/>
  <c r="E114" i="2"/>
  <c r="G111" i="2"/>
  <c r="D114" i="2"/>
  <c r="D15" i="2"/>
  <c r="F118" i="2"/>
  <c r="I24" i="2"/>
  <c r="H51" i="2"/>
  <c r="H45" i="2" s="1"/>
  <c r="H56" i="2"/>
  <c r="H46" i="2" s="1"/>
  <c r="H47" i="2" l="1"/>
  <c r="G37" i="2"/>
  <c r="G67" i="2" s="1"/>
  <c r="I36" i="2"/>
  <c r="I72" i="2" s="1"/>
  <c r="I25" i="2"/>
  <c r="I26" i="2" s="1"/>
  <c r="G117" i="2"/>
  <c r="H111" i="2"/>
  <c r="I56" i="2"/>
  <c r="I46" i="2" s="1"/>
  <c r="I51" i="2"/>
  <c r="I45" i="2" s="1"/>
  <c r="I47" i="2" s="1"/>
  <c r="J24" i="2"/>
  <c r="J25" i="2" s="1"/>
  <c r="J26" i="2" s="1"/>
  <c r="I73" i="2" l="1"/>
  <c r="I87" i="2" s="1"/>
  <c r="G38" i="2"/>
  <c r="G52" i="2" s="1"/>
  <c r="G118" i="2" s="1"/>
  <c r="G112" i="2"/>
  <c r="G113" i="2" s="1"/>
  <c r="H68" i="2"/>
  <c r="H117" i="2"/>
  <c r="K24" i="2"/>
  <c r="J36" i="2"/>
  <c r="J72" i="2" s="1"/>
  <c r="J73" i="2" s="1"/>
  <c r="I111" i="2"/>
  <c r="I68" i="2"/>
  <c r="J56" i="2"/>
  <c r="J46" i="2" s="1"/>
  <c r="J51" i="2"/>
  <c r="J45" i="2" s="1"/>
  <c r="H34" i="2" l="1"/>
  <c r="K36" i="2"/>
  <c r="K72" i="2" s="1"/>
  <c r="K73" i="2" s="1"/>
  <c r="K87" i="2" s="1"/>
  <c r="K25" i="2"/>
  <c r="K26" i="2" s="1"/>
  <c r="J47" i="2"/>
  <c r="H37" i="2"/>
  <c r="H38" i="2" s="1"/>
  <c r="I34" i="2" s="1"/>
  <c r="J87" i="2"/>
  <c r="I117" i="2"/>
  <c r="L24" i="2"/>
  <c r="K51" i="2"/>
  <c r="K45" i="2" s="1"/>
  <c r="K56" i="2"/>
  <c r="K46" i="2" s="1"/>
  <c r="J111" i="2"/>
  <c r="K47" i="2" l="1"/>
  <c r="L36" i="2"/>
  <c r="L72" i="2" s="1"/>
  <c r="L25" i="2"/>
  <c r="L26" i="2" s="1"/>
  <c r="L111" i="2" s="1"/>
  <c r="H112" i="2"/>
  <c r="H113" i="2" s="1"/>
  <c r="H67" i="2"/>
  <c r="I37" i="2"/>
  <c r="I67" i="2" s="1"/>
  <c r="H52" i="2"/>
  <c r="H118" i="2" s="1"/>
  <c r="J68" i="2"/>
  <c r="L56" i="2"/>
  <c r="L46" i="2" s="1"/>
  <c r="J117" i="2"/>
  <c r="M24" i="2"/>
  <c r="L51" i="2"/>
  <c r="L45" i="2" s="1"/>
  <c r="K111" i="2"/>
  <c r="L73" i="2" l="1"/>
  <c r="L87" i="2" s="1"/>
  <c r="L47" i="2"/>
  <c r="L117" i="2" s="1"/>
  <c r="I112" i="2"/>
  <c r="I113" i="2" s="1"/>
  <c r="I38" i="2"/>
  <c r="I52" i="2" s="1"/>
  <c r="I118" i="2" s="1"/>
  <c r="M36" i="2"/>
  <c r="M72" i="2" s="1"/>
  <c r="M25" i="2"/>
  <c r="M26" i="2" s="1"/>
  <c r="M111" i="2" s="1"/>
  <c r="K68" i="2"/>
  <c r="M51" i="2"/>
  <c r="M45" i="2" s="1"/>
  <c r="M56" i="2"/>
  <c r="M46" i="2" s="1"/>
  <c r="N24" i="2"/>
  <c r="K117" i="2"/>
  <c r="J34" i="2" l="1"/>
  <c r="J37" i="2" s="1"/>
  <c r="J67" i="2" s="1"/>
  <c r="M73" i="2"/>
  <c r="M87" i="2" s="1"/>
  <c r="M47" i="2"/>
  <c r="M117" i="2" s="1"/>
  <c r="N36" i="2"/>
  <c r="N72" i="2" s="1"/>
  <c r="N25" i="2"/>
  <c r="N26" i="2" s="1"/>
  <c r="L68" i="2"/>
  <c r="N51" i="2"/>
  <c r="N45" i="2" s="1"/>
  <c r="O24" i="2"/>
  <c r="N56" i="2"/>
  <c r="N46" i="2" s="1"/>
  <c r="E2" i="2"/>
  <c r="A1" i="6"/>
  <c r="N47" i="2" l="1"/>
  <c r="N73" i="2"/>
  <c r="N87" i="2" s="1"/>
  <c r="O36" i="2"/>
  <c r="O72" i="2" s="1"/>
  <c r="O73" i="2" s="1"/>
  <c r="O87" i="2" s="1"/>
  <c r="O25" i="2"/>
  <c r="O26" i="2" s="1"/>
  <c r="J112" i="2"/>
  <c r="J113" i="2" s="1"/>
  <c r="J38" i="2"/>
  <c r="K34" i="2" s="1"/>
  <c r="O51" i="2"/>
  <c r="O45" i="2" s="1"/>
  <c r="N111" i="2"/>
  <c r="N68" i="2"/>
  <c r="M68" i="2"/>
  <c r="O56" i="2"/>
  <c r="O46" i="2" s="1"/>
  <c r="D2" i="2"/>
  <c r="C2" i="2" s="1"/>
  <c r="J52" i="2" l="1"/>
  <c r="J118" i="2" s="1"/>
  <c r="K37" i="2"/>
  <c r="K67" i="2" s="1"/>
  <c r="O47" i="2"/>
  <c r="O117" i="2" s="1"/>
  <c r="N117" i="2"/>
  <c r="O111" i="2"/>
  <c r="F2" i="2"/>
  <c r="G2" i="2" s="1"/>
  <c r="H2" i="2" s="1"/>
  <c r="I2" i="2" s="1"/>
  <c r="J2" i="2" s="1"/>
  <c r="K2" i="2" s="1"/>
  <c r="L2" i="2" s="1"/>
  <c r="M2" i="2" s="1"/>
  <c r="N2" i="2" s="1"/>
  <c r="O2" i="2" s="1"/>
  <c r="K112" i="2" l="1"/>
  <c r="K113" i="2" s="1"/>
  <c r="K38" i="2"/>
  <c r="K52" i="2" s="1"/>
  <c r="K118" i="2" s="1"/>
  <c r="O68" i="2"/>
  <c r="L34" i="2" l="1"/>
  <c r="L37" i="2" s="1"/>
  <c r="L67" i="2" l="1"/>
  <c r="L38" i="2"/>
  <c r="M34" i="2" s="1"/>
  <c r="M37" i="2" s="1"/>
  <c r="M67" i="2" s="1"/>
  <c r="L112" i="2"/>
  <c r="L113" i="2" s="1"/>
  <c r="L52" i="2" l="1"/>
  <c r="L118" i="2" s="1"/>
  <c r="M38" i="2"/>
  <c r="M52" i="2" s="1"/>
  <c r="M118" i="2" s="1"/>
  <c r="M112" i="2"/>
  <c r="M113" i="2" s="1"/>
  <c r="N34" i="2" l="1"/>
  <c r="N37" i="2" s="1"/>
  <c r="N67" i="2" l="1"/>
  <c r="N112" i="2"/>
  <c r="N113" i="2" s="1"/>
  <c r="N38" i="2"/>
  <c r="N52" i="2" s="1"/>
  <c r="N118" i="2" s="1"/>
  <c r="O34" i="2" l="1"/>
  <c r="O37" i="2" s="1"/>
  <c r="O67" i="2" s="1"/>
  <c r="O112" i="2" l="1"/>
  <c r="O113" i="2" s="1"/>
  <c r="O38" i="2"/>
  <c r="O52" i="2" s="1"/>
  <c r="O118" i="2" s="1"/>
  <c r="M63" i="2" l="1"/>
  <c r="N78" i="2"/>
  <c r="N88" i="2"/>
  <c r="I125" i="2"/>
  <c r="I28" i="2"/>
  <c r="M90" i="2"/>
  <c r="M82" i="2"/>
  <c r="H30" i="2"/>
  <c r="H82" i="2"/>
  <c r="H90" i="2"/>
  <c r="J90" i="2"/>
  <c r="J82" i="2"/>
  <c r="H61" i="2"/>
  <c r="H126" i="2"/>
  <c r="H124" i="2"/>
  <c r="H76" i="2"/>
  <c r="H58" i="2"/>
  <c r="O78" i="2"/>
  <c r="O88" i="2"/>
  <c r="F76" i="2"/>
  <c r="O125" i="2"/>
  <c r="O28" i="2"/>
  <c r="G124" i="2"/>
  <c r="G126" i="2"/>
  <c r="F124" i="2"/>
  <c r="F126" i="2"/>
  <c r="M53" i="2"/>
  <c r="N90" i="2"/>
  <c r="M50" i="2"/>
  <c r="N82" i="2"/>
  <c r="H114" i="2"/>
  <c r="J28" i="2"/>
  <c r="J125" i="2"/>
  <c r="J76" i="2"/>
  <c r="N30" i="2"/>
  <c r="F88" i="2"/>
  <c r="F78" i="2"/>
  <c r="N125" i="2"/>
  <c r="N28" i="2"/>
  <c r="G88" i="2"/>
  <c r="G78" i="2"/>
  <c r="L126" i="2"/>
  <c r="L124" i="2"/>
  <c r="N123" i="2"/>
  <c r="G60" i="2"/>
  <c r="I126" i="2"/>
  <c r="I124" i="2"/>
  <c r="H28" i="2"/>
  <c r="H125" i="2"/>
  <c r="O114" i="2"/>
  <c r="L114" i="2"/>
  <c r="H106" i="2"/>
  <c r="G125" i="2"/>
  <c r="G28" i="2"/>
  <c r="J60" i="2"/>
  <c r="J126" i="2"/>
  <c r="J124" i="2"/>
  <c r="I78" i="2"/>
  <c r="I88" i="2"/>
  <c r="J114" i="2"/>
  <c r="K76" i="2"/>
  <c r="F60" i="2"/>
  <c r="O30" i="2"/>
  <c r="O60" i="2"/>
  <c r="I63" i="2"/>
  <c r="F30" i="2"/>
  <c r="J88" i="2"/>
  <c r="J78" i="2"/>
  <c r="H88" i="2"/>
  <c r="H78" i="2"/>
  <c r="K126" i="2"/>
  <c r="K124" i="2"/>
  <c r="F114" i="2"/>
  <c r="H97" i="2"/>
  <c r="L125" i="2"/>
  <c r="L106" i="2"/>
  <c r="L28" i="2"/>
  <c r="F123" i="2"/>
  <c r="F122" i="2"/>
  <c r="F121" i="2"/>
  <c r="G106" i="2"/>
  <c r="G76" i="2"/>
  <c r="K82" i="2"/>
  <c r="K90" i="2"/>
  <c r="N124" i="2"/>
  <c r="N122" i="2"/>
  <c r="N126" i="2"/>
  <c r="I30" i="2"/>
  <c r="I122" i="2"/>
  <c r="I123" i="2"/>
  <c r="G63" i="2"/>
  <c r="F28" i="2"/>
  <c r="F106" i="2"/>
  <c r="F125" i="2"/>
  <c r="K97" i="2"/>
  <c r="N97" i="2"/>
  <c r="O126" i="2"/>
  <c r="O124" i="2"/>
  <c r="K123" i="2"/>
  <c r="K121" i="2"/>
  <c r="K122" i="2"/>
  <c r="I60" i="2"/>
  <c r="J42" i="2"/>
  <c r="J75" i="2"/>
  <c r="K55" i="2"/>
  <c r="K58" i="2"/>
  <c r="K61" i="2"/>
  <c r="K60" i="2"/>
  <c r="L60" i="2"/>
  <c r="G97" i="2"/>
  <c r="L61" i="2"/>
  <c r="K78" i="2"/>
  <c r="K88" i="2"/>
  <c r="K28" i="2"/>
  <c r="K106" i="2"/>
  <c r="K125" i="2"/>
  <c r="G114" i="2"/>
  <c r="L82" i="2"/>
  <c r="L90" i="2"/>
  <c r="N114" i="2"/>
  <c r="M125" i="2"/>
  <c r="M28" i="2"/>
  <c r="K114" i="2"/>
  <c r="L78" i="2"/>
  <c r="L42" i="2"/>
  <c r="L75" i="2"/>
  <c r="L88" i="2"/>
  <c r="L122" i="2"/>
  <c r="L123" i="2"/>
  <c r="I97" i="2"/>
  <c r="O90" i="2"/>
  <c r="O82" i="2"/>
  <c r="G55" i="2"/>
  <c r="G58" i="2"/>
  <c r="G61" i="2"/>
  <c r="L97" i="2"/>
  <c r="M30" i="2"/>
  <c r="M97" i="2"/>
  <c r="M106" i="2"/>
  <c r="L121" i="2"/>
  <c r="I76" i="2"/>
  <c r="K30" i="2"/>
  <c r="G82" i="2"/>
  <c r="G90" i="2"/>
  <c r="H42" i="2"/>
  <c r="H75" i="2"/>
  <c r="J122" i="2"/>
  <c r="J121" i="2"/>
  <c r="J123" i="2"/>
  <c r="J55" i="2"/>
  <c r="J58" i="2"/>
  <c r="J61" i="2"/>
  <c r="N106" i="2"/>
  <c r="O63" i="2"/>
  <c r="L76" i="2"/>
  <c r="L55" i="2"/>
  <c r="L58" i="2"/>
  <c r="O43" i="2"/>
  <c r="M123" i="2"/>
  <c r="I114" i="2"/>
  <c r="M78" i="2"/>
  <c r="M88" i="2"/>
  <c r="J30" i="2"/>
  <c r="M60" i="2"/>
  <c r="N76" i="2"/>
  <c r="I50" i="2"/>
  <c r="I53" i="2"/>
  <c r="N60" i="2"/>
  <c r="N40" i="2"/>
  <c r="N43" i="2"/>
  <c r="O40" i="2"/>
  <c r="I58" i="2"/>
  <c r="I61" i="2"/>
  <c r="O76" i="2"/>
  <c r="H60" i="2"/>
  <c r="O123" i="2"/>
  <c r="O122" i="2"/>
  <c r="I106" i="2"/>
  <c r="H55" i="2"/>
  <c r="M76" i="2"/>
  <c r="O106" i="2"/>
  <c r="N121" i="2"/>
  <c r="K42" i="2"/>
  <c r="K75" i="2"/>
  <c r="I82" i="2"/>
  <c r="I90" i="2"/>
  <c r="M126" i="2"/>
  <c r="M121" i="2"/>
  <c r="M122" i="2"/>
  <c r="M124" i="2"/>
  <c r="O121" i="2"/>
  <c r="M114" i="2"/>
  <c r="G42" i="2"/>
  <c r="G75" i="2"/>
  <c r="H63" i="2"/>
  <c r="J97" i="2"/>
  <c r="I121" i="2"/>
  <c r="I55" i="2"/>
  <c r="J106" i="2"/>
  <c r="H122" i="2"/>
  <c r="H121" i="2"/>
  <c r="H123" i="2"/>
  <c r="O53" i="2"/>
  <c r="O42" i="2"/>
  <c r="O75" i="2"/>
  <c r="O50" i="2"/>
  <c r="O97" i="2"/>
  <c r="O100" i="2"/>
  <c r="G123" i="2"/>
  <c r="G121" i="2"/>
  <c r="G122" i="2"/>
  <c r="G30" i="2"/>
  <c r="O96" i="2"/>
  <c r="O98" i="2"/>
  <c r="O55" i="2"/>
  <c r="O58" i="2"/>
  <c r="O61" i="2"/>
  <c r="J63" i="2"/>
  <c r="N42" i="2"/>
  <c r="N75" i="2"/>
  <c r="F55" i="2"/>
  <c r="F58" i="2"/>
  <c r="F61" i="2"/>
  <c r="M80" i="2"/>
  <c r="M83" i="2"/>
  <c r="F50" i="2"/>
  <c r="F53" i="2"/>
  <c r="F63" i="2"/>
  <c r="H50" i="2"/>
  <c r="H53" i="2"/>
  <c r="M55" i="2"/>
  <c r="M58" i="2"/>
  <c r="M61" i="2"/>
  <c r="I42" i="2"/>
  <c r="I75" i="2"/>
  <c r="M42" i="2"/>
  <c r="M75" i="2"/>
  <c r="I80" i="2"/>
  <c r="I83" i="2"/>
  <c r="K50" i="2"/>
  <c r="K53" i="2"/>
  <c r="K63" i="2"/>
  <c r="G96" i="2"/>
  <c r="G98" i="2"/>
  <c r="H96" i="2"/>
  <c r="H98" i="2"/>
  <c r="I96" i="2"/>
  <c r="I98" i="2"/>
  <c r="J96" i="2"/>
  <c r="J98" i="2"/>
  <c r="K96" i="2"/>
  <c r="K98" i="2"/>
  <c r="L96" i="2"/>
  <c r="L98" i="2"/>
  <c r="M96" i="2"/>
  <c r="M98" i="2"/>
  <c r="N96" i="2"/>
  <c r="N98" i="2"/>
  <c r="N55" i="2"/>
  <c r="N58" i="2"/>
  <c r="N61" i="2"/>
  <c r="L30" i="2"/>
  <c r="F80" i="2"/>
  <c r="F83" i="2"/>
  <c r="N50" i="2"/>
  <c r="N53" i="2"/>
  <c r="N63" i="2"/>
  <c r="O86" i="2"/>
  <c r="O89" i="2"/>
  <c r="O91" i="2"/>
  <c r="O94" i="2"/>
  <c r="L50" i="2"/>
  <c r="L53" i="2"/>
  <c r="L63" i="2"/>
  <c r="H80" i="2"/>
  <c r="H83" i="2"/>
  <c r="L80" i="2"/>
  <c r="L83" i="2"/>
  <c r="F42" i="2"/>
  <c r="F75" i="2"/>
  <c r="K80" i="2"/>
  <c r="K83" i="2"/>
  <c r="K40" i="2"/>
  <c r="K43" i="2"/>
  <c r="L40" i="2"/>
  <c r="L43" i="2"/>
  <c r="M40" i="2"/>
  <c r="M43" i="2"/>
  <c r="O31" i="2"/>
  <c r="O41" i="2"/>
  <c r="O66" i="2"/>
  <c r="O69" i="2"/>
  <c r="O80" i="2"/>
  <c r="O83" i="2"/>
  <c r="N80" i="2"/>
  <c r="N83" i="2"/>
  <c r="J83" i="2"/>
  <c r="J50" i="2"/>
  <c r="J53" i="2"/>
  <c r="F43" i="2"/>
  <c r="G40" i="2"/>
  <c r="G43" i="2"/>
  <c r="H40" i="2"/>
  <c r="H43" i="2"/>
  <c r="I40" i="2"/>
  <c r="I43" i="2"/>
  <c r="J40" i="2"/>
  <c r="J43" i="2"/>
  <c r="N69" i="2"/>
  <c r="N86" i="2"/>
  <c r="N89" i="2"/>
  <c r="N91" i="2"/>
  <c r="N94" i="2"/>
  <c r="N100" i="2"/>
  <c r="O108" i="2"/>
  <c r="O27" i="2"/>
  <c r="O29" i="2"/>
  <c r="F97" i="2"/>
  <c r="F98" i="2"/>
  <c r="N29" i="2"/>
  <c r="N31" i="2"/>
  <c r="N41" i="2"/>
  <c r="N66" i="2"/>
  <c r="J80" i="2"/>
  <c r="M86" i="2"/>
  <c r="M89" i="2"/>
  <c r="M91" i="2"/>
  <c r="M94" i="2"/>
  <c r="M100" i="2"/>
  <c r="N108" i="2"/>
  <c r="N27" i="2"/>
  <c r="G86" i="2"/>
  <c r="G89" i="2"/>
  <c r="G91" i="2"/>
  <c r="G94" i="2"/>
  <c r="G100" i="2"/>
  <c r="H108" i="2"/>
  <c r="H27" i="2"/>
  <c r="H29" i="2"/>
  <c r="H31" i="2"/>
  <c r="H41" i="2"/>
  <c r="H66" i="2"/>
  <c r="H69" i="2"/>
  <c r="H86" i="2"/>
  <c r="H89" i="2"/>
  <c r="H91" i="2"/>
  <c r="H94" i="2"/>
  <c r="H100" i="2"/>
  <c r="I108" i="2"/>
  <c r="I27" i="2"/>
  <c r="I29" i="2"/>
  <c r="I31" i="2"/>
  <c r="I41" i="2"/>
  <c r="I66" i="2"/>
  <c r="I69" i="2"/>
  <c r="I86" i="2"/>
  <c r="I89" i="2"/>
  <c r="I91" i="2"/>
  <c r="I94" i="2"/>
  <c r="I100" i="2"/>
  <c r="J108" i="2"/>
  <c r="J27" i="2"/>
  <c r="J29" i="2"/>
  <c r="J31" i="2"/>
  <c r="J41" i="2"/>
  <c r="J66" i="2"/>
  <c r="J69" i="2"/>
  <c r="J86" i="2"/>
  <c r="J89" i="2"/>
  <c r="J91" i="2"/>
  <c r="J94" i="2"/>
  <c r="J100" i="2"/>
  <c r="K108" i="2"/>
  <c r="K27" i="2"/>
  <c r="K29" i="2"/>
  <c r="K31" i="2"/>
  <c r="K41" i="2"/>
  <c r="K66" i="2"/>
  <c r="K69" i="2"/>
  <c r="K86" i="2"/>
  <c r="K89" i="2"/>
  <c r="K91" i="2"/>
  <c r="K94" i="2"/>
  <c r="K100" i="2"/>
  <c r="L108" i="2"/>
  <c r="L27" i="2"/>
  <c r="L29" i="2"/>
  <c r="L31" i="2"/>
  <c r="L41" i="2"/>
  <c r="L66" i="2"/>
  <c r="L69" i="2"/>
  <c r="L86" i="2"/>
  <c r="L89" i="2"/>
  <c r="L91" i="2"/>
  <c r="L94" i="2"/>
  <c r="L100" i="2"/>
  <c r="M108" i="2"/>
  <c r="M27" i="2"/>
  <c r="M29" i="2"/>
  <c r="M31" i="2"/>
  <c r="M41" i="2"/>
  <c r="M66" i="2"/>
  <c r="M69" i="2"/>
  <c r="F108" i="2"/>
  <c r="F27" i="2"/>
  <c r="F29" i="2"/>
  <c r="F31" i="2"/>
  <c r="F41" i="2"/>
  <c r="F66" i="2"/>
  <c r="F69" i="2"/>
  <c r="F86" i="2"/>
  <c r="F89" i="2"/>
  <c r="F91" i="2"/>
  <c r="F94" i="2"/>
  <c r="F100" i="2"/>
  <c r="G108" i="2"/>
  <c r="G27" i="2"/>
  <c r="G29" i="2"/>
  <c r="G31" i="2"/>
  <c r="G41" i="2"/>
  <c r="G66" i="2"/>
  <c r="G69" i="2"/>
  <c r="G80" i="2"/>
  <c r="G83" i="2"/>
  <c r="G50" i="2"/>
  <c r="G53" i="2"/>
</calcChain>
</file>

<file path=xl/sharedStrings.xml><?xml version="1.0" encoding="utf-8"?>
<sst xmlns="http://schemas.openxmlformats.org/spreadsheetml/2006/main" count="148" uniqueCount="119">
  <si>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</si>
  <si>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</si>
  <si>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</si>
  <si>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</si>
  <si>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</si>
  <si>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</si>
  <si>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</si>
  <si>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</si>
  <si>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</si>
  <si>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</si>
  <si>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</si>
  <si>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</si>
  <si>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</si>
  <si>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</si>
  <si>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</si>
  <si>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</si>
  <si>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</si>
  <si>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</si>
  <si>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</si>
  <si>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</si>
  <si>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</si>
  <si>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</si>
  <si>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</si>
  <si>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</si>
  <si>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</si>
  <si>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</si>
  <si>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</si>
  <si>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</si>
  <si>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</si>
  <si>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</si>
  <si>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</si>
  <si>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</si>
  <si>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</si>
  <si>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</si>
  <si>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Long term assets</t>
  </si>
  <si>
    <t>Total assets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</si>
  <si>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</si>
  <si>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</si>
  <si>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</si>
  <si>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</si>
  <si>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</si>
  <si>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</si>
  <si>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</si>
  <si>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</si>
  <si>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</si>
  <si>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</si>
  <si>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</si>
  <si>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</si>
  <si>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</si>
  <si>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</si>
  <si>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</si>
  <si>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</si>
  <si>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</si>
  <si>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</si>
  <si>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</si>
  <si>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</si>
  <si>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Net Debt and Interest Assumptions</t>
  </si>
  <si>
    <t>Cash Flow Statement</t>
  </si>
  <si>
    <t>Net Debt and Interest Calculations</t>
  </si>
  <si>
    <t>Taxes % of earnings before tax</t>
  </si>
  <si>
    <t>EBIT margin</t>
  </si>
  <si>
    <t>NI margin</t>
  </si>
  <si>
    <t>Long term debt issuance / (repayment)</t>
  </si>
  <si>
    <t xml:space="preserve">Dividend payout </t>
  </si>
  <si>
    <t>Beginning long term assets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</si>
  <si>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</si>
  <si>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</si>
  <si>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</si>
  <si>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</si>
  <si>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</si>
  <si>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</si>
  <si>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</si>
  <si>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</si>
  <si>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</si>
  <si>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</si>
  <si>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</si>
  <si>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</si>
  <si>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</si>
  <si>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</si>
  <si>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</si>
  <si>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</si>
  <si>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</si>
  <si>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</si>
  <si>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</si>
  <si>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Interest on revolver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</si>
  <si>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</si>
  <si>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</si>
  <si>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</si>
  <si>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</si>
  <si>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</si>
  <si>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</si>
  <si>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</si>
  <si>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</si>
  <si>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</si>
  <si>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</si>
  <si>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</si>
  <si>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Long term debt (including currently due)</t>
  </si>
  <si>
    <t>Operating current assets</t>
  </si>
  <si>
    <t>Operating current liabilities</t>
  </si>
  <si>
    <t>Operating current assets % revenues</t>
  </si>
  <si>
    <t>Operating current liabilities % revenues</t>
  </si>
  <si>
    <t>End</t>
  </si>
  <si>
    <t>Income Statement Operating Statistics</t>
  </si>
  <si>
    <t>Balance Sheet Operating Statistics</t>
  </si>
  <si>
    <t>Calculations</t>
  </si>
  <si>
    <t>Maintanence capex % revenues</t>
  </si>
  <si>
    <t>Maintanence capex</t>
  </si>
  <si>
    <t>Long term debt 1 issuance / (repayment)</t>
  </si>
  <si>
    <t>Long term debt 1 interest rate</t>
  </si>
  <si>
    <t>Beginning long term debt 1</t>
  </si>
  <si>
    <t>Ending long term debt 1</t>
  </si>
  <si>
    <t>Interest on long term debt 1</t>
  </si>
  <si>
    <t>Editing to introduce new variables</t>
  </si>
  <si>
    <t>Instructions</t>
  </si>
  <si>
    <t>Edit the model to include the following items:</t>
  </si>
  <si>
    <t>Expansionary capex</t>
  </si>
  <si>
    <t>Expansionary capex $ amount</t>
  </si>
  <si>
    <t>Expansionary capital expenditure of 1,400.0 in 2017</t>
  </si>
  <si>
    <t>10 year long term debt tranche 2 with issuance of 700.0 in year 2016 and interest rate of 4.5%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</si>
</sst>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9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" fillId="38" borderId="0" xfId="64">
      <alignment vertical="top"/>
    </xf>
    <xf numFmtId="174" fontId="0" fillId="38" borderId="0" xfId="64" applyNumberFormat="1" applyFont="1" applyAlignment="1"/>
    <xf numFmtId="172" fontId="0" fillId="38" borderId="0" xfId="64" applyNumberFormat="1" applyFont="1" applyAlignment="1"/>
    <xf numFmtId="174" fontId="30" fillId="38" borderId="11" xfId="64" applyNumberFormat="1" applyFont="1" applyBorder="1" applyAlignment="1" applyProtection="1">
      <protection locked="0"/>
    </xf>
    <xf numFmtId="170" fontId="3" fillId="0" borderId="0" xfId="54" applyFill="1">
      <alignment vertical="top"/>
    </xf>
    <xf numFmtId="172" fontId="30" fillId="0" borderId="11" xfId="57" applyFont="1" applyFill="1" applyBorder="1" applyProtection="1">
      <protection locked="0"/>
    </xf>
    <xf numFmtId="174" fontId="4" fillId="5" borderId="0" xfId="50" applyNumberFormat="1" applyFill="1">
      <alignment horizontal="left" vertical="center"/>
    </xf>
    <xf numFmtId="170" fontId="3" fillId="0" borderId="0" xfId="64" applyFill="1">
      <alignment vertical="top"/>
    </xf>
    <xf numFmtId="174" fontId="0" fillId="0" borderId="0" xfId="64" applyNumberFormat="1" applyFont="1" applyFill="1" applyAlignment="1"/>
    <xf numFmtId="170" fontId="4" fillId="0" borderId="0" xfId="50" applyNumberFormat="1" applyFill="1">
      <alignment horizontal="left" vertical="center"/>
    </xf>
    <xf numFmtId="174" fontId="30" fillId="0" borderId="0" xfId="64" applyNumberFormat="1" applyFont="1" applyFill="1" applyAlignme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163755</xdr:colOff>
      <xdr:row>0</xdr:row>
      <xdr:rowOff>468632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s="22" customFormat="1" ht="75" customHeight="1" x14ac:dyDescent="0.3">
      <c r="A2" s="85" t="s">
        <v>20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84"/>
      <c r="D4" s="8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86" t="s">
        <v>11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s="23" customFormat="1" ht="15" customHeight="1" x14ac:dyDescent="0.3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s="23" customFormat="1" ht="15" customHeight="1" x14ac:dyDescent="0.3">
      <c r="A7" s="86" t="str">
        <f ca="1">"© "&amp;YEAR(TODAY())&amp;" Financial Edge Training "</f>
        <v xml:space="preserve">© 2019 Financial Edge Training 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87"/>
      <c r="H9" s="87"/>
      <c r="I9" s="87"/>
      <c r="J9" s="87"/>
      <c r="K9" s="28"/>
    </row>
    <row r="10" spans="1:14" s="23" customFormat="1" ht="15" customHeight="1" x14ac:dyDescent="0.3">
      <c r="B10" s="24"/>
      <c r="C10" s="24"/>
      <c r="F10" s="28"/>
      <c r="G10" s="87"/>
      <c r="H10" s="87"/>
      <c r="I10" s="87"/>
      <c r="J10" s="87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83"/>
      <c r="H12" s="83"/>
      <c r="I12" s="83"/>
      <c r="J12" s="83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83"/>
      <c r="H13" s="83"/>
      <c r="I13" s="83"/>
      <c r="J13" s="83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83"/>
      <c r="H14" s="83"/>
      <c r="I14" s="83"/>
      <c r="J14" s="83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83"/>
      <c r="H16" s="83"/>
      <c r="I16" s="83"/>
      <c r="J16" s="83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92" t="s">
        <v>0</v>
      </c>
      <c r="C4" s="92"/>
      <c r="D4" s="92"/>
      <c r="E4" s="92"/>
      <c r="F4" s="92"/>
      <c r="G4" s="92"/>
      <c r="H4" s="92"/>
      <c r="I4" s="92"/>
      <c r="K4" s="1"/>
      <c r="L4" s="92" t="s">
        <v>2</v>
      </c>
      <c r="M4" s="92"/>
      <c r="N4" s="92"/>
      <c r="O4" s="92"/>
      <c r="P4" s="92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9" t="s">
        <v>95</v>
      </c>
      <c r="O5" s="89"/>
      <c r="P5" s="89"/>
      <c r="Q5" s="89"/>
      <c r="R5" s="45"/>
    </row>
    <row r="6" spans="1:18" s="2" customFormat="1" ht="15" customHeight="1" x14ac:dyDescent="0.3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90">
        <v>42004</v>
      </c>
      <c r="O6" s="90"/>
      <c r="P6" s="90"/>
      <c r="Q6" s="90"/>
      <c r="R6" s="45"/>
    </row>
    <row r="7" spans="1:18" s="2" customFormat="1" ht="15" customHeight="1" x14ac:dyDescent="0.3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9"/>
      <c r="O7" s="89"/>
      <c r="P7" s="89"/>
      <c r="Q7" s="89"/>
      <c r="R7" s="45"/>
    </row>
    <row r="8" spans="1:18" s="2" customFormat="1" ht="15" customHeight="1" x14ac:dyDescent="0.3">
      <c r="A8" s="18"/>
      <c r="B8" s="8" t="s">
        <v>1</v>
      </c>
      <c r="C8" s="18" t="s">
        <v>46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9" t="s">
        <v>9</v>
      </c>
      <c r="O8" s="89"/>
      <c r="P8" s="89"/>
      <c r="Q8" s="89"/>
      <c r="R8" s="45"/>
    </row>
    <row r="9" spans="1:18" s="2" customFormat="1" ht="15" customHeight="1" x14ac:dyDescent="0.3">
      <c r="A9" s="43"/>
      <c r="B9" s="8" t="s">
        <v>1</v>
      </c>
      <c r="C9" s="18" t="s">
        <v>47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9" t="s">
        <v>10</v>
      </c>
      <c r="O9" s="89"/>
      <c r="P9" s="89"/>
      <c r="Q9" s="89"/>
      <c r="R9" s="45"/>
    </row>
    <row r="10" spans="1:18" s="2" customFormat="1" ht="15" customHeight="1" x14ac:dyDescent="0.3">
      <c r="A10" s="44"/>
      <c r="B10" s="8" t="s">
        <v>1</v>
      </c>
      <c r="C10" s="44" t="s">
        <v>112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1">
        <v>1</v>
      </c>
      <c r="O10" s="91"/>
      <c r="P10" s="91"/>
      <c r="Q10" s="91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93" t="s">
        <v>19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N13" s="1"/>
      <c r="O13" s="92" t="s">
        <v>14</v>
      </c>
      <c r="P13" s="92"/>
      <c r="Q13" s="92"/>
      <c r="R13" s="62"/>
    </row>
    <row r="14" spans="1:18" s="2" customFormat="1" ht="15" customHeight="1" x14ac:dyDescent="0.3">
      <c r="A14" s="60"/>
      <c r="B14" s="88" t="s">
        <v>45</v>
      </c>
      <c r="C14" s="88"/>
      <c r="D14" s="88" t="s">
        <v>24</v>
      </c>
      <c r="E14" s="88"/>
      <c r="F14" s="88"/>
      <c r="G14" s="88"/>
      <c r="H14" s="88"/>
      <c r="I14" s="88"/>
      <c r="J14" s="88"/>
      <c r="K14" s="88"/>
      <c r="L14" s="88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N15" s="3"/>
      <c r="O15" s="27"/>
      <c r="P15" s="56" t="s">
        <v>15</v>
      </c>
      <c r="Q15" s="22"/>
      <c r="R15" s="60"/>
    </row>
    <row r="16" spans="1:18" s="2" customFormat="1" ht="15" customHeight="1" x14ac:dyDescent="0.3">
      <c r="A16" s="60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N16" s="18"/>
      <c r="O16" s="27"/>
      <c r="P16" s="38" t="s">
        <v>16</v>
      </c>
      <c r="Q16" s="22"/>
      <c r="R16" s="60"/>
    </row>
    <row r="17" spans="1:18" s="2" customFormat="1" ht="15" customHeight="1" x14ac:dyDescent="0.3">
      <c r="A17" s="60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N17" s="18"/>
      <c r="O17" s="27"/>
      <c r="P17" t="s">
        <v>17</v>
      </c>
      <c r="Q17" s="22"/>
      <c r="R17" s="60"/>
    </row>
    <row r="18" spans="1:18" s="2" customFormat="1" ht="15" customHeight="1" x14ac:dyDescent="0.3">
      <c r="A18" s="44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35"/>
      <c r="N21" s="59"/>
      <c r="O21" s="59"/>
      <c r="P21" s="59"/>
      <c r="Q21" s="59"/>
      <c r="R21" s="59"/>
    </row>
    <row r="22" spans="1:18" ht="22.5" customHeight="1" x14ac:dyDescent="0.3">
      <c r="A22" s="59"/>
      <c r="B22" s="77" t="s">
        <v>113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35"/>
      <c r="N22" s="59"/>
      <c r="O22" s="59"/>
      <c r="P22" s="59"/>
      <c r="Q22" s="59"/>
      <c r="R22" s="59"/>
    </row>
    <row r="23" spans="1:18" x14ac:dyDescent="0.3">
      <c r="A23" s="59"/>
      <c r="B23" s="59" t="s">
        <v>114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35"/>
      <c r="N23" s="59"/>
      <c r="O23" s="59"/>
      <c r="P23" s="59"/>
      <c r="Q23" s="59"/>
      <c r="R23" s="59"/>
    </row>
    <row r="24" spans="1:18" x14ac:dyDescent="0.3">
      <c r="A24" s="59"/>
      <c r="B24" s="8" t="s">
        <v>1</v>
      </c>
      <c r="C24" s="59" t="s">
        <v>117</v>
      </c>
      <c r="D24" s="59"/>
      <c r="E24" s="59"/>
      <c r="F24" s="59"/>
      <c r="G24" s="59"/>
      <c r="H24" s="59"/>
      <c r="I24" s="59"/>
      <c r="J24" s="59"/>
      <c r="K24" s="59"/>
      <c r="L24" s="59"/>
      <c r="M24" s="32"/>
      <c r="N24" s="59"/>
      <c r="O24" s="59"/>
      <c r="P24" s="59"/>
      <c r="Q24" s="59"/>
      <c r="R24" s="59"/>
    </row>
    <row r="25" spans="1:18" x14ac:dyDescent="0.3">
      <c r="A25" s="59"/>
      <c r="B25" s="8" t="s">
        <v>1</v>
      </c>
      <c r="C25" s="59" t="s">
        <v>118</v>
      </c>
      <c r="D25" s="59"/>
      <c r="E25" s="59"/>
      <c r="F25" s="59"/>
      <c r="G25" s="59"/>
      <c r="H25" s="59"/>
      <c r="I25" s="59"/>
      <c r="J25" s="59"/>
      <c r="K25" s="59"/>
      <c r="L25" s="59"/>
      <c r="M25" s="32"/>
      <c r="N25" s="59"/>
      <c r="O25" s="59"/>
      <c r="P25" s="59"/>
      <c r="Q25" s="59"/>
      <c r="R25" s="59"/>
    </row>
    <row r="26" spans="1:18" ht="15" thickBot="1" x14ac:dyDescent="0.3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32"/>
      <c r="N26" s="61"/>
      <c r="O26" s="61"/>
      <c r="P26" s="61"/>
      <c r="Q26" s="61"/>
      <c r="R26" s="61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2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10" width="11" customWidth="1"/>
    <col min="11" max="12" width="9.21875" customWidth="1"/>
    <col min="16" max="16" width="9.109375" customWidth="1"/>
  </cols>
  <sheetData>
    <row r="1" spans="1:15" s="50" customFormat="1" ht="45" customHeight="1" x14ac:dyDescent="0.55000000000000004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4">
      <c r="A2" s="14" t="str">
        <f>Info!N5</f>
        <v>Workout</v>
      </c>
      <c r="B2" s="7"/>
      <c r="C2" s="11">
        <f>DATE(YEAR(D2)-1,MONTH(D2),DAY(D2))</f>
        <v>41274</v>
      </c>
      <c r="D2" s="11">
        <f>DATE(YEAR(E2)-1,MONTH(E2),DAY(E2))</f>
        <v>41639</v>
      </c>
      <c r="E2" s="11">
        <f>Info!N6</f>
        <v>42004</v>
      </c>
      <c r="F2" s="11">
        <f>DATE(YEAR(E2)+1,MONTH(E2),DAY(E2))</f>
        <v>42369</v>
      </c>
      <c r="G2" s="11">
        <f>DATE(YEAR(F2)+1,MONTH(F2),DAY(F2))</f>
        <v>42735</v>
      </c>
      <c r="H2" s="11">
        <f>DATE(YEAR(G2)+1,MONTH(G2),DAY(G2))</f>
        <v>43100</v>
      </c>
      <c r="I2" s="11">
        <f>DATE(YEAR(H2)+1,MONTH(H2),DAY(H2))</f>
        <v>43465</v>
      </c>
      <c r="J2" s="11">
        <f>DATE(YEAR(I2)+1,MONTH(I2),DAY(I2))</f>
        <v>43830</v>
      </c>
      <c r="K2" s="11">
        <f t="shared" ref="K2:O2" si="0">DATE(YEAR(J2)+1,MONTH(J2),DAY(J2))</f>
        <v>44196</v>
      </c>
      <c r="L2" s="11">
        <f t="shared" si="0"/>
        <v>44561</v>
      </c>
      <c r="M2" s="11">
        <f t="shared" si="0"/>
        <v>44926</v>
      </c>
      <c r="N2" s="11">
        <f t="shared" si="0"/>
        <v>45291</v>
      </c>
      <c r="O2" s="11">
        <f t="shared" si="0"/>
        <v>45657</v>
      </c>
    </row>
    <row r="4" spans="1:15" ht="15" customHeight="1" x14ac:dyDescent="0.3">
      <c r="A4" s="15" t="s">
        <v>48</v>
      </c>
    </row>
    <row r="5" spans="1:15" ht="15" customHeight="1" x14ac:dyDescent="0.3">
      <c r="B5" s="16" t="s">
        <v>25</v>
      </c>
      <c r="D5" s="66">
        <f>D24/C24-1</f>
        <v>3.1959421642975938E-2</v>
      </c>
      <c r="E5" s="66">
        <f>E24/D24-1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3">
      <c r="B6" s="16" t="s">
        <v>26</v>
      </c>
      <c r="C6" s="66">
        <f>C25*-1/C24</f>
        <v>0.86309334472834454</v>
      </c>
      <c r="D6" s="66">
        <f>D25*-1/D24</f>
        <v>0.85563651614997704</v>
      </c>
      <c r="E6" s="66">
        <f>E25*-1/E24</f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3">
      <c r="B7" s="16" t="s">
        <v>59</v>
      </c>
      <c r="C7" s="66">
        <f>C30*-1/C29</f>
        <v>0.36223824585794046</v>
      </c>
      <c r="D7" s="66">
        <f>D30*-1/D29</f>
        <v>0.4260968854006883</v>
      </c>
      <c r="E7" s="66">
        <f>E30*-1/E29</f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3">
      <c r="A8" s="64"/>
    </row>
    <row r="9" spans="1:15" ht="15" customHeight="1" x14ac:dyDescent="0.3">
      <c r="A9" s="15" t="s">
        <v>49</v>
      </c>
      <c r="D9" s="32"/>
    </row>
    <row r="10" spans="1:15" ht="15" customHeight="1" x14ac:dyDescent="0.3">
      <c r="B10" s="75" t="s">
        <v>99</v>
      </c>
      <c r="C10" s="32"/>
      <c r="D10" s="66">
        <f>D51/D24</f>
        <v>0.22126255587778429</v>
      </c>
      <c r="E10" s="66">
        <f>E51/E24</f>
        <v>0.22399843080206949</v>
      </c>
      <c r="F10" s="76">
        <v>0.223</v>
      </c>
      <c r="G10" s="67">
        <v>0.223</v>
      </c>
      <c r="H10" s="67">
        <v>0.223</v>
      </c>
      <c r="I10" s="67">
        <v>0.223</v>
      </c>
      <c r="J10" s="67">
        <v>0.223</v>
      </c>
      <c r="K10" s="67">
        <v>0.223</v>
      </c>
      <c r="L10" s="67">
        <v>0.223</v>
      </c>
      <c r="M10" s="67">
        <v>0.223</v>
      </c>
      <c r="N10" s="67">
        <v>0.223</v>
      </c>
      <c r="O10" s="67">
        <v>0.223</v>
      </c>
    </row>
    <row r="11" spans="1:15" ht="15" customHeight="1" x14ac:dyDescent="0.3">
      <c r="B11" s="16" t="s">
        <v>100</v>
      </c>
      <c r="D11" s="66">
        <f>D56/D24</f>
        <v>0.2534714344848919</v>
      </c>
      <c r="E11" s="66">
        <f>E56/E24</f>
        <v>0.28736564363447042</v>
      </c>
      <c r="F11" s="67">
        <v>0.27</v>
      </c>
      <c r="G11" s="67">
        <v>0.27</v>
      </c>
      <c r="H11" s="67">
        <v>0.27</v>
      </c>
      <c r="I11" s="67">
        <v>0.27</v>
      </c>
      <c r="J11" s="67">
        <v>0.27</v>
      </c>
      <c r="K11" s="67">
        <v>0.27</v>
      </c>
      <c r="L11" s="67">
        <v>0.27</v>
      </c>
      <c r="M11" s="67">
        <v>0.27</v>
      </c>
      <c r="N11" s="67">
        <v>0.27</v>
      </c>
      <c r="O11" s="67">
        <v>0.27</v>
      </c>
    </row>
    <row r="12" spans="1:15" ht="15" customHeight="1" x14ac:dyDescent="0.3">
      <c r="B12" s="16" t="s">
        <v>105</v>
      </c>
      <c r="D12" s="66">
        <f>274.114/D24</f>
        <v>3.748510620898609E-2</v>
      </c>
      <c r="E12" s="66">
        <f>280.779/E24</f>
        <v>3.6692024128117014E-2</v>
      </c>
      <c r="F12" s="67">
        <v>3.6999999999999998E-2</v>
      </c>
      <c r="G12" s="67">
        <v>3.6999999999999998E-2</v>
      </c>
      <c r="H12" s="67">
        <v>3.6999999999999998E-2</v>
      </c>
      <c r="I12" s="67">
        <v>3.6999999999999998E-2</v>
      </c>
      <c r="J12" s="67">
        <v>3.6999999999999998E-2</v>
      </c>
      <c r="K12" s="67">
        <v>3.6999999999999998E-2</v>
      </c>
      <c r="L12" s="67">
        <v>3.6999999999999998E-2</v>
      </c>
      <c r="M12" s="67">
        <v>3.6999999999999998E-2</v>
      </c>
      <c r="N12" s="67">
        <v>3.6999999999999998E-2</v>
      </c>
      <c r="O12" s="67">
        <v>3.6999999999999998E-2</v>
      </c>
    </row>
    <row r="13" spans="1:15" ht="15" customHeight="1" x14ac:dyDescent="0.3">
      <c r="B13" s="71" t="s">
        <v>116</v>
      </c>
      <c r="C13" s="72"/>
      <c r="D13" s="73"/>
      <c r="E13" s="73"/>
      <c r="F13" s="74">
        <v>0</v>
      </c>
      <c r="G13" s="74">
        <v>0</v>
      </c>
      <c r="H13" s="74">
        <v>1400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</row>
    <row r="14" spans="1:15" ht="15" customHeight="1" x14ac:dyDescent="0.3">
      <c r="B14" s="16" t="s">
        <v>65</v>
      </c>
      <c r="D14" s="66"/>
      <c r="E14" s="66">
        <f>383.996/D52</f>
        <v>6.5675110396050687E-2</v>
      </c>
      <c r="F14" s="68">
        <v>6.6000000000000003E-2</v>
      </c>
      <c r="G14" s="68">
        <v>6.6000000000000003E-2</v>
      </c>
      <c r="H14" s="68">
        <v>6.6000000000000003E-2</v>
      </c>
      <c r="I14" s="68">
        <v>6.6000000000000003E-2</v>
      </c>
      <c r="J14" s="68">
        <v>6.6000000000000003E-2</v>
      </c>
      <c r="K14" s="68">
        <v>6.6000000000000003E-2</v>
      </c>
      <c r="L14" s="68">
        <v>6.6000000000000003E-2</v>
      </c>
      <c r="M14" s="68">
        <v>6.6000000000000003E-2</v>
      </c>
      <c r="N14" s="68">
        <v>6.6000000000000003E-2</v>
      </c>
      <c r="O14" s="68">
        <v>6.6000000000000003E-2</v>
      </c>
    </row>
    <row r="15" spans="1:15" ht="15" customHeight="1" x14ac:dyDescent="0.3">
      <c r="B15" s="16" t="s">
        <v>63</v>
      </c>
      <c r="D15" s="66">
        <f>216.855/D31</f>
        <v>0.39509931458180753</v>
      </c>
      <c r="E15" s="66">
        <f>156.129/E31</f>
        <v>0.24168014674581853</v>
      </c>
      <c r="F15" s="68">
        <v>0.32</v>
      </c>
      <c r="G15" s="68">
        <v>0.32</v>
      </c>
      <c r="H15" s="68">
        <v>0.32</v>
      </c>
      <c r="I15" s="68">
        <v>0.32</v>
      </c>
      <c r="J15" s="68">
        <v>0.32</v>
      </c>
      <c r="K15" s="68">
        <v>0.32</v>
      </c>
      <c r="L15" s="68">
        <v>0.32</v>
      </c>
      <c r="M15" s="68">
        <v>0.32</v>
      </c>
      <c r="N15" s="68">
        <v>0.32</v>
      </c>
      <c r="O15" s="68">
        <v>0.32</v>
      </c>
    </row>
    <row r="16" spans="1:15" ht="15" customHeight="1" x14ac:dyDescent="0.3">
      <c r="A16" s="64"/>
    </row>
    <row r="17" spans="1:15" ht="15" customHeight="1" x14ac:dyDescent="0.3">
      <c r="A17" s="15" t="s">
        <v>56</v>
      </c>
    </row>
    <row r="18" spans="1:15" ht="15" customHeight="1" x14ac:dyDescent="0.3">
      <c r="B18" s="16" t="s">
        <v>107</v>
      </c>
      <c r="D18" s="66"/>
      <c r="E18" s="66"/>
      <c r="F18" s="69">
        <f>-(626.788+28.72)</f>
        <v>-655.50800000000004</v>
      </c>
      <c r="G18" s="69">
        <v>-21.841999999999999</v>
      </c>
      <c r="H18" s="69">
        <v>-91.188999999999993</v>
      </c>
      <c r="I18" s="69">
        <v>-105.428</v>
      </c>
      <c r="J18" s="69">
        <f>-1441.236*(75+500)/1525</f>
        <v>-543.41685245901647</v>
      </c>
      <c r="K18" s="69">
        <f>-1441.236*(50+50)/1525</f>
        <v>-94.507278688524593</v>
      </c>
      <c r="L18" s="69">
        <f>-1441.236*350/1525</f>
        <v>-330.77547540983608</v>
      </c>
      <c r="M18" s="69">
        <v>0</v>
      </c>
      <c r="N18" s="69">
        <v>0</v>
      </c>
      <c r="O18" s="69">
        <f>-1441.236*500/1525</f>
        <v>-472.53639344262297</v>
      </c>
    </row>
    <row r="19" spans="1:15" ht="15" customHeight="1" x14ac:dyDescent="0.3">
      <c r="B19" s="16" t="s">
        <v>76</v>
      </c>
      <c r="F19" s="68">
        <v>0.02</v>
      </c>
      <c r="G19" s="68">
        <v>0.02</v>
      </c>
      <c r="H19" s="68">
        <v>0.02</v>
      </c>
      <c r="I19" s="68">
        <v>0.02</v>
      </c>
      <c r="J19" s="68">
        <v>0.02</v>
      </c>
      <c r="K19" s="68">
        <v>0.02</v>
      </c>
      <c r="L19" s="68">
        <v>0.02</v>
      </c>
      <c r="M19" s="68">
        <v>0.02</v>
      </c>
      <c r="N19" s="68">
        <v>0.02</v>
      </c>
      <c r="O19" s="68">
        <v>0.02</v>
      </c>
    </row>
    <row r="20" spans="1:15" ht="15" customHeight="1" x14ac:dyDescent="0.3">
      <c r="B20" s="16" t="s">
        <v>108</v>
      </c>
      <c r="F20" s="68">
        <v>0.04</v>
      </c>
      <c r="G20" s="68">
        <v>0.04</v>
      </c>
      <c r="H20" s="68">
        <v>0.04</v>
      </c>
      <c r="I20" s="68">
        <v>0.04</v>
      </c>
      <c r="J20" s="68">
        <v>0.04</v>
      </c>
      <c r="K20" s="68">
        <v>0.04</v>
      </c>
      <c r="L20" s="68">
        <v>0.04</v>
      </c>
      <c r="M20" s="68">
        <v>0.04</v>
      </c>
      <c r="N20" s="68">
        <v>0.04</v>
      </c>
      <c r="O20" s="68">
        <v>0.04</v>
      </c>
    </row>
    <row r="21" spans="1:15" ht="15" customHeight="1" x14ac:dyDescent="0.3">
      <c r="B21" s="16" t="s">
        <v>75</v>
      </c>
      <c r="F21" s="68">
        <v>5.0000000000000001E-3</v>
      </c>
      <c r="G21" s="68">
        <v>5.0000000000000001E-3</v>
      </c>
      <c r="H21" s="68">
        <v>5.0000000000000001E-3</v>
      </c>
      <c r="I21" s="68">
        <v>5.0000000000000001E-3</v>
      </c>
      <c r="J21" s="68">
        <v>5.0000000000000001E-3</v>
      </c>
      <c r="K21" s="68">
        <v>5.0000000000000001E-3</v>
      </c>
      <c r="L21" s="68">
        <v>5.0000000000000001E-3</v>
      </c>
      <c r="M21" s="68">
        <v>5.0000000000000001E-3</v>
      </c>
      <c r="N21" s="68">
        <v>5.0000000000000001E-3</v>
      </c>
      <c r="O21" s="68">
        <v>5.0000000000000001E-3</v>
      </c>
    </row>
    <row r="22" spans="1:15" ht="15" customHeight="1" x14ac:dyDescent="0.3">
      <c r="A22" s="64"/>
    </row>
    <row r="23" spans="1:15" ht="15" customHeight="1" x14ac:dyDescent="0.3">
      <c r="A23" s="15" t="s">
        <v>27</v>
      </c>
    </row>
    <row r="24" spans="1:15" ht="15" customHeight="1" x14ac:dyDescent="0.3">
      <c r="B24" s="16" t="s">
        <v>28</v>
      </c>
      <c r="C24" s="65">
        <v>7086.1419999999998</v>
      </c>
      <c r="D24" s="65">
        <v>7312.6109999999999</v>
      </c>
      <c r="E24" s="65">
        <v>7652.317</v>
      </c>
      <c r="F24">
        <f t="shared" ref="F24:O24" si="1">E24*(1+F5)</f>
        <v>8800.1645499999995</v>
      </c>
      <c r="G24">
        <f t="shared" si="1"/>
        <v>9328.1744230000004</v>
      </c>
      <c r="H24">
        <f t="shared" si="1"/>
        <v>9887.8648883800015</v>
      </c>
      <c r="I24">
        <f t="shared" si="1"/>
        <v>10481.136781682802</v>
      </c>
      <c r="J24">
        <f t="shared" si="1"/>
        <v>11110.004988583771</v>
      </c>
      <c r="K24">
        <f t="shared" si="1"/>
        <v>11665.50523801296</v>
      </c>
      <c r="L24">
        <f t="shared" si="1"/>
        <v>12248.780499913608</v>
      </c>
      <c r="M24">
        <f t="shared" si="1"/>
        <v>12799.97562240972</v>
      </c>
      <c r="N24">
        <f t="shared" si="1"/>
        <v>13311.97464730611</v>
      </c>
      <c r="O24">
        <f t="shared" si="1"/>
        <v>13844.453633198355</v>
      </c>
    </row>
    <row r="25" spans="1:15" ht="15" customHeight="1" x14ac:dyDescent="0.3">
      <c r="B25" s="16" t="s">
        <v>29</v>
      </c>
      <c r="C25" s="65">
        <f>(2435.993+3680.009)*-1</f>
        <v>-6116.0020000000004</v>
      </c>
      <c r="D25" s="65">
        <f>(2524.006+3732.931)*-1</f>
        <v>-6256.9369999999999</v>
      </c>
      <c r="E25" s="65">
        <f>(2574.685+3920.019)*-1</f>
        <v>-6494.7039999999997</v>
      </c>
      <c r="F25">
        <f t="shared" ref="F25:O25" si="2">F6*F24*-1</f>
        <v>-7480.1398674999991</v>
      </c>
      <c r="G25">
        <f t="shared" si="2"/>
        <v>-7928.9482595500003</v>
      </c>
      <c r="H25">
        <f t="shared" si="2"/>
        <v>-8404.6851551230011</v>
      </c>
      <c r="I25">
        <f t="shared" si="2"/>
        <v>-8908.9662644303826</v>
      </c>
      <c r="J25">
        <f t="shared" si="2"/>
        <v>-9443.5042402962044</v>
      </c>
      <c r="K25">
        <f t="shared" si="2"/>
        <v>-9915.6794523110166</v>
      </c>
      <c r="L25">
        <f t="shared" si="2"/>
        <v>-10411.463424926567</v>
      </c>
      <c r="M25">
        <f t="shared" si="2"/>
        <v>-10879.979279048262</v>
      </c>
      <c r="N25">
        <f t="shared" si="2"/>
        <v>-11315.178450210193</v>
      </c>
      <c r="O25">
        <f t="shared" si="2"/>
        <v>-11767.785588218601</v>
      </c>
    </row>
    <row r="26" spans="1:15" ht="15" customHeight="1" x14ac:dyDescent="0.3">
      <c r="B26" s="16" t="s">
        <v>51</v>
      </c>
      <c r="C26">
        <f>SUM(C24:C25)</f>
        <v>970.13999999999942</v>
      </c>
      <c r="D26">
        <f t="shared" ref="D26:E26" si="3">SUM(D24:D25)</f>
        <v>1055.674</v>
      </c>
      <c r="E26">
        <f t="shared" si="3"/>
        <v>1157.6130000000003</v>
      </c>
      <c r="F26">
        <f t="shared" ref="F26" si="4">SUM(F24:F25)</f>
        <v>1320.0246825000004</v>
      </c>
      <c r="G26">
        <f t="shared" ref="G26" si="5">SUM(G24:G25)</f>
        <v>1399.2261634500001</v>
      </c>
      <c r="H26">
        <f t="shared" ref="H26" si="6">SUM(H24:H25)</f>
        <v>1483.1797332570004</v>
      </c>
      <c r="I26">
        <f t="shared" ref="I26" si="7">SUM(I24:I25)</f>
        <v>1572.1705172524198</v>
      </c>
      <c r="J26">
        <f t="shared" ref="J26" si="8">SUM(J24:J25)</f>
        <v>1666.5007482875662</v>
      </c>
      <c r="K26">
        <f t="shared" ref="K26" si="9">SUM(K24:K25)</f>
        <v>1749.8257857019435</v>
      </c>
      <c r="L26">
        <f t="shared" ref="L26" si="10">SUM(L24:L25)</f>
        <v>1837.3170749870405</v>
      </c>
      <c r="M26">
        <f t="shared" ref="M26" si="11">SUM(M24:M25)</f>
        <v>1919.9963433614575</v>
      </c>
      <c r="N26">
        <f t="shared" ref="N26" si="12">SUM(N24:N25)</f>
        <v>1996.7961970959168</v>
      </c>
      <c r="O26">
        <f t="shared" ref="O26" si="13">SUM(O24:O25)</f>
        <v>2076.6680449797532</v>
      </c>
    </row>
    <row r="27" spans="1:15" ht="15" customHeight="1" x14ac:dyDescent="0.3">
      <c r="B27" s="16" t="s">
        <v>52</v>
      </c>
      <c r="C27" s="65">
        <v>18.91</v>
      </c>
      <c r="D27" s="65">
        <v>10.071999999999999</v>
      </c>
      <c r="E27" s="65">
        <f>11.672+0.455</f>
        <v>12.127000000000001</v>
      </c>
      <c r="F27">
        <f ca="1">IF(switch=1,F108,0)</f>
        <v>6.6743446932162191</v>
      </c>
      <c r="G27">
        <f t="shared" ref="G27:O27" ca="1" si="14">IF(switch=1,G108,0)</f>
        <v>7.7284752076697352</v>
      </c>
      <c r="H27">
        <f t="shared" ca="1" si="14"/>
        <v>7.3839626650855141</v>
      </c>
      <c r="I27">
        <f t="shared" ca="1" si="14"/>
        <v>7.1370408515801183</v>
      </c>
      <c r="J27">
        <f t="shared" ca="1" si="14"/>
        <v>9.5792418046469798</v>
      </c>
      <c r="K27">
        <f t="shared" ca="1" si="14"/>
        <v>12.128817931321068</v>
      </c>
      <c r="L27">
        <f t="shared" ca="1" si="14"/>
        <v>15.291233092299558</v>
      </c>
      <c r="M27">
        <f t="shared" ca="1" si="14"/>
        <v>18.778523624672967</v>
      </c>
      <c r="N27">
        <f t="shared" ca="1" si="14"/>
        <v>23.168434517752267</v>
      </c>
      <c r="O27">
        <f t="shared" ca="1" si="14"/>
        <v>26.46736329213434</v>
      </c>
    </row>
    <row r="28" spans="1:15" s="32" customFormat="1" ht="15" customHeight="1" x14ac:dyDescent="0.3">
      <c r="A28" s="80"/>
      <c r="B28" s="78" t="s">
        <v>53</v>
      </c>
      <c r="C28" s="81">
        <f>(138.14+6.463)*-1</f>
        <v>-144.60299999999998</v>
      </c>
      <c r="D28" s="81">
        <f>(102.132+7.247)*-1</f>
        <v>-109.379</v>
      </c>
      <c r="E28" s="81">
        <f>109.659*-1</f>
        <v>-109.65900000000001</v>
      </c>
      <c r="F28" s="79">
        <f t="shared" ref="F28:O28" ca="1" si="15">IF(switch=1,F106+F107,0)*-1</f>
        <v>-81.010990000000007</v>
      </c>
      <c r="G28" s="79">
        <f t="shared" ca="1" si="15"/>
        <v>-65.950959999999995</v>
      </c>
      <c r="H28" s="79">
        <f t="shared" ca="1" si="15"/>
        <v>-63.690339999999999</v>
      </c>
      <c r="I28" s="79">
        <f t="shared" ca="1" si="15"/>
        <v>-59.757999999999996</v>
      </c>
      <c r="J28" s="79">
        <f t="shared" ca="1" si="15"/>
        <v>-46.781102950819665</v>
      </c>
      <c r="K28" s="79">
        <f t="shared" ca="1" si="15"/>
        <v>-34.022620327868843</v>
      </c>
      <c r="L28" s="79">
        <f t="shared" ca="1" si="15"/>
        <v>-25.516965245901631</v>
      </c>
      <c r="M28" s="79">
        <f t="shared" ca="1" si="15"/>
        <v>-18.901455737704911</v>
      </c>
      <c r="N28" s="79">
        <f t="shared" ca="1" si="15"/>
        <v>-18.901455737704911</v>
      </c>
      <c r="O28" s="79">
        <f t="shared" ca="1" si="15"/>
        <v>-9.4507278688524554</v>
      </c>
    </row>
    <row r="29" spans="1:15" ht="15" customHeight="1" x14ac:dyDescent="0.3">
      <c r="B29" s="16" t="s">
        <v>54</v>
      </c>
      <c r="C29">
        <f>SUM(C26:C28)</f>
        <v>844.44699999999943</v>
      </c>
      <c r="D29">
        <f t="shared" ref="D29:E29" si="16">SUM(D26:D28)</f>
        <v>956.36699999999985</v>
      </c>
      <c r="E29">
        <f t="shared" si="16"/>
        <v>1060.0810000000001</v>
      </c>
      <c r="F29">
        <f t="shared" ref="F29" ca="1" si="17">SUM(F26:F28)</f>
        <v>1245.6880371932166</v>
      </c>
      <c r="G29">
        <f t="shared" ref="G29" ca="1" si="18">SUM(G26:G28)</f>
        <v>1341.00367865767</v>
      </c>
      <c r="H29">
        <f t="shared" ref="H29" ca="1" si="19">SUM(H26:H28)</f>
        <v>1426.8733559220859</v>
      </c>
      <c r="I29">
        <f t="shared" ref="I29" ca="1" si="20">SUM(I26:I28)</f>
        <v>1519.549558104</v>
      </c>
      <c r="J29">
        <f t="shared" ref="J29" ca="1" si="21">SUM(J26:J28)</f>
        <v>1629.2988871413936</v>
      </c>
      <c r="K29">
        <f t="shared" ref="K29" ca="1" si="22">SUM(K26:K28)</f>
        <v>1727.9319833053955</v>
      </c>
      <c r="L29">
        <f t="shared" ref="L29" ca="1" si="23">SUM(L26:L28)</f>
        <v>1827.0913428334384</v>
      </c>
      <c r="M29">
        <f t="shared" ref="M29" ca="1" si="24">SUM(M26:M28)</f>
        <v>1919.8734112484256</v>
      </c>
      <c r="N29">
        <f t="shared" ref="N29" ca="1" si="25">SUM(N26:N28)</f>
        <v>2001.0631758759641</v>
      </c>
      <c r="O29">
        <f t="shared" ref="O29" ca="1" si="26">SUM(O26:O28)</f>
        <v>2093.6846804030351</v>
      </c>
    </row>
    <row r="30" spans="1:15" ht="15" customHeight="1" x14ac:dyDescent="0.3">
      <c r="B30" s="16" t="s">
        <v>30</v>
      </c>
      <c r="C30" s="65">
        <f>305.891*-1</f>
        <v>-305.89100000000002</v>
      </c>
      <c r="D30" s="65">
        <f>407.505*-1</f>
        <v>-407.505</v>
      </c>
      <c r="E30" s="65">
        <f>414.066*-1</f>
        <v>-414.06599999999997</v>
      </c>
      <c r="F30">
        <f t="shared" ref="F30:O30" ca="1" si="27">F7*F29*-1</f>
        <v>-448.44769338955797</v>
      </c>
      <c r="G30">
        <f t="shared" ca="1" si="27"/>
        <v>-482.76132431676115</v>
      </c>
      <c r="H30">
        <f t="shared" ca="1" si="27"/>
        <v>-513.67440813195094</v>
      </c>
      <c r="I30">
        <f t="shared" ca="1" si="27"/>
        <v>-547.03784091744001</v>
      </c>
      <c r="J30">
        <f t="shared" ca="1" si="27"/>
        <v>-586.54759937090171</v>
      </c>
      <c r="K30">
        <f t="shared" ca="1" si="27"/>
        <v>-622.05551398994237</v>
      </c>
      <c r="L30">
        <f t="shared" ca="1" si="27"/>
        <v>-657.75288342003785</v>
      </c>
      <c r="M30">
        <f t="shared" ca="1" si="27"/>
        <v>-691.15442804943314</v>
      </c>
      <c r="N30">
        <f t="shared" ca="1" si="27"/>
        <v>-720.38274331534706</v>
      </c>
      <c r="O30">
        <f t="shared" ca="1" si="27"/>
        <v>-753.72648494509258</v>
      </c>
    </row>
    <row r="31" spans="1:15" ht="15" customHeight="1" x14ac:dyDescent="0.3">
      <c r="B31" s="16" t="s">
        <v>31</v>
      </c>
      <c r="C31">
        <f>SUM(C29:C30)</f>
        <v>538.55599999999936</v>
      </c>
      <c r="D31">
        <f t="shared" ref="D31:E31" si="28">SUM(D29:D30)</f>
        <v>548.86199999999985</v>
      </c>
      <c r="E31">
        <f t="shared" si="28"/>
        <v>646.0150000000001</v>
      </c>
      <c r="F31">
        <f t="shared" ref="F31" ca="1" si="29">SUM(F29:F30)</f>
        <v>797.24034380365856</v>
      </c>
      <c r="G31">
        <f t="shared" ref="G31" ca="1" si="30">SUM(G29:G30)</f>
        <v>858.24235434090883</v>
      </c>
      <c r="H31">
        <f t="shared" ref="H31" ca="1" si="31">SUM(H29:H30)</f>
        <v>913.19894779013498</v>
      </c>
      <c r="I31">
        <f t="shared" ref="I31" ca="1" si="32">SUM(I29:I30)</f>
        <v>972.51171718655996</v>
      </c>
      <c r="J31">
        <f t="shared" ref="J31" ca="1" si="33">SUM(J29:J30)</f>
        <v>1042.7512877704919</v>
      </c>
      <c r="K31">
        <f t="shared" ref="K31" ca="1" si="34">SUM(K29:K30)</f>
        <v>1105.8764693154531</v>
      </c>
      <c r="L31">
        <f t="shared" ref="L31" ca="1" si="35">SUM(L29:L30)</f>
        <v>1169.3384594134004</v>
      </c>
      <c r="M31">
        <f t="shared" ref="M31" ca="1" si="36">SUM(M29:M30)</f>
        <v>1228.7189831989924</v>
      </c>
      <c r="N31">
        <f t="shared" ref="N31" ca="1" si="37">SUM(N29:N30)</f>
        <v>1280.6804325606172</v>
      </c>
      <c r="O31">
        <f t="shared" ref="O31" ca="1" si="38">SUM(O29:O30)</f>
        <v>1339.9581954579426</v>
      </c>
    </row>
    <row r="33" spans="1:15" ht="15" customHeight="1" x14ac:dyDescent="0.3">
      <c r="A33" s="15" t="s">
        <v>104</v>
      </c>
    </row>
    <row r="34" spans="1:15" ht="15" customHeight="1" x14ac:dyDescent="0.3">
      <c r="B34" s="16" t="s">
        <v>64</v>
      </c>
      <c r="F34">
        <f>E38</f>
        <v>6426.6030000000001</v>
      </c>
      <c r="G34">
        <f t="shared" ref="G34:O34" si="39">F38</f>
        <v>6328.0532903500007</v>
      </c>
      <c r="H34">
        <f t="shared" si="39"/>
        <v>6255.5442268379011</v>
      </c>
      <c r="I34">
        <f t="shared" si="39"/>
        <v>7608.529308736659</v>
      </c>
      <c r="J34">
        <f t="shared" si="39"/>
        <v>7494.1684352823031</v>
      </c>
      <c r="K34">
        <f t="shared" si="39"/>
        <v>7410.6235031312708</v>
      </c>
      <c r="L34">
        <f t="shared" si="39"/>
        <v>7353.1460457310859</v>
      </c>
      <c r="M34">
        <f t="shared" si="39"/>
        <v>7321.0432852096383</v>
      </c>
      <c r="N34">
        <f t="shared" si="39"/>
        <v>7311.4535264149617</v>
      </c>
      <c r="O34">
        <f t="shared" si="39"/>
        <v>7321.4406556219001</v>
      </c>
    </row>
    <row r="35" spans="1:15" ht="15" customHeight="1" x14ac:dyDescent="0.3">
      <c r="B35" s="71" t="s">
        <v>115</v>
      </c>
      <c r="C35" s="72"/>
      <c r="D35" s="72"/>
      <c r="E35" s="72"/>
      <c r="F35" s="72">
        <f t="shared" ref="F35:O35" si="40">F13</f>
        <v>0</v>
      </c>
      <c r="G35" s="72">
        <f t="shared" si="40"/>
        <v>0</v>
      </c>
      <c r="H35" s="72">
        <f t="shared" si="40"/>
        <v>1400</v>
      </c>
      <c r="I35" s="72">
        <f t="shared" si="40"/>
        <v>0</v>
      </c>
      <c r="J35" s="72">
        <f t="shared" si="40"/>
        <v>0</v>
      </c>
      <c r="K35" s="72">
        <f t="shared" si="40"/>
        <v>0</v>
      </c>
      <c r="L35" s="72">
        <f t="shared" si="40"/>
        <v>0</v>
      </c>
      <c r="M35" s="72">
        <f t="shared" si="40"/>
        <v>0</v>
      </c>
      <c r="N35" s="72">
        <f t="shared" si="40"/>
        <v>0</v>
      </c>
      <c r="O35" s="72">
        <f t="shared" si="40"/>
        <v>0</v>
      </c>
    </row>
    <row r="36" spans="1:15" ht="15" customHeight="1" x14ac:dyDescent="0.3">
      <c r="B36" s="78" t="s">
        <v>106</v>
      </c>
      <c r="C36" s="79"/>
      <c r="D36" s="79"/>
      <c r="E36" s="79"/>
      <c r="F36" s="79">
        <f t="shared" ref="F36:O36" si="41">F12*F24</f>
        <v>325.60608834999999</v>
      </c>
      <c r="G36" s="79">
        <f t="shared" si="41"/>
        <v>345.14245365099998</v>
      </c>
      <c r="H36" s="79">
        <f t="shared" si="41"/>
        <v>365.85100087006003</v>
      </c>
      <c r="I36" s="79">
        <f t="shared" si="41"/>
        <v>387.80206092226365</v>
      </c>
      <c r="J36" s="79">
        <f t="shared" si="41"/>
        <v>411.07018457759949</v>
      </c>
      <c r="K36" s="79">
        <f t="shared" si="41"/>
        <v>431.62369380647948</v>
      </c>
      <c r="L36" s="79">
        <f t="shared" si="41"/>
        <v>453.20487849680347</v>
      </c>
      <c r="M36" s="79">
        <f t="shared" si="41"/>
        <v>473.59909802915962</v>
      </c>
      <c r="N36" s="79">
        <f t="shared" si="41"/>
        <v>492.54306195032603</v>
      </c>
      <c r="O36" s="79">
        <f t="shared" si="41"/>
        <v>512.24478442833913</v>
      </c>
    </row>
    <row r="37" spans="1:15" ht="15" customHeight="1" x14ac:dyDescent="0.3">
      <c r="B37" s="16" t="s">
        <v>66</v>
      </c>
      <c r="F37">
        <f t="shared" ref="F37:O37" si="42">F14*F34*-1</f>
        <v>-424.155798</v>
      </c>
      <c r="G37">
        <f t="shared" si="42"/>
        <v>-417.65151716310004</v>
      </c>
      <c r="H37">
        <f t="shared" si="42"/>
        <v>-412.86591897130148</v>
      </c>
      <c r="I37">
        <f t="shared" si="42"/>
        <v>-502.16293437661955</v>
      </c>
      <c r="J37">
        <f t="shared" si="42"/>
        <v>-494.61511672863202</v>
      </c>
      <c r="K37">
        <f t="shared" si="42"/>
        <v>-489.10115120666387</v>
      </c>
      <c r="L37">
        <f t="shared" si="42"/>
        <v>-485.30763901825168</v>
      </c>
      <c r="M37">
        <f t="shared" si="42"/>
        <v>-483.18885682383615</v>
      </c>
      <c r="N37">
        <f t="shared" si="42"/>
        <v>-482.55593274338747</v>
      </c>
      <c r="O37">
        <f t="shared" si="42"/>
        <v>-483.21508327104544</v>
      </c>
    </row>
    <row r="38" spans="1:15" ht="15" customHeight="1" x14ac:dyDescent="0.3">
      <c r="B38" s="16" t="s">
        <v>67</v>
      </c>
      <c r="E38">
        <f>E52</f>
        <v>6426.6030000000001</v>
      </c>
      <c r="F38">
        <f>SUM(F34:F37)</f>
        <v>6328.0532903500007</v>
      </c>
      <c r="G38">
        <f t="shared" ref="G38:O38" si="43">SUM(G34:G37)</f>
        <v>6255.5442268379011</v>
      </c>
      <c r="H38">
        <f t="shared" si="43"/>
        <v>7608.529308736659</v>
      </c>
      <c r="I38">
        <f t="shared" si="43"/>
        <v>7494.1684352823031</v>
      </c>
      <c r="J38">
        <f t="shared" si="43"/>
        <v>7410.6235031312708</v>
      </c>
      <c r="K38">
        <f t="shared" si="43"/>
        <v>7353.1460457310859</v>
      </c>
      <c r="L38">
        <f t="shared" si="43"/>
        <v>7321.0432852096383</v>
      </c>
      <c r="M38">
        <f t="shared" si="43"/>
        <v>7311.4535264149617</v>
      </c>
      <c r="N38">
        <f t="shared" si="43"/>
        <v>7321.4406556219001</v>
      </c>
      <c r="O38">
        <f t="shared" si="43"/>
        <v>7350.470356779193</v>
      </c>
    </row>
    <row r="40" spans="1:15" ht="15" customHeight="1" x14ac:dyDescent="0.3">
      <c r="B40" s="16" t="s">
        <v>68</v>
      </c>
      <c r="F40">
        <f>E43</f>
        <v>4928.7780000000002</v>
      </c>
      <c r="G40">
        <f t="shared" ref="G40:O40" ca="1" si="44">F43</f>
        <v>5470.9014337864874</v>
      </c>
      <c r="H40">
        <f t="shared" ca="1" si="44"/>
        <v>6054.5062347383055</v>
      </c>
      <c r="I40">
        <f t="shared" ca="1" si="44"/>
        <v>6675.4815192355973</v>
      </c>
      <c r="J40">
        <f t="shared" ca="1" si="44"/>
        <v>7336.7894869224574</v>
      </c>
      <c r="K40">
        <f t="shared" ca="1" si="44"/>
        <v>8045.8603626063914</v>
      </c>
      <c r="L40">
        <f t="shared" ca="1" si="44"/>
        <v>8797.8563617408981</v>
      </c>
      <c r="M40">
        <f t="shared" ca="1" si="44"/>
        <v>9593.0065141420109</v>
      </c>
      <c r="N40">
        <f t="shared" ca="1" si="44"/>
        <v>10428.535422717327</v>
      </c>
      <c r="O40">
        <f t="shared" ca="1" si="44"/>
        <v>11299.398116858547</v>
      </c>
    </row>
    <row r="41" spans="1:15" ht="15" customHeight="1" x14ac:dyDescent="0.3">
      <c r="B41" s="16" t="s">
        <v>31</v>
      </c>
      <c r="F41">
        <f t="shared" ref="F41:O41" ca="1" si="45">F31</f>
        <v>797.24034380365856</v>
      </c>
      <c r="G41">
        <f t="shared" ca="1" si="45"/>
        <v>858.24235434090883</v>
      </c>
      <c r="H41">
        <f t="shared" ca="1" si="45"/>
        <v>913.19894779013498</v>
      </c>
      <c r="I41">
        <f t="shared" ca="1" si="45"/>
        <v>972.51171718655996</v>
      </c>
      <c r="J41">
        <f t="shared" ca="1" si="45"/>
        <v>1042.7512877704919</v>
      </c>
      <c r="K41">
        <f t="shared" ca="1" si="45"/>
        <v>1105.8764693154531</v>
      </c>
      <c r="L41">
        <f t="shared" ca="1" si="45"/>
        <v>1169.3384594134004</v>
      </c>
      <c r="M41">
        <f t="shared" ca="1" si="45"/>
        <v>1228.7189831989924</v>
      </c>
      <c r="N41">
        <f t="shared" ca="1" si="45"/>
        <v>1280.6804325606172</v>
      </c>
      <c r="O41">
        <f t="shared" ca="1" si="45"/>
        <v>1339.9581954579426</v>
      </c>
    </row>
    <row r="42" spans="1:15" ht="15" customHeight="1" x14ac:dyDescent="0.3">
      <c r="B42" s="16" t="s">
        <v>69</v>
      </c>
      <c r="F42">
        <f t="shared" ref="F42:O42" ca="1" si="46">F15*F31*-1</f>
        <v>-255.11691001717074</v>
      </c>
      <c r="G42">
        <f t="shared" ca="1" si="46"/>
        <v>-274.63755338909084</v>
      </c>
      <c r="H42">
        <f t="shared" ca="1" si="46"/>
        <v>-292.22366329284318</v>
      </c>
      <c r="I42">
        <f t="shared" ca="1" si="46"/>
        <v>-311.2037494996992</v>
      </c>
      <c r="J42">
        <f t="shared" ca="1" si="46"/>
        <v>-333.6804120865574</v>
      </c>
      <c r="K42">
        <f t="shared" ca="1" si="46"/>
        <v>-353.880470180945</v>
      </c>
      <c r="L42">
        <f t="shared" ca="1" si="46"/>
        <v>-374.18830701228813</v>
      </c>
      <c r="M42">
        <f t="shared" ca="1" si="46"/>
        <v>-393.19007462367756</v>
      </c>
      <c r="N42">
        <f t="shared" ca="1" si="46"/>
        <v>-409.81773841939753</v>
      </c>
      <c r="O42">
        <f t="shared" ca="1" si="46"/>
        <v>-428.78662254654165</v>
      </c>
    </row>
    <row r="43" spans="1:15" ht="15" customHeight="1" x14ac:dyDescent="0.3">
      <c r="B43" s="16" t="s">
        <v>70</v>
      </c>
      <c r="E43">
        <f>E60</f>
        <v>4928.7780000000002</v>
      </c>
      <c r="F43">
        <f ca="1">SUM(F40:F42)</f>
        <v>5470.9014337864874</v>
      </c>
      <c r="G43">
        <f t="shared" ref="G43:O43" ca="1" si="47">SUM(G40:G42)</f>
        <v>6054.5062347383055</v>
      </c>
      <c r="H43">
        <f t="shared" ca="1" si="47"/>
        <v>6675.4815192355973</v>
      </c>
      <c r="I43">
        <f t="shared" ca="1" si="47"/>
        <v>7336.7894869224574</v>
      </c>
      <c r="J43">
        <f t="shared" ca="1" si="47"/>
        <v>8045.8603626063914</v>
      </c>
      <c r="K43">
        <f t="shared" ca="1" si="47"/>
        <v>8797.8563617408981</v>
      </c>
      <c r="L43">
        <f t="shared" ca="1" si="47"/>
        <v>9593.0065141420109</v>
      </c>
      <c r="M43">
        <f t="shared" ca="1" si="47"/>
        <v>10428.535422717327</v>
      </c>
      <c r="N43">
        <f t="shared" ca="1" si="47"/>
        <v>11299.398116858547</v>
      </c>
      <c r="O43">
        <f t="shared" ca="1" si="47"/>
        <v>12210.569689769947</v>
      </c>
    </row>
    <row r="45" spans="1:15" ht="15" customHeight="1" x14ac:dyDescent="0.3">
      <c r="B45" s="16" t="str">
        <f>B51</f>
        <v>Operating current assets</v>
      </c>
      <c r="D45">
        <f t="shared" ref="D45:O45" si="48">D51</f>
        <v>1618.0070000000001</v>
      </c>
      <c r="E45">
        <f t="shared" si="48"/>
        <v>1714.107</v>
      </c>
      <c r="F45">
        <f t="shared" si="48"/>
        <v>1962.4366946499999</v>
      </c>
      <c r="G45">
        <f t="shared" si="48"/>
        <v>2080.182896329</v>
      </c>
      <c r="H45">
        <f t="shared" si="48"/>
        <v>2204.9938701087403</v>
      </c>
      <c r="I45">
        <f t="shared" si="48"/>
        <v>2337.293502315265</v>
      </c>
      <c r="J45">
        <f t="shared" si="48"/>
        <v>2477.5311124541809</v>
      </c>
      <c r="K45">
        <f t="shared" si="48"/>
        <v>2601.4076680768903</v>
      </c>
      <c r="L45">
        <f t="shared" si="48"/>
        <v>2731.4780514807344</v>
      </c>
      <c r="M45">
        <f t="shared" si="48"/>
        <v>2854.3945637973675</v>
      </c>
      <c r="N45">
        <f t="shared" si="48"/>
        <v>2968.5703463492623</v>
      </c>
      <c r="O45">
        <f t="shared" si="48"/>
        <v>3087.3131602032331</v>
      </c>
    </row>
    <row r="46" spans="1:15" ht="15" customHeight="1" x14ac:dyDescent="0.3">
      <c r="B46" s="16" t="str">
        <f>B56</f>
        <v>Operating current liabilities</v>
      </c>
      <c r="D46">
        <f>D56*-1</f>
        <v>-1853.538</v>
      </c>
      <c r="E46">
        <f t="shared" ref="E46:O46" si="49">E56*-1</f>
        <v>-2199.0129999999999</v>
      </c>
      <c r="F46">
        <f t="shared" si="49"/>
        <v>-2376.0444284999999</v>
      </c>
      <c r="G46">
        <f t="shared" si="49"/>
        <v>-2518.6070942100005</v>
      </c>
      <c r="H46">
        <f t="shared" si="49"/>
        <v>-2669.7235198626004</v>
      </c>
      <c r="I46">
        <f t="shared" si="49"/>
        <v>-2829.9069310543568</v>
      </c>
      <c r="J46">
        <f t="shared" si="49"/>
        <v>-2999.7013469176181</v>
      </c>
      <c r="K46">
        <f t="shared" si="49"/>
        <v>-3149.6864142634995</v>
      </c>
      <c r="L46">
        <f t="shared" si="49"/>
        <v>-3307.1707349766743</v>
      </c>
      <c r="M46">
        <f t="shared" si="49"/>
        <v>-3455.9934180506248</v>
      </c>
      <c r="N46">
        <f t="shared" si="49"/>
        <v>-3594.2331547726499</v>
      </c>
      <c r="O46">
        <f t="shared" si="49"/>
        <v>-3738.0024809635561</v>
      </c>
    </row>
    <row r="47" spans="1:15" ht="15" customHeight="1" x14ac:dyDescent="0.3">
      <c r="B47" s="16" t="s">
        <v>71</v>
      </c>
      <c r="D47">
        <f>SUM(D45:D46)</f>
        <v>-235.53099999999995</v>
      </c>
      <c r="E47">
        <f t="shared" ref="E47:O47" si="50">SUM(E45:E46)</f>
        <v>-484.90599999999995</v>
      </c>
      <c r="F47">
        <f t="shared" si="50"/>
        <v>-413.60773384999993</v>
      </c>
      <c r="G47">
        <f t="shared" si="50"/>
        <v>-438.42419788100051</v>
      </c>
      <c r="H47">
        <f t="shared" si="50"/>
        <v>-464.72964975386003</v>
      </c>
      <c r="I47">
        <f t="shared" si="50"/>
        <v>-492.61342873909189</v>
      </c>
      <c r="J47">
        <f t="shared" si="50"/>
        <v>-522.17023446343728</v>
      </c>
      <c r="K47">
        <f t="shared" si="50"/>
        <v>-548.27874618660917</v>
      </c>
      <c r="L47">
        <f t="shared" si="50"/>
        <v>-575.69268349593995</v>
      </c>
      <c r="M47">
        <f t="shared" si="50"/>
        <v>-601.59885425325729</v>
      </c>
      <c r="N47">
        <f t="shared" si="50"/>
        <v>-625.66280842338756</v>
      </c>
      <c r="O47">
        <f t="shared" si="50"/>
        <v>-650.68932076032297</v>
      </c>
    </row>
    <row r="49" spans="1:15" ht="15" customHeight="1" x14ac:dyDescent="0.3">
      <c r="A49" s="15" t="s">
        <v>32</v>
      </c>
    </row>
    <row r="50" spans="1:15" ht="15" customHeight="1" x14ac:dyDescent="0.3">
      <c r="B50" s="16" t="s">
        <v>33</v>
      </c>
      <c r="D50" s="65">
        <v>617.995</v>
      </c>
      <c r="E50" s="65">
        <v>1453.587</v>
      </c>
      <c r="F50">
        <f ca="1">F83</f>
        <v>1216.1508772864879</v>
      </c>
      <c r="G50">
        <f t="shared" ref="G50:O50" ca="1" si="51">G83</f>
        <v>1875.2392057814066</v>
      </c>
      <c r="H50">
        <f t="shared" ca="1" si="51"/>
        <v>1078.3458602527992</v>
      </c>
      <c r="I50">
        <f t="shared" ca="1" si="51"/>
        <v>1776.4704803792479</v>
      </c>
      <c r="J50">
        <f t="shared" ca="1" si="51"/>
        <v>2055.2262414795441</v>
      </c>
      <c r="K50">
        <f t="shared" ca="1" si="51"/>
        <v>2796.3009310488842</v>
      </c>
      <c r="L50">
        <f t="shared" ca="1" si="51"/>
        <v>3320.192305870939</v>
      </c>
      <c r="M50">
        <f t="shared" ca="1" si="51"/>
        <v>4191.2171439982476</v>
      </c>
      <c r="N50">
        <f t="shared" ca="1" si="51"/>
        <v>5076.156663102659</v>
      </c>
      <c r="O50">
        <f t="shared" ca="1" si="51"/>
        <v>5510.7886537510785</v>
      </c>
    </row>
    <row r="51" spans="1:15" ht="15" customHeight="1" x14ac:dyDescent="0.3">
      <c r="B51" s="16" t="s">
        <v>97</v>
      </c>
      <c r="D51" s="65">
        <f>680.296+698.95+238.761</f>
        <v>1618.0070000000001</v>
      </c>
      <c r="E51" s="65">
        <f>754.306+728.404+231.397</f>
        <v>1714.107</v>
      </c>
      <c r="F51">
        <f t="shared" ref="F51:O51" si="52">F10*F24</f>
        <v>1962.4366946499999</v>
      </c>
      <c r="G51">
        <f t="shared" si="52"/>
        <v>2080.182896329</v>
      </c>
      <c r="H51">
        <f t="shared" si="52"/>
        <v>2204.9938701087403</v>
      </c>
      <c r="I51">
        <f t="shared" si="52"/>
        <v>2337.293502315265</v>
      </c>
      <c r="J51">
        <f t="shared" si="52"/>
        <v>2477.5311124541809</v>
      </c>
      <c r="K51">
        <f t="shared" si="52"/>
        <v>2601.4076680768903</v>
      </c>
      <c r="L51">
        <f t="shared" si="52"/>
        <v>2731.4780514807344</v>
      </c>
      <c r="M51">
        <f t="shared" si="52"/>
        <v>2854.3945637973675</v>
      </c>
      <c r="N51">
        <f t="shared" si="52"/>
        <v>2968.5703463492623</v>
      </c>
      <c r="O51">
        <f t="shared" si="52"/>
        <v>3087.3131602032331</v>
      </c>
    </row>
    <row r="52" spans="1:15" ht="15" customHeight="1" x14ac:dyDescent="0.3">
      <c r="B52" s="16" t="s">
        <v>34</v>
      </c>
      <c r="D52" s="65">
        <v>5846.9030000000002</v>
      </c>
      <c r="E52" s="65">
        <v>6426.6030000000001</v>
      </c>
      <c r="F52">
        <f>F38</f>
        <v>6328.0532903500007</v>
      </c>
      <c r="G52">
        <f t="shared" ref="G52:O52" si="53">G38</f>
        <v>6255.5442268379011</v>
      </c>
      <c r="H52">
        <f t="shared" si="53"/>
        <v>7608.529308736659</v>
      </c>
      <c r="I52">
        <f t="shared" si="53"/>
        <v>7494.1684352823031</v>
      </c>
      <c r="J52">
        <f t="shared" si="53"/>
        <v>7410.6235031312708</v>
      </c>
      <c r="K52">
        <f t="shared" si="53"/>
        <v>7353.1460457310859</v>
      </c>
      <c r="L52">
        <f t="shared" si="53"/>
        <v>7321.0432852096383</v>
      </c>
      <c r="M52">
        <f t="shared" si="53"/>
        <v>7311.4535264149617</v>
      </c>
      <c r="N52">
        <f t="shared" si="53"/>
        <v>7321.4406556219001</v>
      </c>
      <c r="O52">
        <f t="shared" si="53"/>
        <v>7350.470356779193</v>
      </c>
    </row>
    <row r="53" spans="1:15" ht="15" customHeight="1" x14ac:dyDescent="0.3">
      <c r="B53" s="16" t="s">
        <v>35</v>
      </c>
      <c r="D53">
        <f>SUM(D50:D52)</f>
        <v>8082.9050000000007</v>
      </c>
      <c r="E53">
        <f>SUM(E50:E52)</f>
        <v>9594.2970000000005</v>
      </c>
      <c r="F53">
        <f ca="1">SUM(F50:F52)</f>
        <v>9506.6408622864874</v>
      </c>
      <c r="G53">
        <f t="shared" ref="G53:J53" ca="1" si="54">SUM(G50:G52)</f>
        <v>10210.966328948307</v>
      </c>
      <c r="H53">
        <f t="shared" ca="1" si="54"/>
        <v>10891.869039098197</v>
      </c>
      <c r="I53">
        <f t="shared" ca="1" si="54"/>
        <v>11607.932417976815</v>
      </c>
      <c r="J53">
        <f t="shared" ca="1" si="54"/>
        <v>11943.380857064996</v>
      </c>
      <c r="K53">
        <f t="shared" ref="K53:O53" ca="1" si="55">SUM(K50:K52)</f>
        <v>12750.85464485686</v>
      </c>
      <c r="L53">
        <f t="shared" ca="1" si="55"/>
        <v>13372.713642561312</v>
      </c>
      <c r="M53">
        <f t="shared" ca="1" si="55"/>
        <v>14357.065234210577</v>
      </c>
      <c r="N53">
        <f t="shared" ca="1" si="55"/>
        <v>15366.167665073821</v>
      </c>
      <c r="O53">
        <f t="shared" ca="1" si="55"/>
        <v>15948.572170733505</v>
      </c>
    </row>
    <row r="55" spans="1:15" ht="15" customHeight="1" x14ac:dyDescent="0.3">
      <c r="B55" s="16" t="s">
        <v>55</v>
      </c>
      <c r="D55" s="65">
        <v>44.920999999999999</v>
      </c>
      <c r="E55" s="65">
        <v>151.303</v>
      </c>
      <c r="F55">
        <f ca="1">F98</f>
        <v>0</v>
      </c>
      <c r="G55">
        <f t="shared" ref="G55:O55" ca="1" si="56">G98</f>
        <v>0</v>
      </c>
      <c r="H55">
        <f t="shared" ca="1" si="56"/>
        <v>0</v>
      </c>
      <c r="I55">
        <f t="shared" ca="1" si="56"/>
        <v>0</v>
      </c>
      <c r="J55">
        <f t="shared" ca="1" si="56"/>
        <v>0</v>
      </c>
      <c r="K55">
        <f t="shared" ca="1" si="56"/>
        <v>0</v>
      </c>
      <c r="L55">
        <f t="shared" ca="1" si="56"/>
        <v>0</v>
      </c>
      <c r="M55">
        <f t="shared" ca="1" si="56"/>
        <v>0</v>
      </c>
      <c r="N55">
        <f t="shared" ca="1" si="56"/>
        <v>0</v>
      </c>
      <c r="O55">
        <f t="shared" ca="1" si="56"/>
        <v>0</v>
      </c>
    </row>
    <row r="56" spans="1:15" ht="15" customHeight="1" x14ac:dyDescent="0.3">
      <c r="B56" s="16" t="s">
        <v>98</v>
      </c>
      <c r="D56" s="65">
        <f>681.151+9.477+123.688+523.05+76.399+268.078+97.544+74.151</f>
        <v>1853.538</v>
      </c>
      <c r="E56" s="65">
        <f>744.272+42.603+187.719+636.055+138.475+266.896+99.223+83.77</f>
        <v>2199.0129999999999</v>
      </c>
      <c r="F56">
        <f t="shared" ref="F56:O56" si="57">F11*F24</f>
        <v>2376.0444284999999</v>
      </c>
      <c r="G56">
        <f t="shared" si="57"/>
        <v>2518.6070942100005</v>
      </c>
      <c r="H56">
        <f t="shared" si="57"/>
        <v>2669.7235198626004</v>
      </c>
      <c r="I56">
        <f t="shared" si="57"/>
        <v>2829.9069310543568</v>
      </c>
      <c r="J56">
        <f t="shared" si="57"/>
        <v>2999.7013469176181</v>
      </c>
      <c r="K56">
        <f t="shared" si="57"/>
        <v>3149.6864142634995</v>
      </c>
      <c r="L56">
        <f t="shared" si="57"/>
        <v>3307.1707349766743</v>
      </c>
      <c r="M56">
        <f t="shared" si="57"/>
        <v>3455.9934180506248</v>
      </c>
      <c r="N56">
        <f t="shared" si="57"/>
        <v>3594.2331547726499</v>
      </c>
      <c r="O56">
        <f t="shared" si="57"/>
        <v>3738.0024809635561</v>
      </c>
    </row>
    <row r="57" spans="1:15" s="32" customFormat="1" ht="15" customHeight="1" x14ac:dyDescent="0.3">
      <c r="A57" s="80"/>
      <c r="B57" s="78" t="s">
        <v>96</v>
      </c>
      <c r="C57" s="79"/>
      <c r="D57" s="81">
        <f>318.1+1716.41</f>
        <v>2034.5100000000002</v>
      </c>
      <c r="E57" s="79">
        <f>626.788+1688.415</f>
        <v>2315.203</v>
      </c>
      <c r="F57" s="79">
        <f>F104</f>
        <v>1659.6949999999999</v>
      </c>
      <c r="G57" s="79">
        <f t="shared" ref="G57:O57" si="58">G104</f>
        <v>1637.8529999999998</v>
      </c>
      <c r="H57" s="79">
        <f t="shared" si="58"/>
        <v>1546.6639999999998</v>
      </c>
      <c r="I57" s="79">
        <f t="shared" si="58"/>
        <v>1441.2359999999999</v>
      </c>
      <c r="J57" s="79">
        <f t="shared" si="58"/>
        <v>897.81914754098341</v>
      </c>
      <c r="K57" s="79">
        <f t="shared" si="58"/>
        <v>803.31186885245882</v>
      </c>
      <c r="L57" s="79">
        <f t="shared" si="58"/>
        <v>472.53639344262274</v>
      </c>
      <c r="M57" s="79">
        <f t="shared" si="58"/>
        <v>472.53639344262274</v>
      </c>
      <c r="N57" s="79">
        <f t="shared" si="58"/>
        <v>472.53639344262274</v>
      </c>
      <c r="O57" s="79">
        <f t="shared" si="58"/>
        <v>0</v>
      </c>
    </row>
    <row r="58" spans="1:15" ht="15" customHeight="1" x14ac:dyDescent="0.3">
      <c r="B58" s="16" t="s">
        <v>36</v>
      </c>
      <c r="D58">
        <f>SUM(D55:D57)</f>
        <v>3932.9690000000001</v>
      </c>
      <c r="E58">
        <f>SUM(E55:E57)</f>
        <v>4665.5190000000002</v>
      </c>
      <c r="F58">
        <f ca="1">SUM(F55:F57)</f>
        <v>4035.7394285</v>
      </c>
      <c r="G58">
        <f t="shared" ref="G58:O58" ca="1" si="59">SUM(G55:G57)</f>
        <v>4156.4600942100005</v>
      </c>
      <c r="H58">
        <f t="shared" ca="1" si="59"/>
        <v>4216.3875198626001</v>
      </c>
      <c r="I58">
        <f t="shared" ca="1" si="59"/>
        <v>4271.1429310543572</v>
      </c>
      <c r="J58">
        <f t="shared" ca="1" si="59"/>
        <v>3897.5204944586017</v>
      </c>
      <c r="K58">
        <f t="shared" ca="1" si="59"/>
        <v>3952.9982831159582</v>
      </c>
      <c r="L58">
        <f t="shared" ca="1" si="59"/>
        <v>3779.7071284192971</v>
      </c>
      <c r="M58">
        <f t="shared" ca="1" si="59"/>
        <v>3928.5298114932475</v>
      </c>
      <c r="N58">
        <f t="shared" ca="1" si="59"/>
        <v>4066.7695482152726</v>
      </c>
      <c r="O58">
        <f t="shared" ca="1" si="59"/>
        <v>3738.0024809635561</v>
      </c>
    </row>
    <row r="60" spans="1:15" ht="15" customHeight="1" x14ac:dyDescent="0.3">
      <c r="B60" s="16" t="s">
        <v>37</v>
      </c>
      <c r="D60" s="65">
        <v>4149.9359999999997</v>
      </c>
      <c r="E60" s="65">
        <v>4928.7780000000002</v>
      </c>
      <c r="F60">
        <f ca="1">F43</f>
        <v>5470.9014337864874</v>
      </c>
      <c r="G60">
        <f t="shared" ref="G60:O60" ca="1" si="60">G43</f>
        <v>6054.5062347383055</v>
      </c>
      <c r="H60">
        <f t="shared" ca="1" si="60"/>
        <v>6675.4815192355973</v>
      </c>
      <c r="I60">
        <f t="shared" ca="1" si="60"/>
        <v>7336.7894869224574</v>
      </c>
      <c r="J60">
        <f t="shared" ca="1" si="60"/>
        <v>8045.8603626063914</v>
      </c>
      <c r="K60">
        <f t="shared" ca="1" si="60"/>
        <v>8797.8563617408981</v>
      </c>
      <c r="L60">
        <f t="shared" ca="1" si="60"/>
        <v>9593.0065141420109</v>
      </c>
      <c r="M60">
        <f t="shared" ca="1" si="60"/>
        <v>10428.535422717327</v>
      </c>
      <c r="N60">
        <f t="shared" ca="1" si="60"/>
        <v>11299.398116858547</v>
      </c>
      <c r="O60">
        <f t="shared" ca="1" si="60"/>
        <v>12210.569689769947</v>
      </c>
    </row>
    <row r="61" spans="1:15" ht="15" customHeight="1" x14ac:dyDescent="0.3">
      <c r="B61" s="16" t="s">
        <v>38</v>
      </c>
      <c r="D61">
        <f>D58+D60</f>
        <v>8082.9049999999997</v>
      </c>
      <c r="E61">
        <f>E58+E60</f>
        <v>9594.2970000000005</v>
      </c>
      <c r="F61">
        <f ca="1">F58+F60</f>
        <v>9506.6408622864874</v>
      </c>
      <c r="G61">
        <f t="shared" ref="G61:J61" ca="1" si="61">G58+G60</f>
        <v>10210.966328948307</v>
      </c>
      <c r="H61">
        <f t="shared" ca="1" si="61"/>
        <v>10891.869039098197</v>
      </c>
      <c r="I61">
        <f t="shared" ca="1" si="61"/>
        <v>11607.932417976815</v>
      </c>
      <c r="J61">
        <f t="shared" ca="1" si="61"/>
        <v>11943.380857064993</v>
      </c>
      <c r="K61">
        <f t="shared" ref="K61:O61" ca="1" si="62">K58+K60</f>
        <v>12750.854644856856</v>
      </c>
      <c r="L61">
        <f t="shared" ca="1" si="62"/>
        <v>13372.713642561308</v>
      </c>
      <c r="M61">
        <f t="shared" ca="1" si="62"/>
        <v>14357.065234210575</v>
      </c>
      <c r="N61">
        <f t="shared" ca="1" si="62"/>
        <v>15366.167665073819</v>
      </c>
      <c r="O61">
        <f t="shared" ca="1" si="62"/>
        <v>15948.572170733503</v>
      </c>
    </row>
    <row r="63" spans="1:15" ht="15" customHeight="1" x14ac:dyDescent="0.3">
      <c r="B63" s="16" t="s">
        <v>39</v>
      </c>
      <c r="D63">
        <f>D53-D61</f>
        <v>0</v>
      </c>
      <c r="E63">
        <f t="shared" ref="E63:O63" si="63">E53-E61</f>
        <v>0</v>
      </c>
      <c r="F63">
        <f t="shared" ca="1" si="63"/>
        <v>0</v>
      </c>
      <c r="G63">
        <f t="shared" ca="1" si="63"/>
        <v>0</v>
      </c>
      <c r="H63">
        <f t="shared" ca="1" si="63"/>
        <v>0</v>
      </c>
      <c r="I63">
        <f t="shared" ca="1" si="63"/>
        <v>0</v>
      </c>
      <c r="J63">
        <f t="shared" ca="1" si="63"/>
        <v>0</v>
      </c>
      <c r="K63">
        <f t="shared" ca="1" si="63"/>
        <v>0</v>
      </c>
      <c r="L63">
        <f t="shared" ca="1" si="63"/>
        <v>0</v>
      </c>
      <c r="M63">
        <f t="shared" ca="1" si="63"/>
        <v>0</v>
      </c>
      <c r="N63">
        <f t="shared" ca="1" si="63"/>
        <v>0</v>
      </c>
      <c r="O63">
        <f t="shared" ca="1" si="63"/>
        <v>0</v>
      </c>
    </row>
    <row r="65" spans="1:15" ht="15" customHeight="1" x14ac:dyDescent="0.3">
      <c r="A65" s="15" t="s">
        <v>57</v>
      </c>
    </row>
    <row r="66" spans="1:15" ht="15" customHeight="1" x14ac:dyDescent="0.3">
      <c r="B66" s="16" t="s">
        <v>31</v>
      </c>
      <c r="F66">
        <f t="shared" ref="F66:O66" ca="1" si="64">F41</f>
        <v>797.24034380365856</v>
      </c>
      <c r="G66">
        <f t="shared" ca="1" si="64"/>
        <v>858.24235434090883</v>
      </c>
      <c r="H66">
        <f t="shared" ca="1" si="64"/>
        <v>913.19894779013498</v>
      </c>
      <c r="I66">
        <f t="shared" ca="1" si="64"/>
        <v>972.51171718655996</v>
      </c>
      <c r="J66">
        <f t="shared" ca="1" si="64"/>
        <v>1042.7512877704919</v>
      </c>
      <c r="K66">
        <f t="shared" ca="1" si="64"/>
        <v>1105.8764693154531</v>
      </c>
      <c r="L66">
        <f t="shared" ca="1" si="64"/>
        <v>1169.3384594134004</v>
      </c>
      <c r="M66">
        <f t="shared" ca="1" si="64"/>
        <v>1228.7189831989924</v>
      </c>
      <c r="N66">
        <f t="shared" ca="1" si="64"/>
        <v>1280.6804325606172</v>
      </c>
      <c r="O66">
        <f t="shared" ca="1" si="64"/>
        <v>1339.9581954579426</v>
      </c>
    </row>
    <row r="67" spans="1:15" ht="15" customHeight="1" x14ac:dyDescent="0.3">
      <c r="B67" s="16" t="s">
        <v>66</v>
      </c>
      <c r="F67">
        <f>F37*-1</f>
        <v>424.155798</v>
      </c>
      <c r="G67">
        <f t="shared" ref="G67:O67" si="65">G37*-1</f>
        <v>417.65151716310004</v>
      </c>
      <c r="H67">
        <f t="shared" si="65"/>
        <v>412.86591897130148</v>
      </c>
      <c r="I67">
        <f t="shared" si="65"/>
        <v>502.16293437661955</v>
      </c>
      <c r="J67">
        <f t="shared" si="65"/>
        <v>494.61511672863202</v>
      </c>
      <c r="K67">
        <f t="shared" si="65"/>
        <v>489.10115120666387</v>
      </c>
      <c r="L67">
        <f t="shared" si="65"/>
        <v>485.30763901825168</v>
      </c>
      <c r="M67">
        <f t="shared" si="65"/>
        <v>483.18885682383615</v>
      </c>
      <c r="N67">
        <f t="shared" si="65"/>
        <v>482.55593274338747</v>
      </c>
      <c r="O67">
        <f t="shared" si="65"/>
        <v>483.21508327104544</v>
      </c>
    </row>
    <row r="68" spans="1:15" ht="15" customHeight="1" x14ac:dyDescent="0.3">
      <c r="B68" s="16" t="s">
        <v>79</v>
      </c>
      <c r="F68">
        <f t="shared" ref="F68:O68" si="66">E47-F47</f>
        <v>-71.298266150000018</v>
      </c>
      <c r="G68">
        <f t="shared" si="66"/>
        <v>24.816464031000578</v>
      </c>
      <c r="H68">
        <f t="shared" si="66"/>
        <v>26.305451872859521</v>
      </c>
      <c r="I68">
        <f t="shared" si="66"/>
        <v>27.883778985231856</v>
      </c>
      <c r="J68">
        <f t="shared" si="66"/>
        <v>29.556805724345395</v>
      </c>
      <c r="K68">
        <f t="shared" si="66"/>
        <v>26.108511723171887</v>
      </c>
      <c r="L68">
        <f t="shared" si="66"/>
        <v>27.413937309330777</v>
      </c>
      <c r="M68">
        <f t="shared" si="66"/>
        <v>25.906170757317341</v>
      </c>
      <c r="N68">
        <f t="shared" si="66"/>
        <v>24.063954170130273</v>
      </c>
      <c r="O68">
        <f t="shared" si="66"/>
        <v>25.026512336935411</v>
      </c>
    </row>
    <row r="69" spans="1:15" ht="15" customHeight="1" x14ac:dyDescent="0.3">
      <c r="B69" s="16" t="s">
        <v>40</v>
      </c>
      <c r="F69">
        <f t="shared" ref="F69:O69" ca="1" si="67">SUM(F66:F68)</f>
        <v>1150.0978756536585</v>
      </c>
      <c r="G69">
        <f t="shared" ca="1" si="67"/>
        <v>1300.7103355350096</v>
      </c>
      <c r="H69">
        <f t="shared" ca="1" si="67"/>
        <v>1352.3703186342959</v>
      </c>
      <c r="I69">
        <f t="shared" ca="1" si="67"/>
        <v>1502.5584305484113</v>
      </c>
      <c r="J69">
        <f t="shared" ca="1" si="67"/>
        <v>1566.9232102234694</v>
      </c>
      <c r="K69">
        <f t="shared" ca="1" si="67"/>
        <v>1621.0861322452888</v>
      </c>
      <c r="L69">
        <f t="shared" ca="1" si="67"/>
        <v>1682.0600357409828</v>
      </c>
      <c r="M69">
        <f t="shared" ca="1" si="67"/>
        <v>1737.814010780146</v>
      </c>
      <c r="N69">
        <f t="shared" ca="1" si="67"/>
        <v>1787.300319474135</v>
      </c>
      <c r="O69">
        <f t="shared" ca="1" si="67"/>
        <v>1848.1997910659234</v>
      </c>
    </row>
    <row r="71" spans="1:15" ht="15" customHeight="1" x14ac:dyDescent="0.3">
      <c r="B71" s="71" t="s">
        <v>115</v>
      </c>
      <c r="C71" s="72"/>
      <c r="D71" s="72"/>
      <c r="E71" s="72"/>
      <c r="F71" s="72">
        <f t="shared" ref="F71:O72" si="68">F35*-1</f>
        <v>0</v>
      </c>
      <c r="G71" s="72">
        <f t="shared" si="68"/>
        <v>0</v>
      </c>
      <c r="H71" s="72">
        <f t="shared" si="68"/>
        <v>-1400</v>
      </c>
      <c r="I71" s="72">
        <f t="shared" si="68"/>
        <v>0</v>
      </c>
      <c r="J71" s="72">
        <f t="shared" si="68"/>
        <v>0</v>
      </c>
      <c r="K71" s="72">
        <f t="shared" si="68"/>
        <v>0</v>
      </c>
      <c r="L71" s="72">
        <f t="shared" si="68"/>
        <v>0</v>
      </c>
      <c r="M71" s="72">
        <f t="shared" si="68"/>
        <v>0</v>
      </c>
      <c r="N71" s="72">
        <f t="shared" si="68"/>
        <v>0</v>
      </c>
      <c r="O71" s="72">
        <f t="shared" si="68"/>
        <v>0</v>
      </c>
    </row>
    <row r="72" spans="1:15" ht="15" customHeight="1" x14ac:dyDescent="0.3">
      <c r="B72" s="78" t="s">
        <v>106</v>
      </c>
      <c r="C72" s="79"/>
      <c r="D72" s="79"/>
      <c r="E72" s="79"/>
      <c r="F72" s="79">
        <f t="shared" si="68"/>
        <v>-325.60608834999999</v>
      </c>
      <c r="G72" s="79">
        <f t="shared" si="68"/>
        <v>-345.14245365099998</v>
      </c>
      <c r="H72" s="79">
        <f t="shared" si="68"/>
        <v>-365.85100087006003</v>
      </c>
      <c r="I72" s="79">
        <f t="shared" si="68"/>
        <v>-387.80206092226365</v>
      </c>
      <c r="J72" s="79">
        <f t="shared" si="68"/>
        <v>-411.07018457759949</v>
      </c>
      <c r="K72" s="79">
        <f t="shared" si="68"/>
        <v>-431.62369380647948</v>
      </c>
      <c r="L72" s="79">
        <f t="shared" si="68"/>
        <v>-453.20487849680347</v>
      </c>
      <c r="M72" s="79">
        <f t="shared" si="68"/>
        <v>-473.59909802915962</v>
      </c>
      <c r="N72" s="79">
        <f t="shared" si="68"/>
        <v>-492.54306195032603</v>
      </c>
      <c r="O72" s="79">
        <f t="shared" si="68"/>
        <v>-512.24478442833913</v>
      </c>
    </row>
    <row r="73" spans="1:15" ht="15" customHeight="1" x14ac:dyDescent="0.3">
      <c r="B73" s="16" t="s">
        <v>41</v>
      </c>
      <c r="F73">
        <f>SUM(F71:F72)</f>
        <v>-325.60608834999999</v>
      </c>
      <c r="G73">
        <f t="shared" ref="G73:O73" si="69">SUM(G71:G72)</f>
        <v>-345.14245365099998</v>
      </c>
      <c r="H73">
        <f t="shared" si="69"/>
        <v>-1765.85100087006</v>
      </c>
      <c r="I73">
        <f t="shared" si="69"/>
        <v>-387.80206092226365</v>
      </c>
      <c r="J73">
        <f t="shared" si="69"/>
        <v>-411.07018457759949</v>
      </c>
      <c r="K73">
        <f t="shared" si="69"/>
        <v>-431.62369380647948</v>
      </c>
      <c r="L73">
        <f t="shared" si="69"/>
        <v>-453.20487849680347</v>
      </c>
      <c r="M73">
        <f t="shared" si="69"/>
        <v>-473.59909802915962</v>
      </c>
      <c r="N73">
        <f t="shared" si="69"/>
        <v>-492.54306195032603</v>
      </c>
      <c r="O73">
        <f t="shared" si="69"/>
        <v>-512.24478442833913</v>
      </c>
    </row>
    <row r="75" spans="1:15" ht="15" customHeight="1" x14ac:dyDescent="0.3">
      <c r="B75" s="16" t="s">
        <v>93</v>
      </c>
      <c r="F75">
        <f t="shared" ref="F75:O75" ca="1" si="70">F42</f>
        <v>-255.11691001717074</v>
      </c>
      <c r="G75">
        <f t="shared" ca="1" si="70"/>
        <v>-274.63755338909084</v>
      </c>
      <c r="H75">
        <f t="shared" ca="1" si="70"/>
        <v>-292.22366329284318</v>
      </c>
      <c r="I75">
        <f t="shared" ca="1" si="70"/>
        <v>-311.2037494996992</v>
      </c>
      <c r="J75">
        <f t="shared" ca="1" si="70"/>
        <v>-333.6804120865574</v>
      </c>
      <c r="K75">
        <f t="shared" ca="1" si="70"/>
        <v>-353.880470180945</v>
      </c>
      <c r="L75">
        <f t="shared" ca="1" si="70"/>
        <v>-374.18830701228813</v>
      </c>
      <c r="M75">
        <f t="shared" ca="1" si="70"/>
        <v>-393.19007462367756</v>
      </c>
      <c r="N75">
        <f t="shared" ca="1" si="70"/>
        <v>-409.81773841939753</v>
      </c>
      <c r="O75">
        <f t="shared" ca="1" si="70"/>
        <v>-428.78662254654165</v>
      </c>
    </row>
    <row r="76" spans="1:15" ht="15" customHeight="1" x14ac:dyDescent="0.3">
      <c r="B76" s="16" t="s">
        <v>82</v>
      </c>
      <c r="F76">
        <f t="shared" ref="F76:O76" ca="1" si="71">F55-E55</f>
        <v>-151.303</v>
      </c>
      <c r="G76">
        <f t="shared" ca="1" si="71"/>
        <v>0</v>
      </c>
      <c r="H76">
        <f t="shared" ca="1" si="71"/>
        <v>0</v>
      </c>
      <c r="I76">
        <f t="shared" ca="1" si="71"/>
        <v>0</v>
      </c>
      <c r="J76">
        <f t="shared" ca="1" si="71"/>
        <v>0</v>
      </c>
      <c r="K76">
        <f t="shared" ca="1" si="71"/>
        <v>0</v>
      </c>
      <c r="L76">
        <f t="shared" ca="1" si="71"/>
        <v>0</v>
      </c>
      <c r="M76">
        <f t="shared" ca="1" si="71"/>
        <v>0</v>
      </c>
      <c r="N76">
        <f t="shared" ca="1" si="71"/>
        <v>0</v>
      </c>
      <c r="O76">
        <f t="shared" ca="1" si="71"/>
        <v>0</v>
      </c>
    </row>
    <row r="77" spans="1:15" ht="15" customHeight="1" x14ac:dyDescent="0.3">
      <c r="B77" s="16" t="s">
        <v>62</v>
      </c>
      <c r="C77" s="79"/>
      <c r="D77" s="79"/>
      <c r="E77" s="32"/>
      <c r="F77">
        <f t="shared" ref="F77:O77" si="72">F57-E57</f>
        <v>-655.50800000000004</v>
      </c>
      <c r="G77">
        <f t="shared" si="72"/>
        <v>-21.842000000000098</v>
      </c>
      <c r="H77">
        <f t="shared" si="72"/>
        <v>-91.189000000000078</v>
      </c>
      <c r="I77">
        <f t="shared" si="72"/>
        <v>-105.42799999999988</v>
      </c>
      <c r="J77">
        <f t="shared" si="72"/>
        <v>-543.41685245901647</v>
      </c>
      <c r="K77">
        <f t="shared" si="72"/>
        <v>-94.507278688524593</v>
      </c>
      <c r="L77">
        <f t="shared" si="72"/>
        <v>-330.77547540983608</v>
      </c>
      <c r="M77">
        <f t="shared" si="72"/>
        <v>0</v>
      </c>
      <c r="N77">
        <f t="shared" si="72"/>
        <v>0</v>
      </c>
      <c r="O77">
        <f t="shared" si="72"/>
        <v>-472.53639344262274</v>
      </c>
    </row>
    <row r="78" spans="1:15" ht="15" customHeight="1" x14ac:dyDescent="0.3">
      <c r="B78" s="16" t="s">
        <v>94</v>
      </c>
      <c r="F78">
        <f ca="1">SUM(F75:F77)</f>
        <v>-1061.9279100171707</v>
      </c>
      <c r="G78">
        <f t="shared" ref="G78:O78" ca="1" si="73">SUM(G75:G77)</f>
        <v>-296.47955338909094</v>
      </c>
      <c r="H78">
        <f t="shared" ca="1" si="73"/>
        <v>-383.41266329284326</v>
      </c>
      <c r="I78">
        <f t="shared" ca="1" si="73"/>
        <v>-416.63174949969908</v>
      </c>
      <c r="J78">
        <f t="shared" ca="1" si="73"/>
        <v>-877.09726454557381</v>
      </c>
      <c r="K78">
        <f t="shared" ca="1" si="73"/>
        <v>-448.38774886946959</v>
      </c>
      <c r="L78">
        <f t="shared" ca="1" si="73"/>
        <v>-704.96378242212427</v>
      </c>
      <c r="M78">
        <f t="shared" ca="1" si="73"/>
        <v>-393.19007462367756</v>
      </c>
      <c r="N78">
        <f t="shared" ca="1" si="73"/>
        <v>-409.81773841939753</v>
      </c>
      <c r="O78">
        <f t="shared" ca="1" si="73"/>
        <v>-901.32301598916433</v>
      </c>
    </row>
    <row r="80" spans="1:15" ht="15" customHeight="1" x14ac:dyDescent="0.3">
      <c r="B80" s="16" t="s">
        <v>42</v>
      </c>
      <c r="F80">
        <f t="shared" ref="F80:O80" ca="1" si="74">F69+F73+F78</f>
        <v>-237.43612271351208</v>
      </c>
      <c r="G80">
        <f t="shared" ca="1" si="74"/>
        <v>659.08832849491864</v>
      </c>
      <c r="H80">
        <f t="shared" ca="1" si="74"/>
        <v>-796.89334552860737</v>
      </c>
      <c r="I80">
        <f t="shared" ca="1" si="74"/>
        <v>698.12462012644869</v>
      </c>
      <c r="J80">
        <f t="shared" ca="1" si="74"/>
        <v>278.75576110029601</v>
      </c>
      <c r="K80">
        <f t="shared" ca="1" si="74"/>
        <v>741.07468956933985</v>
      </c>
      <c r="L80">
        <f t="shared" ca="1" si="74"/>
        <v>523.89137482205501</v>
      </c>
      <c r="M80">
        <f t="shared" ca="1" si="74"/>
        <v>871.02483812730873</v>
      </c>
      <c r="N80">
        <f t="shared" ca="1" si="74"/>
        <v>884.93951910441137</v>
      </c>
      <c r="O80">
        <f t="shared" ca="1" si="74"/>
        <v>434.63199064841979</v>
      </c>
    </row>
    <row r="82" spans="1:15" ht="15" customHeight="1" x14ac:dyDescent="0.3">
      <c r="B82" s="16" t="s">
        <v>43</v>
      </c>
      <c r="F82">
        <f>E83</f>
        <v>1453.587</v>
      </c>
      <c r="G82">
        <f t="shared" ref="G82:O82" ca="1" si="75">F83</f>
        <v>1216.1508772864879</v>
      </c>
      <c r="H82">
        <f t="shared" ca="1" si="75"/>
        <v>1875.2392057814066</v>
      </c>
      <c r="I82">
        <f t="shared" ca="1" si="75"/>
        <v>1078.3458602527992</v>
      </c>
      <c r="J82">
        <f t="shared" ca="1" si="75"/>
        <v>1776.4704803792479</v>
      </c>
      <c r="K82">
        <f t="shared" ca="1" si="75"/>
        <v>2055.2262414795441</v>
      </c>
      <c r="L82">
        <f t="shared" ca="1" si="75"/>
        <v>2796.3009310488842</v>
      </c>
      <c r="M82">
        <f t="shared" ca="1" si="75"/>
        <v>3320.192305870939</v>
      </c>
      <c r="N82">
        <f t="shared" ca="1" si="75"/>
        <v>4191.2171439982476</v>
      </c>
      <c r="O82">
        <f t="shared" ca="1" si="75"/>
        <v>5076.156663102659</v>
      </c>
    </row>
    <row r="83" spans="1:15" ht="15" customHeight="1" x14ac:dyDescent="0.3">
      <c r="B83" s="16" t="s">
        <v>44</v>
      </c>
      <c r="E83">
        <f>E50</f>
        <v>1453.587</v>
      </c>
      <c r="F83">
        <f ca="1">F80+F82</f>
        <v>1216.1508772864879</v>
      </c>
      <c r="G83">
        <f t="shared" ref="G83:O83" ca="1" si="76">G80+G82</f>
        <v>1875.2392057814066</v>
      </c>
      <c r="H83">
        <f t="shared" ca="1" si="76"/>
        <v>1078.3458602527992</v>
      </c>
      <c r="I83">
        <f t="shared" ca="1" si="76"/>
        <v>1776.4704803792479</v>
      </c>
      <c r="J83">
        <f t="shared" ca="1" si="76"/>
        <v>2055.2262414795441</v>
      </c>
      <c r="K83">
        <f t="shared" ca="1" si="76"/>
        <v>2796.3009310488842</v>
      </c>
      <c r="L83">
        <f t="shared" ca="1" si="76"/>
        <v>3320.192305870939</v>
      </c>
      <c r="M83">
        <f t="shared" ca="1" si="76"/>
        <v>4191.2171439982476</v>
      </c>
      <c r="N83">
        <f t="shared" ca="1" si="76"/>
        <v>5076.156663102659</v>
      </c>
      <c r="O83">
        <f t="shared" ca="1" si="76"/>
        <v>5510.7886537510785</v>
      </c>
    </row>
    <row r="85" spans="1:15" ht="15" customHeight="1" x14ac:dyDescent="0.3">
      <c r="A85" s="15" t="s">
        <v>58</v>
      </c>
    </row>
    <row r="86" spans="1:15" ht="15" customHeight="1" x14ac:dyDescent="0.3">
      <c r="B86" s="16" t="str">
        <f>B69</f>
        <v>Operating cash flow</v>
      </c>
      <c r="F86">
        <f t="shared" ref="F86:O86" ca="1" si="77">F69</f>
        <v>1150.0978756536585</v>
      </c>
      <c r="G86">
        <f t="shared" ca="1" si="77"/>
        <v>1300.7103355350096</v>
      </c>
      <c r="H86">
        <f t="shared" ca="1" si="77"/>
        <v>1352.3703186342959</v>
      </c>
      <c r="I86">
        <f t="shared" ca="1" si="77"/>
        <v>1502.5584305484113</v>
      </c>
      <c r="J86">
        <f t="shared" ca="1" si="77"/>
        <v>1566.9232102234694</v>
      </c>
      <c r="K86">
        <f t="shared" ca="1" si="77"/>
        <v>1621.0861322452888</v>
      </c>
      <c r="L86">
        <f t="shared" ca="1" si="77"/>
        <v>1682.0600357409828</v>
      </c>
      <c r="M86">
        <f t="shared" ca="1" si="77"/>
        <v>1737.814010780146</v>
      </c>
      <c r="N86">
        <f t="shared" ca="1" si="77"/>
        <v>1787.300319474135</v>
      </c>
      <c r="O86">
        <f t="shared" ca="1" si="77"/>
        <v>1848.1997910659234</v>
      </c>
    </row>
    <row r="87" spans="1:15" ht="15" customHeight="1" x14ac:dyDescent="0.3">
      <c r="B87" s="16" t="str">
        <f>B73</f>
        <v>Investing cash flow</v>
      </c>
      <c r="F87">
        <f t="shared" ref="F87:O87" si="78">F73</f>
        <v>-325.60608834999999</v>
      </c>
      <c r="G87">
        <f t="shared" si="78"/>
        <v>-345.14245365099998</v>
      </c>
      <c r="H87">
        <f t="shared" si="78"/>
        <v>-1765.85100087006</v>
      </c>
      <c r="I87">
        <f t="shared" si="78"/>
        <v>-387.80206092226365</v>
      </c>
      <c r="J87">
        <f t="shared" si="78"/>
        <v>-411.07018457759949</v>
      </c>
      <c r="K87">
        <f t="shared" si="78"/>
        <v>-431.62369380647948</v>
      </c>
      <c r="L87">
        <f t="shared" si="78"/>
        <v>-453.20487849680347</v>
      </c>
      <c r="M87">
        <f t="shared" si="78"/>
        <v>-473.59909802915962</v>
      </c>
      <c r="N87">
        <f t="shared" si="78"/>
        <v>-492.54306195032603</v>
      </c>
      <c r="O87">
        <f t="shared" si="78"/>
        <v>-512.24478442833913</v>
      </c>
    </row>
    <row r="88" spans="1:15" ht="15" customHeight="1" x14ac:dyDescent="0.3">
      <c r="B88" s="16" t="s">
        <v>69</v>
      </c>
      <c r="F88">
        <f t="shared" ref="F88:O88" ca="1" si="79">F75</f>
        <v>-255.11691001717074</v>
      </c>
      <c r="G88">
        <f t="shared" ca="1" si="79"/>
        <v>-274.63755338909084</v>
      </c>
      <c r="H88">
        <f t="shared" ca="1" si="79"/>
        <v>-292.22366329284318</v>
      </c>
      <c r="I88">
        <f t="shared" ca="1" si="79"/>
        <v>-311.2037494996992</v>
      </c>
      <c r="J88">
        <f t="shared" ca="1" si="79"/>
        <v>-333.6804120865574</v>
      </c>
      <c r="K88">
        <f t="shared" ca="1" si="79"/>
        <v>-353.880470180945</v>
      </c>
      <c r="L88">
        <f t="shared" ca="1" si="79"/>
        <v>-374.18830701228813</v>
      </c>
      <c r="M88">
        <f t="shared" ca="1" si="79"/>
        <v>-393.19007462367756</v>
      </c>
      <c r="N88">
        <f t="shared" ca="1" si="79"/>
        <v>-409.81773841939753</v>
      </c>
      <c r="O88">
        <f t="shared" ca="1" si="79"/>
        <v>-428.78662254654165</v>
      </c>
    </row>
    <row r="89" spans="1:15" ht="15" customHeight="1" x14ac:dyDescent="0.3">
      <c r="B89" s="16" t="s">
        <v>78</v>
      </c>
      <c r="F89">
        <f t="shared" ref="F89:O89" ca="1" si="80">SUM(F86:F88)</f>
        <v>569.37487728648784</v>
      </c>
      <c r="G89">
        <f t="shared" ca="1" si="80"/>
        <v>680.93032849491874</v>
      </c>
      <c r="H89">
        <f t="shared" ca="1" si="80"/>
        <v>-705.70434552860729</v>
      </c>
      <c r="I89">
        <f t="shared" ca="1" si="80"/>
        <v>803.55262012644857</v>
      </c>
      <c r="J89">
        <f t="shared" ca="1" si="80"/>
        <v>822.17261355931237</v>
      </c>
      <c r="K89">
        <f t="shared" ca="1" si="80"/>
        <v>835.58196825786445</v>
      </c>
      <c r="L89">
        <f t="shared" ca="1" si="80"/>
        <v>854.6668502318912</v>
      </c>
      <c r="M89">
        <f t="shared" ca="1" si="80"/>
        <v>871.02483812730873</v>
      </c>
      <c r="N89">
        <f t="shared" ca="1" si="80"/>
        <v>884.93951910441137</v>
      </c>
      <c r="O89">
        <f t="shared" ca="1" si="80"/>
        <v>907.16838409104253</v>
      </c>
    </row>
    <row r="90" spans="1:15" ht="15" customHeight="1" x14ac:dyDescent="0.3">
      <c r="B90" s="16" t="s">
        <v>43</v>
      </c>
      <c r="F90">
        <f t="shared" ref="F90:O90" si="81">E83</f>
        <v>1453.587</v>
      </c>
      <c r="G90">
        <f t="shared" ca="1" si="81"/>
        <v>1216.1508772864879</v>
      </c>
      <c r="H90">
        <f t="shared" ca="1" si="81"/>
        <v>1875.2392057814066</v>
      </c>
      <c r="I90">
        <f t="shared" ca="1" si="81"/>
        <v>1078.3458602527992</v>
      </c>
      <c r="J90">
        <f t="shared" ca="1" si="81"/>
        <v>1776.4704803792479</v>
      </c>
      <c r="K90">
        <f t="shared" ca="1" si="81"/>
        <v>2055.2262414795441</v>
      </c>
      <c r="L90">
        <f t="shared" ca="1" si="81"/>
        <v>2796.3009310488842</v>
      </c>
      <c r="M90">
        <f t="shared" ca="1" si="81"/>
        <v>3320.192305870939</v>
      </c>
      <c r="N90">
        <f t="shared" ca="1" si="81"/>
        <v>4191.2171439982476</v>
      </c>
      <c r="O90">
        <f t="shared" ca="1" si="81"/>
        <v>5076.156663102659</v>
      </c>
    </row>
    <row r="91" spans="1:15" ht="15" customHeight="1" x14ac:dyDescent="0.3">
      <c r="B91" s="16" t="s">
        <v>77</v>
      </c>
      <c r="F91">
        <f ca="1">SUM(F89:F90)</f>
        <v>2022.9618772864878</v>
      </c>
      <c r="G91">
        <f t="shared" ref="G91:O91" ca="1" si="82">SUM(G89:G90)</f>
        <v>1897.0812057814067</v>
      </c>
      <c r="H91">
        <f t="shared" ca="1" si="82"/>
        <v>1169.5348602527993</v>
      </c>
      <c r="I91">
        <f t="shared" ca="1" si="82"/>
        <v>1881.8984803792478</v>
      </c>
      <c r="J91">
        <f t="shared" ca="1" si="82"/>
        <v>2598.64309393856</v>
      </c>
      <c r="K91">
        <f t="shared" ca="1" si="82"/>
        <v>2890.8082097374086</v>
      </c>
      <c r="L91">
        <f t="shared" ca="1" si="82"/>
        <v>3650.9677812807754</v>
      </c>
      <c r="M91">
        <f t="shared" ca="1" si="82"/>
        <v>4191.2171439982476</v>
      </c>
      <c r="N91">
        <f t="shared" ca="1" si="82"/>
        <v>5076.156663102659</v>
      </c>
      <c r="O91">
        <f t="shared" ca="1" si="82"/>
        <v>5983.3250471937017</v>
      </c>
    </row>
    <row r="93" spans="1:15" s="32" customFormat="1" ht="15" customHeight="1" x14ac:dyDescent="0.3">
      <c r="A93" s="80"/>
      <c r="B93" s="78" t="s">
        <v>62</v>
      </c>
      <c r="C93" s="79"/>
      <c r="D93" s="79"/>
      <c r="E93" s="79"/>
      <c r="F93" s="79">
        <f>F103</f>
        <v>-655.50800000000004</v>
      </c>
      <c r="G93" s="79">
        <f t="shared" ref="G93:O93" si="83">G103</f>
        <v>-21.841999999999999</v>
      </c>
      <c r="H93" s="79">
        <f t="shared" si="83"/>
        <v>-91.188999999999993</v>
      </c>
      <c r="I93" s="79">
        <f t="shared" si="83"/>
        <v>-105.428</v>
      </c>
      <c r="J93" s="79">
        <f t="shared" si="83"/>
        <v>-543.41685245901647</v>
      </c>
      <c r="K93" s="79">
        <f t="shared" si="83"/>
        <v>-94.507278688524593</v>
      </c>
      <c r="L93" s="79">
        <f t="shared" si="83"/>
        <v>-330.77547540983608</v>
      </c>
      <c r="M93" s="79">
        <f t="shared" si="83"/>
        <v>0</v>
      </c>
      <c r="N93" s="79">
        <f t="shared" si="83"/>
        <v>0</v>
      </c>
      <c r="O93" s="79">
        <f t="shared" si="83"/>
        <v>-472.53639344262297</v>
      </c>
    </row>
    <row r="94" spans="1:15" ht="15" customHeight="1" x14ac:dyDescent="0.3">
      <c r="B94" s="16" t="s">
        <v>80</v>
      </c>
      <c r="F94">
        <f ca="1">SUM(F91,F93)</f>
        <v>1367.4538772864878</v>
      </c>
      <c r="G94">
        <f t="shared" ref="G94:O94" ca="1" si="84">SUM(G91,G93)</f>
        <v>1875.2392057814066</v>
      </c>
      <c r="H94">
        <f t="shared" ca="1" si="84"/>
        <v>1078.3458602527992</v>
      </c>
      <c r="I94">
        <f t="shared" ca="1" si="84"/>
        <v>1776.4704803792479</v>
      </c>
      <c r="J94">
        <f t="shared" ca="1" si="84"/>
        <v>2055.2262414795437</v>
      </c>
      <c r="K94">
        <f t="shared" ca="1" si="84"/>
        <v>2796.3009310488842</v>
      </c>
      <c r="L94">
        <f t="shared" ca="1" si="84"/>
        <v>3320.1923058709394</v>
      </c>
      <c r="M94">
        <f t="shared" ca="1" si="84"/>
        <v>4191.2171439982476</v>
      </c>
      <c r="N94">
        <f t="shared" ca="1" si="84"/>
        <v>5076.156663102659</v>
      </c>
      <c r="O94">
        <f t="shared" ca="1" si="84"/>
        <v>5510.7886537510785</v>
      </c>
    </row>
    <row r="96" spans="1:15" ht="15" customHeight="1" x14ac:dyDescent="0.3">
      <c r="B96" s="16" t="s">
        <v>81</v>
      </c>
      <c r="F96">
        <f>E98</f>
        <v>151.303</v>
      </c>
      <c r="G96">
        <f t="shared" ref="G96:O96" ca="1" si="85">F98</f>
        <v>0</v>
      </c>
      <c r="H96">
        <f t="shared" ca="1" si="85"/>
        <v>0</v>
      </c>
      <c r="I96">
        <f t="shared" ca="1" si="85"/>
        <v>0</v>
      </c>
      <c r="J96">
        <f t="shared" ca="1" si="85"/>
        <v>0</v>
      </c>
      <c r="K96">
        <f t="shared" ca="1" si="85"/>
        <v>0</v>
      </c>
      <c r="L96">
        <f t="shared" ca="1" si="85"/>
        <v>0</v>
      </c>
      <c r="M96">
        <f t="shared" ca="1" si="85"/>
        <v>0</v>
      </c>
      <c r="N96">
        <f t="shared" ca="1" si="85"/>
        <v>0</v>
      </c>
      <c r="O96">
        <f t="shared" ca="1" si="85"/>
        <v>0</v>
      </c>
    </row>
    <row r="97" spans="1:15" ht="15" customHeight="1" x14ac:dyDescent="0.3">
      <c r="B97" s="16" t="s">
        <v>82</v>
      </c>
      <c r="F97">
        <f ca="1">MIN(F94,F96)*-1</f>
        <v>-151.303</v>
      </c>
      <c r="G97">
        <f t="shared" ref="G97:O97" ca="1" si="86">MIN(G94,G96)*-1</f>
        <v>0</v>
      </c>
      <c r="H97">
        <f t="shared" ca="1" si="86"/>
        <v>0</v>
      </c>
      <c r="I97">
        <f t="shared" ca="1" si="86"/>
        <v>0</v>
      </c>
      <c r="J97">
        <f t="shared" ca="1" si="86"/>
        <v>0</v>
      </c>
      <c r="K97">
        <f t="shared" ca="1" si="86"/>
        <v>0</v>
      </c>
      <c r="L97">
        <f t="shared" ca="1" si="86"/>
        <v>0</v>
      </c>
      <c r="M97">
        <f t="shared" ca="1" si="86"/>
        <v>0</v>
      </c>
      <c r="N97">
        <f t="shared" ca="1" si="86"/>
        <v>0</v>
      </c>
      <c r="O97">
        <f t="shared" ca="1" si="86"/>
        <v>0</v>
      </c>
    </row>
    <row r="98" spans="1:15" ht="15" customHeight="1" x14ac:dyDescent="0.3">
      <c r="B98" s="16" t="s">
        <v>83</v>
      </c>
      <c r="E98">
        <f>E55</f>
        <v>151.303</v>
      </c>
      <c r="F98">
        <f ca="1">SUM(F96:F97)</f>
        <v>0</v>
      </c>
      <c r="G98">
        <f t="shared" ref="G98:O98" ca="1" si="87">SUM(G96:G97)</f>
        <v>0</v>
      </c>
      <c r="H98">
        <f t="shared" ca="1" si="87"/>
        <v>0</v>
      </c>
      <c r="I98">
        <f t="shared" ca="1" si="87"/>
        <v>0</v>
      </c>
      <c r="J98">
        <f t="shared" ca="1" si="87"/>
        <v>0</v>
      </c>
      <c r="K98">
        <f t="shared" ca="1" si="87"/>
        <v>0</v>
      </c>
      <c r="L98">
        <f t="shared" ca="1" si="87"/>
        <v>0</v>
      </c>
      <c r="M98">
        <f t="shared" ca="1" si="87"/>
        <v>0</v>
      </c>
      <c r="N98">
        <f t="shared" ca="1" si="87"/>
        <v>0</v>
      </c>
      <c r="O98">
        <f t="shared" ca="1" si="87"/>
        <v>0</v>
      </c>
    </row>
    <row r="100" spans="1:15" ht="15" customHeight="1" x14ac:dyDescent="0.3">
      <c r="B100" s="16" t="s">
        <v>44</v>
      </c>
      <c r="E100">
        <f>E50</f>
        <v>1453.587</v>
      </c>
      <c r="F100">
        <f ca="1">F94+F97</f>
        <v>1216.1508772864877</v>
      </c>
      <c r="G100">
        <f t="shared" ref="G100:O100" ca="1" si="88">G94+G97</f>
        <v>1875.2392057814066</v>
      </c>
      <c r="H100">
        <f t="shared" ca="1" si="88"/>
        <v>1078.3458602527992</v>
      </c>
      <c r="I100">
        <f t="shared" ca="1" si="88"/>
        <v>1776.4704803792479</v>
      </c>
      <c r="J100">
        <f t="shared" ca="1" si="88"/>
        <v>2055.2262414795437</v>
      </c>
      <c r="K100">
        <f t="shared" ca="1" si="88"/>
        <v>2796.3009310488842</v>
      </c>
      <c r="L100">
        <f t="shared" ca="1" si="88"/>
        <v>3320.1923058709394</v>
      </c>
      <c r="M100">
        <f t="shared" ca="1" si="88"/>
        <v>4191.2171439982476</v>
      </c>
      <c r="N100">
        <f t="shared" ca="1" si="88"/>
        <v>5076.156663102659</v>
      </c>
      <c r="O100">
        <f t="shared" ca="1" si="88"/>
        <v>5510.7886537510785</v>
      </c>
    </row>
    <row r="102" spans="1:15" ht="15" customHeight="1" x14ac:dyDescent="0.3">
      <c r="B102" s="78" t="s">
        <v>109</v>
      </c>
      <c r="C102" s="79"/>
      <c r="D102" s="79"/>
      <c r="E102" s="79"/>
      <c r="F102" s="79">
        <f>E104</f>
        <v>2315.203</v>
      </c>
      <c r="G102" s="79">
        <f t="shared" ref="G102:O102" si="89">F104</f>
        <v>1659.6949999999999</v>
      </c>
      <c r="H102" s="79">
        <f t="shared" si="89"/>
        <v>1637.8529999999998</v>
      </c>
      <c r="I102" s="79">
        <f t="shared" si="89"/>
        <v>1546.6639999999998</v>
      </c>
      <c r="J102" s="79">
        <f t="shared" si="89"/>
        <v>1441.2359999999999</v>
      </c>
      <c r="K102" s="79">
        <f t="shared" si="89"/>
        <v>897.81914754098341</v>
      </c>
      <c r="L102" s="79">
        <f t="shared" si="89"/>
        <v>803.31186885245882</v>
      </c>
      <c r="M102" s="79">
        <f t="shared" si="89"/>
        <v>472.53639344262274</v>
      </c>
      <c r="N102" s="79">
        <f t="shared" si="89"/>
        <v>472.53639344262274</v>
      </c>
      <c r="O102" s="79">
        <f t="shared" si="89"/>
        <v>472.53639344262274</v>
      </c>
    </row>
    <row r="103" spans="1:15" s="32" customFormat="1" ht="15" customHeight="1" x14ac:dyDescent="0.3">
      <c r="A103" s="80"/>
      <c r="B103" s="78" t="str">
        <f>B18</f>
        <v>Long term debt 1 issuance / (repayment)</v>
      </c>
      <c r="C103" s="79"/>
      <c r="D103" s="79"/>
      <c r="E103" s="79"/>
      <c r="F103" s="79">
        <f t="shared" ref="F103:O103" si="90">F18</f>
        <v>-655.50800000000004</v>
      </c>
      <c r="G103" s="79">
        <f t="shared" si="90"/>
        <v>-21.841999999999999</v>
      </c>
      <c r="H103" s="79">
        <f t="shared" si="90"/>
        <v>-91.188999999999993</v>
      </c>
      <c r="I103" s="79">
        <f t="shared" si="90"/>
        <v>-105.428</v>
      </c>
      <c r="J103" s="79">
        <f t="shared" si="90"/>
        <v>-543.41685245901647</v>
      </c>
      <c r="K103" s="79">
        <f t="shared" si="90"/>
        <v>-94.507278688524593</v>
      </c>
      <c r="L103" s="79">
        <f t="shared" si="90"/>
        <v>-330.77547540983608</v>
      </c>
      <c r="M103" s="79">
        <f t="shared" si="90"/>
        <v>0</v>
      </c>
      <c r="N103" s="79">
        <f t="shared" si="90"/>
        <v>0</v>
      </c>
      <c r="O103" s="79">
        <f t="shared" si="90"/>
        <v>-472.53639344262297</v>
      </c>
    </row>
    <row r="104" spans="1:15" ht="15" customHeight="1" x14ac:dyDescent="0.3">
      <c r="B104" s="78" t="s">
        <v>110</v>
      </c>
      <c r="C104" s="79"/>
      <c r="D104" s="79"/>
      <c r="E104" s="79">
        <f>E57</f>
        <v>2315.203</v>
      </c>
      <c r="F104" s="79">
        <f>SUM(F102:F103)</f>
        <v>1659.6949999999999</v>
      </c>
      <c r="G104" s="79">
        <f t="shared" ref="G104:O104" si="91">SUM(G102:G103)</f>
        <v>1637.8529999999998</v>
      </c>
      <c r="H104" s="79">
        <f t="shared" si="91"/>
        <v>1546.6639999999998</v>
      </c>
      <c r="I104" s="79">
        <f t="shared" si="91"/>
        <v>1441.2359999999999</v>
      </c>
      <c r="J104" s="79">
        <f t="shared" si="91"/>
        <v>897.81914754098341</v>
      </c>
      <c r="K104" s="79">
        <f t="shared" si="91"/>
        <v>803.31186885245882</v>
      </c>
      <c r="L104" s="79">
        <f t="shared" si="91"/>
        <v>472.53639344262274</v>
      </c>
      <c r="M104" s="79">
        <f t="shared" si="91"/>
        <v>472.53639344262274</v>
      </c>
      <c r="N104" s="79">
        <f t="shared" si="91"/>
        <v>472.53639344262274</v>
      </c>
      <c r="O104" s="79">
        <f t="shared" si="91"/>
        <v>0</v>
      </c>
    </row>
    <row r="106" spans="1:15" ht="15" customHeight="1" x14ac:dyDescent="0.3">
      <c r="B106" s="16" t="s">
        <v>84</v>
      </c>
      <c r="F106">
        <f t="shared" ref="F106:O106" ca="1" si="92">AVERAGE(E98:F98)*F19</f>
        <v>1.5130300000000001</v>
      </c>
      <c r="G106">
        <f t="shared" ca="1" si="92"/>
        <v>0</v>
      </c>
      <c r="H106">
        <f t="shared" ca="1" si="92"/>
        <v>0</v>
      </c>
      <c r="I106">
        <f t="shared" ca="1" si="92"/>
        <v>0</v>
      </c>
      <c r="J106">
        <f t="shared" ca="1" si="92"/>
        <v>0</v>
      </c>
      <c r="K106">
        <f t="shared" ca="1" si="92"/>
        <v>0</v>
      </c>
      <c r="L106">
        <f t="shared" ca="1" si="92"/>
        <v>0</v>
      </c>
      <c r="M106">
        <f t="shared" ca="1" si="92"/>
        <v>0</v>
      </c>
      <c r="N106">
        <f t="shared" ca="1" si="92"/>
        <v>0</v>
      </c>
      <c r="O106">
        <f t="shared" ca="1" si="92"/>
        <v>0</v>
      </c>
    </row>
    <row r="107" spans="1:15" ht="15" customHeight="1" x14ac:dyDescent="0.3">
      <c r="B107" s="78" t="s">
        <v>111</v>
      </c>
      <c r="C107" s="79"/>
      <c r="D107" s="79"/>
      <c r="E107" s="79"/>
      <c r="F107" s="79">
        <f t="shared" ref="F107:O107" si="93">AVERAGE(E104:F104)*F20</f>
        <v>79.497960000000006</v>
      </c>
      <c r="G107" s="79">
        <f t="shared" si="93"/>
        <v>65.950959999999995</v>
      </c>
      <c r="H107" s="79">
        <f t="shared" si="93"/>
        <v>63.690339999999999</v>
      </c>
      <c r="I107" s="79">
        <f t="shared" si="93"/>
        <v>59.757999999999996</v>
      </c>
      <c r="J107" s="79">
        <f t="shared" si="93"/>
        <v>46.781102950819665</v>
      </c>
      <c r="K107" s="79">
        <f t="shared" si="93"/>
        <v>34.022620327868843</v>
      </c>
      <c r="L107" s="79">
        <f t="shared" si="93"/>
        <v>25.516965245901631</v>
      </c>
      <c r="M107" s="79">
        <f t="shared" si="93"/>
        <v>18.901455737704911</v>
      </c>
      <c r="N107" s="79">
        <f t="shared" si="93"/>
        <v>18.901455737704911</v>
      </c>
      <c r="O107" s="79">
        <f t="shared" si="93"/>
        <v>9.4507278688524554</v>
      </c>
    </row>
    <row r="108" spans="1:15" ht="15" customHeight="1" x14ac:dyDescent="0.3">
      <c r="B108" s="16" t="s">
        <v>85</v>
      </c>
      <c r="F108">
        <f t="shared" ref="F108:O108" ca="1" si="94">AVERAGE(E100:F100)*F21</f>
        <v>6.6743446932162191</v>
      </c>
      <c r="G108">
        <f t="shared" ca="1" si="94"/>
        <v>7.7284752076697352</v>
      </c>
      <c r="H108">
        <f t="shared" ca="1" si="94"/>
        <v>7.3839626650855141</v>
      </c>
      <c r="I108">
        <f t="shared" ca="1" si="94"/>
        <v>7.1370408515801183</v>
      </c>
      <c r="J108">
        <f t="shared" ca="1" si="94"/>
        <v>9.5792418046469798</v>
      </c>
      <c r="K108">
        <f t="shared" ca="1" si="94"/>
        <v>12.128817931321068</v>
      </c>
      <c r="L108">
        <f t="shared" ca="1" si="94"/>
        <v>15.291233092299558</v>
      </c>
      <c r="M108">
        <f t="shared" ca="1" si="94"/>
        <v>18.778523624672967</v>
      </c>
      <c r="N108">
        <f t="shared" ca="1" si="94"/>
        <v>23.168434517752267</v>
      </c>
      <c r="O108">
        <f t="shared" ca="1" si="94"/>
        <v>26.46736329213434</v>
      </c>
    </row>
    <row r="110" spans="1:15" ht="15" customHeight="1" x14ac:dyDescent="0.3">
      <c r="A110" s="15" t="s">
        <v>102</v>
      </c>
    </row>
    <row r="111" spans="1:15" ht="15" customHeight="1" x14ac:dyDescent="0.3">
      <c r="B111" s="16" t="s">
        <v>60</v>
      </c>
      <c r="C111" s="66">
        <f t="shared" ref="C111:O111" si="95">C26/C24</f>
        <v>0.13690665527165549</v>
      </c>
      <c r="D111" s="66">
        <f t="shared" si="95"/>
        <v>0.14436348385002293</v>
      </c>
      <c r="E111" s="66">
        <f t="shared" si="95"/>
        <v>0.15127614289894162</v>
      </c>
      <c r="F111" s="66">
        <f t="shared" si="95"/>
        <v>0.15000000000000005</v>
      </c>
      <c r="G111" s="66">
        <f t="shared" si="95"/>
        <v>0.15</v>
      </c>
      <c r="H111" s="66">
        <f t="shared" si="95"/>
        <v>0.15000000000000002</v>
      </c>
      <c r="I111" s="66">
        <f t="shared" si="95"/>
        <v>0.14999999999999994</v>
      </c>
      <c r="J111" s="66">
        <f t="shared" si="95"/>
        <v>0.15000000000000005</v>
      </c>
      <c r="K111" s="66">
        <f t="shared" si="95"/>
        <v>0.14999999999999997</v>
      </c>
      <c r="L111" s="66">
        <f t="shared" si="95"/>
        <v>0.14999999999999994</v>
      </c>
      <c r="M111" s="66">
        <f t="shared" si="95"/>
        <v>0.14999999999999997</v>
      </c>
      <c r="N111" s="66">
        <f t="shared" si="95"/>
        <v>0.15000000000000002</v>
      </c>
      <c r="O111" s="66">
        <f t="shared" si="95"/>
        <v>0.15</v>
      </c>
    </row>
    <row r="112" spans="1:15" ht="15" customHeight="1" x14ac:dyDescent="0.3">
      <c r="B112" s="16" t="s">
        <v>50</v>
      </c>
      <c r="C112" s="66"/>
      <c r="D112" s="66"/>
      <c r="E112" s="66"/>
      <c r="F112">
        <f t="shared" ref="F112:O112" si="96">F26+F37</f>
        <v>895.86888450000038</v>
      </c>
      <c r="G112">
        <f t="shared" si="96"/>
        <v>981.57464628690002</v>
      </c>
      <c r="H112">
        <f t="shared" si="96"/>
        <v>1070.313814285699</v>
      </c>
      <c r="I112">
        <f t="shared" si="96"/>
        <v>1070.0075828758004</v>
      </c>
      <c r="J112">
        <f t="shared" si="96"/>
        <v>1171.8856315589342</v>
      </c>
      <c r="K112">
        <f t="shared" si="96"/>
        <v>1260.7246344952796</v>
      </c>
      <c r="L112">
        <f t="shared" si="96"/>
        <v>1352.0094359687889</v>
      </c>
      <c r="M112">
        <f t="shared" si="96"/>
        <v>1436.8074865376213</v>
      </c>
      <c r="N112">
        <f t="shared" si="96"/>
        <v>1514.2402643525293</v>
      </c>
      <c r="O112">
        <f t="shared" si="96"/>
        <v>1593.4529617087078</v>
      </c>
    </row>
    <row r="113" spans="1:15" ht="15" customHeight="1" x14ac:dyDescent="0.3">
      <c r="B113" s="16" t="s">
        <v>92</v>
      </c>
      <c r="C113" s="66"/>
      <c r="D113" s="66"/>
      <c r="E113" s="66"/>
      <c r="F113" s="66">
        <f t="shared" ref="F113:O113" si="97">F112/F24</f>
        <v>0.10180137875944609</v>
      </c>
      <c r="G113" s="66">
        <f t="shared" si="97"/>
        <v>0.10522687524653075</v>
      </c>
      <c r="H113" s="66">
        <f t="shared" si="97"/>
        <v>0.10824519007571674</v>
      </c>
      <c r="I113" s="66">
        <f t="shared" si="97"/>
        <v>0.10208888645989075</v>
      </c>
      <c r="J113" s="66">
        <f t="shared" si="97"/>
        <v>0.10548020750333779</v>
      </c>
      <c r="K113" s="66">
        <f t="shared" si="97"/>
        <v>0.10807287029344514</v>
      </c>
      <c r="L113" s="66">
        <f t="shared" si="97"/>
        <v>0.11037910557531215</v>
      </c>
      <c r="M113" s="66">
        <f t="shared" si="97"/>
        <v>0.11225079866731248</v>
      </c>
      <c r="N113" s="66">
        <f t="shared" si="97"/>
        <v>0.11375023649545185</v>
      </c>
      <c r="O113" s="66">
        <f t="shared" si="97"/>
        <v>0.11509684700649232</v>
      </c>
    </row>
    <row r="114" spans="1:15" ht="15" customHeight="1" x14ac:dyDescent="0.3">
      <c r="B114" s="16" t="s">
        <v>61</v>
      </c>
      <c r="C114" s="66">
        <f t="shared" ref="C114:O114" si="98">C31/C24</f>
        <v>7.6001299437691114E-2</v>
      </c>
      <c r="D114" s="66">
        <f t="shared" si="98"/>
        <v>7.5056911956618483E-2</v>
      </c>
      <c r="E114" s="66">
        <f t="shared" si="98"/>
        <v>8.442083619902313E-2</v>
      </c>
      <c r="F114" s="66">
        <f t="shared" ca="1" si="98"/>
        <v>9.0593799612946849E-2</v>
      </c>
      <c r="G114" s="66">
        <f t="shared" ca="1" si="98"/>
        <v>9.2005393062203553E-2</v>
      </c>
      <c r="H114" s="66">
        <f t="shared" ca="1" si="98"/>
        <v>9.2355524483683629E-2</v>
      </c>
      <c r="I114" s="66">
        <f t="shared" ca="1" si="98"/>
        <v>9.2786854846332617E-2</v>
      </c>
      <c r="J114" s="66">
        <f t="shared" ca="1" si="98"/>
        <v>9.3856959456092459E-2</v>
      </c>
      <c r="K114" s="66">
        <f t="shared" ca="1" si="98"/>
        <v>9.4798848978428149E-2</v>
      </c>
      <c r="L114" s="66">
        <f t="shared" ca="1" si="98"/>
        <v>9.5465704477408819E-2</v>
      </c>
      <c r="M114" s="66">
        <f t="shared" ca="1" si="98"/>
        <v>9.5993853382642158E-2</v>
      </c>
      <c r="N114" s="66">
        <f t="shared" ca="1" si="98"/>
        <v>9.6205143601275064E-2</v>
      </c>
      <c r="O114" s="66">
        <f t="shared" ca="1" si="98"/>
        <v>9.6786643298424235E-2</v>
      </c>
    </row>
    <row r="116" spans="1:15" ht="15" customHeight="1" x14ac:dyDescent="0.3">
      <c r="A116" s="15" t="s">
        <v>103</v>
      </c>
    </row>
    <row r="117" spans="1:15" ht="15" customHeight="1" x14ac:dyDescent="0.3">
      <c r="B117" s="16" t="s">
        <v>72</v>
      </c>
      <c r="D117" s="66">
        <f t="shared" ref="D117:O117" si="99">D47/D24</f>
        <v>-3.2208878607107631E-2</v>
      </c>
      <c r="E117" s="66">
        <f t="shared" si="99"/>
        <v>-6.3367212832400946E-2</v>
      </c>
      <c r="F117" s="66">
        <f t="shared" si="99"/>
        <v>-4.6999999999999993E-2</v>
      </c>
      <c r="G117" s="66">
        <f t="shared" si="99"/>
        <v>-4.7000000000000056E-2</v>
      </c>
      <c r="H117" s="66">
        <f t="shared" si="99"/>
        <v>-4.6999999999999993E-2</v>
      </c>
      <c r="I117" s="66">
        <f t="shared" si="99"/>
        <v>-4.7000000000000014E-2</v>
      </c>
      <c r="J117" s="66">
        <f t="shared" si="99"/>
        <v>-4.7000000000000007E-2</v>
      </c>
      <c r="K117" s="66">
        <f t="shared" si="99"/>
        <v>-4.7000000000000007E-2</v>
      </c>
      <c r="L117" s="66">
        <f t="shared" si="99"/>
        <v>-4.7000000000000028E-2</v>
      </c>
      <c r="M117" s="66">
        <f t="shared" si="99"/>
        <v>-4.7000000000000035E-2</v>
      </c>
      <c r="N117" s="66">
        <f t="shared" si="99"/>
        <v>-4.7000000000000028E-2</v>
      </c>
      <c r="O117" s="66">
        <f t="shared" si="99"/>
        <v>-4.7000000000000021E-2</v>
      </c>
    </row>
    <row r="118" spans="1:15" ht="15" customHeight="1" x14ac:dyDescent="0.3">
      <c r="B118" s="16" t="s">
        <v>73</v>
      </c>
      <c r="D118" s="66">
        <f t="shared" ref="D118:O118" si="100">D52/D24</f>
        <v>0.79956434165580537</v>
      </c>
      <c r="E118" s="66">
        <f t="shared" si="100"/>
        <v>0.83982446100965236</v>
      </c>
      <c r="F118" s="66">
        <f t="shared" si="100"/>
        <v>0.71908351876783949</v>
      </c>
      <c r="G118" s="66">
        <f t="shared" si="100"/>
        <v>0.67060755332939825</v>
      </c>
      <c r="H118" s="66">
        <f t="shared" si="100"/>
        <v>0.76948152049266294</v>
      </c>
      <c r="I118" s="66">
        <f t="shared" si="100"/>
        <v>0.71501484918881808</v>
      </c>
      <c r="J118" s="66">
        <f t="shared" si="100"/>
        <v>0.66702251805882651</v>
      </c>
      <c r="K118" s="66">
        <f t="shared" si="100"/>
        <v>0.63033241130185136</v>
      </c>
      <c r="L118" s="66">
        <f t="shared" si="100"/>
        <v>0.59769568776755155</v>
      </c>
      <c r="M118" s="66">
        <f t="shared" si="100"/>
        <v>0.57120839461712269</v>
      </c>
      <c r="N118" s="66">
        <f t="shared" si="100"/>
        <v>0.54998907747345438</v>
      </c>
      <c r="O118" s="66">
        <f t="shared" si="100"/>
        <v>0.53093249842327528</v>
      </c>
    </row>
    <row r="120" spans="1:15" ht="15" customHeight="1" x14ac:dyDescent="0.3">
      <c r="A120" s="15" t="s">
        <v>86</v>
      </c>
    </row>
    <row r="121" spans="1:15" s="32" customFormat="1" ht="15" customHeight="1" x14ac:dyDescent="0.3">
      <c r="A121" s="80"/>
      <c r="B121" s="78" t="s">
        <v>74</v>
      </c>
      <c r="C121" s="79"/>
      <c r="D121" s="79"/>
      <c r="E121" s="79">
        <f>E98+E104</f>
        <v>2466.5059999999999</v>
      </c>
      <c r="F121" s="79">
        <f t="shared" ref="F121:O121" ca="1" si="101">F98+F104</f>
        <v>1659.6949999999999</v>
      </c>
      <c r="G121" s="79">
        <f t="shared" ca="1" si="101"/>
        <v>1637.8529999999998</v>
      </c>
      <c r="H121" s="79">
        <f t="shared" ca="1" si="101"/>
        <v>1546.6639999999998</v>
      </c>
      <c r="I121" s="79">
        <f t="shared" ca="1" si="101"/>
        <v>1441.2359999999999</v>
      </c>
      <c r="J121" s="79">
        <f t="shared" ca="1" si="101"/>
        <v>897.81914754098341</v>
      </c>
      <c r="K121" s="79">
        <f t="shared" ca="1" si="101"/>
        <v>803.31186885245882</v>
      </c>
      <c r="L121" s="79">
        <f t="shared" ca="1" si="101"/>
        <v>472.53639344262274</v>
      </c>
      <c r="M121" s="79">
        <f t="shared" ca="1" si="101"/>
        <v>472.53639344262274</v>
      </c>
      <c r="N121" s="79">
        <f t="shared" ca="1" si="101"/>
        <v>472.53639344262274</v>
      </c>
      <c r="O121" s="79">
        <f t="shared" ca="1" si="101"/>
        <v>0</v>
      </c>
    </row>
    <row r="122" spans="1:15" ht="15" customHeight="1" x14ac:dyDescent="0.3">
      <c r="B122" s="16" t="s">
        <v>87</v>
      </c>
      <c r="E122">
        <f t="shared" ref="E122:O122" si="102">E121-E100</f>
        <v>1012.9189999999999</v>
      </c>
      <c r="F122">
        <f t="shared" ca="1" si="102"/>
        <v>443.54412271351225</v>
      </c>
      <c r="G122">
        <f t="shared" ca="1" si="102"/>
        <v>-237.38620578140672</v>
      </c>
      <c r="H122">
        <f t="shared" ca="1" si="102"/>
        <v>468.31813974720058</v>
      </c>
      <c r="I122">
        <f t="shared" ca="1" si="102"/>
        <v>-335.234480379248</v>
      </c>
      <c r="J122">
        <f t="shared" ca="1" si="102"/>
        <v>-1157.4070939385601</v>
      </c>
      <c r="K122">
        <f t="shared" ca="1" si="102"/>
        <v>-1992.9890621964255</v>
      </c>
      <c r="L122">
        <f t="shared" ca="1" si="102"/>
        <v>-2847.6559124283167</v>
      </c>
      <c r="M122">
        <f t="shared" ca="1" si="102"/>
        <v>-3718.6807505556249</v>
      </c>
      <c r="N122">
        <f t="shared" ca="1" si="102"/>
        <v>-4603.6202696600358</v>
      </c>
      <c r="O122">
        <f t="shared" ca="1" si="102"/>
        <v>-5510.7886537510785</v>
      </c>
    </row>
    <row r="123" spans="1:15" ht="15" customHeight="1" x14ac:dyDescent="0.3">
      <c r="B123" s="16" t="s">
        <v>88</v>
      </c>
      <c r="F123" s="70">
        <f t="shared" ref="F123:O123" ca="1" si="103">F121/F112</f>
        <v>1.8526092698557155</v>
      </c>
      <c r="G123" s="70">
        <f t="shared" ca="1" si="103"/>
        <v>1.668597499126194</v>
      </c>
      <c r="H123" s="70">
        <f t="shared" ca="1" si="103"/>
        <v>1.4450565613153421</v>
      </c>
      <c r="I123" s="70">
        <f t="shared" ca="1" si="103"/>
        <v>1.3469399872162302</v>
      </c>
      <c r="J123" s="70">
        <f t="shared" ca="1" si="103"/>
        <v>0.76613205534966233</v>
      </c>
      <c r="K123" s="70">
        <f t="shared" ca="1" si="103"/>
        <v>0.63718265422334508</v>
      </c>
      <c r="L123" s="70">
        <f t="shared" ca="1" si="103"/>
        <v>0.34950672744678329</v>
      </c>
      <c r="M123" s="70">
        <f t="shared" ca="1" si="103"/>
        <v>0.32887940651069947</v>
      </c>
      <c r="N123" s="70">
        <f t="shared" ca="1" si="103"/>
        <v>0.31206170154554275</v>
      </c>
      <c r="O123" s="70">
        <f t="shared" ca="1" si="103"/>
        <v>0</v>
      </c>
    </row>
    <row r="124" spans="1:15" ht="15" customHeight="1" x14ac:dyDescent="0.3">
      <c r="B124" s="16" t="s">
        <v>89</v>
      </c>
      <c r="F124" s="70">
        <f t="shared" ref="F124:O124" ca="1" si="104">F122/F112</f>
        <v>0.49509937267333687</v>
      </c>
      <c r="G124" s="70">
        <f t="shared" ca="1" si="104"/>
        <v>-0.24184223449473874</v>
      </c>
      <c r="H124" s="70">
        <f t="shared" ca="1" si="104"/>
        <v>0.4375521772179915</v>
      </c>
      <c r="I124" s="70">
        <f t="shared" ca="1" si="104"/>
        <v>-0.31330103238918811</v>
      </c>
      <c r="J124" s="70">
        <f t="shared" ca="1" si="104"/>
        <v>-0.98764509331758465</v>
      </c>
      <c r="K124" s="70">
        <f t="shared" ca="1" si="104"/>
        <v>-1.5808282059898844</v>
      </c>
      <c r="L124" s="70">
        <f t="shared" ca="1" si="104"/>
        <v>-2.1062396730891266</v>
      </c>
      <c r="M124" s="70">
        <f t="shared" ca="1" si="104"/>
        <v>-2.5881551880807625</v>
      </c>
      <c r="N124" s="70">
        <f t="shared" ca="1" si="104"/>
        <v>-3.0402178425948065</v>
      </c>
      <c r="O124" s="70">
        <f t="shared" ca="1" si="104"/>
        <v>-3.4583943085723052</v>
      </c>
    </row>
    <row r="125" spans="1:15" ht="15" customHeight="1" x14ac:dyDescent="0.3">
      <c r="B125" s="16" t="s">
        <v>90</v>
      </c>
      <c r="F125" s="70">
        <f t="shared" ref="F125:O125" ca="1" si="105">F112/(F106+F107)</f>
        <v>11.058609264002332</v>
      </c>
      <c r="G125" s="70">
        <f t="shared" ca="1" si="105"/>
        <v>14.883401944215825</v>
      </c>
      <c r="H125" s="70">
        <f t="shared" ca="1" si="105"/>
        <v>16.80496311192088</v>
      </c>
      <c r="I125" s="70">
        <f t="shared" ca="1" si="105"/>
        <v>17.905679287723828</v>
      </c>
      <c r="J125" s="70">
        <f t="shared" ca="1" si="105"/>
        <v>25.050406203353553</v>
      </c>
      <c r="K125" s="70">
        <f t="shared" ca="1" si="105"/>
        <v>37.055483156380703</v>
      </c>
      <c r="L125" s="70">
        <f t="shared" ca="1" si="105"/>
        <v>52.984726943026267</v>
      </c>
      <c r="M125" s="70">
        <f t="shared" ca="1" si="105"/>
        <v>76.015705164521052</v>
      </c>
      <c r="N125" s="70">
        <f t="shared" ca="1" si="105"/>
        <v>80.112361998229574</v>
      </c>
      <c r="O125" s="70">
        <f t="shared" ca="1" si="105"/>
        <v>168.60637443179189</v>
      </c>
    </row>
    <row r="126" spans="1:15" ht="15" customHeight="1" x14ac:dyDescent="0.3">
      <c r="B126" s="16" t="s">
        <v>91</v>
      </c>
      <c r="F126" s="66">
        <f t="shared" ref="F126:O126" ca="1" si="106">F122/(F122+F60)</f>
        <v>7.4993356262457345E-2</v>
      </c>
      <c r="G126" s="66">
        <f t="shared" ca="1" si="106"/>
        <v>-4.0808201412335959E-2</v>
      </c>
      <c r="H126" s="66">
        <f t="shared" ca="1" si="106"/>
        <v>6.5555889317014268E-2</v>
      </c>
      <c r="I126" s="66">
        <f t="shared" ca="1" si="106"/>
        <v>-4.7880003808576682E-2</v>
      </c>
      <c r="J126" s="66">
        <f t="shared" ca="1" si="106"/>
        <v>-0.16802133204605349</v>
      </c>
      <c r="K126" s="66">
        <f t="shared" ca="1" si="106"/>
        <v>-0.29287699149252172</v>
      </c>
      <c r="L126" s="66">
        <f t="shared" ca="1" si="106"/>
        <v>-0.42216573764228854</v>
      </c>
      <c r="M126" s="66">
        <f t="shared" ca="1" si="106"/>
        <v>-0.55421181713278211</v>
      </c>
      <c r="N126" s="66">
        <f t="shared" ca="1" si="106"/>
        <v>-0.68754077191885532</v>
      </c>
      <c r="O126" s="66">
        <f t="shared" ca="1" si="106"/>
        <v>-0.8225326505634114</v>
      </c>
    </row>
    <row r="128" spans="1:15" ht="15" customHeight="1" x14ac:dyDescent="0.3">
      <c r="A128" s="15" t="s">
        <v>101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scale="61" fitToHeight="6" orientation="landscape" verticalDpi="597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Gerard Kelly</cp:lastModifiedBy>
  <cp:lastPrinted>2018-07-31T06:07:30Z</cp:lastPrinted>
  <dcterms:created xsi:type="dcterms:W3CDTF">2016-02-03T14:06:14Z</dcterms:created>
  <dcterms:modified xsi:type="dcterms:W3CDTF">2019-01-28T16:39:32Z</dcterms:modified>
</cp:coreProperties>
</file>