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Three Statement Modeling/Editing/"/>
    </mc:Choice>
  </mc:AlternateContent>
  <xr:revisionPtr revIDLastSave="0" documentId="13_ncr:1_{47D15CE1-7E54-2E45-9129-BDC078B84EF2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2" l="1"/>
  <c r="H57" i="2"/>
  <c r="I57" i="2"/>
  <c r="J57" i="2"/>
  <c r="K57" i="2"/>
  <c r="L57" i="2"/>
  <c r="M57" i="2"/>
  <c r="N57" i="2"/>
  <c r="O57" i="2"/>
  <c r="F57" i="2"/>
  <c r="G92" i="2"/>
  <c r="H92" i="2"/>
  <c r="I92" i="2"/>
  <c r="J92" i="2"/>
  <c r="K92" i="2"/>
  <c r="L92" i="2"/>
  <c r="M92" i="2"/>
  <c r="N92" i="2"/>
  <c r="O92" i="2"/>
  <c r="F92" i="2"/>
  <c r="D57" i="2"/>
  <c r="E125" i="2"/>
  <c r="G111" i="2"/>
  <c r="H111" i="2"/>
  <c r="I111" i="2"/>
  <c r="J111" i="2"/>
  <c r="K111" i="2"/>
  <c r="L111" i="2"/>
  <c r="M111" i="2"/>
  <c r="N111" i="2"/>
  <c r="O111" i="2"/>
  <c r="F111" i="2"/>
  <c r="G106" i="2"/>
  <c r="H106" i="2"/>
  <c r="I106" i="2"/>
  <c r="J106" i="2"/>
  <c r="K106" i="2"/>
  <c r="L106" i="2"/>
  <c r="M106" i="2"/>
  <c r="N106" i="2"/>
  <c r="O106" i="2"/>
  <c r="F106" i="2"/>
  <c r="F105" i="2"/>
  <c r="F107" i="2" s="1"/>
  <c r="G105" i="2" s="1"/>
  <c r="G107" i="2" s="1"/>
  <c r="H105" i="2" s="1"/>
  <c r="H107" i="2" s="1"/>
  <c r="I105" i="2" s="1"/>
  <c r="I107" i="2" s="1"/>
  <c r="J105" i="2" s="1"/>
  <c r="J107" i="2" s="1"/>
  <c r="K105" i="2" s="1"/>
  <c r="K107" i="2" s="1"/>
  <c r="L105" i="2" s="1"/>
  <c r="L107" i="2" s="1"/>
  <c r="M105" i="2" s="1"/>
  <c r="M107" i="2" s="1"/>
  <c r="N105" i="2" s="1"/>
  <c r="N107" i="2" s="1"/>
  <c r="O105" i="2" s="1"/>
  <c r="O107" i="2" s="1"/>
  <c r="B46" i="2" l="1"/>
  <c r="B45" i="2"/>
  <c r="E31" i="2" l="1"/>
  <c r="D31" i="2"/>
  <c r="C31" i="2"/>
  <c r="E29" i="2"/>
  <c r="D29" i="2"/>
  <c r="C29" i="2"/>
  <c r="E26" i="2"/>
  <c r="D26" i="2"/>
  <c r="D6" i="2" s="1"/>
  <c r="C26" i="2"/>
  <c r="B86" i="2"/>
  <c r="B85" i="2"/>
  <c r="E27" i="2" l="1"/>
  <c r="E6" i="2"/>
  <c r="C27" i="2"/>
  <c r="C30" i="2" s="1"/>
  <c r="C32" i="2" s="1"/>
  <c r="C6" i="2"/>
  <c r="D27" i="2"/>
  <c r="D30" i="2" s="1"/>
  <c r="E82" i="2"/>
  <c r="F81" i="2" s="1"/>
  <c r="C7" i="2" l="1"/>
  <c r="D32" i="2"/>
  <c r="D7" i="2"/>
  <c r="F89" i="2"/>
  <c r="A7" i="1"/>
  <c r="J17" i="2" l="1"/>
  <c r="E13" i="2"/>
  <c r="D12" i="2" l="1"/>
  <c r="E12" i="2"/>
  <c r="O17" i="2" l="1"/>
  <c r="L17" i="2"/>
  <c r="K17" i="2"/>
  <c r="F17" i="2"/>
  <c r="D56" i="2"/>
  <c r="D46" i="2" s="1"/>
  <c r="D51" i="2"/>
  <c r="D45" i="2" s="1"/>
  <c r="E56" i="2"/>
  <c r="E46" i="2" s="1"/>
  <c r="E57" i="2"/>
  <c r="E51" i="2"/>
  <c r="E45" i="2" s="1"/>
  <c r="E28" i="2"/>
  <c r="E30" i="2" s="1"/>
  <c r="D47" i="2" l="1"/>
  <c r="E32" i="2"/>
  <c r="E7" i="2"/>
  <c r="E47" i="2"/>
  <c r="F102" i="2"/>
  <c r="F25" i="2"/>
  <c r="F36" i="2" l="1"/>
  <c r="F71" i="2" s="1"/>
  <c r="F72" i="2" s="1"/>
  <c r="F86" i="2" s="1"/>
  <c r="F26" i="2"/>
  <c r="F27" i="2" s="1"/>
  <c r="F51" i="2"/>
  <c r="F45" i="2" s="1"/>
  <c r="F56" i="2"/>
  <c r="F46" i="2" s="1"/>
  <c r="F47" i="2" l="1"/>
  <c r="G102" i="2"/>
  <c r="H102" i="2"/>
  <c r="I102" i="2"/>
  <c r="J102" i="2"/>
  <c r="K102" i="2"/>
  <c r="L102" i="2"/>
  <c r="M102" i="2"/>
  <c r="N102" i="2"/>
  <c r="O102" i="2"/>
  <c r="E99" i="2"/>
  <c r="E103" i="2"/>
  <c r="E97" i="2"/>
  <c r="F95" i="2" s="1"/>
  <c r="F101" i="2" l="1"/>
  <c r="F103" i="2" s="1"/>
  <c r="E126" i="2"/>
  <c r="E43" i="2"/>
  <c r="F40" i="2" s="1"/>
  <c r="E58" i="2"/>
  <c r="F76" i="2" l="1"/>
  <c r="F110" i="2"/>
  <c r="G101" i="2"/>
  <c r="G103" i="2" s="1"/>
  <c r="G76" i="2" s="1"/>
  <c r="D58" i="2"/>
  <c r="D122" i="2"/>
  <c r="E10" i="2"/>
  <c r="D10" i="2"/>
  <c r="D121" i="2"/>
  <c r="E38" i="2"/>
  <c r="F35" i="2" s="1"/>
  <c r="E122" i="2"/>
  <c r="F37" i="2" l="1"/>
  <c r="F67" i="2" s="1"/>
  <c r="G110" i="2"/>
  <c r="H101" i="2"/>
  <c r="H103" i="2" s="1"/>
  <c r="I101" i="2" s="1"/>
  <c r="I103" i="2" s="1"/>
  <c r="I110" i="2" s="1"/>
  <c r="E121" i="2"/>
  <c r="F38" i="2" l="1"/>
  <c r="F52" i="2" s="1"/>
  <c r="H76" i="2"/>
  <c r="H110" i="2"/>
  <c r="J101" i="2"/>
  <c r="J103" i="2" s="1"/>
  <c r="I76" i="2" l="1"/>
  <c r="J76" i="2"/>
  <c r="K101" i="2"/>
  <c r="K103" i="2" s="1"/>
  <c r="K110" i="2" s="1"/>
  <c r="J110" i="2"/>
  <c r="L101" i="2" l="1"/>
  <c r="L103" i="2" s="1"/>
  <c r="L110" i="2" s="1"/>
  <c r="K76" i="2"/>
  <c r="L76" i="2" l="1"/>
  <c r="M101" i="2"/>
  <c r="M103" i="2" s="1"/>
  <c r="N101" i="2" l="1"/>
  <c r="N103" i="2" s="1"/>
  <c r="N110" i="2" s="1"/>
  <c r="M76" i="2"/>
  <c r="M110" i="2"/>
  <c r="N76" i="2" l="1"/>
  <c r="O101" i="2"/>
  <c r="O103" i="2" s="1"/>
  <c r="O76" i="2" l="1"/>
  <c r="O110" i="2"/>
  <c r="E5" i="2" l="1"/>
  <c r="D5" i="2"/>
  <c r="D11" i="2"/>
  <c r="E61" i="2"/>
  <c r="D115" i="2" l="1"/>
  <c r="E115" i="2"/>
  <c r="C115" i="2"/>
  <c r="F116" i="2"/>
  <c r="G25" i="2"/>
  <c r="E11" i="2"/>
  <c r="D61" i="2"/>
  <c r="D53" i="2"/>
  <c r="E53" i="2"/>
  <c r="E63" i="2" s="1"/>
  <c r="G36" i="2" l="1"/>
  <c r="G71" i="2" s="1"/>
  <c r="G72" i="2" s="1"/>
  <c r="G86" i="2" s="1"/>
  <c r="G26" i="2"/>
  <c r="G27" i="2" s="1"/>
  <c r="D63" i="2"/>
  <c r="F117" i="2"/>
  <c r="F115" i="2"/>
  <c r="C118" i="2"/>
  <c r="F68" i="2"/>
  <c r="G51" i="2"/>
  <c r="G45" i="2" s="1"/>
  <c r="G56" i="2"/>
  <c r="G46" i="2" s="1"/>
  <c r="H25" i="2"/>
  <c r="G47" i="2" l="1"/>
  <c r="G68" i="2" s="1"/>
  <c r="H36" i="2"/>
  <c r="H71" i="2" s="1"/>
  <c r="H72" i="2" s="1"/>
  <c r="H86" i="2" s="1"/>
  <c r="H26" i="2"/>
  <c r="H27" i="2"/>
  <c r="G35" i="2"/>
  <c r="F121" i="2"/>
  <c r="E14" i="2"/>
  <c r="E118" i="2"/>
  <c r="G115" i="2"/>
  <c r="D118" i="2"/>
  <c r="D14" i="2"/>
  <c r="F122" i="2"/>
  <c r="I25" i="2"/>
  <c r="H51" i="2"/>
  <c r="H45" i="2" s="1"/>
  <c r="H56" i="2"/>
  <c r="H46" i="2" s="1"/>
  <c r="H47" i="2" l="1"/>
  <c r="G37" i="2"/>
  <c r="G67" i="2" s="1"/>
  <c r="I36" i="2"/>
  <c r="I71" i="2" s="1"/>
  <c r="I72" i="2" s="1"/>
  <c r="I86" i="2" s="1"/>
  <c r="I26" i="2"/>
  <c r="I27" i="2" s="1"/>
  <c r="G121" i="2"/>
  <c r="H115" i="2"/>
  <c r="I56" i="2"/>
  <c r="I46" i="2" s="1"/>
  <c r="I51" i="2"/>
  <c r="I45" i="2" s="1"/>
  <c r="J25" i="2"/>
  <c r="J26" i="2" s="1"/>
  <c r="J27" i="2" s="1"/>
  <c r="I47" i="2" l="1"/>
  <c r="I68" i="2" s="1"/>
  <c r="G38" i="2"/>
  <c r="G52" i="2" s="1"/>
  <c r="G122" i="2" s="1"/>
  <c r="G116" i="2"/>
  <c r="G117" i="2" s="1"/>
  <c r="H68" i="2"/>
  <c r="H121" i="2"/>
  <c r="K25" i="2"/>
  <c r="J36" i="2"/>
  <c r="J71" i="2" s="1"/>
  <c r="I115" i="2"/>
  <c r="J56" i="2"/>
  <c r="J46" i="2" s="1"/>
  <c r="J51" i="2"/>
  <c r="J45" i="2" s="1"/>
  <c r="H35" i="2" l="1"/>
  <c r="H37" i="2" s="1"/>
  <c r="H38" i="2" s="1"/>
  <c r="I35" i="2" s="1"/>
  <c r="K36" i="2"/>
  <c r="K71" i="2" s="1"/>
  <c r="K72" i="2" s="1"/>
  <c r="K86" i="2" s="1"/>
  <c r="K26" i="2"/>
  <c r="K27" i="2" s="1"/>
  <c r="J47" i="2"/>
  <c r="J72" i="2"/>
  <c r="J86" i="2" s="1"/>
  <c r="I121" i="2"/>
  <c r="L25" i="2"/>
  <c r="K51" i="2"/>
  <c r="K45" i="2" s="1"/>
  <c r="K56" i="2"/>
  <c r="K46" i="2" s="1"/>
  <c r="J115" i="2"/>
  <c r="K47" i="2" l="1"/>
  <c r="L36" i="2"/>
  <c r="L71" i="2" s="1"/>
  <c r="L72" i="2" s="1"/>
  <c r="L86" i="2" s="1"/>
  <c r="L26" i="2"/>
  <c r="L27" i="2" s="1"/>
  <c r="L115" i="2" s="1"/>
  <c r="H116" i="2"/>
  <c r="H117" i="2" s="1"/>
  <c r="H67" i="2"/>
  <c r="I37" i="2"/>
  <c r="I67" i="2" s="1"/>
  <c r="H52" i="2"/>
  <c r="H122" i="2" s="1"/>
  <c r="J68" i="2"/>
  <c r="L56" i="2"/>
  <c r="L46" i="2" s="1"/>
  <c r="J121" i="2"/>
  <c r="M25" i="2"/>
  <c r="L51" i="2"/>
  <c r="L45" i="2" s="1"/>
  <c r="K115" i="2"/>
  <c r="L47" i="2" l="1"/>
  <c r="L121" i="2" s="1"/>
  <c r="I116" i="2"/>
  <c r="I117" i="2" s="1"/>
  <c r="I38" i="2"/>
  <c r="I52" i="2" s="1"/>
  <c r="I122" i="2" s="1"/>
  <c r="M36" i="2"/>
  <c r="M71" i="2" s="1"/>
  <c r="M72" i="2" s="1"/>
  <c r="M86" i="2" s="1"/>
  <c r="M26" i="2"/>
  <c r="M27" i="2" s="1"/>
  <c r="M115" i="2" s="1"/>
  <c r="K68" i="2"/>
  <c r="M51" i="2"/>
  <c r="M45" i="2" s="1"/>
  <c r="M56" i="2"/>
  <c r="M46" i="2" s="1"/>
  <c r="N25" i="2"/>
  <c r="K121" i="2"/>
  <c r="J35" i="2" l="1"/>
  <c r="J37" i="2" s="1"/>
  <c r="J67" i="2" s="1"/>
  <c r="M47" i="2"/>
  <c r="M121" i="2" s="1"/>
  <c r="N36" i="2"/>
  <c r="N71" i="2" s="1"/>
  <c r="N72" i="2" s="1"/>
  <c r="N86" i="2" s="1"/>
  <c r="N26" i="2"/>
  <c r="N27" i="2" s="1"/>
  <c r="L68" i="2"/>
  <c r="N51" i="2"/>
  <c r="N45" i="2" s="1"/>
  <c r="O25" i="2"/>
  <c r="N56" i="2"/>
  <c r="N46" i="2" s="1"/>
  <c r="E2" i="2"/>
  <c r="A1" i="6"/>
  <c r="N47" i="2" l="1"/>
  <c r="O36" i="2"/>
  <c r="O71" i="2" s="1"/>
  <c r="O26" i="2"/>
  <c r="O27" i="2" s="1"/>
  <c r="J116" i="2"/>
  <c r="J117" i="2" s="1"/>
  <c r="J38" i="2"/>
  <c r="K35" i="2" s="1"/>
  <c r="O72" i="2"/>
  <c r="O86" i="2" s="1"/>
  <c r="O51" i="2"/>
  <c r="O45" i="2" s="1"/>
  <c r="N115" i="2"/>
  <c r="N68" i="2"/>
  <c r="M68" i="2"/>
  <c r="O56" i="2"/>
  <c r="O46" i="2" s="1"/>
  <c r="D2" i="2"/>
  <c r="C2" i="2" s="1"/>
  <c r="J52" i="2" l="1"/>
  <c r="J122" i="2" s="1"/>
  <c r="K37" i="2"/>
  <c r="K67" i="2" s="1"/>
  <c r="O47" i="2"/>
  <c r="O121" i="2" s="1"/>
  <c r="N121" i="2"/>
  <c r="O115" i="2"/>
  <c r="F2" i="2"/>
  <c r="G2" i="2" s="1"/>
  <c r="H2" i="2" s="1"/>
  <c r="I2" i="2" s="1"/>
  <c r="J2" i="2" s="1"/>
  <c r="K2" i="2" s="1"/>
  <c r="L2" i="2" s="1"/>
  <c r="M2" i="2" s="1"/>
  <c r="N2" i="2" s="1"/>
  <c r="O2" i="2" s="1"/>
  <c r="K116" i="2" l="1"/>
  <c r="K117" i="2" s="1"/>
  <c r="K38" i="2"/>
  <c r="K52" i="2" s="1"/>
  <c r="K122" i="2" s="1"/>
  <c r="O68" i="2"/>
  <c r="L35" i="2" l="1"/>
  <c r="L37" i="2" s="1"/>
  <c r="L67" i="2" s="1"/>
  <c r="L38" i="2" l="1"/>
  <c r="M35" i="2" s="1"/>
  <c r="M37" i="2" s="1"/>
  <c r="M67" i="2" s="1"/>
  <c r="L116" i="2"/>
  <c r="L117" i="2" s="1"/>
  <c r="L52" i="2" l="1"/>
  <c r="L122" i="2" s="1"/>
  <c r="M38" i="2"/>
  <c r="M52" i="2" s="1"/>
  <c r="M122" i="2" s="1"/>
  <c r="M116" i="2"/>
  <c r="M117" i="2" s="1"/>
  <c r="N35" i="2" l="1"/>
  <c r="N37" i="2" s="1"/>
  <c r="N67" i="2" l="1"/>
  <c r="N116" i="2"/>
  <c r="N117" i="2" s="1"/>
  <c r="N38" i="2"/>
  <c r="N52" i="2" s="1"/>
  <c r="N122" i="2" s="1"/>
  <c r="O35" i="2" l="1"/>
  <c r="O37" i="2" s="1"/>
  <c r="O67" i="2" s="1"/>
  <c r="O116" i="2" l="1"/>
  <c r="O117" i="2" s="1"/>
  <c r="O38" i="2"/>
  <c r="O52" i="2" s="1"/>
  <c r="O122" i="2" s="1"/>
  <c r="F28" i="2" l="1"/>
  <c r="G28" i="2"/>
  <c r="H28" i="2"/>
  <c r="I28" i="2"/>
  <c r="J28" i="2"/>
  <c r="K28" i="2"/>
  <c r="L28" i="2"/>
  <c r="M28" i="2"/>
  <c r="N28" i="2"/>
  <c r="O28" i="2"/>
  <c r="F29" i="2"/>
  <c r="G29" i="2"/>
  <c r="H29" i="2"/>
  <c r="I29" i="2"/>
  <c r="J29" i="2"/>
  <c r="K29" i="2"/>
  <c r="L29" i="2"/>
  <c r="M29" i="2"/>
  <c r="N29" i="2"/>
  <c r="O29" i="2"/>
  <c r="F30" i="2"/>
  <c r="G30" i="2"/>
  <c r="H30" i="2"/>
  <c r="I30" i="2"/>
  <c r="J30" i="2"/>
  <c r="K30" i="2"/>
  <c r="L30" i="2"/>
  <c r="M30" i="2"/>
  <c r="N30" i="2"/>
  <c r="O30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G40" i="2"/>
  <c r="H40" i="2"/>
  <c r="I40" i="2"/>
  <c r="J40" i="2"/>
  <c r="K40" i="2"/>
  <c r="L40" i="2"/>
  <c r="M40" i="2"/>
  <c r="N40" i="2"/>
  <c r="O40" i="2"/>
  <c r="F41" i="2"/>
  <c r="G41" i="2"/>
  <c r="H41" i="2"/>
  <c r="I41" i="2"/>
  <c r="J41" i="2"/>
  <c r="K41" i="2"/>
  <c r="L41" i="2"/>
  <c r="M41" i="2"/>
  <c r="N41" i="2"/>
  <c r="O41" i="2"/>
  <c r="F42" i="2"/>
  <c r="G42" i="2"/>
  <c r="H42" i="2"/>
  <c r="I42" i="2"/>
  <c r="J42" i="2"/>
  <c r="K42" i="2"/>
  <c r="L42" i="2"/>
  <c r="M42" i="2"/>
  <c r="N42" i="2"/>
  <c r="O42" i="2"/>
  <c r="F43" i="2"/>
  <c r="G43" i="2"/>
  <c r="H43" i="2"/>
  <c r="I43" i="2"/>
  <c r="J43" i="2"/>
  <c r="K43" i="2"/>
  <c r="L43" i="2"/>
  <c r="M43" i="2"/>
  <c r="N43" i="2"/>
  <c r="O43" i="2"/>
  <c r="F50" i="2"/>
  <c r="G50" i="2"/>
  <c r="H50" i="2"/>
  <c r="I50" i="2"/>
  <c r="J50" i="2"/>
  <c r="K50" i="2"/>
  <c r="L50" i="2"/>
  <c r="M50" i="2"/>
  <c r="N50" i="2"/>
  <c r="O50" i="2"/>
  <c r="F53" i="2"/>
  <c r="G53" i="2"/>
  <c r="H53" i="2"/>
  <c r="I53" i="2"/>
  <c r="J53" i="2"/>
  <c r="K53" i="2"/>
  <c r="L53" i="2"/>
  <c r="M53" i="2"/>
  <c r="N53" i="2"/>
  <c r="O53" i="2"/>
  <c r="F55" i="2"/>
  <c r="G55" i="2"/>
  <c r="H55" i="2"/>
  <c r="I55" i="2"/>
  <c r="J55" i="2"/>
  <c r="K55" i="2"/>
  <c r="L55" i="2"/>
  <c r="M55" i="2"/>
  <c r="N55" i="2"/>
  <c r="O55" i="2"/>
  <c r="F58" i="2"/>
  <c r="G58" i="2"/>
  <c r="H58" i="2"/>
  <c r="I58" i="2"/>
  <c r="J58" i="2"/>
  <c r="K58" i="2"/>
  <c r="L58" i="2"/>
  <c r="M58" i="2"/>
  <c r="N58" i="2"/>
  <c r="O58" i="2"/>
  <c r="F60" i="2"/>
  <c r="G60" i="2"/>
  <c r="H60" i="2"/>
  <c r="I60" i="2"/>
  <c r="J60" i="2"/>
  <c r="K60" i="2"/>
  <c r="L60" i="2"/>
  <c r="M60" i="2"/>
  <c r="N60" i="2"/>
  <c r="O60" i="2"/>
  <c r="F61" i="2"/>
  <c r="G61" i="2"/>
  <c r="H61" i="2"/>
  <c r="I61" i="2"/>
  <c r="J61" i="2"/>
  <c r="K61" i="2"/>
  <c r="L61" i="2"/>
  <c r="M61" i="2"/>
  <c r="N61" i="2"/>
  <c r="O61" i="2"/>
  <c r="F63" i="2"/>
  <c r="G63" i="2"/>
  <c r="H63" i="2"/>
  <c r="I63" i="2"/>
  <c r="J63" i="2"/>
  <c r="K63" i="2"/>
  <c r="L63" i="2"/>
  <c r="M63" i="2"/>
  <c r="N63" i="2"/>
  <c r="O63" i="2"/>
  <c r="F66" i="2"/>
  <c r="G66" i="2"/>
  <c r="H66" i="2"/>
  <c r="I66" i="2"/>
  <c r="J66" i="2"/>
  <c r="K66" i="2"/>
  <c r="L66" i="2"/>
  <c r="M66" i="2"/>
  <c r="N66" i="2"/>
  <c r="O66" i="2"/>
  <c r="F69" i="2"/>
  <c r="G69" i="2"/>
  <c r="H69" i="2"/>
  <c r="I69" i="2"/>
  <c r="J69" i="2"/>
  <c r="K69" i="2"/>
  <c r="L69" i="2"/>
  <c r="M69" i="2"/>
  <c r="N69" i="2"/>
  <c r="O69" i="2"/>
  <c r="F74" i="2"/>
  <c r="G74" i="2"/>
  <c r="H74" i="2"/>
  <c r="I74" i="2"/>
  <c r="J74" i="2"/>
  <c r="K74" i="2"/>
  <c r="L74" i="2"/>
  <c r="M74" i="2"/>
  <c r="N74" i="2"/>
  <c r="O74" i="2"/>
  <c r="F75" i="2"/>
  <c r="G75" i="2"/>
  <c r="H75" i="2"/>
  <c r="I75" i="2"/>
  <c r="J75" i="2"/>
  <c r="K75" i="2"/>
  <c r="L75" i="2"/>
  <c r="M75" i="2"/>
  <c r="N75" i="2"/>
  <c r="O75" i="2"/>
  <c r="F77" i="2"/>
  <c r="G77" i="2"/>
  <c r="H77" i="2"/>
  <c r="I77" i="2"/>
  <c r="J77" i="2"/>
  <c r="K77" i="2"/>
  <c r="L77" i="2"/>
  <c r="M77" i="2"/>
  <c r="N77" i="2"/>
  <c r="O77" i="2"/>
  <c r="F79" i="2"/>
  <c r="G79" i="2"/>
  <c r="H79" i="2"/>
  <c r="I79" i="2"/>
  <c r="J79" i="2"/>
  <c r="K79" i="2"/>
  <c r="L79" i="2"/>
  <c r="M79" i="2"/>
  <c r="N79" i="2"/>
  <c r="O79" i="2"/>
  <c r="G81" i="2"/>
  <c r="H81" i="2"/>
  <c r="I81" i="2"/>
  <c r="J81" i="2"/>
  <c r="K81" i="2"/>
  <c r="L81" i="2"/>
  <c r="M81" i="2"/>
  <c r="N81" i="2"/>
  <c r="O81" i="2"/>
  <c r="F82" i="2"/>
  <c r="G82" i="2"/>
  <c r="H82" i="2"/>
  <c r="I82" i="2"/>
  <c r="J82" i="2"/>
  <c r="K82" i="2"/>
  <c r="L82" i="2"/>
  <c r="M82" i="2"/>
  <c r="N82" i="2"/>
  <c r="O82" i="2"/>
  <c r="F85" i="2"/>
  <c r="G85" i="2"/>
  <c r="H85" i="2"/>
  <c r="I85" i="2"/>
  <c r="J85" i="2"/>
  <c r="K85" i="2"/>
  <c r="L85" i="2"/>
  <c r="M85" i="2"/>
  <c r="N85" i="2"/>
  <c r="O85" i="2"/>
  <c r="F87" i="2"/>
  <c r="G87" i="2"/>
  <c r="H87" i="2"/>
  <c r="I87" i="2"/>
  <c r="J87" i="2"/>
  <c r="K87" i="2"/>
  <c r="L87" i="2"/>
  <c r="M87" i="2"/>
  <c r="N87" i="2"/>
  <c r="O87" i="2"/>
  <c r="F88" i="2"/>
  <c r="G88" i="2"/>
  <c r="H88" i="2"/>
  <c r="I88" i="2"/>
  <c r="J88" i="2"/>
  <c r="K88" i="2"/>
  <c r="L88" i="2"/>
  <c r="M88" i="2"/>
  <c r="N88" i="2"/>
  <c r="O88" i="2"/>
  <c r="G89" i="2"/>
  <c r="H89" i="2"/>
  <c r="I89" i="2"/>
  <c r="J89" i="2"/>
  <c r="K89" i="2"/>
  <c r="L89" i="2"/>
  <c r="M89" i="2"/>
  <c r="N89" i="2"/>
  <c r="O89" i="2"/>
  <c r="F90" i="2"/>
  <c r="G90" i="2"/>
  <c r="H90" i="2"/>
  <c r="I90" i="2"/>
  <c r="J90" i="2"/>
  <c r="K90" i="2"/>
  <c r="L90" i="2"/>
  <c r="M90" i="2"/>
  <c r="N90" i="2"/>
  <c r="O90" i="2"/>
  <c r="F93" i="2"/>
  <c r="G93" i="2"/>
  <c r="H93" i="2"/>
  <c r="I93" i="2"/>
  <c r="J93" i="2"/>
  <c r="K93" i="2"/>
  <c r="L93" i="2"/>
  <c r="M93" i="2"/>
  <c r="N93" i="2"/>
  <c r="O93" i="2"/>
  <c r="G95" i="2"/>
  <c r="H95" i="2"/>
  <c r="I95" i="2"/>
  <c r="J95" i="2"/>
  <c r="K95" i="2"/>
  <c r="L95" i="2"/>
  <c r="M95" i="2"/>
  <c r="N95" i="2"/>
  <c r="O95" i="2"/>
  <c r="F96" i="2"/>
  <c r="G96" i="2"/>
  <c r="H96" i="2"/>
  <c r="I96" i="2"/>
  <c r="J96" i="2"/>
  <c r="K96" i="2"/>
  <c r="L96" i="2"/>
  <c r="M96" i="2"/>
  <c r="N96" i="2"/>
  <c r="O96" i="2"/>
  <c r="F97" i="2"/>
  <c r="G97" i="2"/>
  <c r="H97" i="2"/>
  <c r="I97" i="2"/>
  <c r="J97" i="2"/>
  <c r="K97" i="2"/>
  <c r="L97" i="2"/>
  <c r="M97" i="2"/>
  <c r="N97" i="2"/>
  <c r="O97" i="2"/>
  <c r="F99" i="2"/>
  <c r="G99" i="2"/>
  <c r="H99" i="2"/>
  <c r="I99" i="2"/>
  <c r="J99" i="2"/>
  <c r="K99" i="2"/>
  <c r="L99" i="2"/>
  <c r="M99" i="2"/>
  <c r="N99" i="2"/>
  <c r="O99" i="2"/>
  <c r="F109" i="2"/>
  <c r="G109" i="2"/>
  <c r="H109" i="2"/>
  <c r="I109" i="2"/>
  <c r="J109" i="2"/>
  <c r="K109" i="2"/>
  <c r="L109" i="2"/>
  <c r="M109" i="2"/>
  <c r="N109" i="2"/>
  <c r="O109" i="2"/>
  <c r="F112" i="2"/>
  <c r="G112" i="2"/>
  <c r="H112" i="2"/>
  <c r="I112" i="2"/>
  <c r="J112" i="2"/>
  <c r="K112" i="2"/>
  <c r="L112" i="2"/>
  <c r="M112" i="2"/>
  <c r="N112" i="2"/>
  <c r="O112" i="2"/>
  <c r="F118" i="2"/>
  <c r="G118" i="2"/>
  <c r="H118" i="2"/>
  <c r="I118" i="2"/>
  <c r="J118" i="2"/>
  <c r="K118" i="2"/>
  <c r="L118" i="2"/>
  <c r="M118" i="2"/>
  <c r="N118" i="2"/>
  <c r="O118" i="2"/>
  <c r="F125" i="2"/>
  <c r="G125" i="2"/>
  <c r="H125" i="2"/>
  <c r="I125" i="2"/>
  <c r="J125" i="2"/>
  <c r="K125" i="2"/>
  <c r="L125" i="2"/>
  <c r="M125" i="2"/>
  <c r="N125" i="2"/>
  <c r="O125" i="2"/>
  <c r="F126" i="2"/>
  <c r="G126" i="2"/>
  <c r="H126" i="2"/>
  <c r="I126" i="2"/>
  <c r="J126" i="2"/>
  <c r="K126" i="2"/>
  <c r="L126" i="2"/>
  <c r="M126" i="2"/>
  <c r="N126" i="2"/>
  <c r="O126" i="2"/>
  <c r="F127" i="2"/>
  <c r="G127" i="2"/>
  <c r="H127" i="2"/>
  <c r="I127" i="2"/>
  <c r="J127" i="2"/>
  <c r="K127" i="2"/>
  <c r="L127" i="2"/>
  <c r="M127" i="2"/>
  <c r="N127" i="2"/>
  <c r="O127" i="2"/>
  <c r="F128" i="2"/>
  <c r="G128" i="2"/>
  <c r="H128" i="2"/>
  <c r="I128" i="2"/>
  <c r="J128" i="2"/>
  <c r="K128" i="2"/>
  <c r="L128" i="2"/>
  <c r="M128" i="2"/>
  <c r="N128" i="2"/>
  <c r="O128" i="2"/>
  <c r="F129" i="2"/>
  <c r="G129" i="2"/>
  <c r="H129" i="2"/>
  <c r="I129" i="2"/>
  <c r="J129" i="2"/>
  <c r="K129" i="2"/>
  <c r="L129" i="2"/>
  <c r="M129" i="2"/>
  <c r="N129" i="2"/>
  <c r="O129" i="2"/>
  <c r="F130" i="2"/>
  <c r="G130" i="2"/>
  <c r="H130" i="2"/>
  <c r="I130" i="2"/>
  <c r="J130" i="2"/>
  <c r="K130" i="2"/>
  <c r="L130" i="2"/>
  <c r="M130" i="2"/>
  <c r="N130" i="2"/>
  <c r="O130" i="2"/>
</calcChain>
</file>

<file path=xl/sharedStrings.xml><?xml version="1.0" encoding="utf-8"?>
<sst xmlns="http://schemas.openxmlformats.org/spreadsheetml/2006/main" count="151" uniqueCount="121">
  <si>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</si>
  <si>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</si>
  <si>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</si>
  <si>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</si>
  <si>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</si>
  <si>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</si>
  <si>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</si>
  <si>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</si>
  <si>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</si>
  <si>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</si>
  <si>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</si>
  <si>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</si>
  <si>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</si>
  <si>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</si>
  <si>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</si>
  <si>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</si>
  <si>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</si>
  <si>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</si>
  <si>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</si>
  <si>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</si>
  <si>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</si>
  <si>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</si>
  <si>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</si>
  <si>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</si>
  <si>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</si>
  <si>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</si>
  <si>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</si>
  <si>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Income Statement</t>
  </si>
  <si>
    <t>Revenues</t>
  </si>
  <si>
    <t>Operating costs</t>
  </si>
  <si>
    <t>Tax expense</t>
  </si>
  <si>
    <t>Net income</t>
  </si>
  <si>
    <t>Balance Sheet</t>
  </si>
  <si>
    <t>Cash and cash equivalents</t>
  </si>
  <si>
    <t>Long term assets</t>
  </si>
  <si>
    <t>Total assets</t>
  </si>
  <si>
    <t>Total liabilities</t>
  </si>
  <si>
    <t>Equity</t>
  </si>
  <si>
    <t>Total liabilities and equity</t>
  </si>
  <si>
    <t>Balance ?</t>
  </si>
  <si>
    <t>Operating cash flow</t>
  </si>
  <si>
    <t>Investing cash flow</t>
  </si>
  <si>
    <t>Net cash flow</t>
  </si>
  <si>
    <t>Beginning cash and cash equivalents</t>
  </si>
  <si>
    <t>Ending cash and cash equivalents</t>
  </si>
  <si>
    <t>Model 1</t>
  </si>
  <si>
    <t>Modeling interest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</si>
  <si>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</si>
  <si>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</si>
  <si>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</si>
  <si>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</si>
  <si>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</si>
  <si>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</si>
  <si>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</si>
  <si>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</si>
  <si>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Revolver</t>
  </si>
  <si>
    <t>Net Debt and Interest Assumptions</t>
  </si>
  <si>
    <t>Cash Flow Statement</t>
  </si>
  <si>
    <t>Net Debt and Interest Calculations</t>
  </si>
  <si>
    <t>Taxes % of earnings before tax</t>
  </si>
  <si>
    <t>EBIT margin</t>
  </si>
  <si>
    <t>NI margin</t>
  </si>
  <si>
    <t>Capex % revenues</t>
  </si>
  <si>
    <t>Long term debt issuance / (repayment)</t>
  </si>
  <si>
    <t xml:space="preserve">Dividend payout </t>
  </si>
  <si>
    <t>Beginning long term assets</t>
  </si>
  <si>
    <t>Capex</t>
  </si>
  <si>
    <t>D&amp;A % prior year long term assets</t>
  </si>
  <si>
    <t>D&amp;A</t>
  </si>
  <si>
    <t>Ending long term assets</t>
  </si>
  <si>
    <t>Beginning equity</t>
  </si>
  <si>
    <t>Dividends</t>
  </si>
  <si>
    <t>Ending equity</t>
  </si>
  <si>
    <t>OWC</t>
  </si>
  <si>
    <t>OWC % revenues</t>
  </si>
  <si>
    <t>Long term assets % revenue</t>
  </si>
  <si>
    <t>Debt</t>
  </si>
  <si>
    <t>Cash and cash equivalents interest rate</t>
  </si>
  <si>
    <t>Revolver interest rate</t>
  </si>
  <si>
    <t>Cash available to service debt</t>
  </si>
  <si>
    <t>Cash flow generated to service debt</t>
  </si>
  <si>
    <t>Change in OWC</t>
  </si>
  <si>
    <t>Surplus cash / (revolver requirement)</t>
  </si>
  <si>
    <t>Beginning revolver</t>
  </si>
  <si>
    <t>Revolver issuance (repayment)</t>
  </si>
  <si>
    <t xml:space="preserve"> Ending revolver</t>
  </si>
  <si>
    <t>Interest on revolver</t>
  </si>
  <si>
    <t>Interest on cash and cash equivalents</t>
  </si>
  <si>
    <t>Net Debt and Interest Statistics</t>
  </si>
  <si>
    <t>Net debt</t>
  </si>
  <si>
    <t>Debt / EBITDA</t>
  </si>
  <si>
    <t>Net debt / EBITDA</t>
  </si>
  <si>
    <t>EBITDA / interest expense</t>
  </si>
  <si>
    <t>Net debt / net debt + equity</t>
  </si>
  <si>
    <t>EBITDA margin</t>
  </si>
  <si>
    <t>Dividends paid</t>
  </si>
  <si>
    <t>Financing cash flow</t>
  </si>
  <si>
    <t>Workout</t>
  </si>
  <si>
    <t>Long term debt (including currently due)</t>
  </si>
  <si>
    <t>Operating current assets</t>
  </si>
  <si>
    <t>Operating current liabilities</t>
  </si>
  <si>
    <t>Operating current assets % revenues</t>
  </si>
  <si>
    <t>Operating current liabilities % revenues</t>
  </si>
  <si>
    <t>End</t>
  </si>
  <si>
    <t>Income Statement Operating Statistics</t>
  </si>
  <si>
    <t>Balance Sheet Operating Statistics</t>
  </si>
  <si>
    <t>Calculations</t>
  </si>
  <si>
    <t>Instructions</t>
  </si>
  <si>
    <t>Edit the model to include the following items:</t>
  </si>
  <si>
    <t>Editing to introduce new variables</t>
  </si>
  <si>
    <t>10 year long term debt tranche 2 with issuance of 700.0 in year 2016 and interest rate of 4.5%</t>
  </si>
  <si>
    <t>Long term debt 1 issuance / (repayment)</t>
  </si>
  <si>
    <t>Long term debt 2 issuance / (repayment)</t>
  </si>
  <si>
    <t>Long term debt interest rate 1</t>
  </si>
  <si>
    <t>Long term debt interest rate 2</t>
  </si>
  <si>
    <t>Beginning long term debt 1</t>
  </si>
  <si>
    <t>Beginning long term debt 2</t>
  </si>
  <si>
    <t>Ending long term debt 1</t>
  </si>
  <si>
    <t>Ending long term debt 2</t>
  </si>
  <si>
    <t>Interest on long term debt 2</t>
  </si>
  <si>
    <t>Interest on long term debt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</si>
</sst>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</cellStyleXfs>
  <cellXfs count="84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4" fillId="0" borderId="0" xfId="50" applyNumberFormat="1" applyFill="1">
      <alignment horizontal="left" vertical="center"/>
    </xf>
    <xf numFmtId="172" fontId="30" fillId="0" borderId="0" xfId="58" applyNumberFormat="1" applyFill="1"/>
    <xf numFmtId="170" fontId="0" fillId="0" borderId="0" xfId="57" applyFont="1" applyFill="1"/>
    <xf numFmtId="170" fontId="30" fillId="37" borderId="11" xfId="57" applyFont="1" applyFill="1" applyBorder="1" applyProtection="1">
      <protection locked="0"/>
    </xf>
    <xf numFmtId="170" fontId="30" fillId="37" borderId="11" xfId="61" applyNumberFormat="1">
      <protection locked="0"/>
    </xf>
    <xf numFmtId="172" fontId="30" fillId="37" borderId="11" xfId="61" applyNumberFormat="1">
      <protection locked="0"/>
    </xf>
    <xf numFmtId="169" fontId="0" fillId="0" borderId="0" xfId="56" applyFont="1"/>
    <xf numFmtId="172" fontId="4" fillId="5" borderId="0" xfId="50" applyNumberFormat="1" applyFill="1">
      <alignment horizontal="left" vertical="center"/>
    </xf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163760</xdr:colOff>
      <xdr:row>0</xdr:row>
      <xdr:rowOff>468637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2">
      <c r="A2" s="75" t="s">
        <v>20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6" t="s">
        <v>11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2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2">
      <c r="A7" s="76" t="str">
        <f ca="1">"© "&amp;YEAR(TODAY())&amp;" Financial Edge Training "</f>
        <v xml:space="preserve">© 2022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7"/>
      <c r="H9" s="77"/>
      <c r="I9" s="77"/>
      <c r="J9" s="77"/>
      <c r="K9" s="28"/>
    </row>
    <row r="10" spans="1:14" s="23" customFormat="1" ht="15" customHeight="1" x14ac:dyDescent="0.2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showGridLines="0" zoomScaleNormal="100" workbookViewId="0">
      <selection activeCell="N11" sqref="N11"/>
    </sheetView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1640625" customWidth="1"/>
    <col min="4" max="4" width="2.83203125" customWidth="1"/>
    <col min="5" max="7" width="1.5" customWidth="1"/>
    <col min="8" max="8" width="2.83203125" customWidth="1"/>
    <col min="9" max="9" width="42.832031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2" t="s">
        <v>0</v>
      </c>
      <c r="C4" s="82"/>
      <c r="D4" s="82"/>
      <c r="E4" s="82"/>
      <c r="F4" s="82"/>
      <c r="G4" s="82"/>
      <c r="H4" s="82"/>
      <c r="I4" s="82"/>
      <c r="K4" s="1"/>
      <c r="L4" s="82" t="s">
        <v>2</v>
      </c>
      <c r="M4" s="82"/>
      <c r="N4" s="82"/>
      <c r="O4" s="82"/>
      <c r="P4" s="82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9" t="s">
        <v>97</v>
      </c>
      <c r="O5" s="79"/>
      <c r="P5" s="79"/>
      <c r="Q5" s="79"/>
      <c r="R5" s="45"/>
    </row>
    <row r="6" spans="1:18" s="2" customFormat="1" ht="15" customHeight="1" x14ac:dyDescent="0.2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0">
        <v>42004</v>
      </c>
      <c r="O6" s="80"/>
      <c r="P6" s="80"/>
      <c r="Q6" s="80"/>
      <c r="R6" s="45"/>
    </row>
    <row r="7" spans="1:18" s="2" customFormat="1" ht="15" customHeight="1" x14ac:dyDescent="0.2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9"/>
      <c r="O7" s="79"/>
      <c r="P7" s="79"/>
      <c r="Q7" s="79"/>
      <c r="R7" s="45"/>
    </row>
    <row r="8" spans="1:18" s="2" customFormat="1" ht="15" customHeight="1" x14ac:dyDescent="0.2">
      <c r="A8" s="18"/>
      <c r="B8" s="8" t="s">
        <v>1</v>
      </c>
      <c r="C8" s="18" t="s">
        <v>46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9" t="s">
        <v>9</v>
      </c>
      <c r="O8" s="79"/>
      <c r="P8" s="79"/>
      <c r="Q8" s="79"/>
      <c r="R8" s="45"/>
    </row>
    <row r="9" spans="1:18" s="2" customFormat="1" ht="15" customHeight="1" x14ac:dyDescent="0.2">
      <c r="A9" s="43"/>
      <c r="B9" s="8" t="s">
        <v>1</v>
      </c>
      <c r="C9" s="18" t="s">
        <v>47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9" t="s">
        <v>10</v>
      </c>
      <c r="O9" s="79"/>
      <c r="P9" s="79"/>
      <c r="Q9" s="79"/>
      <c r="R9" s="45"/>
    </row>
    <row r="10" spans="1:18" s="2" customFormat="1" ht="15" customHeight="1" x14ac:dyDescent="0.2">
      <c r="A10" s="44"/>
      <c r="B10" s="8" t="s">
        <v>1</v>
      </c>
      <c r="C10" s="44" t="s">
        <v>109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1">
        <v>1</v>
      </c>
      <c r="O10" s="81"/>
      <c r="P10" s="81"/>
      <c r="Q10" s="81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83" t="s">
        <v>19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N13" s="1"/>
      <c r="O13" s="82" t="s">
        <v>14</v>
      </c>
      <c r="P13" s="82"/>
      <c r="Q13" s="82"/>
      <c r="R13" s="62"/>
    </row>
    <row r="14" spans="1:18" s="2" customFormat="1" ht="15" customHeight="1" x14ac:dyDescent="0.2">
      <c r="A14" s="60"/>
      <c r="B14" s="78" t="s">
        <v>45</v>
      </c>
      <c r="C14" s="78"/>
      <c r="D14" s="78" t="s">
        <v>24</v>
      </c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15</v>
      </c>
      <c r="Q15" s="22"/>
      <c r="R15" s="60"/>
    </row>
    <row r="16" spans="1:18" s="2" customFormat="1" ht="15" customHeight="1" x14ac:dyDescent="0.2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16</v>
      </c>
      <c r="Q16" s="22"/>
      <c r="R16" s="60"/>
    </row>
    <row r="17" spans="1:18" s="2" customFormat="1" ht="15" customHeight="1" x14ac:dyDescent="0.2">
      <c r="A17" s="60"/>
      <c r="B17" s="59"/>
      <c r="C17" s="59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17</v>
      </c>
      <c r="Q17" s="22"/>
      <c r="R17" s="60"/>
    </row>
    <row r="18" spans="1:18" s="2" customFormat="1" ht="15" customHeight="1" x14ac:dyDescent="0.2">
      <c r="A18" s="44"/>
      <c r="B18" s="8"/>
      <c r="C18" s="59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6" thickBot="1" x14ac:dyDescent="0.25">
      <c r="A19" s="48"/>
      <c r="B19" s="47"/>
      <c r="C19" s="61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ht="22.5" customHeight="1" x14ac:dyDescent="0.2">
      <c r="A21" s="59"/>
      <c r="B21" s="71" t="s">
        <v>107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35"/>
      <c r="N21" s="59"/>
      <c r="O21" s="59"/>
      <c r="P21" s="59"/>
      <c r="Q21" s="59"/>
      <c r="R21" s="59"/>
    </row>
    <row r="22" spans="1:18" x14ac:dyDescent="0.2">
      <c r="A22" s="59"/>
      <c r="B22" s="59" t="s">
        <v>108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35"/>
      <c r="N22" s="59"/>
      <c r="O22" s="59"/>
      <c r="P22" s="59"/>
      <c r="Q22" s="59"/>
      <c r="R22" s="59"/>
    </row>
    <row r="23" spans="1:18" x14ac:dyDescent="0.2">
      <c r="A23" s="59"/>
      <c r="B23" s="8" t="s">
        <v>1</v>
      </c>
      <c r="C23" s="59" t="s">
        <v>110</v>
      </c>
      <c r="D23" s="59"/>
      <c r="E23" s="59"/>
      <c r="F23" s="59"/>
      <c r="G23" s="59"/>
      <c r="H23" s="59"/>
      <c r="I23" s="59"/>
      <c r="J23" s="59"/>
      <c r="K23" s="59"/>
      <c r="L23" s="59"/>
      <c r="M23" s="32"/>
      <c r="N23" s="59"/>
      <c r="O23" s="59"/>
      <c r="P23" s="59"/>
      <c r="Q23" s="59"/>
      <c r="R23" s="59"/>
    </row>
    <row r="24" spans="1:18" x14ac:dyDescent="0.2">
      <c r="A24" s="59"/>
      <c r="B24" s="8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32"/>
      <c r="N24" s="59"/>
      <c r="O24" s="59"/>
      <c r="P24" s="59"/>
      <c r="Q24" s="59"/>
      <c r="R24" s="59"/>
    </row>
    <row r="25" spans="1:18" ht="16" thickBot="1" x14ac:dyDescent="0.25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32"/>
      <c r="N25" s="61"/>
      <c r="O25" s="61"/>
      <c r="P25" s="61"/>
      <c r="Q25" s="61"/>
      <c r="R25" s="61"/>
    </row>
  </sheetData>
  <mergeCells count="18">
    <mergeCell ref="B14:C14"/>
    <mergeCell ref="B15:C15"/>
    <mergeCell ref="B16:C16"/>
    <mergeCell ref="L4:P4"/>
    <mergeCell ref="B4:I4"/>
    <mergeCell ref="B13:L13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132"/>
  <sheetViews>
    <sheetView tabSelected="1" zoomScale="167" zoomScaleNormal="100" workbookViewId="0">
      <pane xSplit="2" ySplit="2" topLeftCell="C17" activePane="bottomRight" state="frozen"/>
      <selection pane="topRight" activeCell="C1" sqref="C1"/>
      <selection pane="bottomLeft" activeCell="A3" sqref="A3"/>
      <selection pane="bottomRight" activeCell="E27" sqref="E27"/>
    </sheetView>
  </sheetViews>
  <sheetFormatPr baseColWidth="10" defaultColWidth="9.1640625" defaultRowHeight="15" customHeight="1" x14ac:dyDescent="0.2"/>
  <cols>
    <col min="1" max="1" width="1.5" style="15" customWidth="1"/>
    <col min="2" max="2" width="41.83203125" style="16" customWidth="1"/>
    <col min="3" max="10" width="11" customWidth="1"/>
    <col min="11" max="12" width="9.1640625" customWidth="1"/>
  </cols>
  <sheetData>
    <row r="1" spans="1:15" s="50" customFormat="1" ht="45" customHeight="1" x14ac:dyDescent="0.3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25">
      <c r="A2" s="14" t="s">
        <v>97</v>
      </c>
      <c r="B2" s="7"/>
      <c r="C2" s="11">
        <f>DATE(YEAR(D2)-1,MONTH(D2),DAY(D2))</f>
        <v>41274</v>
      </c>
      <c r="D2" s="11">
        <f>DATE(YEAR(E2)-1,MONTH(E2),DAY(E2))</f>
        <v>41639</v>
      </c>
      <c r="E2" s="11">
        <f>Info!N6</f>
        <v>42004</v>
      </c>
      <c r="F2" s="11">
        <f>DATE(YEAR(E2)+1,MONTH(E2),DAY(E2))</f>
        <v>42369</v>
      </c>
      <c r="G2" s="11">
        <f>DATE(YEAR(F2)+1,MONTH(F2),DAY(F2))</f>
        <v>42735</v>
      </c>
      <c r="H2" s="11">
        <f>DATE(YEAR(G2)+1,MONTH(G2),DAY(G2))</f>
        <v>43100</v>
      </c>
      <c r="I2" s="11">
        <f>DATE(YEAR(H2)+1,MONTH(H2),DAY(H2))</f>
        <v>43465</v>
      </c>
      <c r="J2" s="11">
        <f>DATE(YEAR(I2)+1,MONTH(I2),DAY(I2))</f>
        <v>43830</v>
      </c>
      <c r="K2" s="11">
        <f t="shared" ref="K2:O2" si="0">DATE(YEAR(J2)+1,MONTH(J2),DAY(J2))</f>
        <v>44196</v>
      </c>
      <c r="L2" s="11">
        <f t="shared" si="0"/>
        <v>44561</v>
      </c>
      <c r="M2" s="11">
        <f t="shared" si="0"/>
        <v>44926</v>
      </c>
      <c r="N2" s="11">
        <f t="shared" si="0"/>
        <v>45291</v>
      </c>
      <c r="O2" s="11">
        <f t="shared" si="0"/>
        <v>45657</v>
      </c>
    </row>
    <row r="4" spans="1:15" ht="15" customHeight="1" x14ac:dyDescent="0.2">
      <c r="A4" s="15" t="s">
        <v>48</v>
      </c>
    </row>
    <row r="5" spans="1:15" ht="15" customHeight="1" x14ac:dyDescent="0.2">
      <c r="B5" s="16" t="s">
        <v>25</v>
      </c>
      <c r="D5" s="66">
        <f>D25/C25-1</f>
        <v>3.1959421642975938E-2</v>
      </c>
      <c r="E5" s="66">
        <f>E25/D25-1</f>
        <v>4.645481620723424E-2</v>
      </c>
      <c r="F5" s="67">
        <v>0.15</v>
      </c>
      <c r="G5" s="67">
        <v>0.06</v>
      </c>
      <c r="H5" s="67">
        <v>0.06</v>
      </c>
      <c r="I5" s="67">
        <v>0.06</v>
      </c>
      <c r="J5" s="67">
        <v>0.06</v>
      </c>
      <c r="K5" s="67">
        <v>0.05</v>
      </c>
      <c r="L5" s="67">
        <v>0.05</v>
      </c>
      <c r="M5" s="67">
        <v>4.4999999999999998E-2</v>
      </c>
      <c r="N5" s="67">
        <v>0.04</v>
      </c>
      <c r="O5" s="67">
        <v>0.04</v>
      </c>
    </row>
    <row r="6" spans="1:15" ht="15" customHeight="1" x14ac:dyDescent="0.2">
      <c r="B6" s="16" t="s">
        <v>26</v>
      </c>
      <c r="C6" s="66">
        <f>C26*-1/C25</f>
        <v>0.86309334472834454</v>
      </c>
      <c r="D6" s="66">
        <f>D26*-1/D25</f>
        <v>0.85563651614997704</v>
      </c>
      <c r="E6" s="66">
        <f>E26*-1/E25</f>
        <v>0.84872385710105835</v>
      </c>
      <c r="F6" s="67">
        <v>0.85</v>
      </c>
      <c r="G6" s="67">
        <v>0.85</v>
      </c>
      <c r="H6" s="67">
        <v>0.85</v>
      </c>
      <c r="I6" s="67">
        <v>0.85</v>
      </c>
      <c r="J6" s="67">
        <v>0.85</v>
      </c>
      <c r="K6" s="67">
        <v>0.85</v>
      </c>
      <c r="L6" s="67">
        <v>0.85</v>
      </c>
      <c r="M6" s="67">
        <v>0.85</v>
      </c>
      <c r="N6" s="67">
        <v>0.85</v>
      </c>
      <c r="O6" s="67">
        <v>0.85</v>
      </c>
    </row>
    <row r="7" spans="1:15" ht="15" customHeight="1" x14ac:dyDescent="0.2">
      <c r="B7" s="16" t="s">
        <v>59</v>
      </c>
      <c r="C7" s="66">
        <f>C31*-1/C30</f>
        <v>0.36223824585794046</v>
      </c>
      <c r="D7" s="66">
        <f>D31*-1/D30</f>
        <v>0.4260968854006883</v>
      </c>
      <c r="E7" s="66">
        <f>E31*-1/E30</f>
        <v>0.39059845426906048</v>
      </c>
      <c r="F7" s="67">
        <v>0.36</v>
      </c>
      <c r="G7" s="67">
        <v>0.36</v>
      </c>
      <c r="H7" s="67">
        <v>0.36</v>
      </c>
      <c r="I7" s="67">
        <v>0.36</v>
      </c>
      <c r="J7" s="67">
        <v>0.36</v>
      </c>
      <c r="K7" s="67">
        <v>0.36</v>
      </c>
      <c r="L7" s="67">
        <v>0.36</v>
      </c>
      <c r="M7" s="67">
        <v>0.36</v>
      </c>
      <c r="N7" s="67">
        <v>0.36</v>
      </c>
      <c r="O7" s="67">
        <v>0.36</v>
      </c>
    </row>
    <row r="8" spans="1:15" ht="15" customHeight="1" x14ac:dyDescent="0.2">
      <c r="A8" s="64"/>
    </row>
    <row r="9" spans="1:15" ht="15" customHeight="1" x14ac:dyDescent="0.2">
      <c r="A9" s="15" t="s">
        <v>49</v>
      </c>
    </row>
    <row r="10" spans="1:15" ht="15" customHeight="1" x14ac:dyDescent="0.2">
      <c r="B10" s="16" t="s">
        <v>101</v>
      </c>
      <c r="D10" s="66">
        <f>D51/D25</f>
        <v>0.22126255587778429</v>
      </c>
      <c r="E10" s="66">
        <f>E51/E25</f>
        <v>0.22399843080206949</v>
      </c>
      <c r="F10" s="67">
        <v>0.223</v>
      </c>
      <c r="G10" s="67">
        <v>0.223</v>
      </c>
      <c r="H10" s="67">
        <v>0.223</v>
      </c>
      <c r="I10" s="67">
        <v>0.223</v>
      </c>
      <c r="J10" s="67">
        <v>0.223</v>
      </c>
      <c r="K10" s="67">
        <v>0.223</v>
      </c>
      <c r="L10" s="67">
        <v>0.223</v>
      </c>
      <c r="M10" s="67">
        <v>0.223</v>
      </c>
      <c r="N10" s="67">
        <v>0.223</v>
      </c>
      <c r="O10" s="67">
        <v>0.223</v>
      </c>
    </row>
    <row r="11" spans="1:15" ht="15" customHeight="1" x14ac:dyDescent="0.2">
      <c r="B11" s="16" t="s">
        <v>102</v>
      </c>
      <c r="D11" s="66">
        <f>D56/D25</f>
        <v>0.2534714344848919</v>
      </c>
      <c r="E11" s="66">
        <f>E56/E25</f>
        <v>0.28736564363447042</v>
      </c>
      <c r="F11" s="67">
        <v>0.27</v>
      </c>
      <c r="G11" s="67">
        <v>0.27</v>
      </c>
      <c r="H11" s="67">
        <v>0.27</v>
      </c>
      <c r="I11" s="67">
        <v>0.27</v>
      </c>
      <c r="J11" s="67">
        <v>0.27</v>
      </c>
      <c r="K11" s="67">
        <v>0.27</v>
      </c>
      <c r="L11" s="67">
        <v>0.27</v>
      </c>
      <c r="M11" s="67">
        <v>0.27</v>
      </c>
      <c r="N11" s="67">
        <v>0.27</v>
      </c>
      <c r="O11" s="67">
        <v>0.27</v>
      </c>
    </row>
    <row r="12" spans="1:15" ht="15" customHeight="1" x14ac:dyDescent="0.2">
      <c r="B12" s="16" t="s">
        <v>62</v>
      </c>
      <c r="D12" s="66">
        <f>274.114/D25</f>
        <v>3.748510620898609E-2</v>
      </c>
      <c r="E12" s="66">
        <f>280.779/E25</f>
        <v>3.6692024128117014E-2</v>
      </c>
      <c r="F12" s="67">
        <v>3.6999999999999998E-2</v>
      </c>
      <c r="G12" s="67">
        <v>3.6999999999999998E-2</v>
      </c>
      <c r="H12" s="67">
        <v>3.6999999999999998E-2</v>
      </c>
      <c r="I12" s="67">
        <v>3.6999999999999998E-2</v>
      </c>
      <c r="J12" s="67">
        <v>3.6999999999999998E-2</v>
      </c>
      <c r="K12" s="67">
        <v>3.6999999999999998E-2</v>
      </c>
      <c r="L12" s="67">
        <v>3.6999999999999998E-2</v>
      </c>
      <c r="M12" s="67">
        <v>3.6999999999999998E-2</v>
      </c>
      <c r="N12" s="67">
        <v>3.6999999999999998E-2</v>
      </c>
      <c r="O12" s="67">
        <v>3.6999999999999998E-2</v>
      </c>
    </row>
    <row r="13" spans="1:15" ht="15" customHeight="1" x14ac:dyDescent="0.2">
      <c r="B13" s="16" t="s">
        <v>67</v>
      </c>
      <c r="D13" s="66"/>
      <c r="E13" s="66">
        <f>383.996/D52</f>
        <v>6.5675110396050687E-2</v>
      </c>
      <c r="F13" s="68">
        <v>6.6000000000000003E-2</v>
      </c>
      <c r="G13" s="68">
        <v>6.6000000000000003E-2</v>
      </c>
      <c r="H13" s="68">
        <v>6.6000000000000003E-2</v>
      </c>
      <c r="I13" s="68">
        <v>6.6000000000000003E-2</v>
      </c>
      <c r="J13" s="68">
        <v>6.6000000000000003E-2</v>
      </c>
      <c r="K13" s="68">
        <v>6.6000000000000003E-2</v>
      </c>
      <c r="L13" s="68">
        <v>6.6000000000000003E-2</v>
      </c>
      <c r="M13" s="68">
        <v>6.6000000000000003E-2</v>
      </c>
      <c r="N13" s="68">
        <v>6.6000000000000003E-2</v>
      </c>
      <c r="O13" s="68">
        <v>6.6000000000000003E-2</v>
      </c>
    </row>
    <row r="14" spans="1:15" ht="15" customHeight="1" x14ac:dyDescent="0.2">
      <c r="B14" s="16" t="s">
        <v>64</v>
      </c>
      <c r="D14" s="66">
        <f>216.855/D32</f>
        <v>0.39509931458180753</v>
      </c>
      <c r="E14" s="66">
        <f>156.129/E32</f>
        <v>0.24168014674581853</v>
      </c>
      <c r="F14" s="68">
        <v>0.32</v>
      </c>
      <c r="G14" s="68">
        <v>0.32</v>
      </c>
      <c r="H14" s="68">
        <v>0.32</v>
      </c>
      <c r="I14" s="68">
        <v>0.32</v>
      </c>
      <c r="J14" s="68">
        <v>0.32</v>
      </c>
      <c r="K14" s="68">
        <v>0.32</v>
      </c>
      <c r="L14" s="68">
        <v>0.32</v>
      </c>
      <c r="M14" s="68">
        <v>0.32</v>
      </c>
      <c r="N14" s="68">
        <v>0.32</v>
      </c>
      <c r="O14" s="68">
        <v>0.32</v>
      </c>
    </row>
    <row r="15" spans="1:15" ht="15" customHeight="1" x14ac:dyDescent="0.2">
      <c r="A15" s="64"/>
    </row>
    <row r="16" spans="1:15" ht="15" customHeight="1" x14ac:dyDescent="0.2">
      <c r="A16" s="15" t="s">
        <v>56</v>
      </c>
    </row>
    <row r="17" spans="1:15" ht="15" customHeight="1" x14ac:dyDescent="0.2">
      <c r="B17" s="16" t="s">
        <v>111</v>
      </c>
      <c r="D17" s="66"/>
      <c r="E17" s="66"/>
      <c r="F17" s="69">
        <f>-(626.788+28.72)</f>
        <v>-655.50800000000004</v>
      </c>
      <c r="G17" s="69">
        <v>-21.841999999999999</v>
      </c>
      <c r="H17" s="69">
        <v>-91.188999999999993</v>
      </c>
      <c r="I17" s="69">
        <v>-105.428</v>
      </c>
      <c r="J17" s="69">
        <f>-1441.236*(75+500)/1525</f>
        <v>-543.41685245901647</v>
      </c>
      <c r="K17" s="69">
        <f>-1441.236*(50+50)/1525</f>
        <v>-94.507278688524593</v>
      </c>
      <c r="L17" s="69">
        <f>-1441.236*350/1525</f>
        <v>-330.77547540983608</v>
      </c>
      <c r="M17" s="69">
        <v>0</v>
      </c>
      <c r="N17" s="69">
        <v>0</v>
      </c>
      <c r="O17" s="69">
        <f>-1441.236*500/1525</f>
        <v>-472.53639344262297</v>
      </c>
    </row>
    <row r="18" spans="1:15" ht="15" customHeight="1" x14ac:dyDescent="0.2">
      <c r="B18" s="16" t="s">
        <v>112</v>
      </c>
      <c r="D18" s="66"/>
      <c r="E18" s="66"/>
      <c r="F18" s="69">
        <v>0</v>
      </c>
      <c r="G18" s="69">
        <v>700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/>
      <c r="O18" s="69"/>
    </row>
    <row r="19" spans="1:15" ht="15" customHeight="1" x14ac:dyDescent="0.2">
      <c r="B19" s="16" t="s">
        <v>78</v>
      </c>
      <c r="F19" s="68">
        <v>0.02</v>
      </c>
      <c r="G19" s="68">
        <v>0.02</v>
      </c>
      <c r="H19" s="68">
        <v>0.02</v>
      </c>
      <c r="I19" s="68">
        <v>0.02</v>
      </c>
      <c r="J19" s="68">
        <v>0.02</v>
      </c>
      <c r="K19" s="68">
        <v>0.02</v>
      </c>
      <c r="L19" s="68">
        <v>0.02</v>
      </c>
      <c r="M19" s="68">
        <v>0.02</v>
      </c>
      <c r="N19" s="68">
        <v>0.02</v>
      </c>
      <c r="O19" s="68">
        <v>0.02</v>
      </c>
    </row>
    <row r="20" spans="1:15" ht="15" customHeight="1" x14ac:dyDescent="0.2">
      <c r="B20" s="16" t="s">
        <v>113</v>
      </c>
      <c r="F20" s="68">
        <v>0.04</v>
      </c>
      <c r="G20" s="68">
        <v>0.04</v>
      </c>
      <c r="H20" s="68">
        <v>0.04</v>
      </c>
      <c r="I20" s="68">
        <v>0.04</v>
      </c>
      <c r="J20" s="68">
        <v>0.04</v>
      </c>
      <c r="K20" s="68">
        <v>0.04</v>
      </c>
      <c r="L20" s="68">
        <v>0.04</v>
      </c>
      <c r="M20" s="68">
        <v>0.04</v>
      </c>
      <c r="N20" s="68">
        <v>0.04</v>
      </c>
      <c r="O20" s="68">
        <v>0.04</v>
      </c>
    </row>
    <row r="21" spans="1:15" ht="15" customHeight="1" x14ac:dyDescent="0.2">
      <c r="B21" s="16" t="s">
        <v>114</v>
      </c>
      <c r="F21" s="68">
        <v>3.5000000000000003E-2</v>
      </c>
      <c r="G21" s="68">
        <v>3.5000000000000003E-2</v>
      </c>
      <c r="H21" s="68">
        <v>3.5000000000000003E-2</v>
      </c>
      <c r="I21" s="68">
        <v>3.5000000000000003E-2</v>
      </c>
      <c r="J21" s="68">
        <v>3.5000000000000003E-2</v>
      </c>
      <c r="K21" s="68">
        <v>3.5000000000000003E-2</v>
      </c>
      <c r="L21" s="68">
        <v>3.5000000000000003E-2</v>
      </c>
      <c r="M21" s="68">
        <v>3.5000000000000003E-2</v>
      </c>
      <c r="N21" s="68">
        <v>3.5000000000000003E-2</v>
      </c>
      <c r="O21" s="68">
        <v>3.5000000000000003E-2</v>
      </c>
    </row>
    <row r="22" spans="1:15" ht="15" customHeight="1" x14ac:dyDescent="0.2">
      <c r="B22" s="16" t="s">
        <v>77</v>
      </c>
      <c r="F22" s="68">
        <v>5.0000000000000001E-3</v>
      </c>
      <c r="G22" s="68">
        <v>5.0000000000000001E-3</v>
      </c>
      <c r="H22" s="68">
        <v>5.0000000000000001E-3</v>
      </c>
      <c r="I22" s="68">
        <v>5.0000000000000001E-3</v>
      </c>
      <c r="J22" s="68">
        <v>5.0000000000000001E-3</v>
      </c>
      <c r="K22" s="68">
        <v>5.0000000000000001E-3</v>
      </c>
      <c r="L22" s="68">
        <v>5.0000000000000001E-3</v>
      </c>
      <c r="M22" s="68">
        <v>5.0000000000000001E-3</v>
      </c>
      <c r="N22" s="68">
        <v>5.0000000000000001E-3</v>
      </c>
      <c r="O22" s="68">
        <v>5.0000000000000001E-3</v>
      </c>
    </row>
    <row r="23" spans="1:15" ht="15" customHeight="1" x14ac:dyDescent="0.2">
      <c r="A23" s="64"/>
    </row>
    <row r="24" spans="1:15" ht="15" customHeight="1" x14ac:dyDescent="0.2">
      <c r="A24" s="15" t="s">
        <v>27</v>
      </c>
    </row>
    <row r="25" spans="1:15" ht="15" customHeight="1" x14ac:dyDescent="0.2">
      <c r="B25" s="16" t="s">
        <v>28</v>
      </c>
      <c r="C25" s="65">
        <v>7086.1419999999998</v>
      </c>
      <c r="D25" s="65">
        <v>7312.6109999999999</v>
      </c>
      <c r="E25" s="65">
        <v>7652.317</v>
      </c>
      <c r="F25">
        <f t="shared" ref="F25:O25" si="1">E25*(1+F5)</f>
        <v>8800.1645499999995</v>
      </c>
      <c r="G25">
        <f t="shared" si="1"/>
        <v>9328.1744230000004</v>
      </c>
      <c r="H25">
        <f t="shared" si="1"/>
        <v>9887.8648883800015</v>
      </c>
      <c r="I25">
        <f t="shared" si="1"/>
        <v>10481.136781682802</v>
      </c>
      <c r="J25">
        <f t="shared" si="1"/>
        <v>11110.004988583771</v>
      </c>
      <c r="K25">
        <f t="shared" si="1"/>
        <v>11665.50523801296</v>
      </c>
      <c r="L25">
        <f t="shared" si="1"/>
        <v>12248.780499913608</v>
      </c>
      <c r="M25">
        <f t="shared" si="1"/>
        <v>12799.97562240972</v>
      </c>
      <c r="N25">
        <f t="shared" si="1"/>
        <v>13311.97464730611</v>
      </c>
      <c r="O25">
        <f t="shared" si="1"/>
        <v>13844.453633198355</v>
      </c>
    </row>
    <row r="26" spans="1:15" ht="15" customHeight="1" x14ac:dyDescent="0.2">
      <c r="B26" s="16" t="s">
        <v>29</v>
      </c>
      <c r="C26" s="65">
        <f>(2435.993+3680.009)*-1</f>
        <v>-6116.0020000000004</v>
      </c>
      <c r="D26" s="65">
        <f>(2524.006+3732.931)*-1</f>
        <v>-6256.9369999999999</v>
      </c>
      <c r="E26" s="65">
        <f>(2574.685+3920.019)*-1</f>
        <v>-6494.7039999999997</v>
      </c>
      <c r="F26">
        <f>F6*F25*-1</f>
        <v>-7480.1398674999991</v>
      </c>
      <c r="G26">
        <f t="shared" ref="G26:O26" si="2">G6*G25*-1</f>
        <v>-7928.9482595500003</v>
      </c>
      <c r="H26">
        <f t="shared" si="2"/>
        <v>-8404.6851551230011</v>
      </c>
      <c r="I26">
        <f t="shared" si="2"/>
        <v>-8908.9662644303826</v>
      </c>
      <c r="J26">
        <f t="shared" si="2"/>
        <v>-9443.5042402962044</v>
      </c>
      <c r="K26">
        <f t="shared" si="2"/>
        <v>-9915.6794523110166</v>
      </c>
      <c r="L26">
        <f t="shared" si="2"/>
        <v>-10411.463424926567</v>
      </c>
      <c r="M26">
        <f t="shared" si="2"/>
        <v>-10879.979279048262</v>
      </c>
      <c r="N26">
        <f t="shared" si="2"/>
        <v>-11315.178450210193</v>
      </c>
      <c r="O26">
        <f t="shared" si="2"/>
        <v>-11767.785588218601</v>
      </c>
    </row>
    <row r="27" spans="1:15" ht="15" customHeight="1" x14ac:dyDescent="0.2">
      <c r="B27" s="16" t="s">
        <v>51</v>
      </c>
      <c r="C27">
        <f>SUM(C25:C26)</f>
        <v>970.13999999999942</v>
      </c>
      <c r="D27">
        <f t="shared" ref="D27:E27" si="3">SUM(D25:D26)</f>
        <v>1055.674</v>
      </c>
      <c r="E27">
        <f t="shared" si="3"/>
        <v>1157.6130000000003</v>
      </c>
      <c r="F27">
        <f t="shared" ref="F27" si="4">SUM(F25:F26)</f>
        <v>1320.0246825000004</v>
      </c>
      <c r="G27">
        <f t="shared" ref="G27" si="5">SUM(G25:G26)</f>
        <v>1399.2261634500001</v>
      </c>
      <c r="H27">
        <f t="shared" ref="H27" si="6">SUM(H25:H26)</f>
        <v>1483.1797332570004</v>
      </c>
      <c r="I27">
        <f t="shared" ref="I27" si="7">SUM(I25:I26)</f>
        <v>1572.1705172524198</v>
      </c>
      <c r="J27">
        <f t="shared" ref="J27" si="8">SUM(J25:J26)</f>
        <v>1666.5007482875662</v>
      </c>
      <c r="K27">
        <f t="shared" ref="K27" si="9">SUM(K25:K26)</f>
        <v>1749.8257857019435</v>
      </c>
      <c r="L27">
        <f t="shared" ref="L27" si="10">SUM(L25:L26)</f>
        <v>1837.3170749870405</v>
      </c>
      <c r="M27">
        <f t="shared" ref="M27" si="11">SUM(M25:M26)</f>
        <v>1919.9963433614575</v>
      </c>
      <c r="N27">
        <f t="shared" ref="N27" si="12">SUM(N25:N26)</f>
        <v>1996.7961970959168</v>
      </c>
      <c r="O27">
        <f t="shared" ref="O27" si="13">SUM(O25:O26)</f>
        <v>2076.6680449797532</v>
      </c>
    </row>
    <row r="28" spans="1:15" ht="15" customHeight="1" x14ac:dyDescent="0.2">
      <c r="B28" s="16" t="s">
        <v>52</v>
      </c>
      <c r="C28" s="65">
        <v>18.91</v>
      </c>
      <c r="D28" s="65">
        <v>10.071999999999999</v>
      </c>
      <c r="E28" s="65">
        <f>11.672+0.455</f>
        <v>12.127000000000001</v>
      </c>
      <c r="F28">
        <f ca="1">IF(switch=1,F112,0)</f>
        <v>6.6743446932162191</v>
      </c>
      <c r="G28">
        <f t="shared" ref="G28:O28" ca="1" si="14">IF(switch=1,G112,0)</f>
        <v>9.4517901743534871</v>
      </c>
      <c r="H28">
        <f t="shared" ca="1" si="14"/>
        <v>16.03288262336763</v>
      </c>
      <c r="I28">
        <f t="shared" ca="1" si="14"/>
        <v>20.714903549392066</v>
      </c>
      <c r="J28">
        <f t="shared" ca="1" si="14"/>
        <v>22.625077085860102</v>
      </c>
      <c r="K28">
        <f t="shared" ca="1" si="14"/>
        <v>24.670984722789271</v>
      </c>
      <c r="L28">
        <f t="shared" ca="1" si="14"/>
        <v>27.356203917070225</v>
      </c>
      <c r="M28">
        <f t="shared" ca="1" si="14"/>
        <v>30.391009072584303</v>
      </c>
      <c r="N28">
        <f t="shared" ca="1" si="14"/>
        <v>34.351499500901326</v>
      </c>
      <c r="O28">
        <f t="shared" ca="1" si="14"/>
        <v>37.242535627414249</v>
      </c>
    </row>
    <row r="29" spans="1:15" ht="15" customHeight="1" x14ac:dyDescent="0.2">
      <c r="B29" s="16" t="s">
        <v>53</v>
      </c>
      <c r="C29" s="65">
        <f>(138.14+6.463)*-1</f>
        <v>-144.60299999999998</v>
      </c>
      <c r="D29" s="65">
        <f>(102.132+7.247)*-1</f>
        <v>-109.379</v>
      </c>
      <c r="E29" s="65">
        <f>109.659*-1</f>
        <v>-109.65900000000001</v>
      </c>
      <c r="F29">
        <f ca="1">IF(switch=1,F109+F110+F111,0)*-1</f>
        <v>-81.010990000000007</v>
      </c>
      <c r="G29">
        <f ca="1">IF(switch=1,G109+G110+G111,0)*-1</f>
        <v>-92.200959999999995</v>
      </c>
      <c r="H29">
        <f ca="1">IF(switch=1,H109+H110+H111,0)*-1</f>
        <v>-116.19033999999999</v>
      </c>
      <c r="I29">
        <f ca="1">IF(switch=1,I109+I110+I111,0)*-1</f>
        <v>-112.25800000000001</v>
      </c>
      <c r="J29">
        <f ca="1">IF(switch=1,J109+J110+J111,0)*-1</f>
        <v>-99.281102950819687</v>
      </c>
      <c r="K29">
        <f ca="1">IF(switch=1,K109+K110+K111,0)*-1</f>
        <v>-86.522620327868864</v>
      </c>
      <c r="L29">
        <f ca="1">IF(switch=1,L109+L110+L111,0)*-1</f>
        <v>-78.016965245901645</v>
      </c>
      <c r="M29">
        <f ca="1">IF(switch=1,M109+M110+M111,0)*-1</f>
        <v>-71.401455737704936</v>
      </c>
      <c r="N29">
        <f ca="1">IF(switch=1,N109+N110+N111,0)*-1</f>
        <v>-71.401455737704936</v>
      </c>
      <c r="O29">
        <f ca="1">IF(switch=1,O109+O110+O111,0)*-1</f>
        <v>-61.950727868852468</v>
      </c>
    </row>
    <row r="30" spans="1:15" ht="15" customHeight="1" x14ac:dyDescent="0.2">
      <c r="B30" s="16" t="s">
        <v>54</v>
      </c>
      <c r="C30">
        <f>SUM(C27:C29)</f>
        <v>844.44699999999943</v>
      </c>
      <c r="D30">
        <f t="shared" ref="D30:E30" si="15">SUM(D27:D29)</f>
        <v>956.36699999999985</v>
      </c>
      <c r="E30">
        <f t="shared" si="15"/>
        <v>1060.0810000000001</v>
      </c>
      <c r="F30">
        <f t="shared" ref="F30" ca="1" si="16">SUM(F27:F29)</f>
        <v>1245.6880371932166</v>
      </c>
      <c r="G30">
        <f t="shared" ref="G30" ca="1" si="17">SUM(G27:G29)</f>
        <v>1316.4769936243536</v>
      </c>
      <c r="H30">
        <f t="shared" ref="H30" ca="1" si="18">SUM(H27:H29)</f>
        <v>1383.0222758803679</v>
      </c>
      <c r="I30">
        <f t="shared" ref="I30" ca="1" si="19">SUM(I27:I29)</f>
        <v>1480.6274208018119</v>
      </c>
      <c r="J30">
        <f t="shared" ref="J30" ca="1" si="20">SUM(J27:J29)</f>
        <v>1589.8447224226065</v>
      </c>
      <c r="K30">
        <f t="shared" ref="K30" ca="1" si="21">SUM(K27:K29)</f>
        <v>1687.9741500968637</v>
      </c>
      <c r="L30">
        <f t="shared" ref="L30" ca="1" si="22">SUM(L27:L29)</f>
        <v>1786.656313658209</v>
      </c>
      <c r="M30">
        <f t="shared" ref="M30" ca="1" si="23">SUM(M27:M29)</f>
        <v>1878.9858966963368</v>
      </c>
      <c r="N30">
        <f t="shared" ref="N30" ca="1" si="24">SUM(N27:N29)</f>
        <v>1959.7462408591132</v>
      </c>
      <c r="O30">
        <f t="shared" ref="O30" ca="1" si="25">SUM(O27:O29)</f>
        <v>2051.959852738315</v>
      </c>
    </row>
    <row r="31" spans="1:15" ht="15" customHeight="1" x14ac:dyDescent="0.2">
      <c r="B31" s="16" t="s">
        <v>30</v>
      </c>
      <c r="C31" s="65">
        <f>305.891*-1</f>
        <v>-305.89100000000002</v>
      </c>
      <c r="D31" s="65">
        <f>407.505*-1</f>
        <v>-407.505</v>
      </c>
      <c r="E31" s="65">
        <f>414.066*-1</f>
        <v>-414.06599999999997</v>
      </c>
      <c r="F31">
        <f ca="1">F7*F30*-1</f>
        <v>-448.44769338955797</v>
      </c>
      <c r="G31">
        <f t="shared" ref="G31:O31" ca="1" si="26">G7*G30*-1</f>
        <v>-473.93171770476727</v>
      </c>
      <c r="H31">
        <f t="shared" ca="1" si="26"/>
        <v>-497.88801931693246</v>
      </c>
      <c r="I31">
        <f t="shared" ca="1" si="26"/>
        <v>-533.02587148865223</v>
      </c>
      <c r="J31">
        <f t="shared" ca="1" si="26"/>
        <v>-572.3441000721383</v>
      </c>
      <c r="K31">
        <f t="shared" ca="1" si="26"/>
        <v>-607.67069403487096</v>
      </c>
      <c r="L31">
        <f t="shared" ca="1" si="26"/>
        <v>-643.19627291695519</v>
      </c>
      <c r="M31">
        <f t="shared" ca="1" si="26"/>
        <v>-676.4349228106812</v>
      </c>
      <c r="N31">
        <f t="shared" ca="1" si="26"/>
        <v>-705.5086467092807</v>
      </c>
      <c r="O31">
        <f t="shared" ca="1" si="26"/>
        <v>-738.70554698579338</v>
      </c>
    </row>
    <row r="32" spans="1:15" ht="15" customHeight="1" x14ac:dyDescent="0.2">
      <c r="B32" s="16" t="s">
        <v>31</v>
      </c>
      <c r="C32">
        <f>SUM(C30:C31)</f>
        <v>538.55599999999936</v>
      </c>
      <c r="D32">
        <f t="shared" ref="D32:E32" si="27">SUM(D30:D31)</f>
        <v>548.86199999999985</v>
      </c>
      <c r="E32">
        <f t="shared" si="27"/>
        <v>646.0150000000001</v>
      </c>
      <c r="F32">
        <f t="shared" ref="F32" ca="1" si="28">SUM(F30:F31)</f>
        <v>797.24034380365856</v>
      </c>
      <c r="G32">
        <f t="shared" ref="G32" ca="1" si="29">SUM(G30:G31)</f>
        <v>842.54527591958629</v>
      </c>
      <c r="H32">
        <f t="shared" ref="H32" ca="1" si="30">SUM(H30:H31)</f>
        <v>885.13425656343543</v>
      </c>
      <c r="I32">
        <f t="shared" ref="I32" ca="1" si="31">SUM(I30:I31)</f>
        <v>947.60154931315969</v>
      </c>
      <c r="J32">
        <f t="shared" ref="J32" ca="1" si="32">SUM(J30:J31)</f>
        <v>1017.5006223504682</v>
      </c>
      <c r="K32">
        <f t="shared" ref="K32" ca="1" si="33">SUM(K30:K31)</f>
        <v>1080.3034560619926</v>
      </c>
      <c r="L32">
        <f t="shared" ref="L32" ca="1" si="34">SUM(L30:L31)</f>
        <v>1143.4600407412538</v>
      </c>
      <c r="M32">
        <f t="shared" ref="M32" ca="1" si="35">SUM(M30:M31)</f>
        <v>1202.5509738856556</v>
      </c>
      <c r="N32">
        <f t="shared" ref="N32" ca="1" si="36">SUM(N30:N31)</f>
        <v>1254.2375941498326</v>
      </c>
      <c r="O32">
        <f t="shared" ref="O32" ca="1" si="37">SUM(O30:O31)</f>
        <v>1313.2543057525218</v>
      </c>
    </row>
    <row r="34" spans="1:15" ht="15" customHeight="1" x14ac:dyDescent="0.2">
      <c r="A34" s="15" t="s">
        <v>106</v>
      </c>
    </row>
    <row r="35" spans="1:15" ht="15" customHeight="1" x14ac:dyDescent="0.2">
      <c r="B35" s="16" t="s">
        <v>65</v>
      </c>
      <c r="F35">
        <f>E38</f>
        <v>6426.6030000000001</v>
      </c>
      <c r="G35">
        <f t="shared" ref="G35:O35" si="38">F38</f>
        <v>6328.0532903500007</v>
      </c>
      <c r="H35">
        <f t="shared" si="38"/>
        <v>6255.5442268379011</v>
      </c>
      <c r="I35">
        <f t="shared" si="38"/>
        <v>6208.529308736659</v>
      </c>
      <c r="J35">
        <f t="shared" si="38"/>
        <v>6186.5684352823037</v>
      </c>
      <c r="K35">
        <f t="shared" si="38"/>
        <v>6189.3251031312711</v>
      </c>
      <c r="L35">
        <f t="shared" si="38"/>
        <v>6212.4533401310864</v>
      </c>
      <c r="M35">
        <f t="shared" si="38"/>
        <v>6255.6362981792381</v>
      </c>
      <c r="N35">
        <f t="shared" si="38"/>
        <v>6316.3634005285685</v>
      </c>
      <c r="O35">
        <f t="shared" si="38"/>
        <v>6392.0264780440084</v>
      </c>
    </row>
    <row r="36" spans="1:15" ht="15" customHeight="1" x14ac:dyDescent="0.2">
      <c r="B36" s="16" t="s">
        <v>66</v>
      </c>
      <c r="F36">
        <f t="shared" ref="F36:O36" si="39">F12*F25</f>
        <v>325.60608834999999</v>
      </c>
      <c r="G36">
        <f t="shared" si="39"/>
        <v>345.14245365099998</v>
      </c>
      <c r="H36">
        <f t="shared" si="39"/>
        <v>365.85100087006003</v>
      </c>
      <c r="I36">
        <f t="shared" si="39"/>
        <v>387.80206092226365</v>
      </c>
      <c r="J36">
        <f t="shared" si="39"/>
        <v>411.07018457759949</v>
      </c>
      <c r="K36">
        <f t="shared" si="39"/>
        <v>431.62369380647948</v>
      </c>
      <c r="L36">
        <f t="shared" si="39"/>
        <v>453.20487849680347</v>
      </c>
      <c r="M36">
        <f t="shared" si="39"/>
        <v>473.59909802915962</v>
      </c>
      <c r="N36">
        <f t="shared" si="39"/>
        <v>492.54306195032603</v>
      </c>
      <c r="O36">
        <f t="shared" si="39"/>
        <v>512.24478442833913</v>
      </c>
    </row>
    <row r="37" spans="1:15" ht="15" customHeight="1" x14ac:dyDescent="0.2">
      <c r="B37" s="16" t="s">
        <v>68</v>
      </c>
      <c r="F37">
        <f>F13*F35*-1</f>
        <v>-424.155798</v>
      </c>
      <c r="G37">
        <f t="shared" ref="G37:O37" si="40">G13*G35*-1</f>
        <v>-417.65151716310004</v>
      </c>
      <c r="H37">
        <f t="shared" si="40"/>
        <v>-412.86591897130148</v>
      </c>
      <c r="I37">
        <f t="shared" si="40"/>
        <v>-409.76293437661951</v>
      </c>
      <c r="J37">
        <f t="shared" si="40"/>
        <v>-408.31351672863207</v>
      </c>
      <c r="K37">
        <f t="shared" si="40"/>
        <v>-408.49545680666392</v>
      </c>
      <c r="L37">
        <f t="shared" si="40"/>
        <v>-410.02192044865171</v>
      </c>
      <c r="M37">
        <f t="shared" si="40"/>
        <v>-412.87199567982975</v>
      </c>
      <c r="N37">
        <f t="shared" si="40"/>
        <v>-416.87998443488556</v>
      </c>
      <c r="O37">
        <f t="shared" si="40"/>
        <v>-421.87374755090457</v>
      </c>
    </row>
    <row r="38" spans="1:15" ht="15" customHeight="1" x14ac:dyDescent="0.2">
      <c r="B38" s="16" t="s">
        <v>69</v>
      </c>
      <c r="E38">
        <f>E52</f>
        <v>6426.6030000000001</v>
      </c>
      <c r="F38">
        <f>SUM(F35:F37)</f>
        <v>6328.0532903500007</v>
      </c>
      <c r="G38">
        <f t="shared" ref="G38:O38" si="41">SUM(G35:G37)</f>
        <v>6255.5442268379011</v>
      </c>
      <c r="H38">
        <f t="shared" si="41"/>
        <v>6208.529308736659</v>
      </c>
      <c r="I38">
        <f t="shared" si="41"/>
        <v>6186.5684352823037</v>
      </c>
      <c r="J38">
        <f t="shared" si="41"/>
        <v>6189.3251031312711</v>
      </c>
      <c r="K38">
        <f t="shared" si="41"/>
        <v>6212.4533401310864</v>
      </c>
      <c r="L38">
        <f t="shared" si="41"/>
        <v>6255.6362981792381</v>
      </c>
      <c r="M38">
        <f t="shared" si="41"/>
        <v>6316.3634005285685</v>
      </c>
      <c r="N38">
        <f t="shared" si="41"/>
        <v>6392.0264780440084</v>
      </c>
      <c r="O38">
        <f t="shared" si="41"/>
        <v>6482.397514921443</v>
      </c>
    </row>
    <row r="40" spans="1:15" ht="15" customHeight="1" x14ac:dyDescent="0.2">
      <c r="B40" s="16" t="s">
        <v>70</v>
      </c>
      <c r="F40">
        <f>E43</f>
        <v>4928.7780000000002</v>
      </c>
      <c r="G40">
        <f t="shared" ref="G40:O40" ca="1" si="42">F43</f>
        <v>5470.9014337864874</v>
      </c>
      <c r="H40">
        <f t="shared" ca="1" si="42"/>
        <v>6043.8322214118052</v>
      </c>
      <c r="I40">
        <f t="shared" ca="1" si="42"/>
        <v>6645.7235158749409</v>
      </c>
      <c r="J40">
        <f t="shared" ca="1" si="42"/>
        <v>7290.0925694078896</v>
      </c>
      <c r="K40">
        <f t="shared" ca="1" si="42"/>
        <v>7981.9929926062086</v>
      </c>
      <c r="L40">
        <f t="shared" ca="1" si="42"/>
        <v>8716.5993427283629</v>
      </c>
      <c r="M40">
        <f t="shared" ca="1" si="42"/>
        <v>9494.1521704324168</v>
      </c>
      <c r="N40">
        <f t="shared" ca="1" si="42"/>
        <v>10311.886832674663</v>
      </c>
      <c r="O40">
        <f t="shared" ca="1" si="42"/>
        <v>11164.768396696551</v>
      </c>
    </row>
    <row r="41" spans="1:15" ht="15" customHeight="1" x14ac:dyDescent="0.2">
      <c r="B41" s="16" t="s">
        <v>31</v>
      </c>
      <c r="F41">
        <f t="shared" ref="F41:O41" ca="1" si="43">F32</f>
        <v>797.24034380365856</v>
      </c>
      <c r="G41">
        <f t="shared" ca="1" si="43"/>
        <v>842.54527591958629</v>
      </c>
      <c r="H41">
        <f t="shared" ca="1" si="43"/>
        <v>885.13425656343543</v>
      </c>
      <c r="I41">
        <f t="shared" ca="1" si="43"/>
        <v>947.60154931315969</v>
      </c>
      <c r="J41">
        <f t="shared" ca="1" si="43"/>
        <v>1017.5006223504682</v>
      </c>
      <c r="K41">
        <f t="shared" ca="1" si="43"/>
        <v>1080.3034560619926</v>
      </c>
      <c r="L41">
        <f t="shared" ca="1" si="43"/>
        <v>1143.4600407412538</v>
      </c>
      <c r="M41">
        <f t="shared" ca="1" si="43"/>
        <v>1202.5509738856556</v>
      </c>
      <c r="N41">
        <f t="shared" ca="1" si="43"/>
        <v>1254.2375941498326</v>
      </c>
      <c r="O41">
        <f t="shared" ca="1" si="43"/>
        <v>1313.2543057525218</v>
      </c>
    </row>
    <row r="42" spans="1:15" ht="15" customHeight="1" x14ac:dyDescent="0.2">
      <c r="B42" s="16" t="s">
        <v>71</v>
      </c>
      <c r="F42">
        <f ca="1">F14*F32*-1</f>
        <v>-255.11691001717074</v>
      </c>
      <c r="G42">
        <f t="shared" ref="G42:O42" ca="1" si="44">G14*G32*-1</f>
        <v>-269.61448829426763</v>
      </c>
      <c r="H42">
        <f t="shared" ca="1" si="44"/>
        <v>-283.24296210029934</v>
      </c>
      <c r="I42">
        <f t="shared" ca="1" si="44"/>
        <v>-303.23249578021108</v>
      </c>
      <c r="J42">
        <f t="shared" ca="1" si="44"/>
        <v>-325.60019915214986</v>
      </c>
      <c r="K42">
        <f t="shared" ca="1" si="44"/>
        <v>-345.69710593983763</v>
      </c>
      <c r="L42">
        <f t="shared" ca="1" si="44"/>
        <v>-365.90721303720125</v>
      </c>
      <c r="M42">
        <f t="shared" ca="1" si="44"/>
        <v>-384.81631164340979</v>
      </c>
      <c r="N42">
        <f t="shared" ca="1" si="44"/>
        <v>-401.35603012794644</v>
      </c>
      <c r="O42">
        <f t="shared" ca="1" si="44"/>
        <v>-420.24137784080699</v>
      </c>
    </row>
    <row r="43" spans="1:15" ht="15" customHeight="1" x14ac:dyDescent="0.2">
      <c r="B43" s="16" t="s">
        <v>72</v>
      </c>
      <c r="E43">
        <f>E60</f>
        <v>4928.7780000000002</v>
      </c>
      <c r="F43">
        <f ca="1">SUM(F40:F42)</f>
        <v>5470.9014337864874</v>
      </c>
      <c r="G43">
        <f t="shared" ref="G43:O43" ca="1" si="45">SUM(G40:G42)</f>
        <v>6043.8322214118052</v>
      </c>
      <c r="H43">
        <f t="shared" ca="1" si="45"/>
        <v>6645.7235158749409</v>
      </c>
      <c r="I43">
        <f t="shared" ca="1" si="45"/>
        <v>7290.0925694078896</v>
      </c>
      <c r="J43">
        <f t="shared" ca="1" si="45"/>
        <v>7981.9929926062086</v>
      </c>
      <c r="K43">
        <f t="shared" ca="1" si="45"/>
        <v>8716.5993427283629</v>
      </c>
      <c r="L43">
        <f t="shared" ca="1" si="45"/>
        <v>9494.1521704324168</v>
      </c>
      <c r="M43">
        <f t="shared" ca="1" si="45"/>
        <v>10311.886832674663</v>
      </c>
      <c r="N43">
        <f t="shared" ca="1" si="45"/>
        <v>11164.768396696549</v>
      </c>
      <c r="O43">
        <f t="shared" ca="1" si="45"/>
        <v>12057.781324608266</v>
      </c>
    </row>
    <row r="45" spans="1:15" ht="15" customHeight="1" x14ac:dyDescent="0.2">
      <c r="B45" s="16" t="str">
        <f>B51</f>
        <v>Operating current assets</v>
      </c>
      <c r="D45">
        <f t="shared" ref="D45:O45" si="46">D51</f>
        <v>1618.0070000000001</v>
      </c>
      <c r="E45">
        <f t="shared" si="46"/>
        <v>1714.107</v>
      </c>
      <c r="F45">
        <f t="shared" si="46"/>
        <v>1962.4366946499999</v>
      </c>
      <c r="G45">
        <f t="shared" si="46"/>
        <v>2080.182896329</v>
      </c>
      <c r="H45">
        <f t="shared" si="46"/>
        <v>2204.9938701087403</v>
      </c>
      <c r="I45">
        <f t="shared" si="46"/>
        <v>2337.293502315265</v>
      </c>
      <c r="J45">
        <f t="shared" si="46"/>
        <v>2477.5311124541809</v>
      </c>
      <c r="K45">
        <f t="shared" si="46"/>
        <v>2601.4076680768903</v>
      </c>
      <c r="L45">
        <f t="shared" si="46"/>
        <v>2731.4780514807344</v>
      </c>
      <c r="M45">
        <f t="shared" si="46"/>
        <v>2854.3945637973675</v>
      </c>
      <c r="N45">
        <f t="shared" si="46"/>
        <v>2968.5703463492623</v>
      </c>
      <c r="O45">
        <f t="shared" si="46"/>
        <v>3087.3131602032331</v>
      </c>
    </row>
    <row r="46" spans="1:15" ht="15" customHeight="1" x14ac:dyDescent="0.2">
      <c r="B46" s="16" t="str">
        <f>B56</f>
        <v>Operating current liabilities</v>
      </c>
      <c r="D46">
        <f>D56*-1</f>
        <v>-1853.538</v>
      </c>
      <c r="E46">
        <f t="shared" ref="E46:O46" si="47">E56*-1</f>
        <v>-2199.0129999999999</v>
      </c>
      <c r="F46">
        <f t="shared" si="47"/>
        <v>-2376.0444284999999</v>
      </c>
      <c r="G46">
        <f t="shared" si="47"/>
        <v>-2518.6070942100005</v>
      </c>
      <c r="H46">
        <f t="shared" si="47"/>
        <v>-2669.7235198626004</v>
      </c>
      <c r="I46">
        <f t="shared" si="47"/>
        <v>-2829.9069310543568</v>
      </c>
      <c r="J46">
        <f t="shared" si="47"/>
        <v>-2999.7013469176181</v>
      </c>
      <c r="K46">
        <f t="shared" si="47"/>
        <v>-3149.6864142634995</v>
      </c>
      <c r="L46">
        <f t="shared" si="47"/>
        <v>-3307.1707349766743</v>
      </c>
      <c r="M46">
        <f t="shared" si="47"/>
        <v>-3455.9934180506248</v>
      </c>
      <c r="N46">
        <f t="shared" si="47"/>
        <v>-3594.2331547726499</v>
      </c>
      <c r="O46">
        <f t="shared" si="47"/>
        <v>-3738.0024809635561</v>
      </c>
    </row>
    <row r="47" spans="1:15" ht="15" customHeight="1" x14ac:dyDescent="0.2">
      <c r="B47" s="16" t="s">
        <v>73</v>
      </c>
      <c r="D47">
        <f>SUM(D45:D46)</f>
        <v>-235.53099999999995</v>
      </c>
      <c r="E47">
        <f t="shared" ref="E47:O47" si="48">SUM(E45:E46)</f>
        <v>-484.90599999999995</v>
      </c>
      <c r="F47">
        <f t="shared" si="48"/>
        <v>-413.60773384999993</v>
      </c>
      <c r="G47">
        <f t="shared" si="48"/>
        <v>-438.42419788100051</v>
      </c>
      <c r="H47">
        <f t="shared" si="48"/>
        <v>-464.72964975386003</v>
      </c>
      <c r="I47">
        <f t="shared" si="48"/>
        <v>-492.61342873909189</v>
      </c>
      <c r="J47">
        <f t="shared" si="48"/>
        <v>-522.17023446343728</v>
      </c>
      <c r="K47">
        <f t="shared" si="48"/>
        <v>-548.27874618660917</v>
      </c>
      <c r="L47">
        <f t="shared" si="48"/>
        <v>-575.69268349593995</v>
      </c>
      <c r="M47">
        <f t="shared" si="48"/>
        <v>-601.59885425325729</v>
      </c>
      <c r="N47">
        <f t="shared" si="48"/>
        <v>-625.66280842338756</v>
      </c>
      <c r="O47">
        <f t="shared" si="48"/>
        <v>-650.68932076032297</v>
      </c>
    </row>
    <row r="49" spans="1:15" ht="15" customHeight="1" x14ac:dyDescent="0.2">
      <c r="A49" s="15" t="s">
        <v>32</v>
      </c>
    </row>
    <row r="50" spans="1:15" ht="15" customHeight="1" x14ac:dyDescent="0.2">
      <c r="B50" s="16" t="s">
        <v>33</v>
      </c>
      <c r="D50" s="65">
        <v>617.995</v>
      </c>
      <c r="E50" s="65">
        <v>1453.587</v>
      </c>
      <c r="F50">
        <f ca="1">F82</f>
        <v>1216.1508772864879</v>
      </c>
      <c r="G50">
        <f t="shared" ref="G50:O50" ca="1" si="49">G82</f>
        <v>3264.5651924549074</v>
      </c>
      <c r="H50">
        <f t="shared" ca="1" si="49"/>
        <v>3848.5878568921444</v>
      </c>
      <c r="I50">
        <f t="shared" ca="1" si="49"/>
        <v>4437.3735628646809</v>
      </c>
      <c r="J50">
        <f t="shared" ca="1" si="49"/>
        <v>4612.657271479361</v>
      </c>
      <c r="K50">
        <f t="shared" ca="1" si="49"/>
        <v>5255.7366176363475</v>
      </c>
      <c r="L50">
        <f t="shared" ca="1" si="49"/>
        <v>5686.7449491917432</v>
      </c>
      <c r="M50">
        <f t="shared" ca="1" si="49"/>
        <v>6469.6586798419767</v>
      </c>
      <c r="N50">
        <f t="shared" ca="1" si="49"/>
        <v>7270.9411205185525</v>
      </c>
      <c r="O50">
        <f t="shared" ca="1" si="49"/>
        <v>7626.0731304471919</v>
      </c>
    </row>
    <row r="51" spans="1:15" ht="15" customHeight="1" x14ac:dyDescent="0.2">
      <c r="B51" s="16" t="s">
        <v>99</v>
      </c>
      <c r="D51" s="65">
        <f>680.296+698.95+238.761</f>
        <v>1618.0070000000001</v>
      </c>
      <c r="E51" s="65">
        <f>754.306+728.404+231.397</f>
        <v>1714.107</v>
      </c>
      <c r="F51">
        <f t="shared" ref="F51:O51" si="50">F10*F25</f>
        <v>1962.4366946499999</v>
      </c>
      <c r="G51">
        <f t="shared" si="50"/>
        <v>2080.182896329</v>
      </c>
      <c r="H51">
        <f t="shared" si="50"/>
        <v>2204.9938701087403</v>
      </c>
      <c r="I51">
        <f t="shared" si="50"/>
        <v>2337.293502315265</v>
      </c>
      <c r="J51">
        <f t="shared" si="50"/>
        <v>2477.5311124541809</v>
      </c>
      <c r="K51">
        <f t="shared" si="50"/>
        <v>2601.4076680768903</v>
      </c>
      <c r="L51">
        <f t="shared" si="50"/>
        <v>2731.4780514807344</v>
      </c>
      <c r="M51">
        <f t="shared" si="50"/>
        <v>2854.3945637973675</v>
      </c>
      <c r="N51">
        <f t="shared" si="50"/>
        <v>2968.5703463492623</v>
      </c>
      <c r="O51">
        <f t="shared" si="50"/>
        <v>3087.3131602032331</v>
      </c>
    </row>
    <row r="52" spans="1:15" ht="15" customHeight="1" x14ac:dyDescent="0.2">
      <c r="B52" s="16" t="s">
        <v>34</v>
      </c>
      <c r="D52" s="65">
        <v>5846.9030000000002</v>
      </c>
      <c r="E52" s="65">
        <v>6426.6030000000001</v>
      </c>
      <c r="F52">
        <f>F38</f>
        <v>6328.0532903500007</v>
      </c>
      <c r="G52">
        <f t="shared" ref="G52:O52" si="51">G38</f>
        <v>6255.5442268379011</v>
      </c>
      <c r="H52">
        <f t="shared" si="51"/>
        <v>6208.529308736659</v>
      </c>
      <c r="I52">
        <f t="shared" si="51"/>
        <v>6186.5684352823037</v>
      </c>
      <c r="J52">
        <f t="shared" si="51"/>
        <v>6189.3251031312711</v>
      </c>
      <c r="K52">
        <f t="shared" si="51"/>
        <v>6212.4533401310864</v>
      </c>
      <c r="L52">
        <f t="shared" si="51"/>
        <v>6255.6362981792381</v>
      </c>
      <c r="M52">
        <f t="shared" si="51"/>
        <v>6316.3634005285685</v>
      </c>
      <c r="N52">
        <f t="shared" si="51"/>
        <v>6392.0264780440084</v>
      </c>
      <c r="O52">
        <f t="shared" si="51"/>
        <v>6482.397514921443</v>
      </c>
    </row>
    <row r="53" spans="1:15" ht="15" customHeight="1" x14ac:dyDescent="0.2">
      <c r="B53" s="16" t="s">
        <v>35</v>
      </c>
      <c r="D53">
        <f>SUM(D50:D52)</f>
        <v>8082.9050000000007</v>
      </c>
      <c r="E53">
        <f>SUM(E50:E52)</f>
        <v>9594.2970000000005</v>
      </c>
      <c r="F53">
        <f ca="1">SUM(F50:F52)</f>
        <v>9506.6408622864874</v>
      </c>
      <c r="G53">
        <f t="shared" ref="G53:J53" ca="1" si="52">SUM(G50:G52)</f>
        <v>11600.292315621809</v>
      </c>
      <c r="H53">
        <f t="shared" ca="1" si="52"/>
        <v>12262.111035737544</v>
      </c>
      <c r="I53">
        <f t="shared" ca="1" si="52"/>
        <v>12961.23550046225</v>
      </c>
      <c r="J53">
        <f t="shared" ca="1" si="52"/>
        <v>13279.513487064814</v>
      </c>
      <c r="K53">
        <f t="shared" ref="K53:O53" ca="1" si="53">SUM(K50:K52)</f>
        <v>14069.597625844324</v>
      </c>
      <c r="L53">
        <f t="shared" ca="1" si="53"/>
        <v>14673.859298851716</v>
      </c>
      <c r="M53">
        <f t="shared" ca="1" si="53"/>
        <v>15640.416644167912</v>
      </c>
      <c r="N53">
        <f t="shared" ca="1" si="53"/>
        <v>16631.537944911823</v>
      </c>
      <c r="O53">
        <f t="shared" ca="1" si="53"/>
        <v>17195.783805571868</v>
      </c>
    </row>
    <row r="55" spans="1:15" ht="15" customHeight="1" x14ac:dyDescent="0.2">
      <c r="B55" s="16" t="s">
        <v>55</v>
      </c>
      <c r="D55" s="65">
        <v>44.920999999999999</v>
      </c>
      <c r="E55" s="65">
        <v>151.303</v>
      </c>
      <c r="F55">
        <f ca="1">F97</f>
        <v>0</v>
      </c>
      <c r="G55">
        <f t="shared" ref="G55:O55" ca="1" si="54">G97</f>
        <v>0</v>
      </c>
      <c r="H55">
        <f t="shared" ca="1" si="54"/>
        <v>0</v>
      </c>
      <c r="I55">
        <f t="shared" ca="1" si="54"/>
        <v>0</v>
      </c>
      <c r="J55">
        <f t="shared" ca="1" si="54"/>
        <v>0</v>
      </c>
      <c r="K55">
        <f t="shared" ca="1" si="54"/>
        <v>0</v>
      </c>
      <c r="L55">
        <f t="shared" ca="1" si="54"/>
        <v>0</v>
      </c>
      <c r="M55">
        <f t="shared" ca="1" si="54"/>
        <v>0</v>
      </c>
      <c r="N55">
        <f t="shared" ca="1" si="54"/>
        <v>0</v>
      </c>
      <c r="O55">
        <f t="shared" ca="1" si="54"/>
        <v>0</v>
      </c>
    </row>
    <row r="56" spans="1:15" ht="15" customHeight="1" x14ac:dyDescent="0.2">
      <c r="B56" s="16" t="s">
        <v>100</v>
      </c>
      <c r="D56" s="65">
        <f>681.151+9.477+123.688+523.05+76.399+268.078+97.544+74.151</f>
        <v>1853.538</v>
      </c>
      <c r="E56" s="65">
        <f>744.272+42.603+187.719+636.055+138.475+266.896+99.223+83.77</f>
        <v>2199.0129999999999</v>
      </c>
      <c r="F56">
        <f t="shared" ref="F56:O56" si="55">F11*F25</f>
        <v>2376.0444284999999</v>
      </c>
      <c r="G56">
        <f t="shared" si="55"/>
        <v>2518.6070942100005</v>
      </c>
      <c r="H56">
        <f t="shared" si="55"/>
        <v>2669.7235198626004</v>
      </c>
      <c r="I56">
        <f t="shared" si="55"/>
        <v>2829.9069310543568</v>
      </c>
      <c r="J56">
        <f t="shared" si="55"/>
        <v>2999.7013469176181</v>
      </c>
      <c r="K56">
        <f t="shared" si="55"/>
        <v>3149.6864142634995</v>
      </c>
      <c r="L56">
        <f t="shared" si="55"/>
        <v>3307.1707349766743</v>
      </c>
      <c r="M56">
        <f t="shared" si="55"/>
        <v>3455.9934180506248</v>
      </c>
      <c r="N56">
        <f t="shared" si="55"/>
        <v>3594.2331547726499</v>
      </c>
      <c r="O56">
        <f t="shared" si="55"/>
        <v>3738.0024809635561</v>
      </c>
    </row>
    <row r="57" spans="1:15" ht="15" customHeight="1" x14ac:dyDescent="0.2">
      <c r="B57" s="16" t="s">
        <v>98</v>
      </c>
      <c r="D57" s="65">
        <f>318.1+1716.41</f>
        <v>2034.5100000000002</v>
      </c>
      <c r="E57" s="65">
        <f>626.788+1688.415</f>
        <v>2315.203</v>
      </c>
      <c r="F57">
        <f>F103+F107</f>
        <v>1659.6949999999999</v>
      </c>
      <c r="G57">
        <f t="shared" ref="G57:O57" si="56">G103+G107</f>
        <v>3037.8530000000001</v>
      </c>
      <c r="H57">
        <f t="shared" si="56"/>
        <v>2946.6640000000002</v>
      </c>
      <c r="I57">
        <f t="shared" si="56"/>
        <v>2841.2360000000003</v>
      </c>
      <c r="J57">
        <f t="shared" si="56"/>
        <v>2297.819147540984</v>
      </c>
      <c r="K57">
        <f t="shared" si="56"/>
        <v>2203.3118688524592</v>
      </c>
      <c r="L57">
        <f t="shared" si="56"/>
        <v>1872.5363934426232</v>
      </c>
      <c r="M57">
        <f t="shared" si="56"/>
        <v>1872.5363934426232</v>
      </c>
      <c r="N57">
        <f t="shared" si="56"/>
        <v>1872.5363934426232</v>
      </c>
      <c r="O57">
        <f t="shared" si="56"/>
        <v>1400.0000000000002</v>
      </c>
    </row>
    <row r="58" spans="1:15" ht="15" customHeight="1" x14ac:dyDescent="0.2">
      <c r="B58" s="16" t="s">
        <v>36</v>
      </c>
      <c r="D58">
        <f>SUM(D55:D57)</f>
        <v>3932.9690000000001</v>
      </c>
      <c r="E58">
        <f>SUM(E55:E57)</f>
        <v>4665.5190000000002</v>
      </c>
      <c r="F58">
        <f ca="1">SUM(F55:F57)</f>
        <v>4035.7394285</v>
      </c>
      <c r="G58">
        <f t="shared" ref="G58:O58" ca="1" si="57">SUM(G55:G57)</f>
        <v>5556.4600942100005</v>
      </c>
      <c r="H58">
        <f t="shared" ca="1" si="57"/>
        <v>5616.387519862601</v>
      </c>
      <c r="I58">
        <f t="shared" ca="1" si="57"/>
        <v>5671.1429310543572</v>
      </c>
      <c r="J58">
        <f t="shared" ca="1" si="57"/>
        <v>5297.5204944586021</v>
      </c>
      <c r="K58">
        <f t="shared" ca="1" si="57"/>
        <v>5352.9982831159587</v>
      </c>
      <c r="L58">
        <f t="shared" ca="1" si="57"/>
        <v>5179.7071284192971</v>
      </c>
      <c r="M58">
        <f t="shared" ca="1" si="57"/>
        <v>5328.5298114932484</v>
      </c>
      <c r="N58">
        <f t="shared" ca="1" si="57"/>
        <v>5466.7695482152731</v>
      </c>
      <c r="O58">
        <f t="shared" ca="1" si="57"/>
        <v>5138.0024809635561</v>
      </c>
    </row>
    <row r="60" spans="1:15" ht="15" customHeight="1" x14ac:dyDescent="0.2">
      <c r="B60" s="16" t="s">
        <v>37</v>
      </c>
      <c r="D60" s="65">
        <v>4149.9359999999997</v>
      </c>
      <c r="E60" s="65">
        <v>4928.7780000000002</v>
      </c>
      <c r="F60">
        <f ca="1">F43</f>
        <v>5470.9014337864874</v>
      </c>
      <c r="G60">
        <f t="shared" ref="G60:O60" ca="1" si="58">G43</f>
        <v>6043.8322214118052</v>
      </c>
      <c r="H60">
        <f t="shared" ca="1" si="58"/>
        <v>6645.7235158749409</v>
      </c>
      <c r="I60">
        <f t="shared" ca="1" si="58"/>
        <v>7290.0925694078896</v>
      </c>
      <c r="J60">
        <f t="shared" ca="1" si="58"/>
        <v>7981.9929926062086</v>
      </c>
      <c r="K60">
        <f t="shared" ca="1" si="58"/>
        <v>8716.5993427283629</v>
      </c>
      <c r="L60">
        <f t="shared" ca="1" si="58"/>
        <v>9494.1521704324168</v>
      </c>
      <c r="M60">
        <f t="shared" ca="1" si="58"/>
        <v>10311.886832674663</v>
      </c>
      <c r="N60">
        <f t="shared" ca="1" si="58"/>
        <v>11164.768396696549</v>
      </c>
      <c r="O60">
        <f t="shared" ca="1" si="58"/>
        <v>12057.781324608266</v>
      </c>
    </row>
    <row r="61" spans="1:15" ht="15" customHeight="1" x14ac:dyDescent="0.2">
      <c r="B61" s="16" t="s">
        <v>38</v>
      </c>
      <c r="D61">
        <f>D58+D60</f>
        <v>8082.9049999999997</v>
      </c>
      <c r="E61">
        <f>E58+E60</f>
        <v>9594.2970000000005</v>
      </c>
      <c r="F61">
        <f ca="1">F58+F60</f>
        <v>9506.6408622864874</v>
      </c>
      <c r="G61">
        <f t="shared" ref="G61:J61" ca="1" si="59">G58+G60</f>
        <v>11600.292315621806</v>
      </c>
      <c r="H61">
        <f t="shared" ca="1" si="59"/>
        <v>12262.111035737542</v>
      </c>
      <c r="I61">
        <f t="shared" ca="1" si="59"/>
        <v>12961.235500462248</v>
      </c>
      <c r="J61">
        <f t="shared" ca="1" si="59"/>
        <v>13279.513487064811</v>
      </c>
      <c r="K61">
        <f t="shared" ref="K61:O61" ca="1" si="60">K58+K60</f>
        <v>14069.597625844322</v>
      </c>
      <c r="L61">
        <f t="shared" ca="1" si="60"/>
        <v>14673.859298851714</v>
      </c>
      <c r="M61">
        <f t="shared" ca="1" si="60"/>
        <v>15640.416644167912</v>
      </c>
      <c r="N61">
        <f t="shared" ca="1" si="60"/>
        <v>16631.537944911823</v>
      </c>
      <c r="O61">
        <f t="shared" ca="1" si="60"/>
        <v>17195.783805571824</v>
      </c>
    </row>
    <row r="63" spans="1:15" ht="15" customHeight="1" x14ac:dyDescent="0.2">
      <c r="B63" s="16" t="s">
        <v>39</v>
      </c>
      <c r="D63">
        <f>D53-D61</f>
        <v>0</v>
      </c>
      <c r="E63">
        <f t="shared" ref="E63:O63" si="61">E53-E61</f>
        <v>0</v>
      </c>
      <c r="F63">
        <f t="shared" ca="1" si="61"/>
        <v>0</v>
      </c>
      <c r="G63">
        <f t="shared" ca="1" si="61"/>
        <v>0</v>
      </c>
      <c r="H63">
        <f t="shared" ca="1" si="61"/>
        <v>0</v>
      </c>
      <c r="I63">
        <f t="shared" ca="1" si="61"/>
        <v>0</v>
      </c>
      <c r="J63">
        <f t="shared" ca="1" si="61"/>
        <v>0</v>
      </c>
      <c r="K63">
        <f t="shared" ca="1" si="61"/>
        <v>0</v>
      </c>
      <c r="L63">
        <f t="shared" ca="1" si="61"/>
        <v>0</v>
      </c>
      <c r="M63">
        <f t="shared" ca="1" si="61"/>
        <v>0</v>
      </c>
      <c r="N63">
        <f t="shared" ca="1" si="61"/>
        <v>0</v>
      </c>
      <c r="O63">
        <f t="shared" ca="1" si="61"/>
        <v>4.3655745685100555E-11</v>
      </c>
    </row>
    <row r="65" spans="1:15" ht="15" customHeight="1" x14ac:dyDescent="0.2">
      <c r="A65" s="15" t="s">
        <v>57</v>
      </c>
    </row>
    <row r="66" spans="1:15" ht="15" customHeight="1" x14ac:dyDescent="0.2">
      <c r="B66" s="16" t="s">
        <v>31</v>
      </c>
      <c r="F66">
        <f t="shared" ref="F66:O66" ca="1" si="62">F41</f>
        <v>797.24034380365856</v>
      </c>
      <c r="G66">
        <f t="shared" ca="1" si="62"/>
        <v>842.54527591958629</v>
      </c>
      <c r="H66">
        <f t="shared" ca="1" si="62"/>
        <v>885.13425656343543</v>
      </c>
      <c r="I66">
        <f t="shared" ca="1" si="62"/>
        <v>947.60154931315969</v>
      </c>
      <c r="J66">
        <f t="shared" ca="1" si="62"/>
        <v>1017.5006223504682</v>
      </c>
      <c r="K66">
        <f t="shared" ca="1" si="62"/>
        <v>1080.3034560619926</v>
      </c>
      <c r="L66">
        <f t="shared" ca="1" si="62"/>
        <v>1143.4600407412538</v>
      </c>
      <c r="M66">
        <f t="shared" ca="1" si="62"/>
        <v>1202.5509738856556</v>
      </c>
      <c r="N66">
        <f t="shared" ca="1" si="62"/>
        <v>1254.2375941498326</v>
      </c>
      <c r="O66">
        <f t="shared" ca="1" si="62"/>
        <v>1313.2543057525218</v>
      </c>
    </row>
    <row r="67" spans="1:15" ht="15" customHeight="1" x14ac:dyDescent="0.2">
      <c r="B67" s="16" t="s">
        <v>68</v>
      </c>
      <c r="F67">
        <f>F37*-1</f>
        <v>424.155798</v>
      </c>
      <c r="G67">
        <f t="shared" ref="G67:O67" si="63">G37*-1</f>
        <v>417.65151716310004</v>
      </c>
      <c r="H67">
        <f t="shared" si="63"/>
        <v>412.86591897130148</v>
      </c>
      <c r="I67">
        <f t="shared" si="63"/>
        <v>409.76293437661951</v>
      </c>
      <c r="J67">
        <f t="shared" si="63"/>
        <v>408.31351672863207</v>
      </c>
      <c r="K67">
        <f t="shared" si="63"/>
        <v>408.49545680666392</v>
      </c>
      <c r="L67">
        <f t="shared" si="63"/>
        <v>410.02192044865171</v>
      </c>
      <c r="M67">
        <f t="shared" si="63"/>
        <v>412.87199567982975</v>
      </c>
      <c r="N67">
        <f t="shared" si="63"/>
        <v>416.87998443488556</v>
      </c>
      <c r="O67">
        <f t="shared" si="63"/>
        <v>421.87374755090457</v>
      </c>
    </row>
    <row r="68" spans="1:15" ht="15" customHeight="1" x14ac:dyDescent="0.2">
      <c r="B68" s="16" t="s">
        <v>81</v>
      </c>
      <c r="F68">
        <f t="shared" ref="F68:O68" si="64">E47-F47</f>
        <v>-71.298266150000018</v>
      </c>
      <c r="G68">
        <f t="shared" si="64"/>
        <v>24.816464031000578</v>
      </c>
      <c r="H68">
        <f t="shared" si="64"/>
        <v>26.305451872859521</v>
      </c>
      <c r="I68">
        <f t="shared" si="64"/>
        <v>27.883778985231856</v>
      </c>
      <c r="J68">
        <f t="shared" si="64"/>
        <v>29.556805724345395</v>
      </c>
      <c r="K68">
        <f t="shared" si="64"/>
        <v>26.108511723171887</v>
      </c>
      <c r="L68">
        <f t="shared" si="64"/>
        <v>27.413937309330777</v>
      </c>
      <c r="M68">
        <f t="shared" si="64"/>
        <v>25.906170757317341</v>
      </c>
      <c r="N68">
        <f t="shared" si="64"/>
        <v>24.063954170130273</v>
      </c>
      <c r="O68">
        <f t="shared" si="64"/>
        <v>25.026512336935411</v>
      </c>
    </row>
    <row r="69" spans="1:15" ht="15" customHeight="1" x14ac:dyDescent="0.2">
      <c r="B69" s="16" t="s">
        <v>40</v>
      </c>
      <c r="F69">
        <f t="shared" ref="F69:O69" ca="1" si="65">SUM(F66:F68)</f>
        <v>1150.0978756536585</v>
      </c>
      <c r="G69">
        <f t="shared" ca="1" si="65"/>
        <v>1285.0132571136869</v>
      </c>
      <c r="H69">
        <f t="shared" ca="1" si="65"/>
        <v>1324.3056274075964</v>
      </c>
      <c r="I69">
        <f t="shared" ca="1" si="65"/>
        <v>1385.2482626750111</v>
      </c>
      <c r="J69">
        <f t="shared" ca="1" si="65"/>
        <v>1455.3709448034456</v>
      </c>
      <c r="K69">
        <f t="shared" ca="1" si="65"/>
        <v>1514.9074245918284</v>
      </c>
      <c r="L69">
        <f t="shared" ca="1" si="65"/>
        <v>1580.8958984992364</v>
      </c>
      <c r="M69">
        <f t="shared" ca="1" si="65"/>
        <v>1641.3291403228027</v>
      </c>
      <c r="N69">
        <f t="shared" ca="1" si="65"/>
        <v>1695.1815327548484</v>
      </c>
      <c r="O69">
        <f t="shared" ca="1" si="65"/>
        <v>1760.1545656403619</v>
      </c>
    </row>
    <row r="71" spans="1:15" ht="15" customHeight="1" x14ac:dyDescent="0.2">
      <c r="B71" s="16" t="s">
        <v>66</v>
      </c>
      <c r="F71">
        <f t="shared" ref="F71:O71" si="66">F36*-1</f>
        <v>-325.60608834999999</v>
      </c>
      <c r="G71">
        <f t="shared" si="66"/>
        <v>-345.14245365099998</v>
      </c>
      <c r="H71">
        <f t="shared" si="66"/>
        <v>-365.85100087006003</v>
      </c>
      <c r="I71">
        <f t="shared" si="66"/>
        <v>-387.80206092226365</v>
      </c>
      <c r="J71">
        <f t="shared" si="66"/>
        <v>-411.07018457759949</v>
      </c>
      <c r="K71">
        <f t="shared" si="66"/>
        <v>-431.62369380647948</v>
      </c>
      <c r="L71">
        <f t="shared" si="66"/>
        <v>-453.20487849680347</v>
      </c>
      <c r="M71">
        <f t="shared" si="66"/>
        <v>-473.59909802915962</v>
      </c>
      <c r="N71">
        <f t="shared" si="66"/>
        <v>-492.54306195032603</v>
      </c>
      <c r="O71">
        <f t="shared" si="66"/>
        <v>-512.24478442833913</v>
      </c>
    </row>
    <row r="72" spans="1:15" ht="15" customHeight="1" x14ac:dyDescent="0.2">
      <c r="B72" s="16" t="s">
        <v>41</v>
      </c>
      <c r="F72">
        <f t="shared" ref="F72:O72" si="67">SUM(F71)</f>
        <v>-325.60608834999999</v>
      </c>
      <c r="G72">
        <f t="shared" si="67"/>
        <v>-345.14245365099998</v>
      </c>
      <c r="H72">
        <f t="shared" si="67"/>
        <v>-365.85100087006003</v>
      </c>
      <c r="I72">
        <f t="shared" si="67"/>
        <v>-387.80206092226365</v>
      </c>
      <c r="J72">
        <f t="shared" si="67"/>
        <v>-411.07018457759949</v>
      </c>
      <c r="K72">
        <f t="shared" si="67"/>
        <v>-431.62369380647948</v>
      </c>
      <c r="L72">
        <f t="shared" si="67"/>
        <v>-453.20487849680347</v>
      </c>
      <c r="M72">
        <f t="shared" si="67"/>
        <v>-473.59909802915962</v>
      </c>
      <c r="N72">
        <f t="shared" si="67"/>
        <v>-492.54306195032603</v>
      </c>
      <c r="O72">
        <f t="shared" si="67"/>
        <v>-512.24478442833913</v>
      </c>
    </row>
    <row r="74" spans="1:15" ht="15" customHeight="1" x14ac:dyDescent="0.2">
      <c r="B74" s="16" t="s">
        <v>95</v>
      </c>
      <c r="F74">
        <f ca="1">F42</f>
        <v>-255.11691001717074</v>
      </c>
      <c r="G74">
        <f t="shared" ref="G74:O74" ca="1" si="68">G42</f>
        <v>-269.61448829426763</v>
      </c>
      <c r="H74">
        <f t="shared" ca="1" si="68"/>
        <v>-283.24296210029934</v>
      </c>
      <c r="I74">
        <f t="shared" ca="1" si="68"/>
        <v>-303.23249578021108</v>
      </c>
      <c r="J74">
        <f t="shared" ca="1" si="68"/>
        <v>-325.60019915214986</v>
      </c>
      <c r="K74">
        <f t="shared" ca="1" si="68"/>
        <v>-345.69710593983763</v>
      </c>
      <c r="L74">
        <f t="shared" ca="1" si="68"/>
        <v>-365.90721303720125</v>
      </c>
      <c r="M74">
        <f t="shared" ca="1" si="68"/>
        <v>-384.81631164340979</v>
      </c>
      <c r="N74">
        <f t="shared" ca="1" si="68"/>
        <v>-401.35603012794644</v>
      </c>
      <c r="O74">
        <f t="shared" ca="1" si="68"/>
        <v>-420.24137784080699</v>
      </c>
    </row>
    <row r="75" spans="1:15" ht="15" customHeight="1" x14ac:dyDescent="0.2">
      <c r="B75" s="16" t="s">
        <v>84</v>
      </c>
      <c r="F75">
        <f t="shared" ref="F75:O75" ca="1" si="69">F55-E55</f>
        <v>-151.303</v>
      </c>
      <c r="G75">
        <f t="shared" ca="1" si="69"/>
        <v>0</v>
      </c>
      <c r="H75">
        <f t="shared" ca="1" si="69"/>
        <v>0</v>
      </c>
      <c r="I75">
        <f t="shared" ca="1" si="69"/>
        <v>0</v>
      </c>
      <c r="J75">
        <f t="shared" ca="1" si="69"/>
        <v>0</v>
      </c>
      <c r="K75">
        <f t="shared" ca="1" si="69"/>
        <v>0</v>
      </c>
      <c r="L75">
        <f t="shared" ca="1" si="69"/>
        <v>0</v>
      </c>
      <c r="M75">
        <f t="shared" ca="1" si="69"/>
        <v>0</v>
      </c>
      <c r="N75">
        <f t="shared" ca="1" si="69"/>
        <v>0</v>
      </c>
      <c r="O75">
        <f t="shared" ca="1" si="69"/>
        <v>0</v>
      </c>
    </row>
    <row r="76" spans="1:15" ht="15" customHeight="1" x14ac:dyDescent="0.2">
      <c r="B76" s="16" t="s">
        <v>63</v>
      </c>
      <c r="F76">
        <f t="shared" ref="F76:O76" si="70">F57-E57</f>
        <v>-655.50800000000004</v>
      </c>
      <c r="G76">
        <f t="shared" si="70"/>
        <v>1378.1580000000001</v>
      </c>
      <c r="H76">
        <f t="shared" si="70"/>
        <v>-91.188999999999851</v>
      </c>
      <c r="I76">
        <f t="shared" si="70"/>
        <v>-105.42799999999988</v>
      </c>
      <c r="J76">
        <f t="shared" si="70"/>
        <v>-543.41685245901635</v>
      </c>
      <c r="K76">
        <f t="shared" si="70"/>
        <v>-94.507278688524821</v>
      </c>
      <c r="L76">
        <f t="shared" si="70"/>
        <v>-330.77547540983596</v>
      </c>
      <c r="M76">
        <f t="shared" si="70"/>
        <v>0</v>
      </c>
      <c r="N76">
        <f t="shared" si="70"/>
        <v>0</v>
      </c>
      <c r="O76">
        <f t="shared" si="70"/>
        <v>-472.53639344262297</v>
      </c>
    </row>
    <row r="77" spans="1:15" ht="15" customHeight="1" x14ac:dyDescent="0.2">
      <c r="B77" s="16" t="s">
        <v>96</v>
      </c>
      <c r="F77">
        <f ca="1">SUM(F74:F76)</f>
        <v>-1061.9279100171707</v>
      </c>
      <c r="G77">
        <f t="shared" ref="G77:O77" ca="1" si="71">SUM(G74:G76)</f>
        <v>1108.5435117057325</v>
      </c>
      <c r="H77">
        <f t="shared" ca="1" si="71"/>
        <v>-374.43196210029919</v>
      </c>
      <c r="I77">
        <f t="shared" ca="1" si="71"/>
        <v>-408.66049578021097</v>
      </c>
      <c r="J77">
        <f t="shared" ca="1" si="71"/>
        <v>-869.01705161116615</v>
      </c>
      <c r="K77">
        <f t="shared" ca="1" si="71"/>
        <v>-440.20438462836245</v>
      </c>
      <c r="L77">
        <f t="shared" ca="1" si="71"/>
        <v>-696.68268844703721</v>
      </c>
      <c r="M77">
        <f t="shared" ca="1" si="71"/>
        <v>-384.81631164340979</v>
      </c>
      <c r="N77">
        <f t="shared" ca="1" si="71"/>
        <v>-401.35603012794644</v>
      </c>
      <c r="O77">
        <f t="shared" ca="1" si="71"/>
        <v>-892.77777128342996</v>
      </c>
    </row>
    <row r="79" spans="1:15" ht="15" customHeight="1" x14ac:dyDescent="0.2">
      <c r="B79" s="16" t="s">
        <v>42</v>
      </c>
      <c r="F79">
        <f ca="1">F69+F72+F77</f>
        <v>-237.43612271351208</v>
      </c>
      <c r="G79">
        <f t="shared" ref="G79:O79" ca="1" si="72">G69+G72+G77</f>
        <v>2048.4143151684193</v>
      </c>
      <c r="H79">
        <f t="shared" ca="1" si="72"/>
        <v>584.02266443723715</v>
      </c>
      <c r="I79">
        <f t="shared" ca="1" si="72"/>
        <v>588.78570597253656</v>
      </c>
      <c r="J79">
        <f t="shared" ca="1" si="72"/>
        <v>175.28370861467988</v>
      </c>
      <c r="K79">
        <f t="shared" ca="1" si="72"/>
        <v>643.0793461569865</v>
      </c>
      <c r="L79">
        <f t="shared" ca="1" si="72"/>
        <v>431.00833155539567</v>
      </c>
      <c r="M79">
        <f t="shared" ca="1" si="72"/>
        <v>782.91373065023322</v>
      </c>
      <c r="N79">
        <f t="shared" ca="1" si="72"/>
        <v>801.28244067657579</v>
      </c>
      <c r="O79">
        <f t="shared" ca="1" si="72"/>
        <v>355.13200992859265</v>
      </c>
    </row>
    <row r="81" spans="1:15" ht="15" customHeight="1" x14ac:dyDescent="0.2">
      <c r="B81" s="16" t="s">
        <v>43</v>
      </c>
      <c r="F81">
        <f>E82</f>
        <v>1453.587</v>
      </c>
      <c r="G81">
        <f t="shared" ref="G81:O81" ca="1" si="73">F82</f>
        <v>1216.1508772864879</v>
      </c>
      <c r="H81">
        <f t="shared" ca="1" si="73"/>
        <v>3264.5651924549074</v>
      </c>
      <c r="I81">
        <f t="shared" ca="1" si="73"/>
        <v>3848.5878568921444</v>
      </c>
      <c r="J81">
        <f t="shared" ca="1" si="73"/>
        <v>4437.3735628646809</v>
      </c>
      <c r="K81">
        <f t="shared" ca="1" si="73"/>
        <v>4612.657271479361</v>
      </c>
      <c r="L81">
        <f t="shared" ca="1" si="73"/>
        <v>5255.7366176363475</v>
      </c>
      <c r="M81">
        <f t="shared" ca="1" si="73"/>
        <v>5686.7449491917432</v>
      </c>
      <c r="N81">
        <f t="shared" ca="1" si="73"/>
        <v>6469.6586798419767</v>
      </c>
      <c r="O81">
        <f t="shared" ca="1" si="73"/>
        <v>7270.9411205185525</v>
      </c>
    </row>
    <row r="82" spans="1:15" ht="15" customHeight="1" x14ac:dyDescent="0.2">
      <c r="B82" s="16" t="s">
        <v>44</v>
      </c>
      <c r="E82">
        <f>E50</f>
        <v>1453.587</v>
      </c>
      <c r="F82">
        <f ca="1">F79+F81</f>
        <v>1216.1508772864879</v>
      </c>
      <c r="G82">
        <f t="shared" ref="G82:O82" ca="1" si="74">G79+G81</f>
        <v>3264.5651924549074</v>
      </c>
      <c r="H82">
        <f t="shared" ca="1" si="74"/>
        <v>3848.5878568921444</v>
      </c>
      <c r="I82">
        <f t="shared" ca="1" si="74"/>
        <v>4437.3735628646809</v>
      </c>
      <c r="J82">
        <f t="shared" ca="1" si="74"/>
        <v>4612.657271479361</v>
      </c>
      <c r="K82">
        <f t="shared" ca="1" si="74"/>
        <v>5255.7366176363475</v>
      </c>
      <c r="L82">
        <f t="shared" ca="1" si="74"/>
        <v>5686.7449491917432</v>
      </c>
      <c r="M82">
        <f t="shared" ca="1" si="74"/>
        <v>6469.6586798419767</v>
      </c>
      <c r="N82">
        <f t="shared" ca="1" si="74"/>
        <v>7270.9411205185525</v>
      </c>
      <c r="O82">
        <f t="shared" ca="1" si="74"/>
        <v>7626.0731304471446</v>
      </c>
    </row>
    <row r="84" spans="1:15" ht="15" customHeight="1" x14ac:dyDescent="0.2">
      <c r="A84" s="15" t="s">
        <v>58</v>
      </c>
    </row>
    <row r="85" spans="1:15" ht="15" customHeight="1" x14ac:dyDescent="0.2">
      <c r="B85" s="16" t="str">
        <f>B69</f>
        <v>Operating cash flow</v>
      </c>
      <c r="F85">
        <f t="shared" ref="F85:O85" ca="1" si="75">F69</f>
        <v>1150.0978756536585</v>
      </c>
      <c r="G85">
        <f t="shared" ca="1" si="75"/>
        <v>1285.0132571136869</v>
      </c>
      <c r="H85">
        <f t="shared" ca="1" si="75"/>
        <v>1324.3056274075964</v>
      </c>
      <c r="I85">
        <f t="shared" ca="1" si="75"/>
        <v>1385.2482626750111</v>
      </c>
      <c r="J85">
        <f t="shared" ca="1" si="75"/>
        <v>1455.3709448034456</v>
      </c>
      <c r="K85">
        <f t="shared" ca="1" si="75"/>
        <v>1514.9074245918284</v>
      </c>
      <c r="L85">
        <f t="shared" ca="1" si="75"/>
        <v>1580.8958984992364</v>
      </c>
      <c r="M85">
        <f t="shared" ca="1" si="75"/>
        <v>1641.3291403228027</v>
      </c>
      <c r="N85">
        <f t="shared" ca="1" si="75"/>
        <v>1695.1815327548484</v>
      </c>
      <c r="O85">
        <f t="shared" ca="1" si="75"/>
        <v>1760.1545656403619</v>
      </c>
    </row>
    <row r="86" spans="1:15" ht="15" customHeight="1" x14ac:dyDescent="0.2">
      <c r="B86" s="16" t="str">
        <f>B72</f>
        <v>Investing cash flow</v>
      </c>
      <c r="F86">
        <f t="shared" ref="F86:O86" si="76">F72</f>
        <v>-325.60608834999999</v>
      </c>
      <c r="G86">
        <f t="shared" si="76"/>
        <v>-345.14245365099998</v>
      </c>
      <c r="H86">
        <f t="shared" si="76"/>
        <v>-365.85100087006003</v>
      </c>
      <c r="I86">
        <f t="shared" si="76"/>
        <v>-387.80206092226365</v>
      </c>
      <c r="J86">
        <f t="shared" si="76"/>
        <v>-411.07018457759949</v>
      </c>
      <c r="K86">
        <f t="shared" si="76"/>
        <v>-431.62369380647948</v>
      </c>
      <c r="L86">
        <f t="shared" si="76"/>
        <v>-453.20487849680347</v>
      </c>
      <c r="M86">
        <f t="shared" si="76"/>
        <v>-473.59909802915962</v>
      </c>
      <c r="N86">
        <f t="shared" si="76"/>
        <v>-492.54306195032603</v>
      </c>
      <c r="O86">
        <f t="shared" si="76"/>
        <v>-512.24478442833913</v>
      </c>
    </row>
    <row r="87" spans="1:15" ht="15" customHeight="1" x14ac:dyDescent="0.2">
      <c r="B87" s="16" t="s">
        <v>71</v>
      </c>
      <c r="F87">
        <f t="shared" ref="F87:O87" ca="1" si="77">F74</f>
        <v>-255.11691001717074</v>
      </c>
      <c r="G87">
        <f t="shared" ca="1" si="77"/>
        <v>-269.61448829426763</v>
      </c>
      <c r="H87">
        <f t="shared" ca="1" si="77"/>
        <v>-283.24296210029934</v>
      </c>
      <c r="I87">
        <f t="shared" ca="1" si="77"/>
        <v>-303.23249578021108</v>
      </c>
      <c r="J87">
        <f t="shared" ca="1" si="77"/>
        <v>-325.60019915214986</v>
      </c>
      <c r="K87">
        <f t="shared" ca="1" si="77"/>
        <v>-345.69710593983763</v>
      </c>
      <c r="L87">
        <f t="shared" ca="1" si="77"/>
        <v>-365.90721303720125</v>
      </c>
      <c r="M87">
        <f t="shared" ca="1" si="77"/>
        <v>-384.81631164340979</v>
      </c>
      <c r="N87">
        <f t="shared" ca="1" si="77"/>
        <v>-401.35603012794644</v>
      </c>
      <c r="O87">
        <f t="shared" ca="1" si="77"/>
        <v>-420.24137784080699</v>
      </c>
    </row>
    <row r="88" spans="1:15" ht="15" customHeight="1" x14ac:dyDescent="0.2">
      <c r="B88" s="16" t="s">
        <v>80</v>
      </c>
      <c r="F88">
        <f t="shared" ref="F88:O88" ca="1" si="78">SUM(F85:F87)</f>
        <v>569.37487728648784</v>
      </c>
      <c r="G88">
        <f t="shared" ca="1" si="78"/>
        <v>670.25631516841929</v>
      </c>
      <c r="H88">
        <f t="shared" ca="1" si="78"/>
        <v>675.211664437237</v>
      </c>
      <c r="I88">
        <f t="shared" ca="1" si="78"/>
        <v>694.21370597253645</v>
      </c>
      <c r="J88">
        <f t="shared" ca="1" si="78"/>
        <v>718.70056107369624</v>
      </c>
      <c r="K88">
        <f t="shared" ca="1" si="78"/>
        <v>737.58662484551132</v>
      </c>
      <c r="L88">
        <f t="shared" ca="1" si="78"/>
        <v>761.78380696523163</v>
      </c>
      <c r="M88">
        <f t="shared" ca="1" si="78"/>
        <v>782.91373065023322</v>
      </c>
      <c r="N88">
        <f t="shared" ca="1" si="78"/>
        <v>801.28244067657579</v>
      </c>
      <c r="O88">
        <f t="shared" ca="1" si="78"/>
        <v>827.66840337121562</v>
      </c>
    </row>
    <row r="89" spans="1:15" ht="15" customHeight="1" x14ac:dyDescent="0.2">
      <c r="B89" s="16" t="s">
        <v>43</v>
      </c>
      <c r="F89">
        <f t="shared" ref="F89:O89" si="79">E82</f>
        <v>1453.587</v>
      </c>
      <c r="G89">
        <f t="shared" ca="1" si="79"/>
        <v>1216.1508772864879</v>
      </c>
      <c r="H89">
        <f t="shared" ca="1" si="79"/>
        <v>3264.5651924549074</v>
      </c>
      <c r="I89">
        <f t="shared" ca="1" si="79"/>
        <v>3848.5878568921444</v>
      </c>
      <c r="J89">
        <f t="shared" ca="1" si="79"/>
        <v>4437.3735628646809</v>
      </c>
      <c r="K89">
        <f t="shared" ca="1" si="79"/>
        <v>4612.657271479361</v>
      </c>
      <c r="L89">
        <f t="shared" ca="1" si="79"/>
        <v>5255.7366176363475</v>
      </c>
      <c r="M89">
        <f t="shared" ca="1" si="79"/>
        <v>5686.7449491917432</v>
      </c>
      <c r="N89">
        <f t="shared" ca="1" si="79"/>
        <v>6469.6586798419767</v>
      </c>
      <c r="O89">
        <f t="shared" ca="1" si="79"/>
        <v>7270.9411205185525</v>
      </c>
    </row>
    <row r="90" spans="1:15" ht="15" customHeight="1" x14ac:dyDescent="0.2">
      <c r="B90" s="16" t="s">
        <v>79</v>
      </c>
      <c r="F90">
        <f ca="1">SUM(F88:F89)</f>
        <v>2022.9618772864878</v>
      </c>
      <c r="G90">
        <f t="shared" ref="G90:O90" ca="1" si="80">SUM(G88:G89)</f>
        <v>1886.4071924549071</v>
      </c>
      <c r="H90">
        <f t="shared" ca="1" si="80"/>
        <v>3939.7768568921447</v>
      </c>
      <c r="I90">
        <f t="shared" ca="1" si="80"/>
        <v>4542.8015628646808</v>
      </c>
      <c r="J90">
        <f t="shared" ca="1" si="80"/>
        <v>5156.0741239383769</v>
      </c>
      <c r="K90">
        <f t="shared" ca="1" si="80"/>
        <v>5350.2438963248724</v>
      </c>
      <c r="L90">
        <f t="shared" ca="1" si="80"/>
        <v>6017.5204246015792</v>
      </c>
      <c r="M90">
        <f t="shared" ca="1" si="80"/>
        <v>6469.6586798419767</v>
      </c>
      <c r="N90">
        <f t="shared" ca="1" si="80"/>
        <v>7270.9411205185525</v>
      </c>
      <c r="O90">
        <f t="shared" ca="1" si="80"/>
        <v>8098.6095238897678</v>
      </c>
    </row>
    <row r="92" spans="1:15" ht="15" customHeight="1" x14ac:dyDescent="0.2">
      <c r="B92" s="16" t="s">
        <v>63</v>
      </c>
      <c r="F92">
        <f>F17+F18</f>
        <v>-655.50800000000004</v>
      </c>
      <c r="G92">
        <f t="shared" ref="G92:O92" si="81">G17+G18</f>
        <v>678.15800000000002</v>
      </c>
      <c r="H92">
        <f t="shared" si="81"/>
        <v>-91.188999999999993</v>
      </c>
      <c r="I92">
        <f t="shared" si="81"/>
        <v>-105.428</v>
      </c>
      <c r="J92">
        <f t="shared" si="81"/>
        <v>-543.41685245901647</v>
      </c>
      <c r="K92">
        <f t="shared" si="81"/>
        <v>-94.507278688524593</v>
      </c>
      <c r="L92">
        <f t="shared" si="81"/>
        <v>-330.77547540983608</v>
      </c>
      <c r="M92">
        <f t="shared" si="81"/>
        <v>0</v>
      </c>
      <c r="N92">
        <f t="shared" si="81"/>
        <v>0</v>
      </c>
      <c r="O92">
        <f t="shared" si="81"/>
        <v>-472.53639344262297</v>
      </c>
    </row>
    <row r="93" spans="1:15" ht="15" customHeight="1" x14ac:dyDescent="0.2">
      <c r="B93" s="16" t="s">
        <v>82</v>
      </c>
      <c r="F93">
        <f ca="1">SUM(F90,F92)</f>
        <v>1367.4538772864878</v>
      </c>
      <c r="G93">
        <f t="shared" ref="G93:O93" ca="1" si="82">SUM(G90,G92)</f>
        <v>2564.565192454907</v>
      </c>
      <c r="H93">
        <f t="shared" ca="1" si="82"/>
        <v>3848.5878568921448</v>
      </c>
      <c r="I93">
        <f t="shared" ca="1" si="82"/>
        <v>4437.3735628646809</v>
      </c>
      <c r="J93">
        <f t="shared" ca="1" si="82"/>
        <v>4612.6572714793601</v>
      </c>
      <c r="K93">
        <f t="shared" ca="1" si="82"/>
        <v>5255.7366176363475</v>
      </c>
      <c r="L93">
        <f t="shared" ca="1" si="82"/>
        <v>5686.7449491917432</v>
      </c>
      <c r="M93">
        <f t="shared" ca="1" si="82"/>
        <v>6469.6586798419767</v>
      </c>
      <c r="N93">
        <f t="shared" ca="1" si="82"/>
        <v>7270.9411205185525</v>
      </c>
      <c r="O93">
        <f t="shared" ca="1" si="82"/>
        <v>7626.0731304471446</v>
      </c>
    </row>
    <row r="95" spans="1:15" ht="15" customHeight="1" x14ac:dyDescent="0.2">
      <c r="B95" s="16" t="s">
        <v>83</v>
      </c>
      <c r="F95">
        <f>E97</f>
        <v>151.303</v>
      </c>
      <c r="G95">
        <f t="shared" ref="G95:O95" ca="1" si="83">F97</f>
        <v>0</v>
      </c>
      <c r="H95">
        <f t="shared" ca="1" si="83"/>
        <v>0</v>
      </c>
      <c r="I95">
        <f t="shared" ca="1" si="83"/>
        <v>0</v>
      </c>
      <c r="J95">
        <f t="shared" ca="1" si="83"/>
        <v>0</v>
      </c>
      <c r="K95">
        <f t="shared" ca="1" si="83"/>
        <v>0</v>
      </c>
      <c r="L95">
        <f t="shared" ca="1" si="83"/>
        <v>0</v>
      </c>
      <c r="M95">
        <f t="shared" ca="1" si="83"/>
        <v>0</v>
      </c>
      <c r="N95">
        <f t="shared" ca="1" si="83"/>
        <v>0</v>
      </c>
      <c r="O95">
        <f t="shared" ca="1" si="83"/>
        <v>0</v>
      </c>
    </row>
    <row r="96" spans="1:15" ht="15" customHeight="1" x14ac:dyDescent="0.2">
      <c r="B96" s="16" t="s">
        <v>84</v>
      </c>
      <c r="F96">
        <f ca="1">MIN(F93,F95)*-1</f>
        <v>-151.303</v>
      </c>
      <c r="G96">
        <f t="shared" ref="G96:O96" ca="1" si="84">MIN(G93,G95)*-1</f>
        <v>0</v>
      </c>
      <c r="H96">
        <f t="shared" ca="1" si="84"/>
        <v>0</v>
      </c>
      <c r="I96">
        <f t="shared" ca="1" si="84"/>
        <v>0</v>
      </c>
      <c r="J96">
        <f t="shared" ca="1" si="84"/>
        <v>0</v>
      </c>
      <c r="K96">
        <f t="shared" ca="1" si="84"/>
        <v>0</v>
      </c>
      <c r="L96">
        <f t="shared" ca="1" si="84"/>
        <v>0</v>
      </c>
      <c r="M96">
        <f t="shared" ca="1" si="84"/>
        <v>0</v>
      </c>
      <c r="N96">
        <f t="shared" ca="1" si="84"/>
        <v>0</v>
      </c>
      <c r="O96">
        <f t="shared" ca="1" si="84"/>
        <v>0</v>
      </c>
    </row>
    <row r="97" spans="2:15" ht="15" customHeight="1" x14ac:dyDescent="0.2">
      <c r="B97" s="16" t="s">
        <v>85</v>
      </c>
      <c r="E97">
        <f>E55</f>
        <v>151.303</v>
      </c>
      <c r="F97">
        <f ca="1">SUM(F95:F96)</f>
        <v>0</v>
      </c>
      <c r="G97">
        <f t="shared" ref="G97:O97" ca="1" si="85">SUM(G95:G96)</f>
        <v>0</v>
      </c>
      <c r="H97">
        <f t="shared" ca="1" si="85"/>
        <v>0</v>
      </c>
      <c r="I97">
        <f t="shared" ca="1" si="85"/>
        <v>0</v>
      </c>
      <c r="J97">
        <f t="shared" ca="1" si="85"/>
        <v>0</v>
      </c>
      <c r="K97">
        <f t="shared" ca="1" si="85"/>
        <v>0</v>
      </c>
      <c r="L97">
        <f t="shared" ca="1" si="85"/>
        <v>0</v>
      </c>
      <c r="M97">
        <f t="shared" ca="1" si="85"/>
        <v>0</v>
      </c>
      <c r="N97">
        <f t="shared" ca="1" si="85"/>
        <v>0</v>
      </c>
      <c r="O97">
        <f t="shared" ca="1" si="85"/>
        <v>0</v>
      </c>
    </row>
    <row r="99" spans="2:15" ht="15" customHeight="1" x14ac:dyDescent="0.2">
      <c r="B99" s="16" t="s">
        <v>44</v>
      </c>
      <c r="E99">
        <f>E50</f>
        <v>1453.587</v>
      </c>
      <c r="F99">
        <f ca="1">F93+F96</f>
        <v>1216.1508772864877</v>
      </c>
      <c r="G99">
        <f t="shared" ref="G99:O99" ca="1" si="86">G93+G96</f>
        <v>2564.565192454907</v>
      </c>
      <c r="H99">
        <f t="shared" ca="1" si="86"/>
        <v>3848.5878568921448</v>
      </c>
      <c r="I99">
        <f t="shared" ca="1" si="86"/>
        <v>4437.3735628646809</v>
      </c>
      <c r="J99">
        <f t="shared" ca="1" si="86"/>
        <v>4612.6572714793601</v>
      </c>
      <c r="K99">
        <f t="shared" ca="1" si="86"/>
        <v>5255.7366176363475</v>
      </c>
      <c r="L99">
        <f t="shared" ca="1" si="86"/>
        <v>5686.7449491917432</v>
      </c>
      <c r="M99">
        <f t="shared" ca="1" si="86"/>
        <v>6469.6586798419767</v>
      </c>
      <c r="N99">
        <f t="shared" ca="1" si="86"/>
        <v>7270.9411205185525</v>
      </c>
      <c r="O99">
        <f t="shared" ca="1" si="86"/>
        <v>7626.0731304471446</v>
      </c>
    </row>
    <row r="101" spans="2:15" ht="15" customHeight="1" x14ac:dyDescent="0.2">
      <c r="B101" s="16" t="s">
        <v>115</v>
      </c>
      <c r="F101">
        <f>E103</f>
        <v>2315.203</v>
      </c>
      <c r="G101">
        <f t="shared" ref="G101:O101" si="87">F103</f>
        <v>1659.6949999999999</v>
      </c>
      <c r="H101">
        <f t="shared" si="87"/>
        <v>2337.8530000000001</v>
      </c>
      <c r="I101">
        <f t="shared" si="87"/>
        <v>2246.6640000000002</v>
      </c>
      <c r="J101">
        <f t="shared" si="87"/>
        <v>2141.2360000000003</v>
      </c>
      <c r="K101">
        <f t="shared" si="87"/>
        <v>1597.819147540984</v>
      </c>
      <c r="L101">
        <f t="shared" si="87"/>
        <v>1503.3118688524594</v>
      </c>
      <c r="M101">
        <f t="shared" si="87"/>
        <v>1172.5363934426232</v>
      </c>
      <c r="N101">
        <f t="shared" si="87"/>
        <v>1172.5363934426232</v>
      </c>
      <c r="O101">
        <f t="shared" si="87"/>
        <v>1172.5363934426232</v>
      </c>
    </row>
    <row r="102" spans="2:15" ht="15" customHeight="1" x14ac:dyDescent="0.2">
      <c r="B102" s="16" t="s">
        <v>111</v>
      </c>
      <c r="F102">
        <f>F92</f>
        <v>-655.50800000000004</v>
      </c>
      <c r="G102">
        <f t="shared" ref="G102:O102" si="88">G92</f>
        <v>678.15800000000002</v>
      </c>
      <c r="H102">
        <f t="shared" si="88"/>
        <v>-91.188999999999993</v>
      </c>
      <c r="I102">
        <f t="shared" si="88"/>
        <v>-105.428</v>
      </c>
      <c r="J102">
        <f t="shared" si="88"/>
        <v>-543.41685245901647</v>
      </c>
      <c r="K102">
        <f t="shared" si="88"/>
        <v>-94.507278688524593</v>
      </c>
      <c r="L102">
        <f t="shared" si="88"/>
        <v>-330.77547540983608</v>
      </c>
      <c r="M102">
        <f t="shared" si="88"/>
        <v>0</v>
      </c>
      <c r="N102">
        <f t="shared" si="88"/>
        <v>0</v>
      </c>
      <c r="O102">
        <f t="shared" si="88"/>
        <v>-472.53639344262297</v>
      </c>
    </row>
    <row r="103" spans="2:15" ht="15" customHeight="1" x14ac:dyDescent="0.2">
      <c r="B103" s="16" t="s">
        <v>117</v>
      </c>
      <c r="E103">
        <f>E57</f>
        <v>2315.203</v>
      </c>
      <c r="F103">
        <f>SUM(F101:F102)</f>
        <v>1659.6949999999999</v>
      </c>
      <c r="G103">
        <f t="shared" ref="G103:O103" si="89">SUM(G101:G102)</f>
        <v>2337.8530000000001</v>
      </c>
      <c r="H103">
        <f t="shared" si="89"/>
        <v>2246.6640000000002</v>
      </c>
      <c r="I103">
        <f t="shared" si="89"/>
        <v>2141.2360000000003</v>
      </c>
      <c r="J103">
        <f t="shared" si="89"/>
        <v>1597.819147540984</v>
      </c>
      <c r="K103">
        <f t="shared" si="89"/>
        <v>1503.3118688524594</v>
      </c>
      <c r="L103">
        <f t="shared" si="89"/>
        <v>1172.5363934426232</v>
      </c>
      <c r="M103">
        <f t="shared" si="89"/>
        <v>1172.5363934426232</v>
      </c>
      <c r="N103">
        <f t="shared" si="89"/>
        <v>1172.5363934426232</v>
      </c>
      <c r="O103">
        <f t="shared" si="89"/>
        <v>700.00000000000023</v>
      </c>
    </row>
    <row r="105" spans="2:15" ht="15" customHeight="1" x14ac:dyDescent="0.2">
      <c r="B105" s="16" t="s">
        <v>116</v>
      </c>
      <c r="F105">
        <f>E107</f>
        <v>0</v>
      </c>
      <c r="G105">
        <f t="shared" ref="G105:O105" si="90">F107</f>
        <v>0</v>
      </c>
      <c r="H105">
        <f t="shared" si="90"/>
        <v>700</v>
      </c>
      <c r="I105">
        <f t="shared" si="90"/>
        <v>700</v>
      </c>
      <c r="J105">
        <f t="shared" si="90"/>
        <v>700</v>
      </c>
      <c r="K105">
        <f t="shared" si="90"/>
        <v>700</v>
      </c>
      <c r="L105">
        <f t="shared" si="90"/>
        <v>700</v>
      </c>
      <c r="M105">
        <f t="shared" si="90"/>
        <v>700</v>
      </c>
      <c r="N105">
        <f t="shared" si="90"/>
        <v>700</v>
      </c>
      <c r="O105">
        <f t="shared" si="90"/>
        <v>700</v>
      </c>
    </row>
    <row r="106" spans="2:15" ht="15" customHeight="1" x14ac:dyDescent="0.2">
      <c r="B106" s="16" t="s">
        <v>112</v>
      </c>
      <c r="F106">
        <f>F18</f>
        <v>0</v>
      </c>
      <c r="G106">
        <f t="shared" ref="G106:O106" si="91">G18</f>
        <v>700</v>
      </c>
      <c r="H106">
        <f t="shared" si="91"/>
        <v>0</v>
      </c>
      <c r="I106">
        <f t="shared" si="91"/>
        <v>0</v>
      </c>
      <c r="J106">
        <f t="shared" si="91"/>
        <v>0</v>
      </c>
      <c r="K106">
        <f t="shared" si="91"/>
        <v>0</v>
      </c>
      <c r="L106">
        <f t="shared" si="91"/>
        <v>0</v>
      </c>
      <c r="M106">
        <f t="shared" si="91"/>
        <v>0</v>
      </c>
      <c r="N106">
        <f t="shared" si="91"/>
        <v>0</v>
      </c>
      <c r="O106">
        <f t="shared" si="91"/>
        <v>0</v>
      </c>
    </row>
    <row r="107" spans="2:15" ht="15" customHeight="1" x14ac:dyDescent="0.2">
      <c r="B107" s="16" t="s">
        <v>118</v>
      </c>
      <c r="E107" s="65">
        <v>0</v>
      </c>
      <c r="F107">
        <f>SUM(F105:F106)</f>
        <v>0</v>
      </c>
      <c r="G107">
        <f t="shared" ref="G107:O107" si="92">SUM(G105:G106)</f>
        <v>700</v>
      </c>
      <c r="H107">
        <f t="shared" si="92"/>
        <v>700</v>
      </c>
      <c r="I107">
        <f t="shared" si="92"/>
        <v>700</v>
      </c>
      <c r="J107">
        <f t="shared" si="92"/>
        <v>700</v>
      </c>
      <c r="K107">
        <f t="shared" si="92"/>
        <v>700</v>
      </c>
      <c r="L107">
        <f t="shared" si="92"/>
        <v>700</v>
      </c>
      <c r="M107">
        <f t="shared" si="92"/>
        <v>700</v>
      </c>
      <c r="N107">
        <f t="shared" si="92"/>
        <v>700</v>
      </c>
      <c r="O107">
        <f t="shared" si="92"/>
        <v>700</v>
      </c>
    </row>
    <row r="109" spans="2:15" ht="15" customHeight="1" x14ac:dyDescent="0.2">
      <c r="B109" s="16" t="s">
        <v>86</v>
      </c>
      <c r="F109">
        <f ca="1">AVERAGE(E97:F97)*F19</f>
        <v>1.5130300000000001</v>
      </c>
      <c r="G109">
        <f ca="1">AVERAGE(F97:G97)*G19</f>
        <v>0</v>
      </c>
      <c r="H109">
        <f ca="1">AVERAGE(G97:H97)*H19</f>
        <v>0</v>
      </c>
      <c r="I109">
        <f ca="1">AVERAGE(H97:I97)*I19</f>
        <v>0</v>
      </c>
      <c r="J109">
        <f ca="1">AVERAGE(I97:J97)*J19</f>
        <v>0</v>
      </c>
      <c r="K109">
        <f ca="1">AVERAGE(J97:K97)*K19</f>
        <v>0</v>
      </c>
      <c r="L109">
        <f ca="1">AVERAGE(K97:L97)*L19</f>
        <v>0</v>
      </c>
      <c r="M109">
        <f ca="1">AVERAGE(L97:M97)*M19</f>
        <v>0</v>
      </c>
      <c r="N109">
        <f ca="1">AVERAGE(M97:N97)*N19</f>
        <v>0</v>
      </c>
      <c r="O109">
        <f ca="1">AVERAGE(N97:O97)*O19</f>
        <v>0</v>
      </c>
    </row>
    <row r="110" spans="2:15" ht="15" customHeight="1" x14ac:dyDescent="0.2">
      <c r="B110" s="16" t="s">
        <v>120</v>
      </c>
      <c r="F110">
        <f>AVERAGE(E103:F103)*F20</f>
        <v>79.497960000000006</v>
      </c>
      <c r="G110">
        <f>AVERAGE(F103:G103)*G20</f>
        <v>79.950959999999995</v>
      </c>
      <c r="H110">
        <f>AVERAGE(G103:H103)*H20</f>
        <v>91.690339999999992</v>
      </c>
      <c r="I110">
        <f>AVERAGE(H103:I103)*I20</f>
        <v>87.75800000000001</v>
      </c>
      <c r="J110">
        <f>AVERAGE(I103:J103)*J20</f>
        <v>74.781102950819687</v>
      </c>
      <c r="K110">
        <f>AVERAGE(J103:K103)*K20</f>
        <v>62.022620327868864</v>
      </c>
      <c r="L110">
        <f>AVERAGE(K103:L103)*L20</f>
        <v>53.516965245901645</v>
      </c>
      <c r="M110">
        <f>AVERAGE(L103:M103)*M20</f>
        <v>46.901455737704929</v>
      </c>
      <c r="N110">
        <f>AVERAGE(M103:N103)*N20</f>
        <v>46.901455737704929</v>
      </c>
      <c r="O110">
        <f>AVERAGE(N103:O103)*O20</f>
        <v>37.450727868852468</v>
      </c>
    </row>
    <row r="111" spans="2:15" ht="15" customHeight="1" x14ac:dyDescent="0.2">
      <c r="B111" s="16" t="s">
        <v>119</v>
      </c>
      <c r="F111">
        <f>AVERAGE(E107:F107)*F21</f>
        <v>0</v>
      </c>
      <c r="G111">
        <f t="shared" ref="G111:O111" si="93">AVERAGE(F107:G107)*G21</f>
        <v>12.250000000000002</v>
      </c>
      <c r="H111">
        <f t="shared" si="93"/>
        <v>24.500000000000004</v>
      </c>
      <c r="I111">
        <f t="shared" si="93"/>
        <v>24.500000000000004</v>
      </c>
      <c r="J111">
        <f t="shared" si="93"/>
        <v>24.500000000000004</v>
      </c>
      <c r="K111">
        <f t="shared" si="93"/>
        <v>24.500000000000004</v>
      </c>
      <c r="L111">
        <f t="shared" si="93"/>
        <v>24.500000000000004</v>
      </c>
      <c r="M111">
        <f t="shared" si="93"/>
        <v>24.500000000000004</v>
      </c>
      <c r="N111">
        <f t="shared" si="93"/>
        <v>24.500000000000004</v>
      </c>
      <c r="O111">
        <f t="shared" si="93"/>
        <v>24.500000000000004</v>
      </c>
    </row>
    <row r="112" spans="2:15" ht="15" customHeight="1" x14ac:dyDescent="0.2">
      <c r="B112" s="16" t="s">
        <v>87</v>
      </c>
      <c r="F112">
        <f ca="1">AVERAGE(E99:F99)*F22</f>
        <v>6.6743446932162191</v>
      </c>
      <c r="G112">
        <f ca="1">AVERAGE(F99:G99)*G22</f>
        <v>9.4517901743534871</v>
      </c>
      <c r="H112">
        <f ca="1">AVERAGE(G99:H99)*H22</f>
        <v>16.03288262336763</v>
      </c>
      <c r="I112">
        <f ca="1">AVERAGE(H99:I99)*I22</f>
        <v>20.714903549392066</v>
      </c>
      <c r="J112">
        <f ca="1">AVERAGE(I99:J99)*J22</f>
        <v>22.625077085860102</v>
      </c>
      <c r="K112">
        <f ca="1">AVERAGE(J99:K99)*K22</f>
        <v>24.670984722789271</v>
      </c>
      <c r="L112">
        <f ca="1">AVERAGE(K99:L99)*L22</f>
        <v>27.356203917070225</v>
      </c>
      <c r="M112">
        <f ca="1">AVERAGE(L99:M99)*M22</f>
        <v>30.391009072584303</v>
      </c>
      <c r="N112">
        <f ca="1">AVERAGE(M99:N99)*N22</f>
        <v>34.351499500901326</v>
      </c>
      <c r="O112">
        <f ca="1">AVERAGE(N99:O99)*O22</f>
        <v>37.242535627414249</v>
      </c>
    </row>
    <row r="114" spans="1:15" ht="15" customHeight="1" x14ac:dyDescent="0.2">
      <c r="A114" s="15" t="s">
        <v>104</v>
      </c>
    </row>
    <row r="115" spans="1:15" ht="15" customHeight="1" x14ac:dyDescent="0.2">
      <c r="B115" s="16" t="s">
        <v>60</v>
      </c>
      <c r="C115" s="66">
        <f>C27/C25</f>
        <v>0.13690665527165549</v>
      </c>
      <c r="D115" s="66">
        <f>D27/D25</f>
        <v>0.14436348385002293</v>
      </c>
      <c r="E115" s="66">
        <f>E27/E25</f>
        <v>0.15127614289894162</v>
      </c>
      <c r="F115" s="66">
        <f>F27/F25</f>
        <v>0.15000000000000005</v>
      </c>
      <c r="G115" s="66">
        <f>G27/G25</f>
        <v>0.15</v>
      </c>
      <c r="H115" s="66">
        <f>H27/H25</f>
        <v>0.15000000000000002</v>
      </c>
      <c r="I115" s="66">
        <f>I27/I25</f>
        <v>0.14999999999999994</v>
      </c>
      <c r="J115" s="66">
        <f>J27/J25</f>
        <v>0.15000000000000005</v>
      </c>
      <c r="K115" s="66">
        <f>K27/K25</f>
        <v>0.14999999999999997</v>
      </c>
      <c r="L115" s="66">
        <f>L27/L25</f>
        <v>0.14999999999999994</v>
      </c>
      <c r="M115" s="66">
        <f>M27/M25</f>
        <v>0.14999999999999997</v>
      </c>
      <c r="N115" s="66">
        <f>N27/N25</f>
        <v>0.15000000000000002</v>
      </c>
      <c r="O115" s="66">
        <f>O27/O25</f>
        <v>0.15</v>
      </c>
    </row>
    <row r="116" spans="1:15" ht="15" customHeight="1" x14ac:dyDescent="0.2">
      <c r="B116" s="16" t="s">
        <v>50</v>
      </c>
      <c r="C116" s="66"/>
      <c r="D116" s="66"/>
      <c r="E116" s="66"/>
      <c r="F116">
        <f>F27+F37</f>
        <v>895.86888450000038</v>
      </c>
      <c r="G116">
        <f>G27+G37</f>
        <v>981.57464628690002</v>
      </c>
      <c r="H116">
        <f>H27+H37</f>
        <v>1070.313814285699</v>
      </c>
      <c r="I116">
        <f>I27+I37</f>
        <v>1162.4075828758002</v>
      </c>
      <c r="J116">
        <f>J27+J37</f>
        <v>1258.1872315589342</v>
      </c>
      <c r="K116">
        <f>K27+K37</f>
        <v>1341.3303288952795</v>
      </c>
      <c r="L116">
        <f>L27+L37</f>
        <v>1427.2951545383889</v>
      </c>
      <c r="M116">
        <f>M27+M37</f>
        <v>1507.1243476816278</v>
      </c>
      <c r="N116">
        <f>N27+N37</f>
        <v>1579.9162126610313</v>
      </c>
      <c r="O116">
        <f>O27+O37</f>
        <v>1654.7942974288485</v>
      </c>
    </row>
    <row r="117" spans="1:15" ht="15" customHeight="1" x14ac:dyDescent="0.2">
      <c r="B117" s="16" t="s">
        <v>94</v>
      </c>
      <c r="C117" s="66"/>
      <c r="D117" s="66"/>
      <c r="E117" s="66"/>
      <c r="F117" s="66">
        <f>F116/F25</f>
        <v>0.10180137875944609</v>
      </c>
      <c r="G117" s="66">
        <f>G116/G25</f>
        <v>0.10522687524653075</v>
      </c>
      <c r="H117" s="66">
        <f>H116/H25</f>
        <v>0.10824519007571674</v>
      </c>
      <c r="I117" s="66">
        <f>I116/I25</f>
        <v>0.1109047240855843</v>
      </c>
      <c r="J117" s="66">
        <f>J116/J25</f>
        <v>0.11324812480748665</v>
      </c>
      <c r="K117" s="66">
        <f>K116/K25</f>
        <v>0.11498261768589756</v>
      </c>
      <c r="L117" s="66">
        <f>L116/L25</f>
        <v>0.11652549039869363</v>
      </c>
      <c r="M117" s="66">
        <f>M116/M25</f>
        <v>0.11774431390658359</v>
      </c>
      <c r="N117" s="66">
        <f>N116/N25</f>
        <v>0.11868383575841264</v>
      </c>
      <c r="O117" s="66">
        <f>O116/O25</f>
        <v>0.1195275986522667</v>
      </c>
    </row>
    <row r="118" spans="1:15" ht="15" customHeight="1" x14ac:dyDescent="0.2">
      <c r="B118" s="16" t="s">
        <v>61</v>
      </c>
      <c r="C118" s="66">
        <f>C32/C25</f>
        <v>7.6001299437691114E-2</v>
      </c>
      <c r="D118" s="66">
        <f>D32/D25</f>
        <v>7.5056911956618483E-2</v>
      </c>
      <c r="E118" s="66">
        <f>E32/E25</f>
        <v>8.442083619902313E-2</v>
      </c>
      <c r="F118" s="66">
        <f ca="1">F32/F25</f>
        <v>9.0593799612946849E-2</v>
      </c>
      <c r="G118" s="66">
        <f ca="1">G32/G25</f>
        <v>9.0322633101946048E-2</v>
      </c>
      <c r="H118" s="66">
        <f ca="1">H32/H25</f>
        <v>8.9517228092752921E-2</v>
      </c>
      <c r="I118" s="66">
        <f ca="1">I32/I25</f>
        <v>9.0410188231606806E-2</v>
      </c>
      <c r="J118" s="66">
        <f ca="1">J32/J25</f>
        <v>9.1584173310094288E-2</v>
      </c>
      <c r="K118" s="66">
        <f ca="1">K32/K25</f>
        <v>9.2606658178999351E-2</v>
      </c>
      <c r="L118" s="66">
        <f ca="1">L32/L25</f>
        <v>9.3352970179302233E-2</v>
      </c>
      <c r="M118" s="66">
        <f ca="1">M32/M25</f>
        <v>9.3949473761518285E-2</v>
      </c>
      <c r="N118" s="66">
        <f ca="1">N32/N25</f>
        <v>9.4218748711608125E-2</v>
      </c>
      <c r="O118" s="66">
        <f ca="1">O32/O25</f>
        <v>9.485779219220318E-2</v>
      </c>
    </row>
    <row r="120" spans="1:15" ht="15" customHeight="1" x14ac:dyDescent="0.2">
      <c r="A120" s="15" t="s">
        <v>105</v>
      </c>
    </row>
    <row r="121" spans="1:15" ht="15" customHeight="1" x14ac:dyDescent="0.2">
      <c r="B121" s="16" t="s">
        <v>74</v>
      </c>
      <c r="D121" s="66">
        <f>D47/D25</f>
        <v>-3.2208878607107631E-2</v>
      </c>
      <c r="E121" s="66">
        <f>E47/E25</f>
        <v>-6.3367212832400946E-2</v>
      </c>
      <c r="F121" s="66">
        <f>F47/F25</f>
        <v>-4.6999999999999993E-2</v>
      </c>
      <c r="G121" s="66">
        <f>G47/G25</f>
        <v>-4.7000000000000056E-2</v>
      </c>
      <c r="H121" s="66">
        <f>H47/H25</f>
        <v>-4.6999999999999993E-2</v>
      </c>
      <c r="I121" s="66">
        <f>I47/I25</f>
        <v>-4.7000000000000014E-2</v>
      </c>
      <c r="J121" s="66">
        <f>J47/J25</f>
        <v>-4.7000000000000007E-2</v>
      </c>
      <c r="K121" s="66">
        <f>K47/K25</f>
        <v>-4.7000000000000007E-2</v>
      </c>
      <c r="L121" s="66">
        <f>L47/L25</f>
        <v>-4.7000000000000028E-2</v>
      </c>
      <c r="M121" s="66">
        <f>M47/M25</f>
        <v>-4.7000000000000035E-2</v>
      </c>
      <c r="N121" s="66">
        <f>N47/N25</f>
        <v>-4.7000000000000028E-2</v>
      </c>
      <c r="O121" s="66">
        <f>O47/O25</f>
        <v>-4.7000000000000021E-2</v>
      </c>
    </row>
    <row r="122" spans="1:15" ht="15" customHeight="1" x14ac:dyDescent="0.2">
      <c r="B122" s="16" t="s">
        <v>75</v>
      </c>
      <c r="D122" s="66">
        <f>D52/D25</f>
        <v>0.79956434165580537</v>
      </c>
      <c r="E122" s="66">
        <f>E52/E25</f>
        <v>0.83982446100965236</v>
      </c>
      <c r="F122" s="66">
        <f>F52/F25</f>
        <v>0.71908351876783949</v>
      </c>
      <c r="G122" s="66">
        <f>G52/G25</f>
        <v>0.67060755332939825</v>
      </c>
      <c r="H122" s="66">
        <f>H52/H25</f>
        <v>0.62789382529213</v>
      </c>
      <c r="I122" s="66">
        <f>I52/I25</f>
        <v>0.59025738945551831</v>
      </c>
      <c r="J122" s="66">
        <f>J52/J25</f>
        <v>0.55709471863344728</v>
      </c>
      <c r="K122" s="66">
        <f>K52/K25</f>
        <v>0.53254901638441876</v>
      </c>
      <c r="L122" s="66">
        <f>L52/L25</f>
        <v>0.51071502981242578</v>
      </c>
      <c r="M122" s="66">
        <f>M52/M25</f>
        <v>0.49346683047349832</v>
      </c>
      <c r="N122" s="66">
        <f>N52/N25</f>
        <v>0.48017117275216092</v>
      </c>
      <c r="O122" s="66">
        <f>O52/O25</f>
        <v>0.46823064937549835</v>
      </c>
    </row>
    <row r="124" spans="1:15" ht="15" customHeight="1" x14ac:dyDescent="0.2">
      <c r="A124" s="15" t="s">
        <v>88</v>
      </c>
    </row>
    <row r="125" spans="1:15" ht="15" customHeight="1" x14ac:dyDescent="0.2">
      <c r="B125" s="16" t="s">
        <v>76</v>
      </c>
      <c r="E125">
        <f>E97+E103+E107</f>
        <v>2466.5059999999999</v>
      </c>
      <c r="F125">
        <f t="shared" ref="F125:O125" ca="1" si="94">F97+F103+F107</f>
        <v>1659.6949999999999</v>
      </c>
      <c r="G125">
        <f t="shared" ca="1" si="94"/>
        <v>3037.8530000000001</v>
      </c>
      <c r="H125">
        <f t="shared" ca="1" si="94"/>
        <v>2946.6640000000002</v>
      </c>
      <c r="I125">
        <f t="shared" ca="1" si="94"/>
        <v>2841.2360000000003</v>
      </c>
      <c r="J125">
        <f t="shared" ca="1" si="94"/>
        <v>2297.819147540984</v>
      </c>
      <c r="K125">
        <f t="shared" ca="1" si="94"/>
        <v>2203.3118688524592</v>
      </c>
      <c r="L125">
        <f t="shared" ca="1" si="94"/>
        <v>1872.5363934426232</v>
      </c>
      <c r="M125">
        <f t="shared" ca="1" si="94"/>
        <v>1872.5363934426232</v>
      </c>
      <c r="N125">
        <f t="shared" ca="1" si="94"/>
        <v>1872.5363934426232</v>
      </c>
      <c r="O125">
        <f t="shared" ca="1" si="94"/>
        <v>1400.0000000000002</v>
      </c>
    </row>
    <row r="126" spans="1:15" ht="15" customHeight="1" x14ac:dyDescent="0.2">
      <c r="B126" s="16" t="s">
        <v>89</v>
      </c>
      <c r="E126">
        <f>E125-E99</f>
        <v>1012.9189999999999</v>
      </c>
      <c r="F126">
        <f ca="1">F125-F99</f>
        <v>443.54412271351225</v>
      </c>
      <c r="G126">
        <f ca="1">G125-G99</f>
        <v>473.28780754509307</v>
      </c>
      <c r="H126">
        <f ca="1">H125-H99</f>
        <v>-901.92385689214461</v>
      </c>
      <c r="I126">
        <f ca="1">I125-I99</f>
        <v>-1596.1375628646806</v>
      </c>
      <c r="J126">
        <f ca="1">J125-J99</f>
        <v>-2314.8381239383762</v>
      </c>
      <c r="K126">
        <f ca="1">K125-K99</f>
        <v>-3052.4247487838884</v>
      </c>
      <c r="L126">
        <f ca="1">L125-L99</f>
        <v>-3814.20855574912</v>
      </c>
      <c r="M126">
        <f ca="1">M125-M99</f>
        <v>-4597.1222863993535</v>
      </c>
      <c r="N126">
        <f ca="1">N125-N99</f>
        <v>-5398.4047270759293</v>
      </c>
      <c r="O126">
        <f ca="1">O125-O99</f>
        <v>-6226.0731304471446</v>
      </c>
    </row>
    <row r="127" spans="1:15" ht="15" customHeight="1" x14ac:dyDescent="0.2">
      <c r="B127" s="16" t="s">
        <v>90</v>
      </c>
      <c r="F127" s="70">
        <f ca="1">F125/F116</f>
        <v>1.8526092698557155</v>
      </c>
      <c r="G127" s="70">
        <f t="shared" ref="F127:O127" ca="1" si="95">G125/G116</f>
        <v>3.0948772072420456</v>
      </c>
      <c r="H127" s="70">
        <f t="shared" ca="1" si="95"/>
        <v>2.7530841522086971</v>
      </c>
      <c r="I127" s="70">
        <f t="shared" ca="1" si="95"/>
        <v>2.4442682944056275</v>
      </c>
      <c r="J127" s="70">
        <f t="shared" ca="1" si="95"/>
        <v>1.8262934878888515</v>
      </c>
      <c r="K127" s="70">
        <f t="shared" ca="1" si="95"/>
        <v>1.6426318121555548</v>
      </c>
      <c r="L127" s="70">
        <f t="shared" ca="1" si="95"/>
        <v>1.3119475586310896</v>
      </c>
      <c r="M127" s="70">
        <f t="shared" ca="1" si="95"/>
        <v>1.2424564677248429</v>
      </c>
      <c r="N127" s="70">
        <f t="shared" ca="1" si="95"/>
        <v>1.1852124678743157</v>
      </c>
      <c r="O127" s="70">
        <f t="shared" ca="1" si="95"/>
        <v>0.84602660413760356</v>
      </c>
    </row>
    <row r="128" spans="1:15" ht="15" customHeight="1" x14ac:dyDescent="0.2">
      <c r="B128" s="16" t="s">
        <v>91</v>
      </c>
      <c r="F128" s="70">
        <f ca="1">F126/F116</f>
        <v>0.49509937267333687</v>
      </c>
      <c r="G128" s="70">
        <f t="shared" ref="F128:O128" ca="1" si="96">G126/G116</f>
        <v>0.48217199714300479</v>
      </c>
      <c r="H128" s="70">
        <f t="shared" ca="1" si="96"/>
        <v>-0.84267234978562466</v>
      </c>
      <c r="I128" s="70">
        <f t="shared" ca="1" si="96"/>
        <v>-1.3731307214254667</v>
      </c>
      <c r="J128" s="70">
        <f t="shared" ca="1" si="96"/>
        <v>-1.8398200727805971</v>
      </c>
      <c r="K128" s="70">
        <f t="shared" ca="1" si="96"/>
        <v>-2.2756696713909892</v>
      </c>
      <c r="L128" s="70">
        <f t="shared" ca="1" si="96"/>
        <v>-2.6723334298592913</v>
      </c>
      <c r="M128" s="70">
        <f t="shared" ca="1" si="96"/>
        <v>-3.0502607787280414</v>
      </c>
      <c r="N128" s="70">
        <f t="shared" ca="1" si="96"/>
        <v>-3.416893050286173</v>
      </c>
      <c r="O128" s="70">
        <f t="shared" ca="1" si="96"/>
        <v>-3.7624453626175542</v>
      </c>
    </row>
    <row r="129" spans="1:15" ht="15" customHeight="1" x14ac:dyDescent="0.2">
      <c r="B129" s="16" t="s">
        <v>92</v>
      </c>
      <c r="F129" s="70">
        <f ca="1">F116/(F109+F110+F111)</f>
        <v>11.058609264002332</v>
      </c>
      <c r="G129" s="70">
        <f t="shared" ref="G129:O129" ca="1" si="97">G116/(G109+G110+G111)</f>
        <v>10.646034990166047</v>
      </c>
      <c r="H129" s="70">
        <f t="shared" ca="1" si="97"/>
        <v>9.2117280514516011</v>
      </c>
      <c r="I129" s="70">
        <f t="shared" ca="1" si="97"/>
        <v>10.354786143310946</v>
      </c>
      <c r="J129" s="70">
        <f t="shared" ca="1" si="97"/>
        <v>12.672977980333227</v>
      </c>
      <c r="K129" s="70">
        <f t="shared" ca="1" si="97"/>
        <v>15.502654956732027</v>
      </c>
      <c r="L129" s="70">
        <f t="shared" ca="1" si="97"/>
        <v>18.294676677562347</v>
      </c>
      <c r="M129" s="70">
        <f t="shared" ca="1" si="97"/>
        <v>21.107753786114493</v>
      </c>
      <c r="N129" s="70">
        <f t="shared" ca="1" si="97"/>
        <v>22.127226907878374</v>
      </c>
      <c r="O129" s="70">
        <f t="shared" ca="1" si="97"/>
        <v>26.711458514773067</v>
      </c>
    </row>
    <row r="130" spans="1:15" ht="15" customHeight="1" x14ac:dyDescent="0.2">
      <c r="B130" s="16" t="s">
        <v>93</v>
      </c>
      <c r="F130" s="66">
        <f ca="1">F126/(F126+F60)</f>
        <v>7.4993356262457345E-2</v>
      </c>
      <c r="G130" s="66">
        <f ca="1">G126/(G126+G60)</f>
        <v>7.2622232741176837E-2</v>
      </c>
      <c r="H130" s="66">
        <f ca="1">H126/(H126+H60)</f>
        <v>-0.15702564686106613</v>
      </c>
      <c r="I130" s="66">
        <f ca="1">I126/(I126+I60)</f>
        <v>-0.28032142175877384</v>
      </c>
      <c r="J130" s="66">
        <f ca="1">J126/(J126+J60)</f>
        <v>-0.40846565473911617</v>
      </c>
      <c r="K130" s="66">
        <f ca="1">K126/(K126+K60)</f>
        <v>-0.53890018716005195</v>
      </c>
      <c r="L130" s="66">
        <f ca="1">L126/(L126+L60)</f>
        <v>-0.67152225699722778</v>
      </c>
      <c r="M130" s="66">
        <f ca="1">M126/(M126+M60)</f>
        <v>-0.80442899251126665</v>
      </c>
      <c r="N130" s="66">
        <f ca="1">N126/(N126+N60)</f>
        <v>-0.9361887380632552</v>
      </c>
      <c r="O130" s="66">
        <f ca="1">O126/(O126+O60)</f>
        <v>-1.0676242574484218</v>
      </c>
    </row>
    <row r="132" spans="1:15" ht="15" customHeight="1" x14ac:dyDescent="0.2">
      <c r="A132" s="15" t="s">
        <v>103</v>
      </c>
    </row>
  </sheetData>
  <pageMargins left="0.70866141732283472" right="0.70866141732283472" top="0.74803149606299213" bottom="0.74803149606299213" header="0.31496062992125984" footer="0.31496062992125984"/>
  <pageSetup paperSize="9" scale="74" fitToHeight="6" orientation="landscape" verticalDpi="597" r:id="rId1"/>
  <headerFooter>
    <oddHeader xml:space="preserve">&amp;R&amp;10&amp;F 
&amp;A
</oddHeader>
    <oddFooter>&amp;L&amp;10© 2016&amp;C&amp;10Page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2016-05-30T11:46:51Z</cp:lastPrinted>
  <dcterms:created xsi:type="dcterms:W3CDTF">2016-02-03T14:06:14Z</dcterms:created>
  <dcterms:modified xsi:type="dcterms:W3CDTF">2022-01-06T14:14:44Z</dcterms:modified>
</cp:coreProperties>
</file>