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Three Statement Modeling/Editing/"/>
    </mc:Choice>
  </mc:AlternateContent>
  <xr:revisionPtr revIDLastSave="0" documentId="13_ncr:1_{DE79FA87-0FAA-D04F-B9EA-75EE45033856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K27" i="2"/>
  <c r="L27" i="2"/>
  <c r="M27" i="2"/>
  <c r="N27" i="2"/>
  <c r="O27" i="2"/>
  <c r="F27" i="2"/>
  <c r="E55" i="2"/>
  <c r="C29" i="2"/>
  <c r="G100" i="2" l="1"/>
  <c r="G90" i="2" s="1"/>
  <c r="H100" i="2"/>
  <c r="H90" i="2" s="1"/>
  <c r="I100" i="2"/>
  <c r="I90" i="2" s="1"/>
  <c r="M100" i="2"/>
  <c r="M90" i="2" s="1"/>
  <c r="N100" i="2"/>
  <c r="N90" i="2" s="1"/>
  <c r="B100" i="2"/>
  <c r="B44" i="2" l="1"/>
  <c r="B43" i="2"/>
  <c r="E29" i="2" l="1"/>
  <c r="D29" i="2"/>
  <c r="E27" i="2"/>
  <c r="D27" i="2"/>
  <c r="C27" i="2"/>
  <c r="E24" i="2"/>
  <c r="D24" i="2"/>
  <c r="D6" i="2" s="1"/>
  <c r="C24" i="2"/>
  <c r="B84" i="2"/>
  <c r="B83" i="2"/>
  <c r="E25" i="2" l="1"/>
  <c r="E6" i="2"/>
  <c r="C25" i="2"/>
  <c r="C28" i="2" s="1"/>
  <c r="C30" i="2" s="1"/>
  <c r="C6" i="2"/>
  <c r="D25" i="2"/>
  <c r="D28" i="2" s="1"/>
  <c r="E80" i="2"/>
  <c r="F79" i="2" s="1"/>
  <c r="C7" i="2" l="1"/>
  <c r="D30" i="2"/>
  <c r="D7" i="2"/>
  <c r="F87" i="2"/>
  <c r="A7" i="1"/>
  <c r="J17" i="2" l="1"/>
  <c r="J100" i="2" s="1"/>
  <c r="J90" i="2" s="1"/>
  <c r="E13" i="2"/>
  <c r="D12" i="2" l="1"/>
  <c r="E12" i="2"/>
  <c r="A2" i="2" l="1"/>
  <c r="O17" i="2"/>
  <c r="O100" i="2" s="1"/>
  <c r="O90" i="2" s="1"/>
  <c r="L17" i="2"/>
  <c r="L100" i="2" s="1"/>
  <c r="L90" i="2" s="1"/>
  <c r="K17" i="2"/>
  <c r="K100" i="2" s="1"/>
  <c r="K90" i="2" s="1"/>
  <c r="F17" i="2"/>
  <c r="F100" i="2" s="1"/>
  <c r="F90" i="2" s="1"/>
  <c r="D55" i="2"/>
  <c r="D54" i="2"/>
  <c r="D44" i="2" s="1"/>
  <c r="D49" i="2"/>
  <c r="D43" i="2" s="1"/>
  <c r="E54" i="2"/>
  <c r="E44" i="2" s="1"/>
  <c r="E49" i="2"/>
  <c r="E43" i="2" s="1"/>
  <c r="E26" i="2"/>
  <c r="E28" i="2" s="1"/>
  <c r="D45" i="2" l="1"/>
  <c r="E30" i="2"/>
  <c r="E7" i="2"/>
  <c r="E45" i="2"/>
  <c r="F23" i="2"/>
  <c r="F34" i="2" l="1"/>
  <c r="F69" i="2" s="1"/>
  <c r="F24" i="2"/>
  <c r="F25" i="2" s="1"/>
  <c r="F49" i="2"/>
  <c r="F43" i="2" s="1"/>
  <c r="F54" i="2"/>
  <c r="F44" i="2" s="1"/>
  <c r="F70" i="2" l="1"/>
  <c r="F84" i="2" s="1"/>
  <c r="F45" i="2"/>
  <c r="E97" i="2"/>
  <c r="E101" i="2"/>
  <c r="E95" i="2"/>
  <c r="E118" i="2" l="1"/>
  <c r="E119" i="2" s="1"/>
  <c r="F93" i="2"/>
  <c r="F99" i="2"/>
  <c r="F101" i="2" s="1"/>
  <c r="E41" i="2"/>
  <c r="F38" i="2" s="1"/>
  <c r="E56" i="2"/>
  <c r="F104" i="2" l="1"/>
  <c r="F55" i="2"/>
  <c r="F74" i="2" s="1"/>
  <c r="G99" i="2"/>
  <c r="G101" i="2" s="1"/>
  <c r="G55" i="2" s="1"/>
  <c r="D56" i="2"/>
  <c r="D115" i="2"/>
  <c r="E10" i="2"/>
  <c r="D10" i="2"/>
  <c r="D114" i="2"/>
  <c r="E36" i="2"/>
  <c r="F33" i="2" s="1"/>
  <c r="E115" i="2"/>
  <c r="G74" i="2" l="1"/>
  <c r="F35" i="2"/>
  <c r="F65" i="2" s="1"/>
  <c r="G104" i="2"/>
  <c r="H99" i="2"/>
  <c r="H101" i="2" s="1"/>
  <c r="H55" i="2" s="1"/>
  <c r="E114" i="2"/>
  <c r="I99" i="2" l="1"/>
  <c r="I101" i="2" s="1"/>
  <c r="I55" i="2" s="1"/>
  <c r="H74" i="2"/>
  <c r="F36" i="2"/>
  <c r="F50" i="2" s="1"/>
  <c r="H104" i="2"/>
  <c r="J99" i="2" l="1"/>
  <c r="J101" i="2" s="1"/>
  <c r="J55" i="2" s="1"/>
  <c r="I104" i="2"/>
  <c r="I74" i="2"/>
  <c r="J104" i="2"/>
  <c r="K99" i="2" l="1"/>
  <c r="K101" i="2" s="1"/>
  <c r="K55" i="2" s="1"/>
  <c r="J74" i="2"/>
  <c r="K104" i="2"/>
  <c r="K74" i="2"/>
  <c r="L99" i="2"/>
  <c r="L101" i="2" s="1"/>
  <c r="L55" i="2" s="1"/>
  <c r="L104" i="2" l="1"/>
  <c r="L74" i="2"/>
  <c r="M99" i="2"/>
  <c r="M101" i="2" s="1"/>
  <c r="M55" i="2" s="1"/>
  <c r="N99" i="2" l="1"/>
  <c r="N101" i="2" s="1"/>
  <c r="N55" i="2" s="1"/>
  <c r="M74" i="2"/>
  <c r="M104" i="2"/>
  <c r="N104" i="2" l="1"/>
  <c r="N74" i="2"/>
  <c r="O99" i="2"/>
  <c r="O101" i="2" s="1"/>
  <c r="O55" i="2" s="1"/>
  <c r="O74" i="2" l="1"/>
  <c r="O104" i="2"/>
  <c r="E5" i="2" l="1"/>
  <c r="D5" i="2"/>
  <c r="D11" i="2"/>
  <c r="E59" i="2"/>
  <c r="D108" i="2" l="1"/>
  <c r="E108" i="2"/>
  <c r="C108" i="2"/>
  <c r="F109" i="2"/>
  <c r="G23" i="2"/>
  <c r="E11" i="2"/>
  <c r="D59" i="2"/>
  <c r="D51" i="2"/>
  <c r="E51" i="2"/>
  <c r="E61" i="2" s="1"/>
  <c r="G34" i="2" l="1"/>
  <c r="G69" i="2" s="1"/>
  <c r="G24" i="2"/>
  <c r="G25" i="2" s="1"/>
  <c r="D61" i="2"/>
  <c r="F110" i="2"/>
  <c r="F108" i="2"/>
  <c r="C111" i="2"/>
  <c r="F66" i="2"/>
  <c r="G49" i="2"/>
  <c r="G43" i="2" s="1"/>
  <c r="G54" i="2"/>
  <c r="G44" i="2" s="1"/>
  <c r="H23" i="2"/>
  <c r="G70" i="2" l="1"/>
  <c r="G84" i="2" s="1"/>
  <c r="G45" i="2"/>
  <c r="G66" i="2" s="1"/>
  <c r="H34" i="2"/>
  <c r="H69" i="2" s="1"/>
  <c r="H70" i="2" s="1"/>
  <c r="H84" i="2" s="1"/>
  <c r="H24" i="2"/>
  <c r="H25" i="2" s="1"/>
  <c r="G33" i="2"/>
  <c r="F114" i="2"/>
  <c r="E14" i="2"/>
  <c r="E111" i="2"/>
  <c r="G108" i="2"/>
  <c r="D111" i="2"/>
  <c r="D14" i="2"/>
  <c r="F115" i="2"/>
  <c r="I23" i="2"/>
  <c r="H49" i="2"/>
  <c r="H43" i="2" s="1"/>
  <c r="H54" i="2"/>
  <c r="H44" i="2" s="1"/>
  <c r="H45" i="2" l="1"/>
  <c r="G35" i="2"/>
  <c r="G65" i="2" s="1"/>
  <c r="I34" i="2"/>
  <c r="I69" i="2" s="1"/>
  <c r="I24" i="2"/>
  <c r="I25" i="2" s="1"/>
  <c r="G114" i="2"/>
  <c r="H108" i="2"/>
  <c r="I54" i="2"/>
  <c r="I44" i="2" s="1"/>
  <c r="I49" i="2"/>
  <c r="I43" i="2" s="1"/>
  <c r="J23" i="2"/>
  <c r="J24" i="2" s="1"/>
  <c r="J25" i="2" s="1"/>
  <c r="I45" i="2" l="1"/>
  <c r="I66" i="2" s="1"/>
  <c r="I70" i="2"/>
  <c r="I84" i="2" s="1"/>
  <c r="G36" i="2"/>
  <c r="G50" i="2" s="1"/>
  <c r="G115" i="2" s="1"/>
  <c r="G109" i="2"/>
  <c r="G110" i="2" s="1"/>
  <c r="H66" i="2"/>
  <c r="H114" i="2"/>
  <c r="K23" i="2"/>
  <c r="J34" i="2"/>
  <c r="J69" i="2" s="1"/>
  <c r="J70" i="2" s="1"/>
  <c r="I108" i="2"/>
  <c r="J54" i="2"/>
  <c r="J44" i="2" s="1"/>
  <c r="J49" i="2"/>
  <c r="J43" i="2" s="1"/>
  <c r="H33" i="2" l="1"/>
  <c r="K34" i="2"/>
  <c r="K69" i="2" s="1"/>
  <c r="K70" i="2" s="1"/>
  <c r="K84" i="2" s="1"/>
  <c r="K24" i="2"/>
  <c r="K25" i="2" s="1"/>
  <c r="J45" i="2"/>
  <c r="H35" i="2"/>
  <c r="H36" i="2" s="1"/>
  <c r="I33" i="2" s="1"/>
  <c r="J84" i="2"/>
  <c r="I114" i="2"/>
  <c r="L23" i="2"/>
  <c r="K49" i="2"/>
  <c r="K43" i="2" s="1"/>
  <c r="K54" i="2"/>
  <c r="K44" i="2" s="1"/>
  <c r="J108" i="2"/>
  <c r="K45" i="2" l="1"/>
  <c r="L34" i="2"/>
  <c r="L69" i="2" s="1"/>
  <c r="L24" i="2"/>
  <c r="L25" i="2" s="1"/>
  <c r="L108" i="2" s="1"/>
  <c r="H109" i="2"/>
  <c r="H110" i="2" s="1"/>
  <c r="H65" i="2"/>
  <c r="I35" i="2"/>
  <c r="I65" i="2" s="1"/>
  <c r="H50" i="2"/>
  <c r="H115" i="2" s="1"/>
  <c r="J66" i="2"/>
  <c r="L54" i="2"/>
  <c r="L44" i="2" s="1"/>
  <c r="J114" i="2"/>
  <c r="M23" i="2"/>
  <c r="L49" i="2"/>
  <c r="L43" i="2" s="1"/>
  <c r="K108" i="2"/>
  <c r="L70" i="2" l="1"/>
  <c r="L84" i="2" s="1"/>
  <c r="L45" i="2"/>
  <c r="L114" i="2" s="1"/>
  <c r="I109" i="2"/>
  <c r="I110" i="2" s="1"/>
  <c r="I36" i="2"/>
  <c r="I50" i="2" s="1"/>
  <c r="I115" i="2" s="1"/>
  <c r="M34" i="2"/>
  <c r="M69" i="2" s="1"/>
  <c r="M24" i="2"/>
  <c r="M25" i="2" s="1"/>
  <c r="M108" i="2" s="1"/>
  <c r="K66" i="2"/>
  <c r="M49" i="2"/>
  <c r="M43" i="2" s="1"/>
  <c r="M54" i="2"/>
  <c r="M44" i="2" s="1"/>
  <c r="N23" i="2"/>
  <c r="K114" i="2"/>
  <c r="J33" i="2" l="1"/>
  <c r="J35" i="2" s="1"/>
  <c r="J65" i="2" s="1"/>
  <c r="M70" i="2"/>
  <c r="M84" i="2" s="1"/>
  <c r="M45" i="2"/>
  <c r="M114" i="2" s="1"/>
  <c r="N34" i="2"/>
  <c r="N69" i="2" s="1"/>
  <c r="N24" i="2"/>
  <c r="N25" i="2" s="1"/>
  <c r="L66" i="2"/>
  <c r="N49" i="2"/>
  <c r="N43" i="2" s="1"/>
  <c r="O23" i="2"/>
  <c r="N54" i="2"/>
  <c r="N44" i="2" s="1"/>
  <c r="E2" i="2"/>
  <c r="A1" i="6"/>
  <c r="N45" i="2" l="1"/>
  <c r="N70" i="2"/>
  <c r="N84" i="2" s="1"/>
  <c r="O34" i="2"/>
  <c r="O69" i="2" s="1"/>
  <c r="O70" i="2" s="1"/>
  <c r="O84" i="2" s="1"/>
  <c r="O24" i="2"/>
  <c r="O25" i="2" s="1"/>
  <c r="J109" i="2"/>
  <c r="J110" i="2" s="1"/>
  <c r="J36" i="2"/>
  <c r="K33" i="2" s="1"/>
  <c r="O49" i="2"/>
  <c r="O43" i="2" s="1"/>
  <c r="N108" i="2"/>
  <c r="N66" i="2"/>
  <c r="M66" i="2"/>
  <c r="O54" i="2"/>
  <c r="O44" i="2" s="1"/>
  <c r="D2" i="2"/>
  <c r="C2" i="2" s="1"/>
  <c r="J50" i="2" l="1"/>
  <c r="J115" i="2" s="1"/>
  <c r="K35" i="2"/>
  <c r="K65" i="2" s="1"/>
  <c r="O45" i="2"/>
  <c r="O114" i="2" s="1"/>
  <c r="N114" i="2"/>
  <c r="O108" i="2"/>
  <c r="F2" i="2"/>
  <c r="G2" i="2" s="1"/>
  <c r="H2" i="2" s="1"/>
  <c r="I2" i="2" s="1"/>
  <c r="J2" i="2" s="1"/>
  <c r="K2" i="2" s="1"/>
  <c r="L2" i="2" s="1"/>
  <c r="M2" i="2" s="1"/>
  <c r="N2" i="2" s="1"/>
  <c r="O2" i="2" s="1"/>
  <c r="K109" i="2" l="1"/>
  <c r="K110" i="2" s="1"/>
  <c r="K36" i="2"/>
  <c r="K50" i="2" s="1"/>
  <c r="K115" i="2" s="1"/>
  <c r="O66" i="2"/>
  <c r="L33" i="2" l="1"/>
  <c r="L35" i="2" s="1"/>
  <c r="L65" i="2" l="1"/>
  <c r="L36" i="2"/>
  <c r="M33" i="2" s="1"/>
  <c r="M35" i="2" s="1"/>
  <c r="M65" i="2" s="1"/>
  <c r="L109" i="2"/>
  <c r="L110" i="2" s="1"/>
  <c r="L50" i="2" l="1"/>
  <c r="L115" i="2" s="1"/>
  <c r="M36" i="2"/>
  <c r="M50" i="2" s="1"/>
  <c r="M115" i="2" s="1"/>
  <c r="M109" i="2"/>
  <c r="M110" i="2" s="1"/>
  <c r="N33" i="2" l="1"/>
  <c r="N35" i="2" s="1"/>
  <c r="N65" i="2" l="1"/>
  <c r="N109" i="2"/>
  <c r="N110" i="2" s="1"/>
  <c r="N36" i="2"/>
  <c r="N50" i="2" s="1"/>
  <c r="N115" i="2" s="1"/>
  <c r="O33" i="2" l="1"/>
  <c r="O35" i="2" s="1"/>
  <c r="O65" i="2" s="1"/>
  <c r="O109" i="2" l="1"/>
  <c r="O110" i="2" s="1"/>
  <c r="O36" i="2"/>
  <c r="O50" i="2" s="1"/>
  <c r="O115" i="2" s="1"/>
  <c r="O26" i="2" l="1"/>
  <c r="H26" i="2"/>
  <c r="I26" i="2"/>
  <c r="J26" i="2"/>
  <c r="K26" i="2"/>
  <c r="L26" i="2"/>
  <c r="M26" i="2"/>
  <c r="N26" i="2"/>
  <c r="F26" i="2"/>
  <c r="F28" i="2" s="1"/>
  <c r="G26" i="2"/>
  <c r="H28" i="2" l="1"/>
  <c r="H29" i="2" s="1"/>
  <c r="H30" i="2" s="1"/>
  <c r="K28" i="2"/>
  <c r="K29" i="2" s="1"/>
  <c r="K30" i="2" s="1"/>
  <c r="L28" i="2"/>
  <c r="L29" i="2" s="1"/>
  <c r="L30" i="2" s="1"/>
  <c r="M28" i="2"/>
  <c r="G28" i="2"/>
  <c r="G29" i="2" s="1"/>
  <c r="N28" i="2"/>
  <c r="N29" i="2" s="1"/>
  <c r="N30" i="2" s="1"/>
  <c r="J28" i="2"/>
  <c r="J29" i="2" s="1"/>
  <c r="J30" i="2" s="1"/>
  <c r="O28" i="2"/>
  <c r="O29" i="2" s="1"/>
  <c r="O30" i="2" s="1"/>
  <c r="F29" i="2"/>
  <c r="F30" i="2" s="1"/>
  <c r="I28" i="2"/>
  <c r="I29" i="2" s="1"/>
  <c r="I30" i="2" s="1"/>
  <c r="G30" i="2" l="1"/>
  <c r="G39" i="2" s="1"/>
  <c r="G64" i="2" s="1"/>
  <c r="G67" i="2" s="1"/>
  <c r="M29" i="2"/>
  <c r="M30" i="2" s="1"/>
  <c r="K111" i="2"/>
  <c r="K39" i="2"/>
  <c r="K64" i="2" s="1"/>
  <c r="K67" i="2" s="1"/>
  <c r="K40" i="2"/>
  <c r="K72" i="2" s="1"/>
  <c r="I111" i="2"/>
  <c r="I39" i="2"/>
  <c r="I64" i="2" s="1"/>
  <c r="I67" i="2" s="1"/>
  <c r="I40" i="2"/>
  <c r="I72" i="2" s="1"/>
  <c r="N39" i="2"/>
  <c r="N64" i="2" s="1"/>
  <c r="N67" i="2" s="1"/>
  <c r="N40" i="2"/>
  <c r="N72" i="2" s="1"/>
  <c r="N111" i="2"/>
  <c r="O40" i="2"/>
  <c r="O72" i="2" s="1"/>
  <c r="O39" i="2"/>
  <c r="O64" i="2" s="1"/>
  <c r="O67" i="2" s="1"/>
  <c r="O111" i="2"/>
  <c r="L111" i="2"/>
  <c r="L40" i="2"/>
  <c r="L72" i="2" s="1"/>
  <c r="L39" i="2"/>
  <c r="L64" i="2" s="1"/>
  <c r="L67" i="2" s="1"/>
  <c r="J39" i="2"/>
  <c r="J64" i="2" s="1"/>
  <c r="J67" i="2" s="1"/>
  <c r="J111" i="2"/>
  <c r="J40" i="2"/>
  <c r="J72" i="2" s="1"/>
  <c r="H111" i="2"/>
  <c r="H40" i="2"/>
  <c r="H72" i="2" s="1"/>
  <c r="H39" i="2"/>
  <c r="H64" i="2" s="1"/>
  <c r="H67" i="2" s="1"/>
  <c r="F40" i="2"/>
  <c r="F72" i="2" s="1"/>
  <c r="F39" i="2"/>
  <c r="F111" i="2"/>
  <c r="G40" i="2" l="1"/>
  <c r="G72" i="2" s="1"/>
  <c r="G85" i="2" s="1"/>
  <c r="G111" i="2"/>
  <c r="M40" i="2"/>
  <c r="M72" i="2" s="1"/>
  <c r="M85" i="2" s="1"/>
  <c r="M111" i="2"/>
  <c r="M39" i="2"/>
  <c r="M64" i="2" s="1"/>
  <c r="M67" i="2" s="1"/>
  <c r="M83" i="2" s="1"/>
  <c r="L83" i="2"/>
  <c r="K85" i="2"/>
  <c r="J85" i="2"/>
  <c r="H83" i="2"/>
  <c r="O83" i="2"/>
  <c r="J83" i="2"/>
  <c r="L85" i="2"/>
  <c r="O85" i="2"/>
  <c r="I85" i="2"/>
  <c r="K83" i="2"/>
  <c r="F85" i="2"/>
  <c r="N85" i="2"/>
  <c r="G83" i="2"/>
  <c r="N83" i="2"/>
  <c r="H85" i="2"/>
  <c r="F41" i="2"/>
  <c r="F64" i="2"/>
  <c r="F67" i="2" s="1"/>
  <c r="I83" i="2"/>
  <c r="M86" i="2" l="1"/>
  <c r="N86" i="2"/>
  <c r="J86" i="2"/>
  <c r="I86" i="2"/>
  <c r="G86" i="2"/>
  <c r="H86" i="2"/>
  <c r="F83" i="2"/>
  <c r="F86" i="2" s="1"/>
  <c r="F88" i="2" s="1"/>
  <c r="F91" i="2" s="1"/>
  <c r="F58" i="2"/>
  <c r="G38" i="2"/>
  <c r="G41" i="2" s="1"/>
  <c r="K86" i="2"/>
  <c r="O86" i="2"/>
  <c r="L86" i="2"/>
  <c r="G58" i="2" l="1"/>
  <c r="H38" i="2"/>
  <c r="H41" i="2" s="1"/>
  <c r="F94" i="2"/>
  <c r="F95" i="2" s="1"/>
  <c r="F118" i="2" s="1"/>
  <c r="F103" i="2" l="1"/>
  <c r="F122" i="2" s="1"/>
  <c r="G93" i="2"/>
  <c r="F53" i="2"/>
  <c r="F97" i="2"/>
  <c r="H58" i="2"/>
  <c r="I38" i="2"/>
  <c r="I41" i="2" s="1"/>
  <c r="J38" i="2" l="1"/>
  <c r="J41" i="2" s="1"/>
  <c r="I58" i="2"/>
  <c r="F120" i="2"/>
  <c r="F119" i="2"/>
  <c r="F105" i="2"/>
  <c r="F73" i="2"/>
  <c r="F75" i="2" s="1"/>
  <c r="F77" i="2" s="1"/>
  <c r="F80" i="2" s="1"/>
  <c r="F56" i="2"/>
  <c r="F59" i="2" s="1"/>
  <c r="G87" i="2" l="1"/>
  <c r="G88" i="2" s="1"/>
  <c r="G91" i="2" s="1"/>
  <c r="G79" i="2"/>
  <c r="F48" i="2"/>
  <c r="F51" i="2" s="1"/>
  <c r="F61" i="2" s="1"/>
  <c r="F123" i="2"/>
  <c r="F121" i="2"/>
  <c r="J58" i="2"/>
  <c r="K38" i="2"/>
  <c r="K41" i="2" s="1"/>
  <c r="K58" i="2" l="1"/>
  <c r="L38" i="2"/>
  <c r="L41" i="2" s="1"/>
  <c r="G94" i="2"/>
  <c r="G95" i="2" s="1"/>
  <c r="G118" i="2" s="1"/>
  <c r="G53" i="2" l="1"/>
  <c r="H93" i="2"/>
  <c r="G103" i="2"/>
  <c r="G122" i="2" s="1"/>
  <c r="G97" i="2"/>
  <c r="L58" i="2"/>
  <c r="M38" i="2"/>
  <c r="M41" i="2" s="1"/>
  <c r="M58" i="2" l="1"/>
  <c r="N38" i="2"/>
  <c r="N41" i="2" s="1"/>
  <c r="G105" i="2"/>
  <c r="G73" i="2"/>
  <c r="G75" i="2" s="1"/>
  <c r="G77" i="2" s="1"/>
  <c r="G80" i="2" s="1"/>
  <c r="G56" i="2"/>
  <c r="G59" i="2" s="1"/>
  <c r="G120" i="2"/>
  <c r="G119" i="2"/>
  <c r="N58" i="2" l="1"/>
  <c r="O38" i="2"/>
  <c r="O41" i="2" s="1"/>
  <c r="O58" i="2" s="1"/>
  <c r="G48" i="2"/>
  <c r="G51" i="2" s="1"/>
  <c r="G61" i="2" s="1"/>
  <c r="H79" i="2"/>
  <c r="H87" i="2"/>
  <c r="H88" i="2" s="1"/>
  <c r="H91" i="2" s="1"/>
  <c r="G121" i="2"/>
  <c r="G123" i="2"/>
  <c r="H94" i="2" l="1"/>
  <c r="H95" i="2" s="1"/>
  <c r="H118" i="2" s="1"/>
  <c r="H97" i="2" l="1"/>
  <c r="H105" i="2" s="1"/>
  <c r="H53" i="2"/>
  <c r="I93" i="2"/>
  <c r="H103" i="2"/>
  <c r="H122" i="2" s="1"/>
  <c r="H73" i="2" l="1"/>
  <c r="H75" i="2" s="1"/>
  <c r="H77" i="2" s="1"/>
  <c r="H80" i="2" s="1"/>
  <c r="H56" i="2"/>
  <c r="H59" i="2" s="1"/>
  <c r="H119" i="2"/>
  <c r="H120" i="2"/>
  <c r="I79" i="2" l="1"/>
  <c r="I87" i="2"/>
  <c r="I88" i="2" s="1"/>
  <c r="I91" i="2" s="1"/>
  <c r="H48" i="2"/>
  <c r="H51" i="2" s="1"/>
  <c r="H61" i="2" s="1"/>
  <c r="H121" i="2"/>
  <c r="H123" i="2"/>
  <c r="I94" i="2" l="1"/>
  <c r="I95" i="2" s="1"/>
  <c r="I118" i="2" s="1"/>
  <c r="I97" i="2" l="1"/>
  <c r="I105" i="2" s="1"/>
  <c r="I53" i="2"/>
  <c r="J93" i="2"/>
  <c r="I103" i="2"/>
  <c r="I122" i="2" s="1"/>
  <c r="I119" i="2" l="1"/>
  <c r="I120" i="2"/>
  <c r="I56" i="2"/>
  <c r="I59" i="2" s="1"/>
  <c r="I73" i="2"/>
  <c r="I75" i="2" s="1"/>
  <c r="I77" i="2" s="1"/>
  <c r="I80" i="2" s="1"/>
  <c r="J79" i="2" l="1"/>
  <c r="J87" i="2"/>
  <c r="J88" i="2" s="1"/>
  <c r="J91" i="2" s="1"/>
  <c r="I48" i="2"/>
  <c r="I51" i="2" s="1"/>
  <c r="I61" i="2" s="1"/>
  <c r="I123" i="2"/>
  <c r="I121" i="2"/>
  <c r="J94" i="2" l="1"/>
  <c r="J95" i="2" s="1"/>
  <c r="J118" i="2" s="1"/>
  <c r="J53" i="2" l="1"/>
  <c r="K93" i="2"/>
  <c r="J103" i="2"/>
  <c r="J122" i="2" s="1"/>
  <c r="J97" i="2"/>
  <c r="J56" i="2" l="1"/>
  <c r="J59" i="2" s="1"/>
  <c r="J73" i="2"/>
  <c r="J75" i="2" s="1"/>
  <c r="J77" i="2" s="1"/>
  <c r="J80" i="2" s="1"/>
  <c r="J105" i="2"/>
  <c r="J120" i="2"/>
  <c r="J119" i="2"/>
  <c r="K87" i="2" l="1"/>
  <c r="K88" i="2" s="1"/>
  <c r="K91" i="2" s="1"/>
  <c r="J48" i="2"/>
  <c r="J51" i="2" s="1"/>
  <c r="J61" i="2" s="1"/>
  <c r="K79" i="2"/>
  <c r="J121" i="2"/>
  <c r="J123" i="2"/>
  <c r="K94" i="2" l="1"/>
  <c r="K95" i="2" s="1"/>
  <c r="K118" i="2" s="1"/>
  <c r="K97" i="2" l="1"/>
  <c r="L93" i="2"/>
  <c r="K53" i="2"/>
  <c r="K103" i="2"/>
  <c r="K122" i="2" s="1"/>
  <c r="K120" i="2" l="1"/>
  <c r="K119" i="2"/>
  <c r="K73" i="2"/>
  <c r="K75" i="2" s="1"/>
  <c r="K77" i="2" s="1"/>
  <c r="K80" i="2" s="1"/>
  <c r="K56" i="2"/>
  <c r="K59" i="2" s="1"/>
  <c r="K105" i="2"/>
  <c r="L87" i="2" l="1"/>
  <c r="L88" i="2" s="1"/>
  <c r="L91" i="2" s="1"/>
  <c r="K48" i="2"/>
  <c r="K51" i="2" s="1"/>
  <c r="K61" i="2" s="1"/>
  <c r="L79" i="2"/>
  <c r="K123" i="2"/>
  <c r="K121" i="2"/>
  <c r="L94" i="2" l="1"/>
  <c r="L95" i="2" s="1"/>
  <c r="L118" i="2" s="1"/>
  <c r="M93" i="2" l="1"/>
  <c r="L53" i="2"/>
  <c r="L103" i="2"/>
  <c r="L122" i="2" s="1"/>
  <c r="L97" i="2"/>
  <c r="L119" i="2" l="1"/>
  <c r="L120" i="2"/>
  <c r="L105" i="2"/>
  <c r="L73" i="2"/>
  <c r="L75" i="2" s="1"/>
  <c r="L77" i="2" s="1"/>
  <c r="L80" i="2" s="1"/>
  <c r="L56" i="2"/>
  <c r="L59" i="2" s="1"/>
  <c r="M87" i="2" l="1"/>
  <c r="M88" i="2" s="1"/>
  <c r="M91" i="2" s="1"/>
  <c r="M79" i="2"/>
  <c r="L48" i="2"/>
  <c r="L51" i="2" s="1"/>
  <c r="L61" i="2" s="1"/>
  <c r="L121" i="2"/>
  <c r="L123" i="2"/>
  <c r="M94" i="2" l="1"/>
  <c r="M95" i="2" s="1"/>
  <c r="M118" i="2" s="1"/>
  <c r="N93" i="2" l="1"/>
  <c r="M53" i="2"/>
  <c r="M103" i="2"/>
  <c r="M122" i="2" s="1"/>
  <c r="M97" i="2"/>
  <c r="M56" i="2" l="1"/>
  <c r="M59" i="2" s="1"/>
  <c r="M73" i="2"/>
  <c r="M75" i="2" s="1"/>
  <c r="M77" i="2" s="1"/>
  <c r="M80" i="2" s="1"/>
  <c r="M120" i="2"/>
  <c r="M119" i="2"/>
  <c r="M105" i="2"/>
  <c r="M123" i="2" l="1"/>
  <c r="M121" i="2"/>
  <c r="N79" i="2"/>
  <c r="M48" i="2"/>
  <c r="M51" i="2" s="1"/>
  <c r="M61" i="2" s="1"/>
  <c r="N87" i="2"/>
  <c r="N88" i="2" s="1"/>
  <c r="N91" i="2" s="1"/>
  <c r="N94" i="2" l="1"/>
  <c r="N95" i="2" s="1"/>
  <c r="N118" i="2" s="1"/>
  <c r="N97" i="2" l="1"/>
  <c r="N105" i="2" s="1"/>
  <c r="O93" i="2"/>
  <c r="N53" i="2"/>
  <c r="N103" i="2"/>
  <c r="N122" i="2" s="1"/>
  <c r="N73" i="2" l="1"/>
  <c r="N75" i="2" s="1"/>
  <c r="N77" i="2" s="1"/>
  <c r="N80" i="2" s="1"/>
  <c r="N56" i="2"/>
  <c r="N59" i="2" s="1"/>
  <c r="N120" i="2"/>
  <c r="N119" i="2"/>
  <c r="N123" i="2" l="1"/>
  <c r="N121" i="2"/>
  <c r="O87" i="2"/>
  <c r="O88" i="2" s="1"/>
  <c r="O91" i="2" s="1"/>
  <c r="O79" i="2"/>
  <c r="N48" i="2"/>
  <c r="N51" i="2" s="1"/>
  <c r="N61" i="2" s="1"/>
  <c r="O94" i="2" l="1"/>
  <c r="O95" i="2" s="1"/>
  <c r="O118" i="2" s="1"/>
  <c r="O97" i="2" l="1"/>
  <c r="O105" i="2" s="1"/>
  <c r="O53" i="2"/>
  <c r="O103" i="2"/>
  <c r="O122" i="2" s="1"/>
  <c r="O56" i="2" l="1"/>
  <c r="O59" i="2" s="1"/>
  <c r="O73" i="2"/>
  <c r="O75" i="2" s="1"/>
  <c r="O77" i="2" s="1"/>
  <c r="O80" i="2" s="1"/>
  <c r="O48" i="2" s="1"/>
  <c r="O51" i="2" s="1"/>
  <c r="O61" i="2" s="1"/>
  <c r="O119" i="2"/>
  <c r="O120" i="2"/>
  <c r="O121" i="2" l="1"/>
  <c r="O123" i="2"/>
</calcChain>
</file>

<file path=xl/sharedStrings.xml><?xml version="1.0" encoding="utf-8"?>
<sst xmlns="http://schemas.openxmlformats.org/spreadsheetml/2006/main" count="139" uniqueCount="113">
  <si>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</si>
  <si>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</si>
  <si>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</si>
  <si>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</si>
  <si>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</si>
  <si>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</si>
  <si>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</si>
  <si>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</si>
  <si>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</si>
  <si>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</si>
  <si>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</si>
  <si>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</si>
  <si>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</si>
  <si>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</si>
  <si>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</si>
  <si>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</si>
  <si>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</si>
  <si>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</si>
  <si>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</si>
  <si>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</si>
  <si>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</si>
  <si>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</si>
  <si>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</si>
  <si>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</si>
  <si>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</si>
  <si>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</si>
  <si>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</si>
  <si>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</si>
  <si>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</si>
  <si>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</si>
  <si>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</si>
  <si>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</si>
  <si>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</si>
  <si>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</si>
  <si>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</si>
  <si>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</si>
  <si>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</si>
  <si>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</si>
  <si>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</si>
  <si>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</si>
  <si>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</si>
  <si>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</si>
  <si>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</si>
  <si>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</si>
  <si>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</si>
  <si>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</si>
  <si>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</si>
  <si>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</si>
  <si>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</si>
  <si>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</si>
  <si>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</si>
  <si>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</si>
  <si>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</si>
  <si>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</si>
  <si>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</si>
  <si>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</si>
  <si>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</si>
  <si>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</si>
  <si>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</si>
  <si>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</si>
  <si>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</si>
  <si>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</si>
  <si>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Long term debt issuance / (repayment)</t>
  </si>
  <si>
    <t xml:space="preserve">Dividend payout </t>
  </si>
  <si>
    <t>Beginning long term assets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</si>
  <si>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</si>
  <si>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</si>
  <si>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</si>
  <si>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</si>
  <si>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</si>
  <si>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</si>
  <si>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</si>
  <si>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</si>
  <si>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</si>
  <si>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</si>
  <si>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</si>
  <si>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</si>
  <si>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</si>
  <si>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</si>
  <si>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</si>
  <si>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</si>
  <si>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</si>
  <si>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</si>
  <si>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</si>
  <si>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Interest on revolver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</si>
  <si>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</si>
  <si>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</si>
  <si>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</si>
  <si>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</si>
  <si>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</si>
  <si>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</si>
  <si>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</si>
  <si>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</si>
  <si>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</si>
  <si>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</si>
  <si>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</si>
  <si>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</si>
  <si>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</si>
  <si>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</si>
  <si>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</si>
  <si>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</si>
  <si>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</si>
  <si>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</si>
  <si>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</si>
  <si>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</si>
  <si>
    <t>Maintanence capex % revenues</t>
  </si>
  <si>
    <t>Maintanence capex</t>
  </si>
  <si>
    <t>Long term debt 1 issuance / (repayment)</t>
  </si>
  <si>
    <t>Long term debt 1 interest rate</t>
  </si>
  <si>
    <t>Beginning long term debt 1</t>
  </si>
  <si>
    <t>Ending long term debt 1</t>
  </si>
  <si>
    <t>Interest on long term debt 1</t>
  </si>
  <si>
    <t>Editing to introduce new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</si>
</sst>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</cellStyleXfs>
  <cellXfs count="89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0" fontId="0" fillId="0" borderId="0" xfId="57" applyFont="1" applyFill="1"/>
    <xf numFmtId="170" fontId="30" fillId="37" borderId="11" xfId="57" applyFont="1" applyFill="1" applyBorder="1" applyProtection="1">
      <protection locked="0"/>
    </xf>
    <xf numFmtId="170" fontId="30" fillId="37" borderId="11" xfId="61" applyNumberFormat="1">
      <protection locked="0"/>
    </xf>
    <xf numFmtId="172" fontId="30" fillId="37" borderId="11" xfId="61" applyNumberFormat="1">
      <protection locked="0"/>
    </xf>
    <xf numFmtId="169" fontId="0" fillId="0" borderId="0" xfId="56" applyFont="1"/>
    <xf numFmtId="168" fontId="3" fillId="0" borderId="0" xfId="54" applyFill="1">
      <alignment vertical="top"/>
    </xf>
    <xf numFmtId="170" fontId="30" fillId="0" borderId="11" xfId="57" applyFont="1" applyFill="1" applyBorder="1" applyProtection="1">
      <protection locked="0"/>
    </xf>
    <xf numFmtId="168" fontId="3" fillId="0" borderId="0" xfId="64" applyFill="1">
      <alignment vertical="top"/>
    </xf>
    <xf numFmtId="172" fontId="0" fillId="0" borderId="0" xfId="64" applyNumberFormat="1" applyFont="1" applyFill="1" applyAlignment="1"/>
    <xf numFmtId="168" fontId="4" fillId="0" borderId="0" xfId="50" applyNumberFormat="1" applyFill="1">
      <alignment horizontal="left" vertical="center"/>
    </xf>
    <xf numFmtId="172" fontId="30" fillId="0" borderId="0" xfId="64" applyNumberFormat="1" applyFont="1" applyFill="1" applyAlignment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163755</xdr:colOff>
      <xdr:row>0</xdr:row>
      <xdr:rowOff>468632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s="22" customFormat="1" ht="75" customHeight="1" x14ac:dyDescent="0.2">
      <c r="A2" s="80" t="s">
        <v>20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9"/>
      <c r="D4" s="7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81" t="s">
        <v>11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s="23" customFormat="1" ht="15" customHeight="1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14" s="23" customFormat="1" ht="15" customHeight="1" x14ac:dyDescent="0.2">
      <c r="A7" s="81" t="str">
        <f ca="1">"© "&amp;YEAR(TODAY())&amp;" Financial Edge Training "</f>
        <v xml:space="preserve">© 2022 Financial Edge Training 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82"/>
      <c r="H9" s="82"/>
      <c r="I9" s="82"/>
      <c r="J9" s="82"/>
      <c r="K9" s="28"/>
    </row>
    <row r="10" spans="1:14" s="23" customFormat="1" ht="15" customHeight="1" x14ac:dyDescent="0.2">
      <c r="B10" s="24"/>
      <c r="C10" s="24"/>
      <c r="F10" s="28"/>
      <c r="G10" s="82"/>
      <c r="H10" s="82"/>
      <c r="I10" s="82"/>
      <c r="J10" s="82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8"/>
      <c r="H12" s="78"/>
      <c r="I12" s="78"/>
      <c r="J12" s="78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8"/>
      <c r="H13" s="78"/>
      <c r="I13" s="78"/>
      <c r="J13" s="78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8"/>
      <c r="H14" s="78"/>
      <c r="I14" s="78"/>
      <c r="J14" s="78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8"/>
      <c r="H16" s="78"/>
      <c r="I16" s="78"/>
      <c r="J16" s="78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showGridLines="0" zoomScaleNormal="100" workbookViewId="0">
      <selection activeCell="A2" sqref="A2"/>
    </sheetView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4" t="s">
        <v>0</v>
      </c>
      <c r="C4" s="84"/>
      <c r="D4" s="84"/>
      <c r="E4" s="84"/>
      <c r="F4" s="84"/>
      <c r="G4" s="84"/>
      <c r="H4" s="84"/>
      <c r="I4" s="84"/>
      <c r="K4" s="1"/>
      <c r="L4" s="84" t="s">
        <v>2</v>
      </c>
      <c r="M4" s="84"/>
      <c r="N4" s="84"/>
      <c r="O4" s="84"/>
      <c r="P4" s="84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6" t="s">
        <v>95</v>
      </c>
      <c r="O5" s="86"/>
      <c r="P5" s="86"/>
      <c r="Q5" s="86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7">
        <v>42004</v>
      </c>
      <c r="O6" s="87"/>
      <c r="P6" s="87"/>
      <c r="Q6" s="87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6"/>
      <c r="O7" s="86"/>
      <c r="P7" s="86"/>
      <c r="Q7" s="86"/>
      <c r="R7" s="45"/>
    </row>
    <row r="8" spans="1:18" s="2" customFormat="1" ht="15" customHeight="1" x14ac:dyDescent="0.2">
      <c r="A8" s="18"/>
      <c r="B8" s="8" t="s">
        <v>1</v>
      </c>
      <c r="C8" s="18" t="s">
        <v>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6" t="s">
        <v>9</v>
      </c>
      <c r="O8" s="86"/>
      <c r="P8" s="86"/>
      <c r="Q8" s="86"/>
      <c r="R8" s="45"/>
    </row>
    <row r="9" spans="1:18" s="2" customFormat="1" ht="15" customHeight="1" x14ac:dyDescent="0.2">
      <c r="A9" s="43"/>
      <c r="B9" s="8" t="s">
        <v>1</v>
      </c>
      <c r="C9" s="18" t="s">
        <v>47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6" t="s">
        <v>10</v>
      </c>
      <c r="O9" s="86"/>
      <c r="P9" s="86"/>
      <c r="Q9" s="86"/>
      <c r="R9" s="45"/>
    </row>
    <row r="10" spans="1:18" s="2" customFormat="1" ht="15" customHeight="1" x14ac:dyDescent="0.2">
      <c r="A10" s="44"/>
      <c r="B10" s="8" t="s">
        <v>1</v>
      </c>
      <c r="C10" s="44" t="s">
        <v>112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8">
        <v>0</v>
      </c>
      <c r="O10" s="88"/>
      <c r="P10" s="88"/>
      <c r="Q10" s="88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5" t="s">
        <v>19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N13" s="1"/>
      <c r="O13" s="84" t="s">
        <v>14</v>
      </c>
      <c r="P13" s="84"/>
      <c r="Q13" s="84"/>
      <c r="R13" s="62"/>
    </row>
    <row r="14" spans="1:18" s="2" customFormat="1" ht="15" customHeight="1" x14ac:dyDescent="0.2">
      <c r="A14" s="60"/>
      <c r="B14" s="83" t="s">
        <v>45</v>
      </c>
      <c r="C14" s="83"/>
      <c r="D14" s="83" t="s">
        <v>24</v>
      </c>
      <c r="E14" s="83"/>
      <c r="F14" s="83"/>
      <c r="G14" s="83"/>
      <c r="H14" s="83"/>
      <c r="I14" s="83"/>
      <c r="J14" s="83"/>
      <c r="K14" s="83"/>
      <c r="L14" s="83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25"/>
  <sheetViews>
    <sheetView tabSelected="1" zoomScale="150" zoomScaleNormal="100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A20" sqref="A20:XFD20"/>
    </sheetView>
  </sheetViews>
  <sheetFormatPr baseColWidth="10" defaultColWidth="9.1640625" defaultRowHeight="15" customHeight="1" x14ac:dyDescent="0.2"/>
  <cols>
    <col min="1" max="1" width="1.5" style="15" customWidth="1"/>
    <col min="2" max="2" width="41.83203125" style="16" customWidth="1"/>
    <col min="3" max="15" width="11" customWidth="1"/>
    <col min="16" max="16" width="9.16406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tr">
        <f>Info!N5</f>
        <v>Workout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2">
      <c r="A4" s="15" t="s">
        <v>48</v>
      </c>
    </row>
    <row r="5" spans="1:15" ht="15" customHeight="1" x14ac:dyDescent="0.2">
      <c r="B5" s="16" t="s">
        <v>25</v>
      </c>
      <c r="D5" s="66">
        <f>D23/C23-1</f>
        <v>3.1959421642975938E-2</v>
      </c>
      <c r="E5" s="66">
        <f>E23/D23-1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C24*-1/C23</f>
        <v>0.86309334472834454</v>
      </c>
      <c r="D6" s="66">
        <f>D24*-1/D23</f>
        <v>0.85563651614997704</v>
      </c>
      <c r="E6" s="66">
        <f>E24*-1/E23</f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59</v>
      </c>
      <c r="C7" s="66">
        <f>C29*-1/C28</f>
        <v>0.36223824585794046</v>
      </c>
      <c r="D7" s="66">
        <f>D29*-1/D28</f>
        <v>0.4260968854006883</v>
      </c>
      <c r="E7" s="66">
        <f>E29*-1/E28</f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49</v>
      </c>
      <c r="D9" s="32"/>
    </row>
    <row r="10" spans="1:15" ht="15" customHeight="1" x14ac:dyDescent="0.2">
      <c r="B10" s="71" t="s">
        <v>99</v>
      </c>
      <c r="C10" s="32"/>
      <c r="D10" s="66">
        <f>D49/D23</f>
        <v>0.22126255587778429</v>
      </c>
      <c r="E10" s="66">
        <f>E49/E23</f>
        <v>0.22399843080206949</v>
      </c>
      <c r="F10" s="72">
        <v>0.223</v>
      </c>
      <c r="G10" s="67">
        <v>0.223</v>
      </c>
      <c r="H10" s="67">
        <v>0.223</v>
      </c>
      <c r="I10" s="67">
        <v>0.223</v>
      </c>
      <c r="J10" s="67">
        <v>0.223</v>
      </c>
      <c r="K10" s="67">
        <v>0.223</v>
      </c>
      <c r="L10" s="67">
        <v>0.223</v>
      </c>
      <c r="M10" s="67">
        <v>0.223</v>
      </c>
      <c r="N10" s="67">
        <v>0.223</v>
      </c>
      <c r="O10" s="67">
        <v>0.223</v>
      </c>
    </row>
    <row r="11" spans="1:15" ht="15" customHeight="1" x14ac:dyDescent="0.2">
      <c r="B11" s="16" t="s">
        <v>100</v>
      </c>
      <c r="D11" s="66">
        <f>D54/D23</f>
        <v>0.2534714344848919</v>
      </c>
      <c r="E11" s="66">
        <f>E54/E23</f>
        <v>0.28736564363447042</v>
      </c>
      <c r="F11" s="67">
        <v>0.27</v>
      </c>
      <c r="G11" s="67">
        <v>0.27</v>
      </c>
      <c r="H11" s="67">
        <v>0.27</v>
      </c>
      <c r="I11" s="67">
        <v>0.27</v>
      </c>
      <c r="J11" s="67">
        <v>0.27</v>
      </c>
      <c r="K11" s="67">
        <v>0.27</v>
      </c>
      <c r="L11" s="67">
        <v>0.27</v>
      </c>
      <c r="M11" s="67">
        <v>0.27</v>
      </c>
      <c r="N11" s="67">
        <v>0.27</v>
      </c>
      <c r="O11" s="67">
        <v>0.27</v>
      </c>
    </row>
    <row r="12" spans="1:15" ht="15" customHeight="1" x14ac:dyDescent="0.2">
      <c r="B12" s="16" t="s">
        <v>105</v>
      </c>
      <c r="D12" s="66">
        <f>274.114/D23</f>
        <v>3.748510620898609E-2</v>
      </c>
      <c r="E12" s="66">
        <f>280.779/E23</f>
        <v>3.6692024128117014E-2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2">
      <c r="B13" s="16" t="s">
        <v>65</v>
      </c>
      <c r="D13" s="66"/>
      <c r="E13" s="66">
        <f>383.996/D50</f>
        <v>6.5675110396050687E-2</v>
      </c>
      <c r="F13" s="68">
        <v>6.6000000000000003E-2</v>
      </c>
      <c r="G13" s="68">
        <v>6.6000000000000003E-2</v>
      </c>
      <c r="H13" s="68">
        <v>6.6000000000000003E-2</v>
      </c>
      <c r="I13" s="68">
        <v>6.6000000000000003E-2</v>
      </c>
      <c r="J13" s="68">
        <v>6.6000000000000003E-2</v>
      </c>
      <c r="K13" s="68">
        <v>6.6000000000000003E-2</v>
      </c>
      <c r="L13" s="68">
        <v>6.6000000000000003E-2</v>
      </c>
      <c r="M13" s="68">
        <v>6.6000000000000003E-2</v>
      </c>
      <c r="N13" s="68">
        <v>6.6000000000000003E-2</v>
      </c>
      <c r="O13" s="68">
        <v>6.6000000000000003E-2</v>
      </c>
    </row>
    <row r="14" spans="1:15" ht="15" customHeight="1" x14ac:dyDescent="0.2">
      <c r="B14" s="16" t="s">
        <v>63</v>
      </c>
      <c r="D14" s="66">
        <f>216.855/D30</f>
        <v>0.39509931458180753</v>
      </c>
      <c r="E14" s="66">
        <f>156.129/E30</f>
        <v>0.24168014674581853</v>
      </c>
      <c r="F14" s="68">
        <v>0.32</v>
      </c>
      <c r="G14" s="68">
        <v>0.32</v>
      </c>
      <c r="H14" s="68">
        <v>0.32</v>
      </c>
      <c r="I14" s="68">
        <v>0.32</v>
      </c>
      <c r="J14" s="68">
        <v>0.32</v>
      </c>
      <c r="K14" s="68">
        <v>0.32</v>
      </c>
      <c r="L14" s="68">
        <v>0.32</v>
      </c>
      <c r="M14" s="68">
        <v>0.32</v>
      </c>
      <c r="N14" s="68">
        <v>0.32</v>
      </c>
      <c r="O14" s="68">
        <v>0.32</v>
      </c>
    </row>
    <row r="15" spans="1:15" ht="15" customHeight="1" x14ac:dyDescent="0.2">
      <c r="A15" s="64"/>
    </row>
    <row r="16" spans="1:15" ht="15" customHeight="1" x14ac:dyDescent="0.2">
      <c r="A16" s="15" t="s">
        <v>56</v>
      </c>
    </row>
    <row r="17" spans="1:15" ht="15" customHeight="1" x14ac:dyDescent="0.2">
      <c r="B17" s="16" t="s">
        <v>107</v>
      </c>
      <c r="D17" s="66"/>
      <c r="E17" s="66"/>
      <c r="F17" s="69">
        <f>-(626.788+28.72)</f>
        <v>-655.50800000000004</v>
      </c>
      <c r="G17" s="69">
        <v>-21.841999999999999</v>
      </c>
      <c r="H17" s="69">
        <v>-91.188999999999993</v>
      </c>
      <c r="I17" s="69">
        <v>-105.428</v>
      </c>
      <c r="J17" s="69">
        <f>-1441.236*(75+500)/1525</f>
        <v>-543.41685245901647</v>
      </c>
      <c r="K17" s="69">
        <f>-1441.236*(50+50)/1525</f>
        <v>-94.507278688524593</v>
      </c>
      <c r="L17" s="69">
        <f>-1441.236*350/1525</f>
        <v>-330.77547540983608</v>
      </c>
      <c r="M17" s="69">
        <v>0</v>
      </c>
      <c r="N17" s="69">
        <v>0</v>
      </c>
      <c r="O17" s="69">
        <f>-1441.236*500/1525</f>
        <v>-472.53639344262297</v>
      </c>
    </row>
    <row r="18" spans="1:15" ht="15" customHeight="1" x14ac:dyDescent="0.2">
      <c r="B18" s="16" t="s">
        <v>76</v>
      </c>
      <c r="F18" s="68">
        <v>0.02</v>
      </c>
      <c r="G18" s="68">
        <v>0.02</v>
      </c>
      <c r="H18" s="68">
        <v>0.02</v>
      </c>
      <c r="I18" s="68">
        <v>0.02</v>
      </c>
      <c r="J18" s="68">
        <v>0.02</v>
      </c>
      <c r="K18" s="68">
        <v>0.02</v>
      </c>
      <c r="L18" s="68">
        <v>0.02</v>
      </c>
      <c r="M18" s="68">
        <v>0.02</v>
      </c>
      <c r="N18" s="68">
        <v>0.02</v>
      </c>
      <c r="O18" s="68">
        <v>0.02</v>
      </c>
    </row>
    <row r="19" spans="1:15" ht="15" customHeight="1" x14ac:dyDescent="0.2">
      <c r="B19" s="16" t="s">
        <v>108</v>
      </c>
      <c r="F19" s="68">
        <v>0.04</v>
      </c>
      <c r="G19" s="68">
        <v>0.04</v>
      </c>
      <c r="H19" s="68">
        <v>0.04</v>
      </c>
      <c r="I19" s="68">
        <v>0.04</v>
      </c>
      <c r="J19" s="68">
        <v>0.04</v>
      </c>
      <c r="K19" s="68">
        <v>0.04</v>
      </c>
      <c r="L19" s="68">
        <v>0.04</v>
      </c>
      <c r="M19" s="68">
        <v>0.04</v>
      </c>
      <c r="N19" s="68">
        <v>0.04</v>
      </c>
      <c r="O19" s="68">
        <v>0.04</v>
      </c>
    </row>
    <row r="20" spans="1:15" ht="15" customHeight="1" x14ac:dyDescent="0.2">
      <c r="B20" s="16" t="s">
        <v>75</v>
      </c>
      <c r="F20" s="68">
        <v>5.0000000000000001E-3</v>
      </c>
      <c r="G20" s="68">
        <v>5.0000000000000001E-3</v>
      </c>
      <c r="H20" s="68">
        <v>5.0000000000000001E-3</v>
      </c>
      <c r="I20" s="68">
        <v>5.0000000000000001E-3</v>
      </c>
      <c r="J20" s="68">
        <v>5.0000000000000001E-3</v>
      </c>
      <c r="K20" s="68">
        <v>5.0000000000000001E-3</v>
      </c>
      <c r="L20" s="68">
        <v>5.0000000000000001E-3</v>
      </c>
      <c r="M20" s="68">
        <v>5.0000000000000001E-3</v>
      </c>
      <c r="N20" s="68">
        <v>5.0000000000000001E-3</v>
      </c>
      <c r="O20" s="68">
        <v>5.0000000000000001E-3</v>
      </c>
    </row>
    <row r="21" spans="1:15" ht="15" customHeight="1" x14ac:dyDescent="0.2">
      <c r="A21" s="64"/>
    </row>
    <row r="22" spans="1:15" ht="15" customHeight="1" x14ac:dyDescent="0.2">
      <c r="A22" s="15" t="s">
        <v>27</v>
      </c>
    </row>
    <row r="23" spans="1:15" ht="15" customHeight="1" x14ac:dyDescent="0.2">
      <c r="B23" s="16" t="s">
        <v>28</v>
      </c>
      <c r="C23" s="65">
        <v>7086.1419999999998</v>
      </c>
      <c r="D23" s="65">
        <v>7312.6109999999999</v>
      </c>
      <c r="E23" s="65">
        <v>7652.317</v>
      </c>
      <c r="F23">
        <f>E23*(1+F5)</f>
        <v>8800.1645499999995</v>
      </c>
      <c r="G23">
        <f>F23*(1+G5)</f>
        <v>9328.1744230000004</v>
      </c>
      <c r="H23">
        <f>G23*(1+H5)</f>
        <v>9887.8648883800015</v>
      </c>
      <c r="I23">
        <f>H23*(1+I5)</f>
        <v>10481.136781682802</v>
      </c>
      <c r="J23">
        <f>I23*(1+J5)</f>
        <v>11110.004988583771</v>
      </c>
      <c r="K23">
        <f>J23*(1+K5)</f>
        <v>11665.50523801296</v>
      </c>
      <c r="L23">
        <f>K23*(1+L5)</f>
        <v>12248.780499913608</v>
      </c>
      <c r="M23">
        <f>L23*(1+M5)</f>
        <v>12799.97562240972</v>
      </c>
      <c r="N23">
        <f>M23*(1+N5)</f>
        <v>13311.97464730611</v>
      </c>
      <c r="O23">
        <f>N23*(1+O5)</f>
        <v>13844.453633198355</v>
      </c>
    </row>
    <row r="24" spans="1:15" ht="15" customHeight="1" x14ac:dyDescent="0.2">
      <c r="B24" s="16" t="s">
        <v>29</v>
      </c>
      <c r="C24" s="65">
        <f>(2435.993+3680.009)*-1</f>
        <v>-6116.0020000000004</v>
      </c>
      <c r="D24" s="65">
        <f>(2524.006+3732.931)*-1</f>
        <v>-6256.9369999999999</v>
      </c>
      <c r="E24" s="65">
        <f>(2574.685+3920.019)*-1</f>
        <v>-6494.7039999999997</v>
      </c>
      <c r="F24">
        <f>F6*F23*-1</f>
        <v>-7480.1398674999991</v>
      </c>
      <c r="G24">
        <f>G6*G23*-1</f>
        <v>-7928.9482595500003</v>
      </c>
      <c r="H24">
        <f>H6*H23*-1</f>
        <v>-8404.6851551230011</v>
      </c>
      <c r="I24">
        <f>I6*I23*-1</f>
        <v>-8908.9662644303826</v>
      </c>
      <c r="J24">
        <f>J6*J23*-1</f>
        <v>-9443.5042402962044</v>
      </c>
      <c r="K24">
        <f>K6*K23*-1</f>
        <v>-9915.6794523110166</v>
      </c>
      <c r="L24">
        <f>L6*L23*-1</f>
        <v>-10411.463424926567</v>
      </c>
      <c r="M24">
        <f>M6*M23*-1</f>
        <v>-10879.979279048262</v>
      </c>
      <c r="N24">
        <f>N6*N23*-1</f>
        <v>-11315.178450210193</v>
      </c>
      <c r="O24">
        <f>O6*O23*-1</f>
        <v>-11767.785588218601</v>
      </c>
    </row>
    <row r="25" spans="1:15" ht="15" customHeight="1" x14ac:dyDescent="0.2">
      <c r="B25" s="16" t="s">
        <v>51</v>
      </c>
      <c r="C25">
        <f>SUM(C23:C24)</f>
        <v>970.13999999999942</v>
      </c>
      <c r="D25">
        <f t="shared" ref="D25:E25" si="1">SUM(D23:D24)</f>
        <v>1055.674</v>
      </c>
      <c r="E25">
        <f t="shared" si="1"/>
        <v>1157.6130000000003</v>
      </c>
      <c r="F25">
        <f t="shared" ref="F25" si="2">SUM(F23:F24)</f>
        <v>1320.0246825000004</v>
      </c>
      <c r="G25">
        <f t="shared" ref="G25" si="3">SUM(G23:G24)</f>
        <v>1399.2261634500001</v>
      </c>
      <c r="H25">
        <f t="shared" ref="H25" si="4">SUM(H23:H24)</f>
        <v>1483.1797332570004</v>
      </c>
      <c r="I25">
        <f t="shared" ref="I25" si="5">SUM(I23:I24)</f>
        <v>1572.1705172524198</v>
      </c>
      <c r="J25">
        <f t="shared" ref="J25" si="6">SUM(J23:J24)</f>
        <v>1666.5007482875662</v>
      </c>
      <c r="K25">
        <f t="shared" ref="K25" si="7">SUM(K23:K24)</f>
        <v>1749.8257857019435</v>
      </c>
      <c r="L25">
        <f t="shared" ref="L25" si="8">SUM(L23:L24)</f>
        <v>1837.3170749870405</v>
      </c>
      <c r="M25">
        <f t="shared" ref="M25" si="9">SUM(M23:M24)</f>
        <v>1919.9963433614575</v>
      </c>
      <c r="N25">
        <f t="shared" ref="N25" si="10">SUM(N23:N24)</f>
        <v>1996.7961970959168</v>
      </c>
      <c r="O25">
        <f t="shared" ref="O25" si="11">SUM(O23:O24)</f>
        <v>2076.6680449797532</v>
      </c>
    </row>
    <row r="26" spans="1:15" ht="15" customHeight="1" x14ac:dyDescent="0.2">
      <c r="B26" s="16" t="s">
        <v>52</v>
      </c>
      <c r="C26" s="65">
        <v>18.91</v>
      </c>
      <c r="D26" s="65">
        <v>10.071999999999999</v>
      </c>
      <c r="E26" s="65">
        <f>11.672+0.455</f>
        <v>12.127000000000001</v>
      </c>
      <c r="F26">
        <f>IF(switch=1,F105,0)</f>
        <v>0</v>
      </c>
      <c r="G26">
        <f t="shared" ref="G26:O26" si="12">IF(switch=1,G105,0)</f>
        <v>0</v>
      </c>
      <c r="H26">
        <f t="shared" si="12"/>
        <v>0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</row>
    <row r="27" spans="1:15" s="32" customFormat="1" ht="15" customHeight="1" x14ac:dyDescent="0.2">
      <c r="A27" s="75"/>
      <c r="B27" s="73" t="s">
        <v>53</v>
      </c>
      <c r="C27" s="76">
        <f>(138.14+6.463)*-1</f>
        <v>-144.60299999999998</v>
      </c>
      <c r="D27" s="76">
        <f>(102.132+7.247)*-1</f>
        <v>-109.379</v>
      </c>
      <c r="E27" s="76">
        <f>109.659*-1</f>
        <v>-109.65900000000001</v>
      </c>
      <c r="F27" s="74">
        <f>IF(switch=1,F103+F104,0)*-1</f>
        <v>0</v>
      </c>
      <c r="G27" s="74">
        <f>IF(switch=1,G103+G104,0)*-1</f>
        <v>0</v>
      </c>
      <c r="H27" s="74">
        <f>IF(switch=1,H103+H104,0)*-1</f>
        <v>0</v>
      </c>
      <c r="I27" s="74">
        <f>IF(switch=1,I103+I104,0)*-1</f>
        <v>0</v>
      </c>
      <c r="J27" s="74">
        <f>IF(switch=1,J103+J104,0)*-1</f>
        <v>0</v>
      </c>
      <c r="K27" s="74">
        <f>IF(switch=1,K103+K104,0)*-1</f>
        <v>0</v>
      </c>
      <c r="L27" s="74">
        <f>IF(switch=1,L103+L104,0)*-1</f>
        <v>0</v>
      </c>
      <c r="M27" s="74">
        <f>IF(switch=1,M103+M104,0)*-1</f>
        <v>0</v>
      </c>
      <c r="N27" s="74">
        <f>IF(switch=1,N103+N104,0)*-1</f>
        <v>0</v>
      </c>
      <c r="O27" s="74">
        <f>IF(switch=1,O103+O104,0)*-1</f>
        <v>0</v>
      </c>
    </row>
    <row r="28" spans="1:15" ht="15" customHeight="1" x14ac:dyDescent="0.2">
      <c r="B28" s="16" t="s">
        <v>54</v>
      </c>
      <c r="C28">
        <f>SUM(C25:C27)</f>
        <v>844.44699999999943</v>
      </c>
      <c r="D28">
        <f t="shared" ref="D28:E28" si="13">SUM(D25:D27)</f>
        <v>956.36699999999985</v>
      </c>
      <c r="E28">
        <f t="shared" si="13"/>
        <v>1060.0810000000001</v>
      </c>
      <c r="F28">
        <f>SUM(F25:F27)</f>
        <v>1320.0246825000004</v>
      </c>
      <c r="G28">
        <f t="shared" ref="G28" si="14">SUM(G25:G27)</f>
        <v>1399.2261634500001</v>
      </c>
      <c r="H28">
        <f t="shared" ref="H28" si="15">SUM(H25:H27)</f>
        <v>1483.1797332570004</v>
      </c>
      <c r="I28">
        <f t="shared" ref="I28" si="16">SUM(I25:I27)</f>
        <v>1572.1705172524198</v>
      </c>
      <c r="J28">
        <f t="shared" ref="J28" si="17">SUM(J25:J27)</f>
        <v>1666.5007482875662</v>
      </c>
      <c r="K28">
        <f t="shared" ref="K28" si="18">SUM(K25:K27)</f>
        <v>1749.8257857019435</v>
      </c>
      <c r="L28">
        <f t="shared" ref="L28" si="19">SUM(L25:L27)</f>
        <v>1837.3170749870405</v>
      </c>
      <c r="M28">
        <f t="shared" ref="M28" si="20">SUM(M25:M27)</f>
        <v>1919.9963433614575</v>
      </c>
      <c r="N28">
        <f t="shared" ref="N28" si="21">SUM(N25:N27)</f>
        <v>1996.7961970959168</v>
      </c>
      <c r="O28">
        <f t="shared" ref="O28" si="22">SUM(O25:O27)</f>
        <v>2076.6680449797532</v>
      </c>
    </row>
    <row r="29" spans="1:15" ht="15" customHeight="1" x14ac:dyDescent="0.2">
      <c r="B29" s="16" t="s">
        <v>30</v>
      </c>
      <c r="C29" s="65">
        <f>305.891*-1</f>
        <v>-305.89100000000002</v>
      </c>
      <c r="D29" s="65">
        <f>407.505*-1</f>
        <v>-407.505</v>
      </c>
      <c r="E29" s="65">
        <f>414.066*-1</f>
        <v>-414.06599999999997</v>
      </c>
      <c r="F29">
        <f>F7*F28*-1</f>
        <v>-475.20888570000011</v>
      </c>
      <c r="G29">
        <f>G7*G28*-1</f>
        <v>-503.72141884199999</v>
      </c>
      <c r="H29">
        <f>H7*H28*-1</f>
        <v>-533.94470397252007</v>
      </c>
      <c r="I29">
        <f>I7*I28*-1</f>
        <v>-565.98138621087116</v>
      </c>
      <c r="J29">
        <f>J7*J28*-1</f>
        <v>-599.94026938352386</v>
      </c>
      <c r="K29">
        <f>K7*K28*-1</f>
        <v>-629.93728285269958</v>
      </c>
      <c r="L29">
        <f>L7*L28*-1</f>
        <v>-661.43414699533457</v>
      </c>
      <c r="M29">
        <f>M7*M28*-1</f>
        <v>-691.1986836101247</v>
      </c>
      <c r="N29">
        <f>N7*N28*-1</f>
        <v>-718.84663095453004</v>
      </c>
      <c r="O29">
        <f>O7*O28*-1</f>
        <v>-747.60049619271115</v>
      </c>
    </row>
    <row r="30" spans="1:15" ht="15" customHeight="1" x14ac:dyDescent="0.2">
      <c r="B30" s="16" t="s">
        <v>31</v>
      </c>
      <c r="C30">
        <f>SUM(C28:C29)</f>
        <v>538.55599999999936</v>
      </c>
      <c r="D30">
        <f t="shared" ref="D30:E30" si="23">SUM(D28:D29)</f>
        <v>548.86199999999985</v>
      </c>
      <c r="E30">
        <f t="shared" si="23"/>
        <v>646.0150000000001</v>
      </c>
      <c r="F30">
        <f t="shared" ref="F30" si="24">SUM(F28:F29)</f>
        <v>844.81579680000027</v>
      </c>
      <c r="G30">
        <f t="shared" ref="G30" si="25">SUM(G28:G29)</f>
        <v>895.50474460800001</v>
      </c>
      <c r="H30">
        <f t="shared" ref="H30" si="26">SUM(H28:H29)</f>
        <v>949.23502928448033</v>
      </c>
      <c r="I30">
        <f t="shared" ref="I30" si="27">SUM(I28:I29)</f>
        <v>1006.1891310415486</v>
      </c>
      <c r="J30">
        <f t="shared" ref="J30" si="28">SUM(J28:J29)</f>
        <v>1066.5604789040424</v>
      </c>
      <c r="K30">
        <f t="shared" ref="K30" si="29">SUM(K28:K29)</f>
        <v>1119.8885028492439</v>
      </c>
      <c r="L30">
        <f t="shared" ref="L30" si="30">SUM(L28:L29)</f>
        <v>1175.8829279917059</v>
      </c>
      <c r="M30">
        <f t="shared" ref="M30" si="31">SUM(M28:M29)</f>
        <v>1228.797659751333</v>
      </c>
      <c r="N30">
        <f t="shared" ref="N30" si="32">SUM(N28:N29)</f>
        <v>1277.9495661413866</v>
      </c>
      <c r="O30">
        <f t="shared" ref="O30" si="33">SUM(O28:O29)</f>
        <v>1329.0675487870421</v>
      </c>
    </row>
    <row r="32" spans="1:15" ht="15" customHeight="1" x14ac:dyDescent="0.2">
      <c r="A32" s="15" t="s">
        <v>104</v>
      </c>
    </row>
    <row r="33" spans="1:15" ht="15" customHeight="1" x14ac:dyDescent="0.2">
      <c r="B33" s="16" t="s">
        <v>64</v>
      </c>
      <c r="F33">
        <f>E36</f>
        <v>6426.6030000000001</v>
      </c>
      <c r="G33">
        <f t="shared" ref="G33:O33" si="34">F36</f>
        <v>6328.0532903500007</v>
      </c>
      <c r="H33">
        <f t="shared" si="34"/>
        <v>6255.5442268379011</v>
      </c>
      <c r="I33">
        <f t="shared" si="34"/>
        <v>6208.529308736659</v>
      </c>
      <c r="J33">
        <f t="shared" si="34"/>
        <v>6186.5684352823037</v>
      </c>
      <c r="K33">
        <f t="shared" si="34"/>
        <v>6189.3251031312711</v>
      </c>
      <c r="L33">
        <f t="shared" si="34"/>
        <v>6212.4533401310864</v>
      </c>
      <c r="M33">
        <f t="shared" si="34"/>
        <v>6255.6362981792381</v>
      </c>
      <c r="N33">
        <f t="shared" si="34"/>
        <v>6316.3634005285685</v>
      </c>
      <c r="O33">
        <f t="shared" si="34"/>
        <v>6392.0264780440084</v>
      </c>
    </row>
    <row r="34" spans="1:15" ht="15" customHeight="1" x14ac:dyDescent="0.2">
      <c r="B34" s="73" t="s">
        <v>106</v>
      </c>
      <c r="C34" s="74"/>
      <c r="D34" s="74"/>
      <c r="E34" s="74"/>
      <c r="F34" s="74">
        <f>F12*F23</f>
        <v>325.60608834999999</v>
      </c>
      <c r="G34" s="74">
        <f>G12*G23</f>
        <v>345.14245365099998</v>
      </c>
      <c r="H34" s="74">
        <f>H12*H23</f>
        <v>365.85100087006003</v>
      </c>
      <c r="I34" s="74">
        <f>I12*I23</f>
        <v>387.80206092226365</v>
      </c>
      <c r="J34" s="74">
        <f>J12*J23</f>
        <v>411.07018457759949</v>
      </c>
      <c r="K34" s="74">
        <f>K12*K23</f>
        <v>431.62369380647948</v>
      </c>
      <c r="L34" s="74">
        <f>L12*L23</f>
        <v>453.20487849680347</v>
      </c>
      <c r="M34" s="74">
        <f>M12*M23</f>
        <v>473.59909802915962</v>
      </c>
      <c r="N34" s="74">
        <f>N12*N23</f>
        <v>492.54306195032603</v>
      </c>
      <c r="O34" s="74">
        <f>O12*O23</f>
        <v>512.24478442833913</v>
      </c>
    </row>
    <row r="35" spans="1:15" ht="15" customHeight="1" x14ac:dyDescent="0.2">
      <c r="B35" s="16" t="s">
        <v>66</v>
      </c>
      <c r="F35">
        <f>F13*F33*-1</f>
        <v>-424.155798</v>
      </c>
      <c r="G35">
        <f>G13*G33*-1</f>
        <v>-417.65151716310004</v>
      </c>
      <c r="H35">
        <f>H13*H33*-1</f>
        <v>-412.86591897130148</v>
      </c>
      <c r="I35">
        <f>I13*I33*-1</f>
        <v>-409.76293437661951</v>
      </c>
      <c r="J35">
        <f>J13*J33*-1</f>
        <v>-408.31351672863207</v>
      </c>
      <c r="K35">
        <f>K13*K33*-1</f>
        <v>-408.49545680666392</v>
      </c>
      <c r="L35">
        <f>L13*L33*-1</f>
        <v>-410.02192044865171</v>
      </c>
      <c r="M35">
        <f>M13*M33*-1</f>
        <v>-412.87199567982975</v>
      </c>
      <c r="N35">
        <f>N13*N33*-1</f>
        <v>-416.87998443488556</v>
      </c>
      <c r="O35">
        <f>O13*O33*-1</f>
        <v>-421.87374755090457</v>
      </c>
    </row>
    <row r="36" spans="1:15" ht="15" customHeight="1" x14ac:dyDescent="0.2">
      <c r="B36" s="16" t="s">
        <v>67</v>
      </c>
      <c r="E36">
        <f>E50</f>
        <v>6426.6030000000001</v>
      </c>
      <c r="F36">
        <f t="shared" ref="F36:O36" si="35">SUM(F33:F35)</f>
        <v>6328.0532903500007</v>
      </c>
      <c r="G36">
        <f t="shared" si="35"/>
        <v>6255.5442268379011</v>
      </c>
      <c r="H36">
        <f t="shared" si="35"/>
        <v>6208.529308736659</v>
      </c>
      <c r="I36">
        <f t="shared" si="35"/>
        <v>6186.5684352823037</v>
      </c>
      <c r="J36">
        <f t="shared" si="35"/>
        <v>6189.3251031312711</v>
      </c>
      <c r="K36">
        <f t="shared" si="35"/>
        <v>6212.4533401310864</v>
      </c>
      <c r="L36">
        <f t="shared" si="35"/>
        <v>6255.6362981792381</v>
      </c>
      <c r="M36">
        <f t="shared" si="35"/>
        <v>6316.3634005285685</v>
      </c>
      <c r="N36">
        <f t="shared" si="35"/>
        <v>6392.0264780440084</v>
      </c>
      <c r="O36">
        <f t="shared" si="35"/>
        <v>6482.397514921443</v>
      </c>
    </row>
    <row r="38" spans="1:15" ht="15" customHeight="1" x14ac:dyDescent="0.2">
      <c r="B38" s="16" t="s">
        <v>68</v>
      </c>
      <c r="F38">
        <f>E41</f>
        <v>4928.7780000000002</v>
      </c>
      <c r="G38">
        <f t="shared" ref="G38:O38" si="36">F41</f>
        <v>5503.2527418240006</v>
      </c>
      <c r="H38">
        <f t="shared" si="36"/>
        <v>6112.1959681574408</v>
      </c>
      <c r="I38">
        <f t="shared" si="36"/>
        <v>6757.6757880708874</v>
      </c>
      <c r="J38">
        <f t="shared" si="36"/>
        <v>7441.8843971791403</v>
      </c>
      <c r="K38">
        <f t="shared" si="36"/>
        <v>8167.1455228338882</v>
      </c>
      <c r="L38">
        <f t="shared" si="36"/>
        <v>8928.6697047713733</v>
      </c>
      <c r="M38">
        <f t="shared" si="36"/>
        <v>9728.2700958057339</v>
      </c>
      <c r="N38">
        <f t="shared" si="36"/>
        <v>10563.852504436642</v>
      </c>
      <c r="O38">
        <f t="shared" si="36"/>
        <v>11432.858209412785</v>
      </c>
    </row>
    <row r="39" spans="1:15" ht="15" customHeight="1" x14ac:dyDescent="0.2">
      <c r="B39" s="16" t="s">
        <v>31</v>
      </c>
      <c r="F39">
        <f t="shared" ref="F39:O39" si="37">F30</f>
        <v>844.81579680000027</v>
      </c>
      <c r="G39">
        <f t="shared" si="37"/>
        <v>895.50474460800001</v>
      </c>
      <c r="H39">
        <f t="shared" si="37"/>
        <v>949.23502928448033</v>
      </c>
      <c r="I39">
        <f t="shared" si="37"/>
        <v>1006.1891310415486</v>
      </c>
      <c r="J39">
        <f t="shared" si="37"/>
        <v>1066.5604789040424</v>
      </c>
      <c r="K39">
        <f t="shared" si="37"/>
        <v>1119.8885028492439</v>
      </c>
      <c r="L39">
        <f t="shared" si="37"/>
        <v>1175.8829279917059</v>
      </c>
      <c r="M39">
        <f t="shared" si="37"/>
        <v>1228.797659751333</v>
      </c>
      <c r="N39">
        <f t="shared" si="37"/>
        <v>1277.9495661413866</v>
      </c>
      <c r="O39">
        <f t="shared" si="37"/>
        <v>1329.0675487870421</v>
      </c>
    </row>
    <row r="40" spans="1:15" ht="15" customHeight="1" x14ac:dyDescent="0.2">
      <c r="B40" s="16" t="s">
        <v>69</v>
      </c>
      <c r="F40">
        <f>F14*F30*-1</f>
        <v>-270.34105497600007</v>
      </c>
      <c r="G40">
        <f>G14*G30*-1</f>
        <v>-286.56151827456</v>
      </c>
      <c r="H40">
        <f>H14*H30*-1</f>
        <v>-303.75520937103369</v>
      </c>
      <c r="I40">
        <f>I14*I30*-1</f>
        <v>-321.98052193329556</v>
      </c>
      <c r="J40">
        <f>J14*J30*-1</f>
        <v>-341.29935324929357</v>
      </c>
      <c r="K40">
        <f>K14*K30*-1</f>
        <v>-358.36432091175806</v>
      </c>
      <c r="L40">
        <f>L14*L30*-1</f>
        <v>-376.28253695734588</v>
      </c>
      <c r="M40">
        <f>M14*M30*-1</f>
        <v>-393.21525112042656</v>
      </c>
      <c r="N40">
        <f>N14*N30*-1</f>
        <v>-408.94386116524373</v>
      </c>
      <c r="O40">
        <f>O14*O30*-1</f>
        <v>-425.30161561185349</v>
      </c>
    </row>
    <row r="41" spans="1:15" ht="15" customHeight="1" x14ac:dyDescent="0.2">
      <c r="B41" s="16" t="s">
        <v>70</v>
      </c>
      <c r="E41">
        <f>E58</f>
        <v>4928.7780000000002</v>
      </c>
      <c r="F41">
        <f>SUM(F38:F40)</f>
        <v>5503.2527418240006</v>
      </c>
      <c r="G41">
        <f t="shared" ref="G41:O41" si="38">SUM(G38:G40)</f>
        <v>6112.1959681574408</v>
      </c>
      <c r="H41">
        <f t="shared" si="38"/>
        <v>6757.6757880708874</v>
      </c>
      <c r="I41">
        <f t="shared" si="38"/>
        <v>7441.8843971791403</v>
      </c>
      <c r="J41">
        <f t="shared" si="38"/>
        <v>8167.1455228338882</v>
      </c>
      <c r="K41">
        <f t="shared" si="38"/>
        <v>8928.6697047713733</v>
      </c>
      <c r="L41">
        <f t="shared" si="38"/>
        <v>9728.2700958057339</v>
      </c>
      <c r="M41">
        <f t="shared" si="38"/>
        <v>10563.852504436642</v>
      </c>
      <c r="N41">
        <f t="shared" si="38"/>
        <v>11432.858209412785</v>
      </c>
      <c r="O41">
        <f t="shared" si="38"/>
        <v>12336.624142587974</v>
      </c>
    </row>
    <row r="43" spans="1:15" ht="15" customHeight="1" x14ac:dyDescent="0.2">
      <c r="B43" s="16" t="str">
        <f>B49</f>
        <v>Operating current assets</v>
      </c>
      <c r="D43">
        <f t="shared" ref="D43:O43" si="39">D49</f>
        <v>1618.0070000000001</v>
      </c>
      <c r="E43">
        <f t="shared" si="39"/>
        <v>1714.107</v>
      </c>
      <c r="F43">
        <f t="shared" si="39"/>
        <v>1962.4366946499999</v>
      </c>
      <c r="G43">
        <f t="shared" si="39"/>
        <v>2080.182896329</v>
      </c>
      <c r="H43">
        <f t="shared" si="39"/>
        <v>2204.9938701087403</v>
      </c>
      <c r="I43">
        <f t="shared" si="39"/>
        <v>2337.293502315265</v>
      </c>
      <c r="J43">
        <f t="shared" si="39"/>
        <v>2477.5311124541809</v>
      </c>
      <c r="K43">
        <f t="shared" si="39"/>
        <v>2601.4076680768903</v>
      </c>
      <c r="L43">
        <f t="shared" si="39"/>
        <v>2731.4780514807344</v>
      </c>
      <c r="M43">
        <f t="shared" si="39"/>
        <v>2854.3945637973675</v>
      </c>
      <c r="N43">
        <f t="shared" si="39"/>
        <v>2968.5703463492623</v>
      </c>
      <c r="O43">
        <f t="shared" si="39"/>
        <v>3087.3131602032331</v>
      </c>
    </row>
    <row r="44" spans="1:15" ht="15" customHeight="1" x14ac:dyDescent="0.2">
      <c r="B44" s="16" t="str">
        <f>B54</f>
        <v>Operating current liabilities</v>
      </c>
      <c r="D44">
        <f>D54*-1</f>
        <v>-1853.538</v>
      </c>
      <c r="E44">
        <f t="shared" ref="E44:O44" si="40">E54*-1</f>
        <v>-2199.0129999999999</v>
      </c>
      <c r="F44">
        <f t="shared" si="40"/>
        <v>-2376.0444284999999</v>
      </c>
      <c r="G44">
        <f t="shared" si="40"/>
        <v>-2518.6070942100005</v>
      </c>
      <c r="H44">
        <f t="shared" si="40"/>
        <v>-2669.7235198626004</v>
      </c>
      <c r="I44">
        <f t="shared" si="40"/>
        <v>-2829.9069310543568</v>
      </c>
      <c r="J44">
        <f t="shared" si="40"/>
        <v>-2999.7013469176181</v>
      </c>
      <c r="K44">
        <f t="shared" si="40"/>
        <v>-3149.6864142634995</v>
      </c>
      <c r="L44">
        <f t="shared" si="40"/>
        <v>-3307.1707349766743</v>
      </c>
      <c r="M44">
        <f t="shared" si="40"/>
        <v>-3455.9934180506248</v>
      </c>
      <c r="N44">
        <f t="shared" si="40"/>
        <v>-3594.2331547726499</v>
      </c>
      <c r="O44">
        <f t="shared" si="40"/>
        <v>-3738.0024809635561</v>
      </c>
    </row>
    <row r="45" spans="1:15" ht="15" customHeight="1" x14ac:dyDescent="0.2">
      <c r="B45" s="16" t="s">
        <v>71</v>
      </c>
      <c r="D45">
        <f>SUM(D43:D44)</f>
        <v>-235.53099999999995</v>
      </c>
      <c r="E45">
        <f t="shared" ref="E45:O45" si="41">SUM(E43:E44)</f>
        <v>-484.90599999999995</v>
      </c>
      <c r="F45">
        <f t="shared" si="41"/>
        <v>-413.60773384999993</v>
      </c>
      <c r="G45">
        <f t="shared" si="41"/>
        <v>-438.42419788100051</v>
      </c>
      <c r="H45">
        <f t="shared" si="41"/>
        <v>-464.72964975386003</v>
      </c>
      <c r="I45">
        <f t="shared" si="41"/>
        <v>-492.61342873909189</v>
      </c>
      <c r="J45">
        <f t="shared" si="41"/>
        <v>-522.17023446343728</v>
      </c>
      <c r="K45">
        <f t="shared" si="41"/>
        <v>-548.27874618660917</v>
      </c>
      <c r="L45">
        <f t="shared" si="41"/>
        <v>-575.69268349593995</v>
      </c>
      <c r="M45">
        <f t="shared" si="41"/>
        <v>-601.59885425325729</v>
      </c>
      <c r="N45">
        <f t="shared" si="41"/>
        <v>-625.66280842338756</v>
      </c>
      <c r="O45">
        <f t="shared" si="41"/>
        <v>-650.68932076032297</v>
      </c>
    </row>
    <row r="47" spans="1:15" ht="15" customHeight="1" x14ac:dyDescent="0.2">
      <c r="A47" s="15" t="s">
        <v>32</v>
      </c>
    </row>
    <row r="48" spans="1:15" ht="15" customHeight="1" x14ac:dyDescent="0.2">
      <c r="B48" s="16" t="s">
        <v>33</v>
      </c>
      <c r="D48" s="65">
        <v>617.995</v>
      </c>
      <c r="E48" s="65">
        <v>1453.587</v>
      </c>
      <c r="F48">
        <f>F80</f>
        <v>1248.5021853240003</v>
      </c>
      <c r="G48">
        <f t="shared" ref="G48:O48" si="42">G80</f>
        <v>1932.928939200541</v>
      </c>
      <c r="H48">
        <f t="shared" si="42"/>
        <v>2560.5401290880882</v>
      </c>
      <c r="I48">
        <f t="shared" si="42"/>
        <v>3189.1653906359288</v>
      </c>
      <c r="J48">
        <f t="shared" si="42"/>
        <v>3397.8098017070388</v>
      </c>
      <c r="K48">
        <f t="shared" si="42"/>
        <v>4067.8069796793561</v>
      </c>
      <c r="L48">
        <f t="shared" si="42"/>
        <v>4520.8628745650585</v>
      </c>
      <c r="M48">
        <f t="shared" si="42"/>
        <v>5321.6243516039522</v>
      </c>
      <c r="N48">
        <f t="shared" si="42"/>
        <v>6139.0309332347842</v>
      </c>
      <c r="O48">
        <f t="shared" si="42"/>
        <v>6504.9159484268512</v>
      </c>
    </row>
    <row r="49" spans="1:15" ht="15" customHeight="1" x14ac:dyDescent="0.2">
      <c r="B49" s="16" t="s">
        <v>97</v>
      </c>
      <c r="D49" s="65">
        <f>680.296+698.95+238.761</f>
        <v>1618.0070000000001</v>
      </c>
      <c r="E49" s="65">
        <f>754.306+728.404+231.397</f>
        <v>1714.107</v>
      </c>
      <c r="F49">
        <f>F10*F23</f>
        <v>1962.4366946499999</v>
      </c>
      <c r="G49">
        <f>G10*G23</f>
        <v>2080.182896329</v>
      </c>
      <c r="H49">
        <f>H10*H23</f>
        <v>2204.9938701087403</v>
      </c>
      <c r="I49">
        <f>I10*I23</f>
        <v>2337.293502315265</v>
      </c>
      <c r="J49">
        <f>J10*J23</f>
        <v>2477.5311124541809</v>
      </c>
      <c r="K49">
        <f>K10*K23</f>
        <v>2601.4076680768903</v>
      </c>
      <c r="L49">
        <f>L10*L23</f>
        <v>2731.4780514807344</v>
      </c>
      <c r="M49">
        <f>M10*M23</f>
        <v>2854.3945637973675</v>
      </c>
      <c r="N49">
        <f>N10*N23</f>
        <v>2968.5703463492623</v>
      </c>
      <c r="O49">
        <f>O10*O23</f>
        <v>3087.3131602032331</v>
      </c>
    </row>
    <row r="50" spans="1:15" ht="15" customHeight="1" x14ac:dyDescent="0.2">
      <c r="B50" s="16" t="s">
        <v>34</v>
      </c>
      <c r="D50" s="65">
        <v>5846.9030000000002</v>
      </c>
      <c r="E50" s="65">
        <v>6426.6030000000001</v>
      </c>
      <c r="F50">
        <f>F36</f>
        <v>6328.0532903500007</v>
      </c>
      <c r="G50">
        <f t="shared" ref="G50:O50" si="43">G36</f>
        <v>6255.5442268379011</v>
      </c>
      <c r="H50">
        <f t="shared" si="43"/>
        <v>6208.529308736659</v>
      </c>
      <c r="I50">
        <f t="shared" si="43"/>
        <v>6186.5684352823037</v>
      </c>
      <c r="J50">
        <f t="shared" si="43"/>
        <v>6189.3251031312711</v>
      </c>
      <c r="K50">
        <f t="shared" si="43"/>
        <v>6212.4533401310864</v>
      </c>
      <c r="L50">
        <f t="shared" si="43"/>
        <v>6255.6362981792381</v>
      </c>
      <c r="M50">
        <f t="shared" si="43"/>
        <v>6316.3634005285685</v>
      </c>
      <c r="N50">
        <f t="shared" si="43"/>
        <v>6392.0264780440084</v>
      </c>
      <c r="O50">
        <f t="shared" si="43"/>
        <v>6482.397514921443</v>
      </c>
    </row>
    <row r="51" spans="1:15" ht="15" customHeight="1" x14ac:dyDescent="0.2">
      <c r="B51" s="16" t="s">
        <v>35</v>
      </c>
      <c r="D51">
        <f>SUM(D48:D50)</f>
        <v>8082.9050000000007</v>
      </c>
      <c r="E51">
        <f>SUM(E48:E50)</f>
        <v>9594.2970000000005</v>
      </c>
      <c r="F51">
        <f>SUM(F48:F50)</f>
        <v>9538.9921703239997</v>
      </c>
      <c r="G51">
        <f t="shared" ref="G51:J51" si="44">SUM(G48:G50)</f>
        <v>10268.656062367441</v>
      </c>
      <c r="H51">
        <f t="shared" si="44"/>
        <v>10974.063307933488</v>
      </c>
      <c r="I51">
        <f t="shared" si="44"/>
        <v>11713.027328233497</v>
      </c>
      <c r="J51">
        <f t="shared" si="44"/>
        <v>12064.666017292489</v>
      </c>
      <c r="K51">
        <f t="shared" ref="K51:O51" si="45">SUM(K48:K50)</f>
        <v>12881.667987887333</v>
      </c>
      <c r="L51">
        <f t="shared" si="45"/>
        <v>13507.977224225031</v>
      </c>
      <c r="M51">
        <f t="shared" si="45"/>
        <v>14492.382315929888</v>
      </c>
      <c r="N51">
        <f t="shared" si="45"/>
        <v>15499.627757628055</v>
      </c>
      <c r="O51">
        <f t="shared" si="45"/>
        <v>16074.626623551529</v>
      </c>
    </row>
    <row r="53" spans="1:15" ht="15" customHeight="1" x14ac:dyDescent="0.2">
      <c r="B53" s="16" t="s">
        <v>55</v>
      </c>
      <c r="D53" s="65">
        <v>44.920999999999999</v>
      </c>
      <c r="E53" s="65">
        <v>151.303</v>
      </c>
      <c r="F53">
        <f>F95</f>
        <v>0</v>
      </c>
      <c r="G53">
        <f t="shared" ref="G53:O53" si="46">G95</f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</row>
    <row r="54" spans="1:15" ht="15" customHeight="1" x14ac:dyDescent="0.2">
      <c r="B54" s="16" t="s">
        <v>98</v>
      </c>
      <c r="D54" s="65">
        <f>681.151+9.477+123.688+523.05+76.399+268.078+97.544+74.151</f>
        <v>1853.538</v>
      </c>
      <c r="E54" s="65">
        <f>744.272+42.603+187.719+636.055+138.475+266.896+99.223+83.77</f>
        <v>2199.0129999999999</v>
      </c>
      <c r="F54">
        <f>F11*F23</f>
        <v>2376.0444284999999</v>
      </c>
      <c r="G54">
        <f>G11*G23</f>
        <v>2518.6070942100005</v>
      </c>
      <c r="H54">
        <f>H11*H23</f>
        <v>2669.7235198626004</v>
      </c>
      <c r="I54">
        <f>I11*I23</f>
        <v>2829.9069310543568</v>
      </c>
      <c r="J54">
        <f>J11*J23</f>
        <v>2999.7013469176181</v>
      </c>
      <c r="K54">
        <f>K11*K23</f>
        <v>3149.6864142634995</v>
      </c>
      <c r="L54">
        <f>L11*L23</f>
        <v>3307.1707349766743</v>
      </c>
      <c r="M54">
        <f>M11*M23</f>
        <v>3455.9934180506248</v>
      </c>
      <c r="N54">
        <f>N11*N23</f>
        <v>3594.2331547726499</v>
      </c>
      <c r="O54">
        <f>O11*O23</f>
        <v>3738.0024809635561</v>
      </c>
    </row>
    <row r="55" spans="1:15" s="32" customFormat="1" ht="15" customHeight="1" x14ac:dyDescent="0.2">
      <c r="A55" s="75"/>
      <c r="B55" s="73" t="s">
        <v>96</v>
      </c>
      <c r="C55" s="74"/>
      <c r="D55" s="76">
        <f>318.1+1716.41</f>
        <v>2034.5100000000002</v>
      </c>
      <c r="E55" s="74">
        <f>626.788+1688.415</f>
        <v>2315.203</v>
      </c>
      <c r="F55" s="74">
        <f>F101</f>
        <v>1659.6949999999999</v>
      </c>
      <c r="G55" s="74">
        <f t="shared" ref="G55:O55" si="47">G101</f>
        <v>1637.8529999999998</v>
      </c>
      <c r="H55" s="74">
        <f t="shared" si="47"/>
        <v>1546.6639999999998</v>
      </c>
      <c r="I55" s="74">
        <f t="shared" si="47"/>
        <v>1441.2359999999999</v>
      </c>
      <c r="J55" s="74">
        <f t="shared" si="47"/>
        <v>897.81914754098341</v>
      </c>
      <c r="K55" s="74">
        <f t="shared" si="47"/>
        <v>803.31186885245882</v>
      </c>
      <c r="L55" s="74">
        <f t="shared" si="47"/>
        <v>472.53639344262274</v>
      </c>
      <c r="M55" s="74">
        <f t="shared" si="47"/>
        <v>472.53639344262274</v>
      </c>
      <c r="N55" s="74">
        <f t="shared" si="47"/>
        <v>472.53639344262274</v>
      </c>
      <c r="O55" s="74">
        <f t="shared" si="47"/>
        <v>0</v>
      </c>
    </row>
    <row r="56" spans="1:15" ht="15" customHeight="1" x14ac:dyDescent="0.2">
      <c r="B56" s="16" t="s">
        <v>36</v>
      </c>
      <c r="D56">
        <f>SUM(D53:D55)</f>
        <v>3932.9690000000001</v>
      </c>
      <c r="E56">
        <f>SUM(E53:E55)</f>
        <v>4665.5190000000002</v>
      </c>
      <c r="F56">
        <f>SUM(F53:F55)</f>
        <v>4035.7394285</v>
      </c>
      <c r="G56">
        <f t="shared" ref="G56:O56" si="48">SUM(G53:G55)</f>
        <v>4156.4600942100005</v>
      </c>
      <c r="H56">
        <f t="shared" si="48"/>
        <v>4216.3875198626001</v>
      </c>
      <c r="I56">
        <f t="shared" si="48"/>
        <v>4271.1429310543572</v>
      </c>
      <c r="J56">
        <f t="shared" si="48"/>
        <v>3897.5204944586017</v>
      </c>
      <c r="K56">
        <f t="shared" si="48"/>
        <v>3952.9982831159582</v>
      </c>
      <c r="L56">
        <f t="shared" si="48"/>
        <v>3779.7071284192971</v>
      </c>
      <c r="M56">
        <f t="shared" si="48"/>
        <v>3928.5298114932475</v>
      </c>
      <c r="N56">
        <f t="shared" si="48"/>
        <v>4066.7695482152726</v>
      </c>
      <c r="O56">
        <f t="shared" si="48"/>
        <v>3738.0024809635561</v>
      </c>
    </row>
    <row r="58" spans="1:15" ht="15" customHeight="1" x14ac:dyDescent="0.2">
      <c r="B58" s="16" t="s">
        <v>37</v>
      </c>
      <c r="D58" s="65">
        <v>4149.9359999999997</v>
      </c>
      <c r="E58" s="65">
        <v>4928.7780000000002</v>
      </c>
      <c r="F58">
        <f>F41</f>
        <v>5503.2527418240006</v>
      </c>
      <c r="G58">
        <f t="shared" ref="G58:O58" si="49">G41</f>
        <v>6112.1959681574408</v>
      </c>
      <c r="H58">
        <f t="shared" si="49"/>
        <v>6757.6757880708874</v>
      </c>
      <c r="I58">
        <f t="shared" si="49"/>
        <v>7441.8843971791403</v>
      </c>
      <c r="J58">
        <f t="shared" si="49"/>
        <v>8167.1455228338882</v>
      </c>
      <c r="K58">
        <f t="shared" si="49"/>
        <v>8928.6697047713733</v>
      </c>
      <c r="L58">
        <f t="shared" si="49"/>
        <v>9728.2700958057339</v>
      </c>
      <c r="M58">
        <f t="shared" si="49"/>
        <v>10563.852504436642</v>
      </c>
      <c r="N58">
        <f t="shared" si="49"/>
        <v>11432.858209412785</v>
      </c>
      <c r="O58">
        <f t="shared" si="49"/>
        <v>12336.624142587974</v>
      </c>
    </row>
    <row r="59" spans="1:15" ht="15" customHeight="1" x14ac:dyDescent="0.2">
      <c r="B59" s="16" t="s">
        <v>38</v>
      </c>
      <c r="D59">
        <f>D56+D58</f>
        <v>8082.9049999999997</v>
      </c>
      <c r="E59">
        <f>E56+E58</f>
        <v>9594.2970000000005</v>
      </c>
      <c r="F59">
        <f>F56+F58</f>
        <v>9538.9921703239997</v>
      </c>
      <c r="G59">
        <f t="shared" ref="G59:J59" si="50">G56+G58</f>
        <v>10268.656062367441</v>
      </c>
      <c r="H59">
        <f t="shared" si="50"/>
        <v>10974.063307933488</v>
      </c>
      <c r="I59">
        <f t="shared" si="50"/>
        <v>11713.027328233497</v>
      </c>
      <c r="J59">
        <f t="shared" si="50"/>
        <v>12064.666017292489</v>
      </c>
      <c r="K59">
        <f t="shared" ref="K59:O59" si="51">K56+K58</f>
        <v>12881.667987887331</v>
      </c>
      <c r="L59">
        <f t="shared" si="51"/>
        <v>13507.977224225031</v>
      </c>
      <c r="M59">
        <f t="shared" si="51"/>
        <v>14492.382315929888</v>
      </c>
      <c r="N59">
        <f t="shared" si="51"/>
        <v>15499.627757628057</v>
      </c>
      <c r="O59">
        <f t="shared" si="51"/>
        <v>16074.62662355153</v>
      </c>
    </row>
    <row r="61" spans="1:15" ht="15" customHeight="1" x14ac:dyDescent="0.2">
      <c r="B61" s="16" t="s">
        <v>39</v>
      </c>
      <c r="D61">
        <f>D51-D59</f>
        <v>0</v>
      </c>
      <c r="E61">
        <f t="shared" ref="E61:O61" si="52">E51-E59</f>
        <v>0</v>
      </c>
      <c r="F61">
        <f t="shared" si="52"/>
        <v>0</v>
      </c>
      <c r="G61">
        <f t="shared" si="52"/>
        <v>0</v>
      </c>
      <c r="H61">
        <f t="shared" si="52"/>
        <v>0</v>
      </c>
      <c r="I61">
        <f t="shared" si="52"/>
        <v>0</v>
      </c>
      <c r="J61">
        <f t="shared" si="52"/>
        <v>0</v>
      </c>
      <c r="K61">
        <f t="shared" si="52"/>
        <v>0</v>
      </c>
      <c r="L61">
        <f t="shared" si="52"/>
        <v>0</v>
      </c>
      <c r="M61">
        <f t="shared" si="52"/>
        <v>0</v>
      </c>
      <c r="N61">
        <f t="shared" si="52"/>
        <v>0</v>
      </c>
      <c r="O61">
        <f t="shared" si="52"/>
        <v>0</v>
      </c>
    </row>
    <row r="63" spans="1:15" ht="15" customHeight="1" x14ac:dyDescent="0.2">
      <c r="A63" s="15" t="s">
        <v>57</v>
      </c>
    </row>
    <row r="64" spans="1:15" ht="15" customHeight="1" x14ac:dyDescent="0.2">
      <c r="B64" s="16" t="s">
        <v>31</v>
      </c>
      <c r="F64">
        <f t="shared" ref="F64:O64" si="53">F39</f>
        <v>844.81579680000027</v>
      </c>
      <c r="G64">
        <f t="shared" si="53"/>
        <v>895.50474460800001</v>
      </c>
      <c r="H64">
        <f t="shared" si="53"/>
        <v>949.23502928448033</v>
      </c>
      <c r="I64">
        <f t="shared" si="53"/>
        <v>1006.1891310415486</v>
      </c>
      <c r="J64">
        <f t="shared" si="53"/>
        <v>1066.5604789040424</v>
      </c>
      <c r="K64">
        <f t="shared" si="53"/>
        <v>1119.8885028492439</v>
      </c>
      <c r="L64">
        <f t="shared" si="53"/>
        <v>1175.8829279917059</v>
      </c>
      <c r="M64">
        <f t="shared" si="53"/>
        <v>1228.797659751333</v>
      </c>
      <c r="N64">
        <f t="shared" si="53"/>
        <v>1277.9495661413866</v>
      </c>
      <c r="O64">
        <f t="shared" si="53"/>
        <v>1329.0675487870421</v>
      </c>
    </row>
    <row r="65" spans="2:15" ht="15" customHeight="1" x14ac:dyDescent="0.2">
      <c r="B65" s="16" t="s">
        <v>66</v>
      </c>
      <c r="F65">
        <f>F35*-1</f>
        <v>424.155798</v>
      </c>
      <c r="G65">
        <f t="shared" ref="G65:O65" si="54">G35*-1</f>
        <v>417.65151716310004</v>
      </c>
      <c r="H65">
        <f t="shared" si="54"/>
        <v>412.86591897130148</v>
      </c>
      <c r="I65">
        <f t="shared" si="54"/>
        <v>409.76293437661951</v>
      </c>
      <c r="J65">
        <f t="shared" si="54"/>
        <v>408.31351672863207</v>
      </c>
      <c r="K65">
        <f t="shared" si="54"/>
        <v>408.49545680666392</v>
      </c>
      <c r="L65">
        <f t="shared" si="54"/>
        <v>410.02192044865171</v>
      </c>
      <c r="M65">
        <f t="shared" si="54"/>
        <v>412.87199567982975</v>
      </c>
      <c r="N65">
        <f t="shared" si="54"/>
        <v>416.87998443488556</v>
      </c>
      <c r="O65">
        <f t="shared" si="54"/>
        <v>421.87374755090457</v>
      </c>
    </row>
    <row r="66" spans="2:15" ht="15" customHeight="1" x14ac:dyDescent="0.2">
      <c r="B66" s="16" t="s">
        <v>79</v>
      </c>
      <c r="F66">
        <f t="shared" ref="F66:O66" si="55">E45-F45</f>
        <v>-71.298266150000018</v>
      </c>
      <c r="G66">
        <f t="shared" si="55"/>
        <v>24.816464031000578</v>
      </c>
      <c r="H66">
        <f t="shared" si="55"/>
        <v>26.305451872859521</v>
      </c>
      <c r="I66">
        <f t="shared" si="55"/>
        <v>27.883778985231856</v>
      </c>
      <c r="J66">
        <f t="shared" si="55"/>
        <v>29.556805724345395</v>
      </c>
      <c r="K66">
        <f t="shared" si="55"/>
        <v>26.108511723171887</v>
      </c>
      <c r="L66">
        <f t="shared" si="55"/>
        <v>27.413937309330777</v>
      </c>
      <c r="M66">
        <f t="shared" si="55"/>
        <v>25.906170757317341</v>
      </c>
      <c r="N66">
        <f t="shared" si="55"/>
        <v>24.063954170130273</v>
      </c>
      <c r="O66">
        <f t="shared" si="55"/>
        <v>25.026512336935411</v>
      </c>
    </row>
    <row r="67" spans="2:15" ht="15" customHeight="1" x14ac:dyDescent="0.2">
      <c r="B67" s="16" t="s">
        <v>40</v>
      </c>
      <c r="F67">
        <f t="shared" ref="F67:O67" si="56">SUM(F64:F66)</f>
        <v>1197.6733286500003</v>
      </c>
      <c r="G67">
        <f t="shared" si="56"/>
        <v>1337.9727258021007</v>
      </c>
      <c r="H67">
        <f t="shared" si="56"/>
        <v>1388.4064001286413</v>
      </c>
      <c r="I67">
        <f t="shared" si="56"/>
        <v>1443.8358444034</v>
      </c>
      <c r="J67">
        <f t="shared" si="56"/>
        <v>1504.4308013570198</v>
      </c>
      <c r="K67">
        <f t="shared" si="56"/>
        <v>1554.4924713790797</v>
      </c>
      <c r="L67">
        <f t="shared" si="56"/>
        <v>1613.3187857496882</v>
      </c>
      <c r="M67">
        <f t="shared" si="56"/>
        <v>1667.5758261884801</v>
      </c>
      <c r="N67">
        <f t="shared" si="56"/>
        <v>1718.8935047464024</v>
      </c>
      <c r="O67">
        <f t="shared" si="56"/>
        <v>1775.9678086748822</v>
      </c>
    </row>
    <row r="69" spans="2:15" ht="15" customHeight="1" x14ac:dyDescent="0.2">
      <c r="B69" s="73" t="s">
        <v>106</v>
      </c>
      <c r="C69" s="74"/>
      <c r="D69" s="74"/>
      <c r="E69" s="74"/>
      <c r="F69" s="74">
        <f t="shared" ref="F69:O69" si="57">F34*-1</f>
        <v>-325.60608834999999</v>
      </c>
      <c r="G69" s="74">
        <f t="shared" si="57"/>
        <v>-345.14245365099998</v>
      </c>
      <c r="H69" s="74">
        <f t="shared" si="57"/>
        <v>-365.85100087006003</v>
      </c>
      <c r="I69" s="74">
        <f t="shared" si="57"/>
        <v>-387.80206092226365</v>
      </c>
      <c r="J69" s="74">
        <f t="shared" si="57"/>
        <v>-411.07018457759949</v>
      </c>
      <c r="K69" s="74">
        <f t="shared" si="57"/>
        <v>-431.62369380647948</v>
      </c>
      <c r="L69" s="74">
        <f t="shared" si="57"/>
        <v>-453.20487849680347</v>
      </c>
      <c r="M69" s="74">
        <f t="shared" si="57"/>
        <v>-473.59909802915962</v>
      </c>
      <c r="N69" s="74">
        <f t="shared" si="57"/>
        <v>-492.54306195032603</v>
      </c>
      <c r="O69" s="74">
        <f t="shared" si="57"/>
        <v>-512.24478442833913</v>
      </c>
    </row>
    <row r="70" spans="2:15" ht="15" customHeight="1" x14ac:dyDescent="0.2">
      <c r="B70" s="16" t="s">
        <v>41</v>
      </c>
      <c r="F70">
        <f t="shared" ref="F70:O70" si="58">SUM(F69:F69)</f>
        <v>-325.60608834999999</v>
      </c>
      <c r="G70">
        <f t="shared" si="58"/>
        <v>-345.14245365099998</v>
      </c>
      <c r="H70">
        <f t="shared" si="58"/>
        <v>-365.85100087006003</v>
      </c>
      <c r="I70">
        <f t="shared" si="58"/>
        <v>-387.80206092226365</v>
      </c>
      <c r="J70">
        <f t="shared" si="58"/>
        <v>-411.07018457759949</v>
      </c>
      <c r="K70">
        <f t="shared" si="58"/>
        <v>-431.62369380647948</v>
      </c>
      <c r="L70">
        <f t="shared" si="58"/>
        <v>-453.20487849680347</v>
      </c>
      <c r="M70">
        <f t="shared" si="58"/>
        <v>-473.59909802915962</v>
      </c>
      <c r="N70">
        <f t="shared" si="58"/>
        <v>-492.54306195032603</v>
      </c>
      <c r="O70">
        <f t="shared" si="58"/>
        <v>-512.24478442833913</v>
      </c>
    </row>
    <row r="72" spans="2:15" ht="15" customHeight="1" x14ac:dyDescent="0.2">
      <c r="B72" s="16" t="s">
        <v>93</v>
      </c>
      <c r="F72">
        <f t="shared" ref="F72:O72" si="59">F40</f>
        <v>-270.34105497600007</v>
      </c>
      <c r="G72">
        <f t="shared" si="59"/>
        <v>-286.56151827456</v>
      </c>
      <c r="H72">
        <f t="shared" si="59"/>
        <v>-303.75520937103369</v>
      </c>
      <c r="I72">
        <f t="shared" si="59"/>
        <v>-321.98052193329556</v>
      </c>
      <c r="J72">
        <f t="shared" si="59"/>
        <v>-341.29935324929357</v>
      </c>
      <c r="K72">
        <f t="shared" si="59"/>
        <v>-358.36432091175806</v>
      </c>
      <c r="L72">
        <f t="shared" si="59"/>
        <v>-376.28253695734588</v>
      </c>
      <c r="M72">
        <f t="shared" si="59"/>
        <v>-393.21525112042656</v>
      </c>
      <c r="N72">
        <f t="shared" si="59"/>
        <v>-408.94386116524373</v>
      </c>
      <c r="O72">
        <f t="shared" si="59"/>
        <v>-425.30161561185349</v>
      </c>
    </row>
    <row r="73" spans="2:15" ht="15" customHeight="1" x14ac:dyDescent="0.2">
      <c r="B73" s="16" t="s">
        <v>82</v>
      </c>
      <c r="F73">
        <f t="shared" ref="F73:O73" si="60">F53-E53</f>
        <v>-151.303</v>
      </c>
      <c r="G73">
        <f t="shared" si="60"/>
        <v>0</v>
      </c>
      <c r="H73">
        <f t="shared" si="60"/>
        <v>0</v>
      </c>
      <c r="I73">
        <f t="shared" si="60"/>
        <v>0</v>
      </c>
      <c r="J73">
        <f t="shared" si="60"/>
        <v>0</v>
      </c>
      <c r="K73">
        <f t="shared" si="60"/>
        <v>0</v>
      </c>
      <c r="L73">
        <f t="shared" si="60"/>
        <v>0</v>
      </c>
      <c r="M73">
        <f t="shared" si="60"/>
        <v>0</v>
      </c>
      <c r="N73">
        <f t="shared" si="60"/>
        <v>0</v>
      </c>
      <c r="O73">
        <f t="shared" si="60"/>
        <v>0</v>
      </c>
    </row>
    <row r="74" spans="2:15" ht="15" customHeight="1" x14ac:dyDescent="0.2">
      <c r="B74" s="16" t="s">
        <v>62</v>
      </c>
      <c r="C74" s="74"/>
      <c r="D74" s="74"/>
      <c r="E74" s="32"/>
      <c r="F74">
        <f t="shared" ref="F74:O74" si="61">F55-E55</f>
        <v>-655.50800000000004</v>
      </c>
      <c r="G74">
        <f t="shared" si="61"/>
        <v>-21.842000000000098</v>
      </c>
      <c r="H74">
        <f t="shared" si="61"/>
        <v>-91.189000000000078</v>
      </c>
      <c r="I74">
        <f t="shared" si="61"/>
        <v>-105.42799999999988</v>
      </c>
      <c r="J74">
        <f t="shared" si="61"/>
        <v>-543.41685245901647</v>
      </c>
      <c r="K74">
        <f t="shared" si="61"/>
        <v>-94.507278688524593</v>
      </c>
      <c r="L74">
        <f t="shared" si="61"/>
        <v>-330.77547540983608</v>
      </c>
      <c r="M74">
        <f t="shared" si="61"/>
        <v>0</v>
      </c>
      <c r="N74">
        <f t="shared" si="61"/>
        <v>0</v>
      </c>
      <c r="O74">
        <f t="shared" si="61"/>
        <v>-472.53639344262274</v>
      </c>
    </row>
    <row r="75" spans="2:15" ht="15" customHeight="1" x14ac:dyDescent="0.2">
      <c r="B75" s="16" t="s">
        <v>94</v>
      </c>
      <c r="F75">
        <f>SUM(F72:F74)</f>
        <v>-1077.152054976</v>
      </c>
      <c r="G75">
        <f t="shared" ref="G75:O75" si="62">SUM(G72:G74)</f>
        <v>-308.4035182745601</v>
      </c>
      <c r="H75">
        <f t="shared" si="62"/>
        <v>-394.94420937103376</v>
      </c>
      <c r="I75">
        <f t="shared" si="62"/>
        <v>-427.40852193329545</v>
      </c>
      <c r="J75">
        <f t="shared" si="62"/>
        <v>-884.7162057083101</v>
      </c>
      <c r="K75">
        <f t="shared" si="62"/>
        <v>-452.87159960028265</v>
      </c>
      <c r="L75">
        <f t="shared" si="62"/>
        <v>-707.05801236718196</v>
      </c>
      <c r="M75">
        <f t="shared" si="62"/>
        <v>-393.21525112042656</v>
      </c>
      <c r="N75">
        <f t="shared" si="62"/>
        <v>-408.94386116524373</v>
      </c>
      <c r="O75">
        <f t="shared" si="62"/>
        <v>-897.83800905447629</v>
      </c>
    </row>
    <row r="77" spans="2:15" ht="15" customHeight="1" x14ac:dyDescent="0.2">
      <c r="B77" s="16" t="s">
        <v>42</v>
      </c>
      <c r="F77">
        <f t="shared" ref="F77:O77" si="63">F67+F70+F75</f>
        <v>-205.08481467599972</v>
      </c>
      <c r="G77">
        <f t="shared" si="63"/>
        <v>684.42675387654072</v>
      </c>
      <c r="H77">
        <f t="shared" si="63"/>
        <v>627.61118988754743</v>
      </c>
      <c r="I77">
        <f t="shared" si="63"/>
        <v>628.62526154784075</v>
      </c>
      <c r="J77">
        <f t="shared" si="63"/>
        <v>208.6444110711102</v>
      </c>
      <c r="K77">
        <f t="shared" si="63"/>
        <v>669.99717797231756</v>
      </c>
      <c r="L77">
        <f t="shared" si="63"/>
        <v>453.05589488570274</v>
      </c>
      <c r="M77">
        <f t="shared" si="63"/>
        <v>800.76147703889387</v>
      </c>
      <c r="N77">
        <f t="shared" si="63"/>
        <v>817.40658163083253</v>
      </c>
      <c r="O77">
        <f t="shared" si="63"/>
        <v>365.8850151920667</v>
      </c>
    </row>
    <row r="79" spans="2:15" ht="15" customHeight="1" x14ac:dyDescent="0.2">
      <c r="B79" s="16" t="s">
        <v>43</v>
      </c>
      <c r="F79">
        <f>E80</f>
        <v>1453.587</v>
      </c>
      <c r="G79">
        <f t="shared" ref="G79:O79" si="64">F80</f>
        <v>1248.5021853240003</v>
      </c>
      <c r="H79">
        <f t="shared" si="64"/>
        <v>1932.928939200541</v>
      </c>
      <c r="I79">
        <f t="shared" si="64"/>
        <v>2560.5401290880882</v>
      </c>
      <c r="J79">
        <f t="shared" si="64"/>
        <v>3189.1653906359288</v>
      </c>
      <c r="K79">
        <f t="shared" si="64"/>
        <v>3397.8098017070388</v>
      </c>
      <c r="L79">
        <f t="shared" si="64"/>
        <v>4067.8069796793561</v>
      </c>
      <c r="M79">
        <f t="shared" si="64"/>
        <v>4520.8628745650585</v>
      </c>
      <c r="N79">
        <f t="shared" si="64"/>
        <v>5321.6243516039522</v>
      </c>
      <c r="O79">
        <f t="shared" si="64"/>
        <v>6139.0309332347842</v>
      </c>
    </row>
    <row r="80" spans="2:15" ht="15" customHeight="1" x14ac:dyDescent="0.2">
      <c r="B80" s="16" t="s">
        <v>44</v>
      </c>
      <c r="E80">
        <f>E48</f>
        <v>1453.587</v>
      </c>
      <c r="F80">
        <f>F77+F79</f>
        <v>1248.5021853240003</v>
      </c>
      <c r="G80">
        <f t="shared" ref="G80:O80" si="65">G77+G79</f>
        <v>1932.928939200541</v>
      </c>
      <c r="H80">
        <f t="shared" si="65"/>
        <v>2560.5401290880882</v>
      </c>
      <c r="I80">
        <f t="shared" si="65"/>
        <v>3189.1653906359288</v>
      </c>
      <c r="J80">
        <f t="shared" si="65"/>
        <v>3397.8098017070388</v>
      </c>
      <c r="K80">
        <f t="shared" si="65"/>
        <v>4067.8069796793561</v>
      </c>
      <c r="L80">
        <f t="shared" si="65"/>
        <v>4520.8628745650585</v>
      </c>
      <c r="M80">
        <f t="shared" si="65"/>
        <v>5321.6243516039522</v>
      </c>
      <c r="N80">
        <f t="shared" si="65"/>
        <v>6139.0309332347842</v>
      </c>
      <c r="O80">
        <f t="shared" si="65"/>
        <v>6504.9159484268512</v>
      </c>
    </row>
    <row r="82" spans="1:15" ht="15" customHeight="1" x14ac:dyDescent="0.2">
      <c r="A82" s="15" t="s">
        <v>58</v>
      </c>
    </row>
    <row r="83" spans="1:15" ht="15" customHeight="1" x14ac:dyDescent="0.2">
      <c r="B83" s="16" t="str">
        <f>B67</f>
        <v>Operating cash flow</v>
      </c>
      <c r="F83">
        <f t="shared" ref="F83:O83" si="66">F67</f>
        <v>1197.6733286500003</v>
      </c>
      <c r="G83">
        <f t="shared" si="66"/>
        <v>1337.9727258021007</v>
      </c>
      <c r="H83">
        <f t="shared" si="66"/>
        <v>1388.4064001286413</v>
      </c>
      <c r="I83">
        <f t="shared" si="66"/>
        <v>1443.8358444034</v>
      </c>
      <c r="J83">
        <f t="shared" si="66"/>
        <v>1504.4308013570198</v>
      </c>
      <c r="K83">
        <f t="shared" si="66"/>
        <v>1554.4924713790797</v>
      </c>
      <c r="L83">
        <f t="shared" si="66"/>
        <v>1613.3187857496882</v>
      </c>
      <c r="M83">
        <f t="shared" si="66"/>
        <v>1667.5758261884801</v>
      </c>
      <c r="N83">
        <f t="shared" si="66"/>
        <v>1718.8935047464024</v>
      </c>
      <c r="O83">
        <f t="shared" si="66"/>
        <v>1775.9678086748822</v>
      </c>
    </row>
    <row r="84" spans="1:15" ht="15" customHeight="1" x14ac:dyDescent="0.2">
      <c r="B84" s="16" t="str">
        <f>B70</f>
        <v>Investing cash flow</v>
      </c>
      <c r="F84">
        <f t="shared" ref="F84:O84" si="67">F70</f>
        <v>-325.60608834999999</v>
      </c>
      <c r="G84">
        <f t="shared" si="67"/>
        <v>-345.14245365099998</v>
      </c>
      <c r="H84">
        <f t="shared" si="67"/>
        <v>-365.85100087006003</v>
      </c>
      <c r="I84">
        <f t="shared" si="67"/>
        <v>-387.80206092226365</v>
      </c>
      <c r="J84">
        <f t="shared" si="67"/>
        <v>-411.07018457759949</v>
      </c>
      <c r="K84">
        <f t="shared" si="67"/>
        <v>-431.62369380647948</v>
      </c>
      <c r="L84">
        <f t="shared" si="67"/>
        <v>-453.20487849680347</v>
      </c>
      <c r="M84">
        <f t="shared" si="67"/>
        <v>-473.59909802915962</v>
      </c>
      <c r="N84">
        <f t="shared" si="67"/>
        <v>-492.54306195032603</v>
      </c>
      <c r="O84">
        <f t="shared" si="67"/>
        <v>-512.24478442833913</v>
      </c>
    </row>
    <row r="85" spans="1:15" ht="15" customHeight="1" x14ac:dyDescent="0.2">
      <c r="B85" s="16" t="s">
        <v>69</v>
      </c>
      <c r="F85">
        <f t="shared" ref="F85:O85" si="68">F72</f>
        <v>-270.34105497600007</v>
      </c>
      <c r="G85">
        <f t="shared" si="68"/>
        <v>-286.56151827456</v>
      </c>
      <c r="H85">
        <f t="shared" si="68"/>
        <v>-303.75520937103369</v>
      </c>
      <c r="I85">
        <f t="shared" si="68"/>
        <v>-321.98052193329556</v>
      </c>
      <c r="J85">
        <f t="shared" si="68"/>
        <v>-341.29935324929357</v>
      </c>
      <c r="K85">
        <f t="shared" si="68"/>
        <v>-358.36432091175806</v>
      </c>
      <c r="L85">
        <f t="shared" si="68"/>
        <v>-376.28253695734588</v>
      </c>
      <c r="M85">
        <f t="shared" si="68"/>
        <v>-393.21525112042656</v>
      </c>
      <c r="N85">
        <f t="shared" si="68"/>
        <v>-408.94386116524373</v>
      </c>
      <c r="O85">
        <f t="shared" si="68"/>
        <v>-425.30161561185349</v>
      </c>
    </row>
    <row r="86" spans="1:15" ht="15" customHeight="1" x14ac:dyDescent="0.2">
      <c r="B86" s="16" t="s">
        <v>78</v>
      </c>
      <c r="F86">
        <f t="shared" ref="F86:O86" si="69">SUM(F83:F85)</f>
        <v>601.7261853240002</v>
      </c>
      <c r="G86">
        <f t="shared" si="69"/>
        <v>706.26875387654081</v>
      </c>
      <c r="H86">
        <f t="shared" si="69"/>
        <v>718.8001898875475</v>
      </c>
      <c r="I86">
        <f t="shared" si="69"/>
        <v>734.05326154784063</v>
      </c>
      <c r="J86">
        <f t="shared" si="69"/>
        <v>752.06126353012678</v>
      </c>
      <c r="K86">
        <f t="shared" si="69"/>
        <v>764.50445666084215</v>
      </c>
      <c r="L86">
        <f t="shared" si="69"/>
        <v>783.83137029553882</v>
      </c>
      <c r="M86">
        <f t="shared" si="69"/>
        <v>800.76147703889387</v>
      </c>
      <c r="N86">
        <f t="shared" si="69"/>
        <v>817.40658163083253</v>
      </c>
      <c r="O86">
        <f t="shared" si="69"/>
        <v>838.42140863468944</v>
      </c>
    </row>
    <row r="87" spans="1:15" ht="15" customHeight="1" x14ac:dyDescent="0.2">
      <c r="B87" s="16" t="s">
        <v>43</v>
      </c>
      <c r="F87">
        <f t="shared" ref="F87:O87" si="70">E80</f>
        <v>1453.587</v>
      </c>
      <c r="G87">
        <f t="shared" si="70"/>
        <v>1248.5021853240003</v>
      </c>
      <c r="H87">
        <f t="shared" si="70"/>
        <v>1932.928939200541</v>
      </c>
      <c r="I87">
        <f t="shared" si="70"/>
        <v>2560.5401290880882</v>
      </c>
      <c r="J87">
        <f t="shared" si="70"/>
        <v>3189.1653906359288</v>
      </c>
      <c r="K87">
        <f t="shared" si="70"/>
        <v>3397.8098017070388</v>
      </c>
      <c r="L87">
        <f t="shared" si="70"/>
        <v>4067.8069796793561</v>
      </c>
      <c r="M87">
        <f t="shared" si="70"/>
        <v>4520.8628745650585</v>
      </c>
      <c r="N87">
        <f t="shared" si="70"/>
        <v>5321.6243516039522</v>
      </c>
      <c r="O87">
        <f t="shared" si="70"/>
        <v>6139.0309332347842</v>
      </c>
    </row>
    <row r="88" spans="1:15" ht="15" customHeight="1" x14ac:dyDescent="0.2">
      <c r="B88" s="16" t="s">
        <v>77</v>
      </c>
      <c r="F88">
        <f>SUM(F86:F87)</f>
        <v>2055.3131853240002</v>
      </c>
      <c r="G88">
        <f t="shared" ref="G88:O88" si="71">SUM(G86:G87)</f>
        <v>1954.7709392005411</v>
      </c>
      <c r="H88">
        <f t="shared" si="71"/>
        <v>2651.7291290880885</v>
      </c>
      <c r="I88">
        <f t="shared" si="71"/>
        <v>3294.5933906359287</v>
      </c>
      <c r="J88">
        <f t="shared" si="71"/>
        <v>3941.2266541660556</v>
      </c>
      <c r="K88">
        <f t="shared" si="71"/>
        <v>4162.3142583678809</v>
      </c>
      <c r="L88">
        <f t="shared" si="71"/>
        <v>4851.6383499748954</v>
      </c>
      <c r="M88">
        <f t="shared" si="71"/>
        <v>5321.6243516039522</v>
      </c>
      <c r="N88">
        <f t="shared" si="71"/>
        <v>6139.0309332347842</v>
      </c>
      <c r="O88">
        <f t="shared" si="71"/>
        <v>6977.4523418694735</v>
      </c>
    </row>
    <row r="90" spans="1:15" ht="15" customHeight="1" x14ac:dyDescent="0.2">
      <c r="B90" s="73" t="s">
        <v>62</v>
      </c>
      <c r="C90" s="74"/>
      <c r="D90" s="74"/>
      <c r="E90" s="74"/>
      <c r="F90" s="74">
        <f>F100</f>
        <v>-655.50800000000004</v>
      </c>
      <c r="G90" s="74">
        <f t="shared" ref="G90:O90" si="72">G100</f>
        <v>-21.841999999999999</v>
      </c>
      <c r="H90" s="74">
        <f t="shared" si="72"/>
        <v>-91.188999999999993</v>
      </c>
      <c r="I90" s="74">
        <f t="shared" si="72"/>
        <v>-105.428</v>
      </c>
      <c r="J90" s="74">
        <f t="shared" si="72"/>
        <v>-543.41685245901647</v>
      </c>
      <c r="K90" s="74">
        <f t="shared" si="72"/>
        <v>-94.507278688524593</v>
      </c>
      <c r="L90" s="74">
        <f t="shared" si="72"/>
        <v>-330.77547540983608</v>
      </c>
      <c r="M90" s="74">
        <f t="shared" si="72"/>
        <v>0</v>
      </c>
      <c r="N90" s="74">
        <f t="shared" si="72"/>
        <v>0</v>
      </c>
      <c r="O90" s="74">
        <f t="shared" si="72"/>
        <v>-472.53639344262297</v>
      </c>
    </row>
    <row r="91" spans="1:15" ht="15" customHeight="1" x14ac:dyDescent="0.2">
      <c r="B91" s="71" t="s">
        <v>80</v>
      </c>
      <c r="C91" s="32"/>
      <c r="D91" s="32"/>
      <c r="E91" s="32"/>
      <c r="F91" s="32">
        <f>SUM(F88,F90)</f>
        <v>1399.8051853240001</v>
      </c>
      <c r="G91" s="32">
        <f t="shared" ref="G91:O91" si="73">SUM(G88,G90)</f>
        <v>1932.928939200541</v>
      </c>
      <c r="H91" s="32">
        <f t="shared" si="73"/>
        <v>2560.5401290880886</v>
      </c>
      <c r="I91" s="32">
        <f t="shared" si="73"/>
        <v>3189.1653906359288</v>
      </c>
      <c r="J91" s="32">
        <f t="shared" si="73"/>
        <v>3397.8098017070392</v>
      </c>
      <c r="K91" s="32">
        <f t="shared" si="73"/>
        <v>4067.8069796793561</v>
      </c>
      <c r="L91" s="32">
        <f t="shared" si="73"/>
        <v>4520.8628745650594</v>
      </c>
      <c r="M91" s="32">
        <f t="shared" si="73"/>
        <v>5321.6243516039522</v>
      </c>
      <c r="N91" s="32">
        <f t="shared" si="73"/>
        <v>6139.0309332347842</v>
      </c>
      <c r="O91" s="32">
        <f t="shared" si="73"/>
        <v>6504.9159484268503</v>
      </c>
    </row>
    <row r="92" spans="1:15" ht="15" customHeight="1" x14ac:dyDescent="0.2">
      <c r="B92" s="7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ht="15" customHeight="1" x14ac:dyDescent="0.2">
      <c r="B93" s="71" t="s">
        <v>81</v>
      </c>
      <c r="C93" s="32"/>
      <c r="D93" s="32"/>
      <c r="E93" s="32"/>
      <c r="F93" s="32">
        <f>E95</f>
        <v>151.303</v>
      </c>
      <c r="G93" s="32">
        <f t="shared" ref="G93:O93" si="74">F95</f>
        <v>0</v>
      </c>
      <c r="H93" s="32">
        <f t="shared" si="74"/>
        <v>0</v>
      </c>
      <c r="I93" s="32">
        <f t="shared" si="74"/>
        <v>0</v>
      </c>
      <c r="J93" s="32">
        <f t="shared" si="74"/>
        <v>0</v>
      </c>
      <c r="K93" s="32">
        <f t="shared" si="74"/>
        <v>0</v>
      </c>
      <c r="L93" s="32">
        <f t="shared" si="74"/>
        <v>0</v>
      </c>
      <c r="M93" s="32">
        <f t="shared" si="74"/>
        <v>0</v>
      </c>
      <c r="N93" s="32">
        <f t="shared" si="74"/>
        <v>0</v>
      </c>
      <c r="O93" s="32">
        <f t="shared" si="74"/>
        <v>0</v>
      </c>
    </row>
    <row r="94" spans="1:15" ht="15" customHeight="1" x14ac:dyDescent="0.2">
      <c r="B94" s="71" t="s">
        <v>82</v>
      </c>
      <c r="C94" s="32"/>
      <c r="D94" s="32"/>
      <c r="E94" s="32"/>
      <c r="F94" s="32">
        <f>MIN(F91,F93)*-1</f>
        <v>-151.303</v>
      </c>
      <c r="G94" s="32">
        <f t="shared" ref="G94:O94" si="75">MIN(G91,G93)*-1</f>
        <v>0</v>
      </c>
      <c r="H94" s="32">
        <f t="shared" si="75"/>
        <v>0</v>
      </c>
      <c r="I94" s="32">
        <f t="shared" si="75"/>
        <v>0</v>
      </c>
      <c r="J94" s="32">
        <f t="shared" si="75"/>
        <v>0</v>
      </c>
      <c r="K94" s="32">
        <f t="shared" si="75"/>
        <v>0</v>
      </c>
      <c r="L94" s="32">
        <f t="shared" si="75"/>
        <v>0</v>
      </c>
      <c r="M94" s="32">
        <f t="shared" si="75"/>
        <v>0</v>
      </c>
      <c r="N94" s="32">
        <f t="shared" si="75"/>
        <v>0</v>
      </c>
      <c r="O94" s="32">
        <f t="shared" si="75"/>
        <v>0</v>
      </c>
    </row>
    <row r="95" spans="1:15" ht="15" customHeight="1" x14ac:dyDescent="0.2">
      <c r="B95" s="71" t="s">
        <v>83</v>
      </c>
      <c r="C95" s="32"/>
      <c r="D95" s="32"/>
      <c r="E95" s="32">
        <f>E53</f>
        <v>151.303</v>
      </c>
      <c r="F95" s="32">
        <f>SUM(F93:F94)</f>
        <v>0</v>
      </c>
      <c r="G95" s="32">
        <f t="shared" ref="G95:O95" si="76">SUM(G93:G94)</f>
        <v>0</v>
      </c>
      <c r="H95" s="32">
        <f t="shared" si="76"/>
        <v>0</v>
      </c>
      <c r="I95" s="32">
        <f t="shared" si="76"/>
        <v>0</v>
      </c>
      <c r="J95" s="32">
        <f t="shared" si="76"/>
        <v>0</v>
      </c>
      <c r="K95" s="32">
        <f t="shared" si="76"/>
        <v>0</v>
      </c>
      <c r="L95" s="32">
        <f t="shared" si="76"/>
        <v>0</v>
      </c>
      <c r="M95" s="32">
        <f t="shared" si="76"/>
        <v>0</v>
      </c>
      <c r="N95" s="32">
        <f t="shared" si="76"/>
        <v>0</v>
      </c>
      <c r="O95" s="32">
        <f t="shared" si="76"/>
        <v>0</v>
      </c>
    </row>
    <row r="96" spans="1:15" ht="15" customHeight="1" x14ac:dyDescent="0.2">
      <c r="B96" s="7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ht="15" customHeight="1" x14ac:dyDescent="0.2">
      <c r="B97" s="71" t="s">
        <v>44</v>
      </c>
      <c r="C97" s="32"/>
      <c r="D97" s="32"/>
      <c r="E97" s="32">
        <f>E48</f>
        <v>1453.587</v>
      </c>
      <c r="F97" s="32">
        <f>F91+F94</f>
        <v>1248.502185324</v>
      </c>
      <c r="G97" s="32">
        <f t="shared" ref="G97:O97" si="77">G91+G94</f>
        <v>1932.928939200541</v>
      </c>
      <c r="H97" s="32">
        <f t="shared" si="77"/>
        <v>2560.5401290880886</v>
      </c>
      <c r="I97" s="32">
        <f t="shared" si="77"/>
        <v>3189.1653906359288</v>
      </c>
      <c r="J97" s="32">
        <f t="shared" si="77"/>
        <v>3397.8098017070392</v>
      </c>
      <c r="K97" s="32">
        <f t="shared" si="77"/>
        <v>4067.8069796793561</v>
      </c>
      <c r="L97" s="32">
        <f t="shared" si="77"/>
        <v>4520.8628745650594</v>
      </c>
      <c r="M97" s="32">
        <f t="shared" si="77"/>
        <v>5321.6243516039522</v>
      </c>
      <c r="N97" s="32">
        <f t="shared" si="77"/>
        <v>6139.0309332347842</v>
      </c>
      <c r="O97" s="32">
        <f t="shared" si="77"/>
        <v>6504.9159484268503</v>
      </c>
    </row>
    <row r="98" spans="1:15" ht="15" customHeight="1" x14ac:dyDescent="0.2">
      <c r="B98" s="7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ht="15" customHeight="1" x14ac:dyDescent="0.2">
      <c r="B99" s="73" t="s">
        <v>109</v>
      </c>
      <c r="C99" s="74"/>
      <c r="D99" s="74"/>
      <c r="E99" s="74"/>
      <c r="F99" s="74">
        <f>E101</f>
        <v>2315.203</v>
      </c>
      <c r="G99" s="74">
        <f t="shared" ref="G99:O99" si="78">F101</f>
        <v>1659.6949999999999</v>
      </c>
      <c r="H99" s="74">
        <f t="shared" si="78"/>
        <v>1637.8529999999998</v>
      </c>
      <c r="I99" s="74">
        <f t="shared" si="78"/>
        <v>1546.6639999999998</v>
      </c>
      <c r="J99" s="74">
        <f t="shared" si="78"/>
        <v>1441.2359999999999</v>
      </c>
      <c r="K99" s="74">
        <f t="shared" si="78"/>
        <v>897.81914754098341</v>
      </c>
      <c r="L99" s="74">
        <f t="shared" si="78"/>
        <v>803.31186885245882</v>
      </c>
      <c r="M99" s="74">
        <f t="shared" si="78"/>
        <v>472.53639344262274</v>
      </c>
      <c r="N99" s="74">
        <f t="shared" si="78"/>
        <v>472.53639344262274</v>
      </c>
      <c r="O99" s="74">
        <f t="shared" si="78"/>
        <v>472.53639344262274</v>
      </c>
    </row>
    <row r="100" spans="1:15" ht="15" customHeight="1" x14ac:dyDescent="0.2">
      <c r="B100" s="73" t="str">
        <f>B17</f>
        <v>Long term debt 1 issuance / (repayment)</v>
      </c>
      <c r="C100" s="74"/>
      <c r="D100" s="74"/>
      <c r="E100" s="74"/>
      <c r="F100" s="74">
        <f>F17</f>
        <v>-655.50800000000004</v>
      </c>
      <c r="G100" s="74">
        <f>G17</f>
        <v>-21.841999999999999</v>
      </c>
      <c r="H100" s="74">
        <f>H17</f>
        <v>-91.188999999999993</v>
      </c>
      <c r="I100" s="74">
        <f>I17</f>
        <v>-105.428</v>
      </c>
      <c r="J100" s="74">
        <f>J17</f>
        <v>-543.41685245901647</v>
      </c>
      <c r="K100" s="74">
        <f>K17</f>
        <v>-94.507278688524593</v>
      </c>
      <c r="L100" s="74">
        <f>L17</f>
        <v>-330.77547540983608</v>
      </c>
      <c r="M100" s="74">
        <f>M17</f>
        <v>0</v>
      </c>
      <c r="N100" s="74">
        <f>N17</f>
        <v>0</v>
      </c>
      <c r="O100" s="74">
        <f>O17</f>
        <v>-472.53639344262297</v>
      </c>
    </row>
    <row r="101" spans="1:15" ht="15" customHeight="1" x14ac:dyDescent="0.2">
      <c r="B101" s="73" t="s">
        <v>110</v>
      </c>
      <c r="C101" s="74"/>
      <c r="D101" s="74"/>
      <c r="E101" s="74">
        <f>E55</f>
        <v>2315.203</v>
      </c>
      <c r="F101" s="74">
        <f>SUM(F99:F100)</f>
        <v>1659.6949999999999</v>
      </c>
      <c r="G101" s="74">
        <f t="shared" ref="G101:O101" si="79">SUM(G99:G100)</f>
        <v>1637.8529999999998</v>
      </c>
      <c r="H101" s="74">
        <f t="shared" si="79"/>
        <v>1546.6639999999998</v>
      </c>
      <c r="I101" s="74">
        <f t="shared" si="79"/>
        <v>1441.2359999999999</v>
      </c>
      <c r="J101" s="74">
        <f t="shared" si="79"/>
        <v>897.81914754098341</v>
      </c>
      <c r="K101" s="74">
        <f t="shared" si="79"/>
        <v>803.31186885245882</v>
      </c>
      <c r="L101" s="74">
        <f t="shared" si="79"/>
        <v>472.53639344262274</v>
      </c>
      <c r="M101" s="74">
        <f t="shared" si="79"/>
        <v>472.53639344262274</v>
      </c>
      <c r="N101" s="74">
        <f t="shared" si="79"/>
        <v>472.53639344262274</v>
      </c>
      <c r="O101" s="74">
        <f t="shared" si="79"/>
        <v>0</v>
      </c>
    </row>
    <row r="102" spans="1:15" ht="15" customHeight="1" x14ac:dyDescent="0.2">
      <c r="B102" s="7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ht="15" customHeight="1" x14ac:dyDescent="0.2">
      <c r="B103" s="71" t="s">
        <v>84</v>
      </c>
      <c r="C103" s="32"/>
      <c r="D103" s="32"/>
      <c r="E103" s="32"/>
      <c r="F103" s="32">
        <f>AVERAGE(E95:F95)*F18</f>
        <v>1.5130300000000001</v>
      </c>
      <c r="G103" s="32">
        <f>AVERAGE(F95:G95)*G18</f>
        <v>0</v>
      </c>
      <c r="H103" s="32">
        <f>AVERAGE(G95:H95)*H18</f>
        <v>0</v>
      </c>
      <c r="I103" s="32">
        <f>AVERAGE(H95:I95)*I18</f>
        <v>0</v>
      </c>
      <c r="J103" s="32">
        <f>AVERAGE(I95:J95)*J18</f>
        <v>0</v>
      </c>
      <c r="K103" s="32">
        <f>AVERAGE(J95:K95)*K18</f>
        <v>0</v>
      </c>
      <c r="L103" s="32">
        <f>AVERAGE(K95:L95)*L18</f>
        <v>0</v>
      </c>
      <c r="M103" s="32">
        <f>AVERAGE(L95:M95)*M18</f>
        <v>0</v>
      </c>
      <c r="N103" s="32">
        <f>AVERAGE(M95:N95)*N18</f>
        <v>0</v>
      </c>
      <c r="O103" s="32">
        <f>AVERAGE(N95:O95)*O18</f>
        <v>0</v>
      </c>
    </row>
    <row r="104" spans="1:15" ht="15" customHeight="1" x14ac:dyDescent="0.2">
      <c r="B104" s="73" t="s">
        <v>111</v>
      </c>
      <c r="C104" s="74"/>
      <c r="D104" s="74"/>
      <c r="E104" s="74"/>
      <c r="F104" s="74">
        <f>AVERAGE(E101:F101)*F19</f>
        <v>79.497960000000006</v>
      </c>
      <c r="G104" s="74">
        <f>AVERAGE(F101:G101)*G19</f>
        <v>65.950959999999995</v>
      </c>
      <c r="H104" s="74">
        <f>AVERAGE(G101:H101)*H19</f>
        <v>63.690339999999999</v>
      </c>
      <c r="I104" s="74">
        <f>AVERAGE(H101:I101)*I19</f>
        <v>59.757999999999996</v>
      </c>
      <c r="J104" s="74">
        <f>AVERAGE(I101:J101)*J19</f>
        <v>46.781102950819665</v>
      </c>
      <c r="K104" s="74">
        <f>AVERAGE(J101:K101)*K19</f>
        <v>34.022620327868843</v>
      </c>
      <c r="L104" s="74">
        <f>AVERAGE(K101:L101)*L19</f>
        <v>25.516965245901631</v>
      </c>
      <c r="M104" s="74">
        <f>AVERAGE(L101:M101)*M19</f>
        <v>18.901455737704911</v>
      </c>
      <c r="N104" s="74">
        <f>AVERAGE(M101:N101)*N19</f>
        <v>18.901455737704911</v>
      </c>
      <c r="O104" s="74">
        <f>AVERAGE(N101:O101)*O19</f>
        <v>9.4507278688524554</v>
      </c>
    </row>
    <row r="105" spans="1:15" ht="15" customHeight="1" x14ac:dyDescent="0.2">
      <c r="B105" s="16" t="s">
        <v>85</v>
      </c>
      <c r="F105">
        <f>AVERAGE(E97:F97)*F20</f>
        <v>6.7552229633100005</v>
      </c>
      <c r="G105">
        <f>AVERAGE(F97:G97)*G20</f>
        <v>7.9535778113113524</v>
      </c>
      <c r="H105">
        <f>AVERAGE(G97:H97)*H20</f>
        <v>11.233672670721573</v>
      </c>
      <c r="I105">
        <f>AVERAGE(H97:I97)*I20</f>
        <v>14.374263799310043</v>
      </c>
      <c r="J105">
        <f>AVERAGE(I97:J97)*J20</f>
        <v>16.467437980857422</v>
      </c>
      <c r="K105">
        <f>AVERAGE(J97:K97)*K20</f>
        <v>18.66404195346599</v>
      </c>
      <c r="L105">
        <f>AVERAGE(K97:L97)*L20</f>
        <v>21.471674635611038</v>
      </c>
      <c r="M105">
        <f>AVERAGE(L97:M97)*M20</f>
        <v>24.606218065422528</v>
      </c>
      <c r="N105">
        <f>AVERAGE(M97:N97)*N20</f>
        <v>28.651638212096842</v>
      </c>
      <c r="O105">
        <f>AVERAGE(N97:O97)*O20</f>
        <v>31.609867204154089</v>
      </c>
    </row>
    <row r="107" spans="1:15" ht="15" customHeight="1" x14ac:dyDescent="0.2">
      <c r="A107" s="15" t="s">
        <v>102</v>
      </c>
    </row>
    <row r="108" spans="1:15" ht="15" customHeight="1" x14ac:dyDescent="0.2">
      <c r="B108" s="16" t="s">
        <v>60</v>
      </c>
      <c r="C108" s="66">
        <f>C25/C23</f>
        <v>0.13690665527165549</v>
      </c>
      <c r="D108" s="66">
        <f>D25/D23</f>
        <v>0.14436348385002293</v>
      </c>
      <c r="E108" s="66">
        <f>E25/E23</f>
        <v>0.15127614289894162</v>
      </c>
      <c r="F108" s="66">
        <f>F25/F23</f>
        <v>0.15000000000000005</v>
      </c>
      <c r="G108" s="66">
        <f>G25/G23</f>
        <v>0.15</v>
      </c>
      <c r="H108" s="66">
        <f>H25/H23</f>
        <v>0.15000000000000002</v>
      </c>
      <c r="I108" s="66">
        <f>I25/I23</f>
        <v>0.14999999999999994</v>
      </c>
      <c r="J108" s="66">
        <f>J25/J23</f>
        <v>0.15000000000000005</v>
      </c>
      <c r="K108" s="66">
        <f>K25/K23</f>
        <v>0.14999999999999997</v>
      </c>
      <c r="L108" s="66">
        <f>L25/L23</f>
        <v>0.14999999999999994</v>
      </c>
      <c r="M108" s="66">
        <f>M25/M23</f>
        <v>0.14999999999999997</v>
      </c>
      <c r="N108" s="66">
        <f>N25/N23</f>
        <v>0.15000000000000002</v>
      </c>
      <c r="O108" s="66">
        <f>O25/O23</f>
        <v>0.15</v>
      </c>
    </row>
    <row r="109" spans="1:15" ht="15" customHeight="1" x14ac:dyDescent="0.2">
      <c r="B109" s="16" t="s">
        <v>50</v>
      </c>
      <c r="C109" s="66"/>
      <c r="D109" s="66"/>
      <c r="E109" s="66"/>
      <c r="F109">
        <f>F25+F35</f>
        <v>895.86888450000038</v>
      </c>
      <c r="G109">
        <f>G25+G35</f>
        <v>981.57464628690002</v>
      </c>
      <c r="H109">
        <f>H25+H35</f>
        <v>1070.313814285699</v>
      </c>
      <c r="I109">
        <f>I25+I35</f>
        <v>1162.4075828758002</v>
      </c>
      <c r="J109">
        <f>J25+J35</f>
        <v>1258.1872315589342</v>
      </c>
      <c r="K109">
        <f>K25+K35</f>
        <v>1341.3303288952795</v>
      </c>
      <c r="L109">
        <f>L25+L35</f>
        <v>1427.2951545383889</v>
      </c>
      <c r="M109">
        <f>M25+M35</f>
        <v>1507.1243476816278</v>
      </c>
      <c r="N109">
        <f>N25+N35</f>
        <v>1579.9162126610313</v>
      </c>
      <c r="O109">
        <f>O25+O35</f>
        <v>1654.7942974288485</v>
      </c>
    </row>
    <row r="110" spans="1:15" ht="15" customHeight="1" x14ac:dyDescent="0.2">
      <c r="B110" s="16" t="s">
        <v>92</v>
      </c>
      <c r="C110" s="66"/>
      <c r="D110" s="66"/>
      <c r="E110" s="66"/>
      <c r="F110" s="66">
        <f>F109/F23</f>
        <v>0.10180137875944609</v>
      </c>
      <c r="G110" s="66">
        <f>G109/G23</f>
        <v>0.10522687524653075</v>
      </c>
      <c r="H110" s="66">
        <f>H109/H23</f>
        <v>0.10824519007571674</v>
      </c>
      <c r="I110" s="66">
        <f>I109/I23</f>
        <v>0.1109047240855843</v>
      </c>
      <c r="J110" s="66">
        <f>J109/J23</f>
        <v>0.11324812480748665</v>
      </c>
      <c r="K110" s="66">
        <f>K109/K23</f>
        <v>0.11498261768589756</v>
      </c>
      <c r="L110" s="66">
        <f>L109/L23</f>
        <v>0.11652549039869363</v>
      </c>
      <c r="M110" s="66">
        <f>M109/M23</f>
        <v>0.11774431390658359</v>
      </c>
      <c r="N110" s="66">
        <f>N109/N23</f>
        <v>0.11868383575841264</v>
      </c>
      <c r="O110" s="66">
        <f>O109/O23</f>
        <v>0.1195275986522667</v>
      </c>
    </row>
    <row r="111" spans="1:15" ht="15" customHeight="1" x14ac:dyDescent="0.2">
      <c r="B111" s="16" t="s">
        <v>61</v>
      </c>
      <c r="C111" s="66">
        <f>C30/C23</f>
        <v>7.6001299437691114E-2</v>
      </c>
      <c r="D111" s="66">
        <f>D30/D23</f>
        <v>7.5056911956618483E-2</v>
      </c>
      <c r="E111" s="66">
        <f>E30/E23</f>
        <v>8.442083619902313E-2</v>
      </c>
      <c r="F111" s="66">
        <f>F30/F23</f>
        <v>9.600000000000003E-2</v>
      </c>
      <c r="G111" s="66">
        <f>G30/G23</f>
        <v>9.6000000000000002E-2</v>
      </c>
      <c r="H111" s="66">
        <f>H30/H23</f>
        <v>9.6000000000000016E-2</v>
      </c>
      <c r="I111" s="66">
        <f>I30/I23</f>
        <v>9.599999999999996E-2</v>
      </c>
      <c r="J111" s="66">
        <f>J30/J23</f>
        <v>9.600000000000003E-2</v>
      </c>
      <c r="K111" s="66">
        <f>K30/K23</f>
        <v>9.5999999999999974E-2</v>
      </c>
      <c r="L111" s="66">
        <f>L30/L23</f>
        <v>9.599999999999996E-2</v>
      </c>
      <c r="M111" s="66">
        <f>M30/M23</f>
        <v>9.5999999999999988E-2</v>
      </c>
      <c r="N111" s="66">
        <f>N30/N23</f>
        <v>9.6000000000000016E-2</v>
      </c>
      <c r="O111" s="66">
        <f>O30/O23</f>
        <v>9.6000000000000002E-2</v>
      </c>
    </row>
    <row r="113" spans="1:15" ht="15" customHeight="1" x14ac:dyDescent="0.2">
      <c r="A113" s="15" t="s">
        <v>103</v>
      </c>
    </row>
    <row r="114" spans="1:15" ht="15" customHeight="1" x14ac:dyDescent="0.2">
      <c r="B114" s="16" t="s">
        <v>72</v>
      </c>
      <c r="D114" s="66">
        <f>D45/D23</f>
        <v>-3.2208878607107631E-2</v>
      </c>
      <c r="E114" s="66">
        <f>E45/E23</f>
        <v>-6.3367212832400946E-2</v>
      </c>
      <c r="F114" s="66">
        <f>F45/F23</f>
        <v>-4.6999999999999993E-2</v>
      </c>
      <c r="G114" s="66">
        <f>G45/G23</f>
        <v>-4.7000000000000056E-2</v>
      </c>
      <c r="H114" s="66">
        <f>H45/H23</f>
        <v>-4.6999999999999993E-2</v>
      </c>
      <c r="I114" s="66">
        <f>I45/I23</f>
        <v>-4.7000000000000014E-2</v>
      </c>
      <c r="J114" s="66">
        <f>J45/J23</f>
        <v>-4.7000000000000007E-2</v>
      </c>
      <c r="K114" s="66">
        <f>K45/K23</f>
        <v>-4.7000000000000007E-2</v>
      </c>
      <c r="L114" s="66">
        <f>L45/L23</f>
        <v>-4.7000000000000028E-2</v>
      </c>
      <c r="M114" s="66">
        <f>M45/M23</f>
        <v>-4.7000000000000035E-2</v>
      </c>
      <c r="N114" s="66">
        <f>N45/N23</f>
        <v>-4.7000000000000028E-2</v>
      </c>
      <c r="O114" s="66">
        <f>O45/O23</f>
        <v>-4.7000000000000021E-2</v>
      </c>
    </row>
    <row r="115" spans="1:15" ht="15" customHeight="1" x14ac:dyDescent="0.2">
      <c r="B115" s="16" t="s">
        <v>73</v>
      </c>
      <c r="D115" s="66">
        <f>D50/D23</f>
        <v>0.79956434165580537</v>
      </c>
      <c r="E115" s="66">
        <f>E50/E23</f>
        <v>0.83982446100965236</v>
      </c>
      <c r="F115" s="66">
        <f>F50/F23</f>
        <v>0.71908351876783949</v>
      </c>
      <c r="G115" s="66">
        <f>G50/G23</f>
        <v>0.67060755332939825</v>
      </c>
      <c r="H115" s="66">
        <f>H50/H23</f>
        <v>0.62789382529213</v>
      </c>
      <c r="I115" s="66">
        <f>I50/I23</f>
        <v>0.59025738945551831</v>
      </c>
      <c r="J115" s="66">
        <f>J50/J23</f>
        <v>0.55709471863344728</v>
      </c>
      <c r="K115" s="66">
        <f>K50/K23</f>
        <v>0.53254901638441876</v>
      </c>
      <c r="L115" s="66">
        <f>L50/L23</f>
        <v>0.51071502981242578</v>
      </c>
      <c r="M115" s="66">
        <f>M50/M23</f>
        <v>0.49346683047349832</v>
      </c>
      <c r="N115" s="66">
        <f>N50/N23</f>
        <v>0.48017117275216092</v>
      </c>
      <c r="O115" s="66">
        <f>O50/O23</f>
        <v>0.46823064937549835</v>
      </c>
    </row>
    <row r="117" spans="1:15" ht="15" customHeight="1" x14ac:dyDescent="0.2">
      <c r="A117" s="15" t="s">
        <v>86</v>
      </c>
    </row>
    <row r="118" spans="1:15" ht="15" customHeight="1" x14ac:dyDescent="0.2">
      <c r="B118" s="73" t="s">
        <v>74</v>
      </c>
      <c r="C118" s="74"/>
      <c r="D118" s="74"/>
      <c r="E118" s="74">
        <f>E95+E101</f>
        <v>2466.5059999999999</v>
      </c>
      <c r="F118" s="74">
        <f>F95+F101</f>
        <v>1659.6949999999999</v>
      </c>
      <c r="G118" s="74">
        <f t="shared" ref="G118:O118" si="80">G95+G101</f>
        <v>1637.8529999999998</v>
      </c>
      <c r="H118" s="74">
        <f t="shared" si="80"/>
        <v>1546.6639999999998</v>
      </c>
      <c r="I118" s="74">
        <f t="shared" si="80"/>
        <v>1441.2359999999999</v>
      </c>
      <c r="J118" s="74">
        <f t="shared" si="80"/>
        <v>897.81914754098341</v>
      </c>
      <c r="K118" s="74">
        <f t="shared" si="80"/>
        <v>803.31186885245882</v>
      </c>
      <c r="L118" s="74">
        <f t="shared" si="80"/>
        <v>472.53639344262274</v>
      </c>
      <c r="M118" s="74">
        <f t="shared" si="80"/>
        <v>472.53639344262274</v>
      </c>
      <c r="N118" s="74">
        <f t="shared" si="80"/>
        <v>472.53639344262274</v>
      </c>
      <c r="O118" s="74">
        <f t="shared" si="80"/>
        <v>0</v>
      </c>
    </row>
    <row r="119" spans="1:15" ht="15" customHeight="1" x14ac:dyDescent="0.2">
      <c r="B119" s="16" t="s">
        <v>87</v>
      </c>
      <c r="E119">
        <f>E118-E97</f>
        <v>1012.9189999999999</v>
      </c>
      <c r="F119">
        <f>F118-F97</f>
        <v>411.1928146759999</v>
      </c>
      <c r="G119">
        <f>G118-G97</f>
        <v>-295.07593920054114</v>
      </c>
      <c r="H119">
        <f>H118-H97</f>
        <v>-1013.8761290880889</v>
      </c>
      <c r="I119">
        <f>I118-I97</f>
        <v>-1747.9293906359289</v>
      </c>
      <c r="J119">
        <f>J118-J97</f>
        <v>-2499.9906541660557</v>
      </c>
      <c r="K119">
        <f>K118-K97</f>
        <v>-3264.4951108268974</v>
      </c>
      <c r="L119">
        <f>L118-L97</f>
        <v>-4048.3264811224367</v>
      </c>
      <c r="M119">
        <f>M118-M97</f>
        <v>-4849.0879581613299</v>
      </c>
      <c r="N119">
        <f>N118-N97</f>
        <v>-5666.494539792162</v>
      </c>
      <c r="O119">
        <f>O118-O97</f>
        <v>-6504.9159484268503</v>
      </c>
    </row>
    <row r="120" spans="1:15" ht="15" customHeight="1" x14ac:dyDescent="0.2">
      <c r="B120" s="16" t="s">
        <v>88</v>
      </c>
      <c r="F120" s="70">
        <f t="shared" ref="F120:O120" si="81">F118/F109</f>
        <v>1.8526092698557155</v>
      </c>
      <c r="G120" s="70">
        <f t="shared" si="81"/>
        <v>1.668597499126194</v>
      </c>
      <c r="H120" s="70">
        <f t="shared" si="81"/>
        <v>1.4450565613153421</v>
      </c>
      <c r="I120" s="70">
        <f t="shared" si="81"/>
        <v>1.2398714712737655</v>
      </c>
      <c r="J120" s="70">
        <f t="shared" si="81"/>
        <v>0.71358151237042577</v>
      </c>
      <c r="K120" s="70">
        <f t="shared" si="81"/>
        <v>0.59889189974110768</v>
      </c>
      <c r="L120" s="70">
        <f t="shared" si="81"/>
        <v>0.33107125175903013</v>
      </c>
      <c r="M120" s="70">
        <f t="shared" si="81"/>
        <v>0.31353510688717479</v>
      </c>
      <c r="N120" s="70">
        <f t="shared" si="81"/>
        <v>0.29908952744192435</v>
      </c>
      <c r="O120" s="70">
        <f t="shared" si="81"/>
        <v>0</v>
      </c>
    </row>
    <row r="121" spans="1:15" ht="15" customHeight="1" x14ac:dyDescent="0.2">
      <c r="B121" s="16" t="s">
        <v>89</v>
      </c>
      <c r="F121" s="70">
        <f t="shared" ref="F121:O121" si="82">F119/F109</f>
        <v>0.45898771772332908</v>
      </c>
      <c r="G121" s="70">
        <f t="shared" si="82"/>
        <v>-0.30061487459639896</v>
      </c>
      <c r="H121" s="70">
        <f t="shared" si="82"/>
        <v>-0.94726996471098035</v>
      </c>
      <c r="I121" s="70">
        <f t="shared" si="82"/>
        <v>-1.5037147179576598</v>
      </c>
      <c r="J121" s="70">
        <f t="shared" si="82"/>
        <v>-1.9869782425533657</v>
      </c>
      <c r="K121" s="70">
        <f t="shared" si="82"/>
        <v>-2.4337741721798967</v>
      </c>
      <c r="L121" s="70">
        <f t="shared" si="82"/>
        <v>-2.8363625198683819</v>
      </c>
      <c r="M121" s="70">
        <f t="shared" si="82"/>
        <v>-3.2174438463691217</v>
      </c>
      <c r="N121" s="70">
        <f t="shared" si="82"/>
        <v>-3.5865791453890852</v>
      </c>
      <c r="O121" s="70">
        <f t="shared" si="82"/>
        <v>-3.9309513928915045</v>
      </c>
    </row>
    <row r="122" spans="1:15" ht="15" customHeight="1" x14ac:dyDescent="0.2">
      <c r="B122" s="16" t="s">
        <v>90</v>
      </c>
      <c r="F122" s="70">
        <f>F109/(F103+F104)</f>
        <v>11.058609264002332</v>
      </c>
      <c r="G122" s="70">
        <f>G109/(G103+G104)</f>
        <v>14.883401944215825</v>
      </c>
      <c r="H122" s="70">
        <f>H109/(H103+H104)</f>
        <v>16.80496311192088</v>
      </c>
      <c r="I122" s="70">
        <f>I109/(I103+I104)</f>
        <v>19.451915774888722</v>
      </c>
      <c r="J122" s="70">
        <f>J109/(J103+J104)</f>
        <v>26.895202382929046</v>
      </c>
      <c r="K122" s="70">
        <f>K109/(K103+K104)</f>
        <v>39.424662650000528</v>
      </c>
      <c r="L122" s="70">
        <f>L109/(L103+L104)</f>
        <v>55.935145139080824</v>
      </c>
      <c r="M122" s="70">
        <f>M109/(M103+M104)</f>
        <v>79.735887467926261</v>
      </c>
      <c r="N122" s="70">
        <f>N109/(N103+N104)</f>
        <v>83.587012269610028</v>
      </c>
      <c r="O122" s="70">
        <f>O109/(O103+O104)</f>
        <v>175.09702113873058</v>
      </c>
    </row>
    <row r="123" spans="1:15" ht="15" customHeight="1" x14ac:dyDescent="0.2">
      <c r="B123" s="16" t="s">
        <v>91</v>
      </c>
      <c r="F123" s="66">
        <f>F119/(F119+F58)</f>
        <v>6.9523476164912404E-2</v>
      </c>
      <c r="G123" s="66">
        <f>G119/(G119+G58)</f>
        <v>-5.0725434189373753E-2</v>
      </c>
      <c r="H123" s="66">
        <f>H119/(H119+H58)</f>
        <v>-0.17651662475770297</v>
      </c>
      <c r="I123" s="66">
        <f>I119/(I119+I58)</f>
        <v>-0.30697983890411762</v>
      </c>
      <c r="J123" s="66">
        <f>J119/(J119+J58)</f>
        <v>-0.44113681593348159</v>
      </c>
      <c r="K123" s="66">
        <f>K119/(K119+K58)</f>
        <v>-0.57634083425269822</v>
      </c>
      <c r="L123" s="66">
        <f>L119/(L119+L58)</f>
        <v>-0.7127406107794898</v>
      </c>
      <c r="M123" s="66">
        <f>M119/(M119+M58)</f>
        <v>-0.8485192904967187</v>
      </c>
      <c r="N123" s="66">
        <f>N119/(N119+N58)</f>
        <v>-0.98268074378405768</v>
      </c>
      <c r="O123" s="66">
        <f>O119/(O119+O58)</f>
        <v>-1.1154392044066541</v>
      </c>
    </row>
    <row r="125" spans="1:15" ht="15" customHeight="1" x14ac:dyDescent="0.2">
      <c r="A125" s="15" t="s">
        <v>101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61" fitToHeight="6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2018-07-31T06:07:30Z</cp:lastPrinted>
  <dcterms:created xsi:type="dcterms:W3CDTF">2016-02-03T14:06:14Z</dcterms:created>
  <dcterms:modified xsi:type="dcterms:W3CDTF">2022-01-06T14:27:01Z</dcterms:modified>
</cp:coreProperties>
</file>