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linhphan/Desktop/Investment Banking/Intro to Valuing/Putting Analysis Together/"/>
    </mc:Choice>
  </mc:AlternateContent>
  <xr:revisionPtr revIDLastSave="0" documentId="13_ncr:1_{AEDE779C-D6CA-9D40-8AD4-5EE86C4F4439}" xr6:coauthVersionLast="47" xr6:coauthVersionMax="47" xr10:uidLastSave="{00000000-0000-0000-0000-000000000000}"/>
  <bookViews>
    <workbookView xWindow="0" yWindow="500" windowWidth="28800" windowHeight="16160" tabRatio="792" firstSheet="5" activeTab="17" xr2:uid="{00000000-000D-0000-FFFF-FFFF00000000}"/>
  </bookViews>
  <sheets>
    <sheet name="Welcome" sheetId="1" r:id="rId1"/>
    <sheet name="Info" sheetId="6" r:id="rId2"/>
    <sheet name="Samsonite" sheetId="8" r:id="rId3"/>
    <sheet name="LVMH" sheetId="16" r:id="rId4"/>
    <sheet name="Burberry" sheetId="15" r:id="rId5"/>
    <sheet name="Input" sheetId="22" r:id="rId6"/>
    <sheet name="Calc" sheetId="23" r:id="rId7"/>
    <sheet name="IS" sheetId="24" r:id="rId8"/>
    <sheet name="BS" sheetId="25" r:id="rId9"/>
    <sheet name="CFS" sheetId="26" r:id="rId10"/>
    <sheet name="WACC" sheetId="27" r:id="rId11"/>
    <sheet name="LoroPiana" sheetId="32" r:id="rId12"/>
    <sheet name="Comparables valuation" sheetId="9" r:id="rId13"/>
    <sheet name="FCF" sheetId="28" r:id="rId14"/>
    <sheet name="Transaction comparables" sheetId="30" r:id="rId15"/>
    <sheet name="Tumi" sheetId="31" r:id="rId16"/>
    <sheet name="Tumi 1" sheetId="2" r:id="rId17"/>
    <sheet name="Football field" sheetId="34" r:id="rId18"/>
  </sheets>
  <definedNames>
    <definedName name="calendar" localSheetId="4">Burberry!$E$128:$G$128</definedName>
    <definedName name="calendar" localSheetId="11">LoroPiana!$E$92:$G$92</definedName>
    <definedName name="calendar" localSheetId="3">LVMH!$E$128:$G$128</definedName>
    <definedName name="calendar" localSheetId="2">Samsonite!$E$128:$G$128</definedName>
    <definedName name="calendar" localSheetId="15">Tumi!$E$92:$G$92</definedName>
    <definedName name="calendar" localSheetId="16">'Tumi 1'!$E$128:$G$128</definedName>
    <definedName name="calendar" localSheetId="10">WACC!$E$130:$I$130</definedName>
    <definedName name="CIQWBGuid" hidden="1">"571ab0c3-d74c-43bc-a7ba-442a57d4d174"</definedName>
    <definedName name="date">Info!$N$7</definedName>
    <definedName name="FX" localSheetId="4">Burberry!$C$17</definedName>
    <definedName name="FX" localSheetId="11">LoroPiana!$C$18</definedName>
    <definedName name="FX" localSheetId="3">LVMH!$C$17</definedName>
    <definedName name="FX" localSheetId="2">Samsonite!$C$17</definedName>
    <definedName name="FX" localSheetId="15">Tumi!$C$18</definedName>
    <definedName name="FX" localSheetId="16">'Tumi 1'!$C$17</definedName>
    <definedName name="FXadj" localSheetId="10">WACC!$D$13</definedName>
    <definedName name="FXadj">Samsonite!$D$11</definedName>
    <definedName name="g" localSheetId="13">#REF!</definedName>
    <definedName name="g" localSheetId="17">#REF!</definedName>
    <definedName name="g" localSheetId="10">#REF!</definedName>
    <definedName name="g">#REF!</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"01/29/2016 15:32:18"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IQRBWSM104" localSheetId="17" hidden="1">#REF!</definedName>
    <definedName name="IQRBWSM104" hidden="1">#REF!</definedName>
    <definedName name="IQRDECKM104" localSheetId="17" hidden="1">#REF!</definedName>
    <definedName name="IQRDECKM104" hidden="1">#REF!</definedName>
    <definedName name="IQRDSWM104" localSheetId="17" hidden="1">#REF!</definedName>
    <definedName name="IQRDSWM104" hidden="1">#REF!</definedName>
    <definedName name="IQRFINLM104" localSheetId="17" hidden="1">#REF!</definedName>
    <definedName name="IQRFINLM104" hidden="1">#REF!</definedName>
    <definedName name="IQRGCOM104" localSheetId="17" hidden="1">#REF!</definedName>
    <definedName name="IQRGCOM104" hidden="1">#REF!</definedName>
    <definedName name="IQRSHOOM104" localSheetId="17" hidden="1">#REF!</definedName>
    <definedName name="IQRSHOOM104" hidden="1">#REF!</definedName>
    <definedName name="IQRSKXM104" localSheetId="17" hidden="1">#REF!</definedName>
    <definedName name="IQRSKXM104" hidden="1">#REF!</definedName>
    <definedName name="IQRTargetM104" localSheetId="17" hidden="1">#REF!</definedName>
    <definedName name="IQRTargetM104" hidden="1">#REF!</definedName>
    <definedName name="IQRTODM104" localSheetId="17" hidden="1">#REF!</definedName>
    <definedName name="IQRTODM104" hidden="1">#REF!</definedName>
    <definedName name="IQRWWWM104" localSheetId="17" hidden="1">#REF!</definedName>
    <definedName name="IQRWWWM104" hidden="1">#REF!</definedName>
    <definedName name="scenario_toggle">FCF!$C$67</definedName>
    <definedName name="switch">Info!$N$12</definedName>
    <definedName name="Switch2" localSheetId="17">'Football field'!$D$5</definedName>
    <definedName name="Switch2">Input!$D$5</definedName>
    <definedName name="Ticker" localSheetId="4">Burberry!$C$8</definedName>
    <definedName name="Ticker" localSheetId="3">LVMH!$C$8</definedName>
    <definedName name="Ticker" localSheetId="2">Samsonite!$C$8</definedName>
    <definedName name="Ticker" localSheetId="16">'Tumi 1'!$C$8</definedName>
    <definedName name="wacc" localSheetId="13">#REF!</definedName>
    <definedName name="wacc" localSheetId="17">#REF!</definedName>
    <definedName name="wacc" localSheetId="10">#REF!</definedName>
    <definedName name="wacc">#REF!</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9" i="31" l="1"/>
  <c r="H49" i="31"/>
  <c r="H8" i="31" s="1"/>
  <c r="E66" i="34"/>
  <c r="E67" i="34"/>
  <c r="E68" i="34"/>
  <c r="E69" i="34"/>
  <c r="E70" i="34"/>
  <c r="E71" i="34"/>
  <c r="E72" i="34"/>
  <c r="H62" i="34"/>
  <c r="H61" i="34"/>
  <c r="B72" i="34"/>
  <c r="B71" i="34"/>
  <c r="B70" i="34"/>
  <c r="B69" i="34"/>
  <c r="B68" i="34"/>
  <c r="B67" i="34"/>
  <c r="B66" i="34"/>
  <c r="B61" i="34"/>
  <c r="B60" i="34"/>
  <c r="B59" i="34"/>
  <c r="C56" i="34"/>
  <c r="C58" i="34" s="1"/>
  <c r="D54" i="34"/>
  <c r="D56" i="34" s="1"/>
  <c r="D58" i="34" s="1"/>
  <c r="C54" i="34"/>
  <c r="C51" i="34"/>
  <c r="C71" i="34" s="1"/>
  <c r="D49" i="34"/>
  <c r="D51" i="34" s="1"/>
  <c r="F71" i="34" s="1"/>
  <c r="D71" i="34" s="1"/>
  <c r="C49" i="34"/>
  <c r="D41" i="34"/>
  <c r="D42" i="34" s="1"/>
  <c r="C41" i="34"/>
  <c r="C42" i="34" s="1"/>
  <c r="D36" i="34"/>
  <c r="F69" i="34" s="1"/>
  <c r="C36" i="34"/>
  <c r="C69" i="34" s="1"/>
  <c r="D33" i="34"/>
  <c r="F68" i="34" s="1"/>
  <c r="C33" i="34"/>
  <c r="C68" i="34" s="1"/>
  <c r="D29" i="34"/>
  <c r="D30" i="34" s="1"/>
  <c r="F67" i="34" s="1"/>
  <c r="C29" i="34"/>
  <c r="C30" i="34" s="1"/>
  <c r="C67" i="34" s="1"/>
  <c r="C15" i="34"/>
  <c r="D19" i="34"/>
  <c r="D20" i="34" s="1"/>
  <c r="C19" i="34"/>
  <c r="C20" i="34" s="1"/>
  <c r="B15" i="34"/>
  <c r="C11" i="34"/>
  <c r="C12" i="34"/>
  <c r="C13" i="34"/>
  <c r="C10" i="34"/>
  <c r="C7" i="34"/>
  <c r="C8" i="34"/>
  <c r="C9" i="34"/>
  <c r="C6" i="34"/>
  <c r="B11" i="34"/>
  <c r="B12" i="34"/>
  <c r="B13" i="34"/>
  <c r="B10" i="34"/>
  <c r="B7" i="34"/>
  <c r="B8" i="34"/>
  <c r="B9" i="34"/>
  <c r="B6" i="34"/>
  <c r="B82" i="28"/>
  <c r="B83" i="28" s="1"/>
  <c r="B80" i="28"/>
  <c r="B79" i="28" s="1"/>
  <c r="F78" i="28"/>
  <c r="G78" i="28" s="1"/>
  <c r="D78" i="28"/>
  <c r="C78" i="28"/>
  <c r="Q10" i="30"/>
  <c r="Q11" i="30"/>
  <c r="Q12" i="30"/>
  <c r="O7" i="9"/>
  <c r="K7" i="9"/>
  <c r="AA8" i="9"/>
  <c r="AA10" i="9"/>
  <c r="AA7" i="9"/>
  <c r="AA9" i="9"/>
  <c r="D68" i="34" l="1"/>
  <c r="D69" i="34"/>
  <c r="D67" i="34"/>
  <c r="D22" i="34"/>
  <c r="D44" i="34" s="1"/>
  <c r="D60" i="34" s="1"/>
  <c r="C21" i="34"/>
  <c r="C43" i="34" s="1"/>
  <c r="C59" i="34" s="1"/>
  <c r="D21" i="34"/>
  <c r="C22" i="34"/>
  <c r="C44" i="34" s="1"/>
  <c r="C60" i="34" s="1"/>
  <c r="J17" i="26"/>
  <c r="K17" i="26"/>
  <c r="L17" i="26"/>
  <c r="J13" i="25"/>
  <c r="K13" i="25"/>
  <c r="L13" i="25"/>
  <c r="J15" i="25"/>
  <c r="K7" i="26" s="1"/>
  <c r="K15" i="25"/>
  <c r="L7" i="26" s="1"/>
  <c r="L15" i="25"/>
  <c r="J23" i="25"/>
  <c r="K23" i="25"/>
  <c r="K8" i="26" s="1"/>
  <c r="L23" i="25"/>
  <c r="J11" i="24"/>
  <c r="K11" i="24"/>
  <c r="L11" i="24"/>
  <c r="J12" i="24"/>
  <c r="K12" i="24"/>
  <c r="L12" i="24"/>
  <c r="J15" i="24"/>
  <c r="K15" i="24"/>
  <c r="L15" i="24"/>
  <c r="J24" i="24"/>
  <c r="K24" i="24"/>
  <c r="L24" i="24"/>
  <c r="J20" i="23"/>
  <c r="J16" i="26" s="1"/>
  <c r="J18" i="26" s="1"/>
  <c r="J35" i="23" s="1"/>
  <c r="K20" i="23"/>
  <c r="K16" i="26" s="1"/>
  <c r="K18" i="26" s="1"/>
  <c r="K35" i="23" s="1"/>
  <c r="L20" i="23"/>
  <c r="L16" i="26" s="1"/>
  <c r="L18" i="26" s="1"/>
  <c r="L35" i="23" s="1"/>
  <c r="C61" i="34" l="1"/>
  <c r="C62" i="34" s="1"/>
  <c r="C72" i="34" s="1"/>
  <c r="D23" i="34"/>
  <c r="D24" i="34" s="1"/>
  <c r="F66" i="34" s="1"/>
  <c r="D43" i="34"/>
  <c r="C45" i="34"/>
  <c r="C46" i="34" s="1"/>
  <c r="C70" i="34" s="1"/>
  <c r="C23" i="34"/>
  <c r="C24" i="34" s="1"/>
  <c r="C66" i="34" s="1"/>
  <c r="L8" i="26"/>
  <c r="D66" i="34" l="1"/>
  <c r="D59" i="34"/>
  <c r="D61" i="34" s="1"/>
  <c r="D62" i="34" s="1"/>
  <c r="F72" i="34" s="1"/>
  <c r="D72" i="34" s="1"/>
  <c r="D45" i="34"/>
  <c r="D46" i="34" s="1"/>
  <c r="F70" i="34" s="1"/>
  <c r="D70" i="34" s="1"/>
  <c r="D74" i="31"/>
  <c r="D61" i="31"/>
  <c r="E61" i="31"/>
  <c r="D62" i="31"/>
  <c r="E62" i="31"/>
  <c r="D64" i="31"/>
  <c r="E64" i="31"/>
  <c r="C62" i="31"/>
  <c r="C63" i="31"/>
  <c r="C64" i="31"/>
  <c r="C61" i="31"/>
  <c r="C53" i="31"/>
  <c r="D49" i="31"/>
  <c r="E49" i="31"/>
  <c r="C49" i="31"/>
  <c r="D75" i="31"/>
  <c r="D76" i="31"/>
  <c r="B74" i="31"/>
  <c r="E3" i="28" l="1"/>
  <c r="F3" i="28" s="1"/>
  <c r="G3" i="28" s="1"/>
  <c r="H3" i="28" s="1"/>
  <c r="I3" i="28" s="1"/>
  <c r="C3" i="28"/>
  <c r="E3" i="26"/>
  <c r="F3" i="26" s="1"/>
  <c r="G3" i="26" s="1"/>
  <c r="H3" i="26" s="1"/>
  <c r="I3" i="26" s="1"/>
  <c r="J3" i="26" s="1"/>
  <c r="K3" i="26" s="1"/>
  <c r="L3" i="26" s="1"/>
  <c r="C3" i="26"/>
  <c r="F3" i="25"/>
  <c r="G3" i="25" s="1"/>
  <c r="H3" i="25" s="1"/>
  <c r="I3" i="25" s="1"/>
  <c r="J3" i="25" s="1"/>
  <c r="K3" i="25" s="1"/>
  <c r="L3" i="25" s="1"/>
  <c r="E3" i="25"/>
  <c r="C3" i="25"/>
  <c r="E3" i="24"/>
  <c r="F3" i="24" s="1"/>
  <c r="G3" i="24" s="1"/>
  <c r="H3" i="24" s="1"/>
  <c r="I3" i="24" s="1"/>
  <c r="J3" i="24" s="1"/>
  <c r="K3" i="24" s="1"/>
  <c r="L3" i="24" s="1"/>
  <c r="C3" i="24"/>
  <c r="E3" i="23"/>
  <c r="F3" i="23" s="1"/>
  <c r="G3" i="23" s="1"/>
  <c r="H3" i="23" s="1"/>
  <c r="I3" i="23" s="1"/>
  <c r="J3" i="23" s="1"/>
  <c r="K3" i="23" s="1"/>
  <c r="L3" i="23" s="1"/>
  <c r="C3" i="23"/>
  <c r="F8" i="32"/>
  <c r="F9" i="32"/>
  <c r="C10" i="32"/>
  <c r="F10" i="32"/>
  <c r="H14" i="32"/>
  <c r="C15" i="32"/>
  <c r="E48" i="32" s="1"/>
  <c r="D48" i="32" s="1"/>
  <c r="H15" i="32"/>
  <c r="H16" i="32"/>
  <c r="D19" i="32"/>
  <c r="D20" i="32"/>
  <c r="D21" i="32"/>
  <c r="D22" i="32"/>
  <c r="C28" i="32"/>
  <c r="B33" i="32"/>
  <c r="I33" i="32"/>
  <c r="D34" i="32"/>
  <c r="I34" i="32"/>
  <c r="D35" i="32"/>
  <c r="H35" i="32"/>
  <c r="I35" i="32" s="1"/>
  <c r="D36" i="32"/>
  <c r="D37" i="32"/>
  <c r="D38" i="32"/>
  <c r="D39" i="32"/>
  <c r="D40" i="32"/>
  <c r="D41" i="32"/>
  <c r="D42" i="32"/>
  <c r="H45" i="32"/>
  <c r="G49" i="32"/>
  <c r="H49" i="32" s="1"/>
  <c r="H8" i="32" s="1"/>
  <c r="C51" i="32"/>
  <c r="G53" i="32"/>
  <c r="H53" i="32" s="1"/>
  <c r="C58" i="32"/>
  <c r="D58" i="32" s="1"/>
  <c r="H21" i="32" s="1"/>
  <c r="G61" i="32"/>
  <c r="G62" i="32"/>
  <c r="G63" i="32"/>
  <c r="G64" i="32"/>
  <c r="G65" i="32"/>
  <c r="G66" i="32"/>
  <c r="G67" i="32"/>
  <c r="G68" i="32"/>
  <c r="G69" i="32"/>
  <c r="C70" i="32"/>
  <c r="C50" i="32" s="1"/>
  <c r="D70" i="32"/>
  <c r="D50" i="32" s="1"/>
  <c r="D51" i="32" s="1"/>
  <c r="E70" i="32"/>
  <c r="E50" i="32" s="1"/>
  <c r="E51" i="32" s="1"/>
  <c r="F70" i="32"/>
  <c r="E74" i="32"/>
  <c r="E75" i="32"/>
  <c r="E76" i="32"/>
  <c r="E77" i="32"/>
  <c r="E78" i="32"/>
  <c r="E79" i="32"/>
  <c r="E80" i="32"/>
  <c r="E81" i="32"/>
  <c r="E82" i="32"/>
  <c r="E83" i="32"/>
  <c r="E84" i="32"/>
  <c r="E85" i="32"/>
  <c r="E86" i="32"/>
  <c r="F8" i="31"/>
  <c r="F9" i="31"/>
  <c r="F10" i="31"/>
  <c r="H14" i="31"/>
  <c r="H15" i="31"/>
  <c r="H16" i="31"/>
  <c r="D19" i="31"/>
  <c r="D20" i="31"/>
  <c r="D21" i="31"/>
  <c r="D22" i="31"/>
  <c r="C28" i="31"/>
  <c r="B33" i="31"/>
  <c r="I33" i="31"/>
  <c r="I34" i="31"/>
  <c r="D35" i="31"/>
  <c r="H35" i="31"/>
  <c r="I35" i="31" s="1"/>
  <c r="D36" i="31"/>
  <c r="D37" i="31"/>
  <c r="D38" i="31"/>
  <c r="D39" i="31"/>
  <c r="D41" i="31"/>
  <c r="D42" i="31"/>
  <c r="H45" i="31"/>
  <c r="C48" i="31"/>
  <c r="D48" i="31"/>
  <c r="E48" i="31"/>
  <c r="D57" i="31"/>
  <c r="H20" i="31" s="1"/>
  <c r="C58" i="31"/>
  <c r="D58" i="31" s="1"/>
  <c r="H21" i="31" s="1"/>
  <c r="G61" i="31"/>
  <c r="G62" i="31"/>
  <c r="G64" i="31"/>
  <c r="G65" i="31"/>
  <c r="G66" i="31"/>
  <c r="G67" i="31"/>
  <c r="G68" i="31"/>
  <c r="G69" i="31"/>
  <c r="C70" i="31"/>
  <c r="C50" i="31" s="1"/>
  <c r="F70" i="31"/>
  <c r="E74" i="31"/>
  <c r="E75" i="31"/>
  <c r="E76" i="31"/>
  <c r="E77" i="31"/>
  <c r="E78" i="31"/>
  <c r="E79" i="31"/>
  <c r="E80" i="31"/>
  <c r="E81" i="31"/>
  <c r="E82" i="31"/>
  <c r="E83" i="31"/>
  <c r="E84" i="31"/>
  <c r="E85" i="31"/>
  <c r="E86" i="31"/>
  <c r="B6" i="30"/>
  <c r="G70" i="32" l="1"/>
  <c r="E87" i="32"/>
  <c r="C24" i="32" s="1"/>
  <c r="C25" i="32" s="1"/>
  <c r="C26" i="32" s="1"/>
  <c r="D26" i="32" s="1"/>
  <c r="D33" i="32" s="1"/>
  <c r="D43" i="32" s="1"/>
  <c r="J8" i="32"/>
  <c r="D57" i="32"/>
  <c r="H20" i="32" s="1"/>
  <c r="E87" i="31"/>
  <c r="C24" i="31" s="1"/>
  <c r="C51" i="31"/>
  <c r="G51" i="32"/>
  <c r="H51" i="32" s="1"/>
  <c r="H10" i="32" s="1"/>
  <c r="G50" i="32"/>
  <c r="H50" i="32" s="1"/>
  <c r="H9" i="32" s="1"/>
  <c r="F7" i="30"/>
  <c r="O7" i="30"/>
  <c r="S7" i="30" s="1"/>
  <c r="P7" i="30"/>
  <c r="U6" i="30"/>
  <c r="J6" i="30"/>
  <c r="V6" i="30"/>
  <c r="H6" i="30"/>
  <c r="W6" i="30"/>
  <c r="B8" i="30"/>
  <c r="E6" i="30"/>
  <c r="R6" i="30"/>
  <c r="F6" i="30"/>
  <c r="L6" i="30"/>
  <c r="C33" i="32" l="1"/>
  <c r="C43" i="32" s="1"/>
  <c r="T7" i="30"/>
  <c r="Q7" i="30"/>
  <c r="C25" i="31"/>
  <c r="C26" i="31" s="1"/>
  <c r="I9" i="32"/>
  <c r="J9" i="32"/>
  <c r="I10" i="32"/>
  <c r="J10" i="32"/>
  <c r="F9" i="30"/>
  <c r="H9" i="30" s="1"/>
  <c r="K9" i="30"/>
  <c r="O9" i="30"/>
  <c r="S9" i="30" s="1"/>
  <c r="P9" i="30"/>
  <c r="G10" i="30"/>
  <c r="J10" i="30" s="1"/>
  <c r="K10" i="30" s="1"/>
  <c r="S10" i="30"/>
  <c r="T10" i="30"/>
  <c r="S11" i="30"/>
  <c r="T11" i="30"/>
  <c r="J12" i="30"/>
  <c r="K12" i="30" s="1"/>
  <c r="S12" i="30"/>
  <c r="V12" i="30"/>
  <c r="O6" i="30"/>
  <c r="K6" i="30"/>
  <c r="D6" i="30"/>
  <c r="G6" i="30"/>
  <c r="C33" i="31" l="1"/>
  <c r="D26" i="31"/>
  <c r="D33" i="31" s="1"/>
  <c r="T9" i="30"/>
  <c r="Q9" i="30"/>
  <c r="F12" i="24"/>
  <c r="G12" i="24"/>
  <c r="H12" i="24"/>
  <c r="I12" i="24"/>
  <c r="E12" i="24"/>
  <c r="B74" i="28"/>
  <c r="B75" i="28" s="1"/>
  <c r="B72" i="28"/>
  <c r="B71" i="28" s="1"/>
  <c r="F70" i="28"/>
  <c r="G70" i="28" s="1"/>
  <c r="D70" i="28"/>
  <c r="C70" i="28" s="1"/>
  <c r="D60" i="28"/>
  <c r="D58" i="28"/>
  <c r="D57" i="28"/>
  <c r="D55" i="28"/>
  <c r="D48" i="28"/>
  <c r="B50" i="28"/>
  <c r="B51" i="28"/>
  <c r="B52" i="28"/>
  <c r="B49" i="28"/>
  <c r="B47" i="28"/>
  <c r="B46" i="28"/>
  <c r="B45" i="28"/>
  <c r="B44" i="28"/>
  <c r="R8" i="30"/>
  <c r="S8" i="30"/>
  <c r="D8" i="30"/>
  <c r="H8" i="30"/>
  <c r="J8" i="30"/>
  <c r="E8" i="30"/>
  <c r="G8" i="30"/>
  <c r="N8" i="30"/>
  <c r="V8" i="30"/>
  <c r="K8" i="30"/>
  <c r="U8" i="30"/>
  <c r="T8" i="30"/>
  <c r="M6" i="30"/>
  <c r="F8" i="30"/>
  <c r="M8" i="30"/>
  <c r="W8" i="30"/>
  <c r="L8" i="30"/>
  <c r="P8" i="30"/>
  <c r="O8" i="30"/>
  <c r="Q8" i="30" l="1"/>
  <c r="F32" i="28"/>
  <c r="G33" i="28" s="1"/>
  <c r="G32" i="28"/>
  <c r="H32" i="28"/>
  <c r="I32" i="28"/>
  <c r="E32" i="28"/>
  <c r="F33" i="28" s="1"/>
  <c r="F20" i="28"/>
  <c r="G20" i="28" s="1"/>
  <c r="H20" i="28" s="1"/>
  <c r="I20" i="28" s="1"/>
  <c r="H33" i="28" l="1"/>
  <c r="I33" i="28"/>
  <c r="B11" i="28" l="1"/>
  <c r="B12" i="28"/>
  <c r="B13" i="28"/>
  <c r="B14" i="28"/>
  <c r="B6" i="28"/>
  <c r="A1" i="27" l="1"/>
  <c r="C10" i="27"/>
  <c r="C9" i="27"/>
  <c r="C11" i="27"/>
  <c r="H10" i="27"/>
  <c r="H11" i="27"/>
  <c r="C8" i="27"/>
  <c r="D22" i="26" l="1"/>
  <c r="E20" i="26" s="1"/>
  <c r="I17" i="26"/>
  <c r="H17" i="26"/>
  <c r="G17" i="26"/>
  <c r="F17" i="26"/>
  <c r="E17" i="26"/>
  <c r="B6" i="26"/>
  <c r="B10" i="28" s="1"/>
  <c r="B5" i="26"/>
  <c r="I23" i="25"/>
  <c r="H23" i="25"/>
  <c r="G23" i="25"/>
  <c r="F23" i="25"/>
  <c r="E23" i="25"/>
  <c r="D23" i="25"/>
  <c r="D55" i="22" s="1"/>
  <c r="C23" i="25"/>
  <c r="D20" i="25"/>
  <c r="D21" i="25" s="1"/>
  <c r="C20" i="25"/>
  <c r="C21" i="25" s="1"/>
  <c r="I15" i="25"/>
  <c r="J7" i="26" s="1"/>
  <c r="H15" i="25"/>
  <c r="G15" i="25"/>
  <c r="F15" i="25"/>
  <c r="E15" i="25"/>
  <c r="D15" i="25"/>
  <c r="C15" i="25"/>
  <c r="I13" i="25"/>
  <c r="H13" i="25"/>
  <c r="G13" i="25"/>
  <c r="F13" i="25"/>
  <c r="E13" i="25"/>
  <c r="D9" i="25"/>
  <c r="D16" i="25" s="1"/>
  <c r="D8" i="25"/>
  <c r="C8" i="25"/>
  <c r="C9" i="25" s="1"/>
  <c r="C16" i="25" s="1"/>
  <c r="I24" i="24"/>
  <c r="H24" i="24"/>
  <c r="G24" i="24"/>
  <c r="F24" i="24"/>
  <c r="E24" i="24"/>
  <c r="E16" i="24"/>
  <c r="F16" i="24" s="1"/>
  <c r="G16" i="24" s="1"/>
  <c r="I15" i="24"/>
  <c r="H15" i="24"/>
  <c r="G15" i="24"/>
  <c r="F15" i="24"/>
  <c r="E15" i="24"/>
  <c r="D15" i="24"/>
  <c r="C15" i="24"/>
  <c r="I11" i="24"/>
  <c r="H11" i="24"/>
  <c r="G11" i="24"/>
  <c r="F11" i="24"/>
  <c r="E11" i="24"/>
  <c r="E14" i="25" s="1"/>
  <c r="D11" i="24"/>
  <c r="D10" i="24" s="1"/>
  <c r="D32" i="22" s="1"/>
  <c r="C11" i="24"/>
  <c r="C10" i="24" s="1"/>
  <c r="D6" i="24"/>
  <c r="D8" i="24" s="1"/>
  <c r="C6" i="24"/>
  <c r="D40" i="23"/>
  <c r="B35" i="23"/>
  <c r="B34" i="23"/>
  <c r="B33" i="23"/>
  <c r="E32" i="23"/>
  <c r="D28" i="23"/>
  <c r="C28" i="23"/>
  <c r="B28" i="23"/>
  <c r="D27" i="23"/>
  <c r="C27" i="23"/>
  <c r="B27" i="23"/>
  <c r="D26" i="23"/>
  <c r="C26" i="23"/>
  <c r="B26" i="23"/>
  <c r="D25" i="23"/>
  <c r="C25" i="23"/>
  <c r="B25" i="23"/>
  <c r="D24" i="23"/>
  <c r="C24" i="23"/>
  <c r="B24" i="23"/>
  <c r="D21" i="23"/>
  <c r="C21" i="23"/>
  <c r="I20" i="23"/>
  <c r="I16" i="26" s="1"/>
  <c r="I18" i="26" s="1"/>
  <c r="I35" i="23" s="1"/>
  <c r="H20" i="23"/>
  <c r="H16" i="26" s="1"/>
  <c r="H18" i="26" s="1"/>
  <c r="H35" i="23" s="1"/>
  <c r="G20" i="23"/>
  <c r="G16" i="26" s="1"/>
  <c r="G18" i="26" s="1"/>
  <c r="G35" i="23" s="1"/>
  <c r="F20" i="23"/>
  <c r="F16" i="26" s="1"/>
  <c r="F18" i="26" s="1"/>
  <c r="F35" i="23" s="1"/>
  <c r="E20" i="23"/>
  <c r="E16" i="26" s="1"/>
  <c r="E18" i="26" s="1"/>
  <c r="E35" i="23" s="1"/>
  <c r="E18" i="23"/>
  <c r="D15" i="23"/>
  <c r="E12" i="23" s="1"/>
  <c r="C15" i="23"/>
  <c r="D13" i="23"/>
  <c r="D9" i="23"/>
  <c r="E6" i="23" s="1"/>
  <c r="E8" i="23" s="1"/>
  <c r="C9" i="23"/>
  <c r="D8" i="23"/>
  <c r="C8" i="23"/>
  <c r="D56" i="22"/>
  <c r="C56" i="22"/>
  <c r="C55" i="22"/>
  <c r="D53" i="22"/>
  <c r="D50" i="22"/>
  <c r="C50" i="22"/>
  <c r="D49" i="22"/>
  <c r="C49" i="22"/>
  <c r="D48" i="22"/>
  <c r="C48" i="22"/>
  <c r="D47" i="22"/>
  <c r="C47" i="22"/>
  <c r="D46" i="22"/>
  <c r="C46" i="22"/>
  <c r="D44" i="22"/>
  <c r="C44" i="22"/>
  <c r="D40" i="22"/>
  <c r="C40" i="22"/>
  <c r="D39" i="22"/>
  <c r="C39" i="22"/>
  <c r="D35" i="22"/>
  <c r="D34" i="22"/>
  <c r="C34" i="22"/>
  <c r="D33" i="22"/>
  <c r="C33" i="22"/>
  <c r="C32" i="22"/>
  <c r="D31" i="22"/>
  <c r="C30" i="22"/>
  <c r="D16" i="22"/>
  <c r="D23" i="22" s="1"/>
  <c r="E23" i="22" s="1"/>
  <c r="F23" i="22" s="1"/>
  <c r="C16" i="22"/>
  <c r="C23" i="22" s="1"/>
  <c r="C26" i="22" s="1"/>
  <c r="D12" i="22"/>
  <c r="D11" i="22"/>
  <c r="E11" i="22" s="1"/>
  <c r="E13" i="22" s="1"/>
  <c r="E3" i="22"/>
  <c r="F3" i="22" s="1"/>
  <c r="G3" i="22" s="1"/>
  <c r="H3" i="22" s="1"/>
  <c r="I3" i="22" s="1"/>
  <c r="J3" i="22" s="1"/>
  <c r="K3" i="22" s="1"/>
  <c r="L3" i="22" s="1"/>
  <c r="C3" i="22"/>
  <c r="D45" i="22" l="1"/>
  <c r="C53" i="22"/>
  <c r="D30" i="22"/>
  <c r="D43" i="22"/>
  <c r="F7" i="26"/>
  <c r="D52" i="22"/>
  <c r="E8" i="26"/>
  <c r="E13" i="23"/>
  <c r="E14" i="23" s="1"/>
  <c r="E9" i="26" s="1"/>
  <c r="G8" i="26"/>
  <c r="G12" i="28" s="1"/>
  <c r="F11" i="22"/>
  <c r="G11" i="22" s="1"/>
  <c r="H11" i="22" s="1"/>
  <c r="I11" i="22" s="1"/>
  <c r="D29" i="23"/>
  <c r="H7" i="26"/>
  <c r="E12" i="28"/>
  <c r="I8" i="26"/>
  <c r="J8" i="26"/>
  <c r="C24" i="25"/>
  <c r="C27" i="25" s="1"/>
  <c r="C29" i="25" s="1"/>
  <c r="D13" i="24"/>
  <c r="F11" i="28"/>
  <c r="H16" i="24"/>
  <c r="I16" i="24" s="1"/>
  <c r="G13" i="23"/>
  <c r="G14" i="23" s="1"/>
  <c r="G9" i="26" s="1"/>
  <c r="G7" i="26"/>
  <c r="E40" i="22"/>
  <c r="E25" i="24" s="1"/>
  <c r="F8" i="26"/>
  <c r="E15" i="23"/>
  <c r="F12" i="23" s="1"/>
  <c r="E7" i="26"/>
  <c r="I7" i="26"/>
  <c r="F13" i="23"/>
  <c r="F14" i="23" s="1"/>
  <c r="F9" i="26" s="1"/>
  <c r="F14" i="25"/>
  <c r="G14" i="25" s="1"/>
  <c r="H14" i="25" s="1"/>
  <c r="I14" i="25" s="1"/>
  <c r="J14" i="25" s="1"/>
  <c r="K14" i="25" s="1"/>
  <c r="L14" i="25" s="1"/>
  <c r="H8" i="26"/>
  <c r="G23" i="22"/>
  <c r="D21" i="22"/>
  <c r="E38" i="23"/>
  <c r="D26" i="22"/>
  <c r="D27" i="22" s="1"/>
  <c r="C52" i="22"/>
  <c r="C45" i="22"/>
  <c r="C43" i="22"/>
  <c r="C8" i="24"/>
  <c r="D24" i="22"/>
  <c r="D14" i="22"/>
  <c r="F40" i="22"/>
  <c r="E6" i="26"/>
  <c r="E10" i="28" s="1"/>
  <c r="E7" i="24"/>
  <c r="C29" i="23"/>
  <c r="D19" i="24"/>
  <c r="D24" i="25"/>
  <c r="D27" i="25" s="1"/>
  <c r="D29" i="25" s="1"/>
  <c r="G13" i="22" l="1"/>
  <c r="H13" i="22"/>
  <c r="F13" i="22"/>
  <c r="E12" i="25"/>
  <c r="H12" i="28"/>
  <c r="E11" i="28"/>
  <c r="G11" i="28"/>
  <c r="I13" i="22"/>
  <c r="J11" i="22"/>
  <c r="H11" i="28"/>
  <c r="C13" i="24"/>
  <c r="C19" i="24" s="1"/>
  <c r="F12" i="28"/>
  <c r="I13" i="23"/>
  <c r="I14" i="23" s="1"/>
  <c r="J16" i="24"/>
  <c r="I12" i="28"/>
  <c r="I11" i="28"/>
  <c r="H13" i="23"/>
  <c r="H14" i="23" s="1"/>
  <c r="H9" i="26" s="1"/>
  <c r="F25" i="24"/>
  <c r="G40" i="22"/>
  <c r="D17" i="22"/>
  <c r="E17" i="22" s="1"/>
  <c r="D15" i="22"/>
  <c r="D19" i="22" s="1"/>
  <c r="E19" i="22" s="1"/>
  <c r="D22" i="24"/>
  <c r="D19" i="23" s="1"/>
  <c r="D38" i="22"/>
  <c r="H23" i="22"/>
  <c r="F15" i="23"/>
  <c r="C22" i="24" l="1"/>
  <c r="C19" i="23" s="1"/>
  <c r="C38" i="22"/>
  <c r="K16" i="24"/>
  <c r="J13" i="23"/>
  <c r="K11" i="22"/>
  <c r="J13" i="22"/>
  <c r="I9" i="26"/>
  <c r="F17" i="22"/>
  <c r="E14" i="22"/>
  <c r="I23" i="22"/>
  <c r="J23" i="22" s="1"/>
  <c r="G25" i="24"/>
  <c r="H40" i="22"/>
  <c r="G12" i="23"/>
  <c r="G15" i="23" s="1"/>
  <c r="F12" i="25"/>
  <c r="F19" i="22"/>
  <c r="E15" i="22"/>
  <c r="K23" i="22" l="1"/>
  <c r="K13" i="22"/>
  <c r="L11" i="22"/>
  <c r="L13" i="22" s="1"/>
  <c r="J14" i="23"/>
  <c r="J9" i="26" s="1"/>
  <c r="K13" i="23"/>
  <c r="L16" i="24"/>
  <c r="L13" i="23" s="1"/>
  <c r="G12" i="25"/>
  <c r="H12" i="23"/>
  <c r="H15" i="23" s="1"/>
  <c r="H25" i="24"/>
  <c r="I40" i="22"/>
  <c r="E16" i="22"/>
  <c r="G19" i="22"/>
  <c r="F15" i="22"/>
  <c r="F14" i="22"/>
  <c r="G17" i="22"/>
  <c r="I25" i="24" l="1"/>
  <c r="J40" i="22"/>
  <c r="L14" i="23"/>
  <c r="L9" i="26" s="1"/>
  <c r="K14" i="23"/>
  <c r="K9" i="26" s="1"/>
  <c r="L23" i="22"/>
  <c r="G15" i="22"/>
  <c r="H19" i="22"/>
  <c r="H17" i="22"/>
  <c r="G14" i="22"/>
  <c r="E21" i="22"/>
  <c r="E26" i="22"/>
  <c r="H12" i="25"/>
  <c r="I12" i="23"/>
  <c r="I15" i="23" s="1"/>
  <c r="F16" i="22"/>
  <c r="I12" i="25" l="1"/>
  <c r="J12" i="23"/>
  <c r="J15" i="23" s="1"/>
  <c r="G16" i="22"/>
  <c r="K40" i="22"/>
  <c r="J25" i="24"/>
  <c r="G21" i="22"/>
  <c r="G26" i="22"/>
  <c r="H14" i="22"/>
  <c r="I17" i="22"/>
  <c r="H15" i="22"/>
  <c r="I19" i="22"/>
  <c r="E5" i="24"/>
  <c r="E27" i="22"/>
  <c r="F21" i="22"/>
  <c r="F26" i="22"/>
  <c r="H16" i="22" l="1"/>
  <c r="H26" i="22" s="1"/>
  <c r="I15" i="22"/>
  <c r="J19" i="22"/>
  <c r="I14" i="22"/>
  <c r="J17" i="22"/>
  <c r="K12" i="23"/>
  <c r="K15" i="23" s="1"/>
  <c r="J12" i="25"/>
  <c r="L40" i="22"/>
  <c r="L25" i="24" s="1"/>
  <c r="K25" i="24"/>
  <c r="H21" i="22"/>
  <c r="F5" i="24"/>
  <c r="F27" i="22"/>
  <c r="G5" i="24"/>
  <c r="G27" i="22"/>
  <c r="E20" i="25"/>
  <c r="E28" i="23" s="1"/>
  <c r="E10" i="24"/>
  <c r="E8" i="25"/>
  <c r="E26" i="23" s="1"/>
  <c r="E6" i="25"/>
  <c r="E24" i="23" s="1"/>
  <c r="E6" i="24"/>
  <c r="E8" i="24" s="1"/>
  <c r="E7" i="23"/>
  <c r="E13" i="24" l="1"/>
  <c r="I16" i="22"/>
  <c r="K19" i="22"/>
  <c r="J15" i="22"/>
  <c r="L12" i="23"/>
  <c r="L15" i="23" s="1"/>
  <c r="L12" i="25" s="1"/>
  <c r="K12" i="25"/>
  <c r="J14" i="22"/>
  <c r="J16" i="22" s="1"/>
  <c r="K17" i="22"/>
  <c r="E13" i="26"/>
  <c r="E9" i="23"/>
  <c r="F8" i="25"/>
  <c r="F26" i="23" s="1"/>
  <c r="F6" i="25"/>
  <c r="F24" i="23" s="1"/>
  <c r="F6" i="24"/>
  <c r="F20" i="25"/>
  <c r="F28" i="23" s="1"/>
  <c r="F7" i="23"/>
  <c r="F13" i="26" s="1"/>
  <c r="F10" i="24"/>
  <c r="H5" i="24"/>
  <c r="H27" i="22"/>
  <c r="E7" i="25"/>
  <c r="E25" i="23" s="1"/>
  <c r="E19" i="25"/>
  <c r="G20" i="25"/>
  <c r="G28" i="23" s="1"/>
  <c r="G10" i="24"/>
  <c r="G8" i="25"/>
  <c r="G26" i="23" s="1"/>
  <c r="G7" i="23"/>
  <c r="G13" i="26" s="1"/>
  <c r="G6" i="25"/>
  <c r="G24" i="23" s="1"/>
  <c r="G6" i="24"/>
  <c r="E6" i="28" l="1"/>
  <c r="J21" i="22"/>
  <c r="J26" i="22"/>
  <c r="K15" i="22"/>
  <c r="L19" i="22"/>
  <c r="L15" i="22" s="1"/>
  <c r="I26" i="22"/>
  <c r="I21" i="22"/>
  <c r="L17" i="22"/>
  <c r="L14" i="22" s="1"/>
  <c r="K14" i="22"/>
  <c r="K16" i="22" s="1"/>
  <c r="E14" i="26"/>
  <c r="E34" i="23" s="1"/>
  <c r="E14" i="28"/>
  <c r="G14" i="26"/>
  <c r="G34" i="23" s="1"/>
  <c r="G14" i="28"/>
  <c r="F14" i="26"/>
  <c r="F34" i="23" s="1"/>
  <c r="F14" i="28"/>
  <c r="G19" i="25"/>
  <c r="G7" i="25"/>
  <c r="G25" i="23" s="1"/>
  <c r="F19" i="25"/>
  <c r="F7" i="25"/>
  <c r="F25" i="23" s="1"/>
  <c r="E11" i="25"/>
  <c r="F6" i="23"/>
  <c r="E21" i="25"/>
  <c r="E24" i="25" s="1"/>
  <c r="E27" i="23"/>
  <c r="E29" i="23" s="1"/>
  <c r="H6" i="24"/>
  <c r="H20" i="25"/>
  <c r="H28" i="23" s="1"/>
  <c r="H8" i="25"/>
  <c r="H26" i="23" s="1"/>
  <c r="H6" i="25"/>
  <c r="H24" i="23" s="1"/>
  <c r="H10" i="24"/>
  <c r="H7" i="23"/>
  <c r="H13" i="26" s="1"/>
  <c r="L16" i="22" l="1"/>
  <c r="L26" i="22" s="1"/>
  <c r="L21" i="22"/>
  <c r="I27" i="22"/>
  <c r="I5" i="24"/>
  <c r="J27" i="22"/>
  <c r="J5" i="24"/>
  <c r="K21" i="22"/>
  <c r="K26" i="22"/>
  <c r="H14" i="26"/>
  <c r="H34" i="23" s="1"/>
  <c r="H14" i="28"/>
  <c r="E10" i="26"/>
  <c r="H19" i="25"/>
  <c r="H7" i="25"/>
  <c r="H25" i="23" s="1"/>
  <c r="F21" i="25"/>
  <c r="F24" i="25" s="1"/>
  <c r="F27" i="23"/>
  <c r="F29" i="23" s="1"/>
  <c r="G27" i="23"/>
  <c r="G29" i="23" s="1"/>
  <c r="G21" i="25"/>
  <c r="G24" i="25" s="1"/>
  <c r="F8" i="23"/>
  <c r="K27" i="22" l="1"/>
  <c r="K5" i="24"/>
  <c r="I20" i="25"/>
  <c r="I28" i="23" s="1"/>
  <c r="I7" i="23"/>
  <c r="I13" i="26" s="1"/>
  <c r="I6" i="25"/>
  <c r="I24" i="23" s="1"/>
  <c r="I10" i="24"/>
  <c r="I6" i="24"/>
  <c r="I8" i="25"/>
  <c r="I26" i="23" s="1"/>
  <c r="E13" i="28"/>
  <c r="J6" i="25"/>
  <c r="J24" i="23" s="1"/>
  <c r="J6" i="24"/>
  <c r="J10" i="24"/>
  <c r="J20" i="25"/>
  <c r="J28" i="23" s="1"/>
  <c r="J7" i="23"/>
  <c r="J13" i="26" s="1"/>
  <c r="J8" i="25"/>
  <c r="J26" i="23" s="1"/>
  <c r="L27" i="22"/>
  <c r="L5" i="24"/>
  <c r="G10" i="26"/>
  <c r="F6" i="26"/>
  <c r="F10" i="28" s="1"/>
  <c r="F7" i="24"/>
  <c r="H21" i="25"/>
  <c r="H24" i="25" s="1"/>
  <c r="H27" i="23"/>
  <c r="H29" i="23" s="1"/>
  <c r="F9" i="23"/>
  <c r="F10" i="26"/>
  <c r="C134" i="15"/>
  <c r="G139" i="15" s="1"/>
  <c r="G141" i="15" s="1"/>
  <c r="G154" i="8"/>
  <c r="G149" i="8"/>
  <c r="G148" i="8"/>
  <c r="G139" i="8"/>
  <c r="G141" i="8" s="1"/>
  <c r="G132" i="8"/>
  <c r="E132" i="8"/>
  <c r="D132" i="8"/>
  <c r="C132" i="8"/>
  <c r="G154" i="16"/>
  <c r="G155" i="16" s="1"/>
  <c r="G149" i="16"/>
  <c r="G148" i="16"/>
  <c r="G139" i="16"/>
  <c r="G141" i="16" s="1"/>
  <c r="G132" i="16"/>
  <c r="E132" i="16"/>
  <c r="D132" i="16"/>
  <c r="C132" i="16"/>
  <c r="G154" i="15"/>
  <c r="G155" i="15" s="1"/>
  <c r="G149" i="15"/>
  <c r="G148" i="15"/>
  <c r="G132" i="15"/>
  <c r="E132" i="15"/>
  <c r="D132" i="15"/>
  <c r="C132" i="15"/>
  <c r="F8" i="24" l="1"/>
  <c r="I7" i="25"/>
  <c r="I25" i="23" s="1"/>
  <c r="I19" i="25"/>
  <c r="J7" i="25"/>
  <c r="J25" i="23" s="1"/>
  <c r="J19" i="25"/>
  <c r="F13" i="28"/>
  <c r="G13" i="28"/>
  <c r="J14" i="26"/>
  <c r="J34" i="23" s="1"/>
  <c r="K7" i="23"/>
  <c r="K13" i="26" s="1"/>
  <c r="K8" i="25"/>
  <c r="K26" i="23" s="1"/>
  <c r="K6" i="25"/>
  <c r="K24" i="23" s="1"/>
  <c r="K10" i="24"/>
  <c r="K20" i="25"/>
  <c r="K28" i="23" s="1"/>
  <c r="K6" i="24"/>
  <c r="L7" i="23"/>
  <c r="L13" i="26" s="1"/>
  <c r="L8" i="25"/>
  <c r="L26" i="23" s="1"/>
  <c r="L6" i="24"/>
  <c r="L6" i="25"/>
  <c r="L24" i="23" s="1"/>
  <c r="L10" i="24"/>
  <c r="L20" i="25"/>
  <c r="L28" i="23" s="1"/>
  <c r="I14" i="28"/>
  <c r="I14" i="26"/>
  <c r="I34" i="23" s="1"/>
  <c r="H10" i="26"/>
  <c r="F11" i="25"/>
  <c r="G6" i="23"/>
  <c r="C93" i="8"/>
  <c r="F13" i="24" l="1"/>
  <c r="L19" i="25"/>
  <c r="L7" i="25"/>
  <c r="L25" i="23" s="1"/>
  <c r="K19" i="25"/>
  <c r="K7" i="25"/>
  <c r="K25" i="23" s="1"/>
  <c r="J27" i="23"/>
  <c r="J29" i="23" s="1"/>
  <c r="J21" i="25"/>
  <c r="J24" i="25" s="1"/>
  <c r="L14" i="26"/>
  <c r="L34" i="23" s="1"/>
  <c r="I21" i="25"/>
  <c r="I24" i="25" s="1"/>
  <c r="I27" i="23"/>
  <c r="I29" i="23" s="1"/>
  <c r="H13" i="28"/>
  <c r="K14" i="26"/>
  <c r="K34" i="23" s="1"/>
  <c r="G8" i="23"/>
  <c r="G9" i="23" s="1"/>
  <c r="C18" i="8"/>
  <c r="F6" i="28" l="1"/>
  <c r="K21" i="25"/>
  <c r="K24" i="25" s="1"/>
  <c r="K27" i="23"/>
  <c r="K29" i="23" s="1"/>
  <c r="K10" i="26" s="1"/>
  <c r="J10" i="26"/>
  <c r="I10" i="26"/>
  <c r="L21" i="25"/>
  <c r="L24" i="25" s="1"/>
  <c r="L27" i="23"/>
  <c r="L29" i="23" s="1"/>
  <c r="G11" i="25"/>
  <c r="H6" i="23"/>
  <c r="G6" i="26"/>
  <c r="G10" i="28" s="1"/>
  <c r="G7" i="24"/>
  <c r="T14" i="9"/>
  <c r="S14" i="9"/>
  <c r="I13" i="28" l="1"/>
  <c r="L10" i="26"/>
  <c r="G8" i="24"/>
  <c r="H8" i="23"/>
  <c r="C75" i="2"/>
  <c r="V7" i="9"/>
  <c r="T7" i="9"/>
  <c r="H8" i="27"/>
  <c r="S7" i="9"/>
  <c r="C20" i="27" l="1"/>
  <c r="I7" i="28"/>
  <c r="F7" i="28"/>
  <c r="F9" i="28" s="1"/>
  <c r="F15" i="28" s="1"/>
  <c r="F37" i="28" s="1"/>
  <c r="G7" i="28"/>
  <c r="H7" i="28"/>
  <c r="E7" i="28"/>
  <c r="E9" i="28" s="1"/>
  <c r="E15" i="28" s="1"/>
  <c r="G13" i="24"/>
  <c r="H7" i="24"/>
  <c r="H6" i="26"/>
  <c r="H10" i="28" s="1"/>
  <c r="H9" i="23"/>
  <c r="J34" i="16"/>
  <c r="K10" i="15"/>
  <c r="K11" i="16"/>
  <c r="K11" i="2"/>
  <c r="K10" i="2"/>
  <c r="G6" i="28" l="1"/>
  <c r="G9" i="28" s="1"/>
  <c r="G15" i="28" s="1"/>
  <c r="G37" i="28" s="1"/>
  <c r="H8" i="24"/>
  <c r="D51" i="28"/>
  <c r="D52" i="28"/>
  <c r="H11" i="25"/>
  <c r="I6" i="23"/>
  <c r="K10" i="8"/>
  <c r="K11" i="8"/>
  <c r="E81" i="2"/>
  <c r="E63" i="31" s="1"/>
  <c r="E70" i="31" s="1"/>
  <c r="E50" i="31" s="1"/>
  <c r="D81" i="2"/>
  <c r="D63" i="31" s="1"/>
  <c r="G63" i="31" l="1"/>
  <c r="D70" i="31"/>
  <c r="H13" i="24"/>
  <c r="I8" i="23"/>
  <c r="I9" i="23" s="1"/>
  <c r="G38" i="16"/>
  <c r="K10" i="16" s="1"/>
  <c r="H6" i="28" l="1"/>
  <c r="H9" i="28" s="1"/>
  <c r="H15" i="28" s="1"/>
  <c r="H37" i="28" s="1"/>
  <c r="D50" i="31"/>
  <c r="G70" i="31"/>
  <c r="I11" i="25"/>
  <c r="J6" i="23"/>
  <c r="J8" i="23" s="1"/>
  <c r="I6" i="26"/>
  <c r="I10" i="28" s="1"/>
  <c r="I7" i="24"/>
  <c r="G154" i="2"/>
  <c r="G155" i="2" s="1"/>
  <c r="G149" i="2"/>
  <c r="G148" i="2"/>
  <c r="C132" i="2"/>
  <c r="D132" i="2"/>
  <c r="E132" i="2"/>
  <c r="G132" i="2"/>
  <c r="G139" i="2"/>
  <c r="G141" i="2" s="1"/>
  <c r="I8" i="24" l="1"/>
  <c r="J9" i="23"/>
  <c r="J7" i="24"/>
  <c r="J6" i="26"/>
  <c r="G50" i="31"/>
  <c r="H50" i="31" s="1"/>
  <c r="H9" i="31" s="1"/>
  <c r="I9" i="31" s="1"/>
  <c r="C94" i="16"/>
  <c r="C93" i="16"/>
  <c r="C92" i="16"/>
  <c r="G67" i="16"/>
  <c r="G44" i="16"/>
  <c r="G32" i="16"/>
  <c r="G39" i="16" s="1"/>
  <c r="E110" i="16"/>
  <c r="J8" i="24" l="1"/>
  <c r="J13" i="24" s="1"/>
  <c r="K6" i="23"/>
  <c r="J11" i="25"/>
  <c r="I13" i="24"/>
  <c r="C104" i="16"/>
  <c r="G42" i="16"/>
  <c r="C23" i="16"/>
  <c r="G79" i="8"/>
  <c r="C88" i="8"/>
  <c r="D44" i="8"/>
  <c r="G39" i="8"/>
  <c r="G47" i="8"/>
  <c r="J39" i="8"/>
  <c r="G32" i="8"/>
  <c r="G42" i="8" s="1"/>
  <c r="K8" i="23" l="1"/>
  <c r="K9" i="23" s="1"/>
  <c r="I6" i="28"/>
  <c r="I9" i="28" s="1"/>
  <c r="I15" i="28" s="1"/>
  <c r="I37" i="28" s="1"/>
  <c r="C19" i="8"/>
  <c r="C76" i="16"/>
  <c r="C92" i="15"/>
  <c r="C104" i="15" s="1"/>
  <c r="C106" i="15" s="1"/>
  <c r="I70" i="15" s="1"/>
  <c r="B92" i="15"/>
  <c r="B94" i="16"/>
  <c r="B93" i="16"/>
  <c r="B92" i="16"/>
  <c r="C106" i="16"/>
  <c r="I70" i="16" s="1"/>
  <c r="L70" i="8"/>
  <c r="K70" i="8"/>
  <c r="J70" i="8"/>
  <c r="B92" i="8"/>
  <c r="L6" i="23" l="1"/>
  <c r="K11" i="25"/>
  <c r="K7" i="24"/>
  <c r="K6" i="26"/>
  <c r="L69" i="8"/>
  <c r="K69" i="8"/>
  <c r="J69" i="8"/>
  <c r="L68" i="8"/>
  <c r="K68" i="8"/>
  <c r="J68" i="8"/>
  <c r="L67" i="8"/>
  <c r="K67" i="8"/>
  <c r="J67" i="8"/>
  <c r="L8" i="23" l="1"/>
  <c r="L9" i="23" s="1"/>
  <c r="L11" i="25" s="1"/>
  <c r="K8" i="24"/>
  <c r="K13" i="24" s="1"/>
  <c r="C23" i="15"/>
  <c r="L7" i="24" l="1"/>
  <c r="L6" i="26"/>
  <c r="C92" i="2"/>
  <c r="I67" i="15"/>
  <c r="G43" i="15"/>
  <c r="G44" i="15"/>
  <c r="C22" i="15"/>
  <c r="C19" i="15"/>
  <c r="L8" i="24" l="1"/>
  <c r="L13" i="24" s="1"/>
  <c r="C104" i="2"/>
  <c r="C106" i="2" s="1"/>
  <c r="I70" i="2" s="1"/>
  <c r="I67" i="2"/>
  <c r="C88" i="2"/>
  <c r="G79" i="2"/>
  <c r="D88" i="2"/>
  <c r="D72" i="2"/>
  <c r="D53" i="31" s="1"/>
  <c r="E72" i="2"/>
  <c r="E53" i="31" s="1"/>
  <c r="E51" i="31" s="1"/>
  <c r="D42" i="2"/>
  <c r="G32" i="2"/>
  <c r="E112" i="2"/>
  <c r="E111" i="2"/>
  <c r="E110" i="2"/>
  <c r="G53" i="31" l="1"/>
  <c r="H53" i="31" s="1"/>
  <c r="D51" i="31"/>
  <c r="G51" i="31" s="1"/>
  <c r="H51" i="31" s="1"/>
  <c r="H10" i="31" s="1"/>
  <c r="D53" i="2"/>
  <c r="P6" i="30"/>
  <c r="Q6" i="30" l="1"/>
  <c r="I10" i="31"/>
  <c r="G57" i="16"/>
  <c r="D56" i="16"/>
  <c r="G57" i="15"/>
  <c r="D56" i="15"/>
  <c r="G57" i="8"/>
  <c r="D57" i="8"/>
  <c r="D56" i="8"/>
  <c r="G57" i="2"/>
  <c r="D56" i="2"/>
  <c r="D33" i="16" l="1"/>
  <c r="D44" i="16"/>
  <c r="D55" i="16" s="1"/>
  <c r="G43" i="16"/>
  <c r="S10" i="9"/>
  <c r="V10" i="9"/>
  <c r="T10" i="9"/>
  <c r="G54" i="16" l="1"/>
  <c r="J39" i="16"/>
  <c r="D46" i="16"/>
  <c r="C12" i="16"/>
  <c r="C127" i="16" l="1"/>
  <c r="E122" i="16"/>
  <c r="E121" i="16"/>
  <c r="E120" i="16"/>
  <c r="E119" i="16"/>
  <c r="E118" i="16"/>
  <c r="E117" i="16"/>
  <c r="E116" i="16"/>
  <c r="E115" i="16"/>
  <c r="E114" i="16"/>
  <c r="E113" i="16"/>
  <c r="E112" i="16"/>
  <c r="E111" i="16"/>
  <c r="F88" i="16"/>
  <c r="E88" i="16"/>
  <c r="E68" i="16" s="1"/>
  <c r="E69" i="16" s="1"/>
  <c r="E135" i="16" s="1"/>
  <c r="E136" i="16" s="1"/>
  <c r="E147" i="16" s="1"/>
  <c r="D88" i="16"/>
  <c r="D68" i="16" s="1"/>
  <c r="D69" i="16" s="1"/>
  <c r="D135" i="16" s="1"/>
  <c r="D136" i="16" s="1"/>
  <c r="D147" i="16" s="1"/>
  <c r="C88" i="16"/>
  <c r="G87" i="16"/>
  <c r="G86" i="16"/>
  <c r="G85" i="16"/>
  <c r="G84" i="16"/>
  <c r="G83" i="16"/>
  <c r="G82" i="16"/>
  <c r="G81" i="16"/>
  <c r="G80" i="16"/>
  <c r="G79" i="16"/>
  <c r="G73" i="16"/>
  <c r="G72" i="16"/>
  <c r="I67" i="16"/>
  <c r="G16" i="16"/>
  <c r="E66" i="16"/>
  <c r="D66" i="16" s="1"/>
  <c r="C66" i="16"/>
  <c r="G47" i="16"/>
  <c r="G58" i="16" s="1"/>
  <c r="K46" i="16"/>
  <c r="D57" i="16"/>
  <c r="G45" i="16"/>
  <c r="G53" i="16"/>
  <c r="D42" i="16"/>
  <c r="C22" i="16"/>
  <c r="C19" i="16"/>
  <c r="C16" i="16"/>
  <c r="C14" i="16"/>
  <c r="I15" i="16" s="1"/>
  <c r="G11" i="16"/>
  <c r="G10" i="16"/>
  <c r="K9" i="16"/>
  <c r="G9" i="16"/>
  <c r="K8" i="16"/>
  <c r="G8" i="16"/>
  <c r="F5" i="16"/>
  <c r="A1" i="16"/>
  <c r="D44" i="15"/>
  <c r="D55" i="15" s="1"/>
  <c r="D43" i="15"/>
  <c r="D54" i="15" s="1"/>
  <c r="G54" i="15"/>
  <c r="G55" i="15"/>
  <c r="G45" i="15"/>
  <c r="G56" i="15" s="1"/>
  <c r="G45" i="8"/>
  <c r="G56" i="8" s="1"/>
  <c r="G47" i="2"/>
  <c r="G58" i="2" s="1"/>
  <c r="G45" i="2"/>
  <c r="G56" i="2" s="1"/>
  <c r="G37" i="15"/>
  <c r="K11" i="15" s="1"/>
  <c r="J34" i="15"/>
  <c r="E122" i="15"/>
  <c r="E122" i="2"/>
  <c r="E110" i="15"/>
  <c r="E121" i="15"/>
  <c r="E120" i="15"/>
  <c r="E119" i="15"/>
  <c r="E118" i="15"/>
  <c r="E121" i="2"/>
  <c r="E120" i="2"/>
  <c r="E119" i="2"/>
  <c r="E118" i="2"/>
  <c r="E66" i="15"/>
  <c r="E66" i="8"/>
  <c r="D66" i="8" s="1"/>
  <c r="E66" i="2"/>
  <c r="D66" i="2" s="1"/>
  <c r="C76" i="15"/>
  <c r="V9" i="9"/>
  <c r="F11" i="27"/>
  <c r="T9" i="9"/>
  <c r="X10" i="9"/>
  <c r="C10" i="9"/>
  <c r="S9" i="9"/>
  <c r="D10" i="9"/>
  <c r="E133" i="8" l="1"/>
  <c r="E133" i="15"/>
  <c r="E133" i="16"/>
  <c r="E11" i="27"/>
  <c r="G11" i="27" s="1"/>
  <c r="D66" i="15"/>
  <c r="E133" i="2"/>
  <c r="G56" i="16"/>
  <c r="G48" i="16"/>
  <c r="G50" i="16"/>
  <c r="D43" i="16"/>
  <c r="D50" i="16" s="1"/>
  <c r="E123" i="16"/>
  <c r="D35" i="16" s="1"/>
  <c r="D37" i="16" s="1"/>
  <c r="C10" i="16"/>
  <c r="D32" i="16" s="1"/>
  <c r="D46" i="15"/>
  <c r="D57" i="15" s="1"/>
  <c r="J39" i="15"/>
  <c r="G42" i="15"/>
  <c r="G53" i="15" s="1"/>
  <c r="G39" i="15"/>
  <c r="D61" i="15"/>
  <c r="E7" i="16"/>
  <c r="A52" i="16"/>
  <c r="D53" i="16"/>
  <c r="H15" i="16"/>
  <c r="J15" i="16"/>
  <c r="K15" i="16"/>
  <c r="C128" i="16"/>
  <c r="C129" i="16" s="1"/>
  <c r="G88" i="16"/>
  <c r="G74" i="16"/>
  <c r="B19" i="16"/>
  <c r="E14" i="16"/>
  <c r="B18" i="16"/>
  <c r="C68" i="16"/>
  <c r="C22" i="2"/>
  <c r="C14" i="15"/>
  <c r="C128" i="15" s="1"/>
  <c r="C14" i="8"/>
  <c r="C14" i="2"/>
  <c r="C127" i="15"/>
  <c r="E115" i="15"/>
  <c r="E111" i="15"/>
  <c r="F88" i="15"/>
  <c r="E88" i="15"/>
  <c r="D88" i="15"/>
  <c r="C88" i="15"/>
  <c r="G87" i="15"/>
  <c r="G86" i="15"/>
  <c r="G85" i="15"/>
  <c r="G84" i="15"/>
  <c r="G83" i="15"/>
  <c r="G82" i="15"/>
  <c r="G81" i="15"/>
  <c r="G80" i="15"/>
  <c r="G79" i="15"/>
  <c r="G73" i="15"/>
  <c r="G72" i="15"/>
  <c r="G67" i="15"/>
  <c r="G16" i="15" s="1"/>
  <c r="C66" i="15"/>
  <c r="G47" i="15"/>
  <c r="G58" i="15" s="1"/>
  <c r="K46" i="15"/>
  <c r="D42" i="15"/>
  <c r="D53" i="15" s="1"/>
  <c r="E114" i="15"/>
  <c r="C16" i="15"/>
  <c r="G11" i="15"/>
  <c r="G10" i="15"/>
  <c r="K9" i="15"/>
  <c r="G9" i="15"/>
  <c r="K8" i="15"/>
  <c r="G8" i="15"/>
  <c r="F5" i="15"/>
  <c r="C10" i="15" s="1"/>
  <c r="D32" i="15" s="1"/>
  <c r="A1" i="15"/>
  <c r="C9" i="9"/>
  <c r="F10" i="27"/>
  <c r="X9" i="9"/>
  <c r="D9" i="9"/>
  <c r="D7" i="9"/>
  <c r="D133" i="2" l="1"/>
  <c r="D133" i="16"/>
  <c r="D133" i="8"/>
  <c r="D133" i="15"/>
  <c r="C133" i="2"/>
  <c r="C133" i="15"/>
  <c r="C133" i="16"/>
  <c r="C133" i="8"/>
  <c r="E10" i="27"/>
  <c r="G10" i="27" s="1"/>
  <c r="D59" i="15"/>
  <c r="D38" i="16"/>
  <c r="K12" i="16" s="1"/>
  <c r="C69" i="16"/>
  <c r="C135" i="16" s="1"/>
  <c r="C136" i="16" s="1"/>
  <c r="G68" i="16"/>
  <c r="G69" i="16" s="1"/>
  <c r="D48" i="16"/>
  <c r="D68" i="15"/>
  <c r="D69" i="15" s="1"/>
  <c r="D135" i="15" s="1"/>
  <c r="D136" i="15" s="1"/>
  <c r="D147" i="15" s="1"/>
  <c r="E68" i="15"/>
  <c r="E69" i="15" s="1"/>
  <c r="E135" i="15" s="1"/>
  <c r="E136" i="15" s="1"/>
  <c r="E147" i="15" s="1"/>
  <c r="K42" i="16"/>
  <c r="G61" i="15"/>
  <c r="G59" i="15"/>
  <c r="E14" i="15"/>
  <c r="A52" i="15"/>
  <c r="D54" i="16"/>
  <c r="K43" i="16"/>
  <c r="G61" i="16"/>
  <c r="G55" i="16"/>
  <c r="G128" i="16"/>
  <c r="G130" i="16" s="1"/>
  <c r="E128" i="16"/>
  <c r="I68" i="16"/>
  <c r="G48" i="15"/>
  <c r="I15" i="15"/>
  <c r="K15" i="15"/>
  <c r="H15" i="15"/>
  <c r="J15" i="15"/>
  <c r="G88" i="15"/>
  <c r="C68" i="15"/>
  <c r="I68" i="15" s="1"/>
  <c r="E7" i="15"/>
  <c r="G74" i="15"/>
  <c r="G50" i="15"/>
  <c r="K43" i="15" s="1"/>
  <c r="C129" i="15"/>
  <c r="E128" i="15" s="1"/>
  <c r="D50" i="15"/>
  <c r="K42" i="15"/>
  <c r="B19" i="15"/>
  <c r="B18" i="15"/>
  <c r="D48" i="15"/>
  <c r="E112" i="15"/>
  <c r="E116" i="15"/>
  <c r="E113" i="15"/>
  <c r="E117" i="15"/>
  <c r="E10" i="9"/>
  <c r="G136" i="16" l="1"/>
  <c r="C147" i="16"/>
  <c r="D11" i="27"/>
  <c r="I69" i="16"/>
  <c r="G12" i="16"/>
  <c r="G138" i="16" s="1"/>
  <c r="G142" i="16" s="1"/>
  <c r="C69" i="15"/>
  <c r="G68" i="15"/>
  <c r="G69" i="15" s="1"/>
  <c r="G27" i="15" s="1"/>
  <c r="D130" i="16"/>
  <c r="D61" i="16"/>
  <c r="E123" i="15"/>
  <c r="D59" i="16"/>
  <c r="G59" i="16"/>
  <c r="F128" i="16"/>
  <c r="H18" i="16" s="1"/>
  <c r="G18" i="16"/>
  <c r="K44" i="16"/>
  <c r="G128" i="15"/>
  <c r="G130" i="15" s="1"/>
  <c r="D130" i="15"/>
  <c r="F10" i="9"/>
  <c r="I69" i="15" l="1"/>
  <c r="C135" i="15"/>
  <c r="C136" i="15" s="1"/>
  <c r="G147" i="16"/>
  <c r="G150" i="16" s="1"/>
  <c r="C150" i="16"/>
  <c r="I11" i="27"/>
  <c r="J11" i="27"/>
  <c r="G156" i="16"/>
  <c r="G158" i="16" s="1"/>
  <c r="G144" i="16"/>
  <c r="G23" i="16"/>
  <c r="G25" i="16"/>
  <c r="H25" i="16"/>
  <c r="K44" i="15"/>
  <c r="K45" i="15" s="1"/>
  <c r="G18" i="15"/>
  <c r="D35" i="15"/>
  <c r="D37" i="15" s="1"/>
  <c r="I19" i="16"/>
  <c r="I26" i="16" s="1"/>
  <c r="K19" i="16"/>
  <c r="K26" i="16" s="1"/>
  <c r="J19" i="16"/>
  <c r="J26" i="16" s="1"/>
  <c r="H19" i="16"/>
  <c r="H26" i="16" s="1"/>
  <c r="K45" i="16"/>
  <c r="H17" i="16"/>
  <c r="K16" i="16"/>
  <c r="K23" i="16" s="1"/>
  <c r="I17" i="16"/>
  <c r="J16" i="16"/>
  <c r="J23" i="16" s="1"/>
  <c r="H16" i="16"/>
  <c r="J18" i="16"/>
  <c r="J25" i="16" s="1"/>
  <c r="K18" i="16"/>
  <c r="K25" i="16" s="1"/>
  <c r="I18" i="16"/>
  <c r="I25" i="16" s="1"/>
  <c r="K17" i="16"/>
  <c r="K24" i="16" s="1"/>
  <c r="I16" i="16"/>
  <c r="J17" i="16"/>
  <c r="J24" i="16" s="1"/>
  <c r="G17" i="16"/>
  <c r="G27" i="16"/>
  <c r="F128" i="15"/>
  <c r="G17" i="15"/>
  <c r="O18" i="9"/>
  <c r="O9" i="9"/>
  <c r="G10" i="9"/>
  <c r="P10" i="9"/>
  <c r="K9" i="9"/>
  <c r="P18" i="9"/>
  <c r="W10" i="9"/>
  <c r="K10" i="9"/>
  <c r="H10" i="9"/>
  <c r="M10" i="9"/>
  <c r="L10" i="9"/>
  <c r="G9" i="9"/>
  <c r="U10" i="9"/>
  <c r="P9" i="9"/>
  <c r="I10" i="9"/>
  <c r="Y10" i="9"/>
  <c r="U9" i="9"/>
  <c r="O10" i="9"/>
  <c r="Z10" i="9" l="1"/>
  <c r="C147" i="15"/>
  <c r="G136" i="15"/>
  <c r="T18" i="9"/>
  <c r="S18" i="9"/>
  <c r="D38" i="15"/>
  <c r="K12" i="15" s="1"/>
  <c r="J19" i="15"/>
  <c r="J26" i="15" s="1"/>
  <c r="I19" i="15"/>
  <c r="I26" i="15" s="1"/>
  <c r="H19" i="15"/>
  <c r="H26" i="15" s="1"/>
  <c r="K19" i="15"/>
  <c r="K26" i="15" s="1"/>
  <c r="K47" i="16"/>
  <c r="K47" i="15"/>
  <c r="H23" i="16"/>
  <c r="H24" i="16"/>
  <c r="G24" i="16"/>
  <c r="I24" i="16"/>
  <c r="I23" i="16"/>
  <c r="H16" i="15"/>
  <c r="K16" i="15"/>
  <c r="J16" i="15"/>
  <c r="I16" i="15"/>
  <c r="J18" i="15"/>
  <c r="I18" i="15"/>
  <c r="I17" i="15"/>
  <c r="H17" i="15"/>
  <c r="H18" i="15"/>
  <c r="K18" i="15"/>
  <c r="K17" i="15"/>
  <c r="J17" i="15"/>
  <c r="P17" i="9"/>
  <c r="H18" i="9"/>
  <c r="Q9" i="9"/>
  <c r="O17" i="9"/>
  <c r="Q10" i="9"/>
  <c r="K18" i="9"/>
  <c r="M18" i="9"/>
  <c r="H9" i="9"/>
  <c r="L9" i="9"/>
  <c r="M9" i="9"/>
  <c r="I18" i="9"/>
  <c r="G18" i="9"/>
  <c r="L18" i="9"/>
  <c r="I9" i="9"/>
  <c r="E9" i="9"/>
  <c r="G147" i="15" l="1"/>
  <c r="G150" i="15" s="1"/>
  <c r="C150" i="15"/>
  <c r="D10" i="27"/>
  <c r="S17" i="9"/>
  <c r="T17" i="9"/>
  <c r="G12" i="15"/>
  <c r="G138" i="15" s="1"/>
  <c r="G142" i="15" s="1"/>
  <c r="Y9" i="9"/>
  <c r="F9" i="9"/>
  <c r="Z9" i="9" l="1"/>
  <c r="I10" i="27"/>
  <c r="J10" i="27"/>
  <c r="G144" i="15"/>
  <c r="G156" i="15"/>
  <c r="G158" i="15" s="1"/>
  <c r="K24" i="15"/>
  <c r="J24" i="15"/>
  <c r="I25" i="15"/>
  <c r="H24" i="15"/>
  <c r="J25" i="15"/>
  <c r="K23" i="15"/>
  <c r="I24" i="15"/>
  <c r="H25" i="15"/>
  <c r="G25" i="15"/>
  <c r="G24" i="15"/>
  <c r="G23" i="15"/>
  <c r="H23" i="15"/>
  <c r="I23" i="15"/>
  <c r="K25" i="15"/>
  <c r="J23" i="15"/>
  <c r="K17" i="9"/>
  <c r="L17" i="9"/>
  <c r="I17" i="9"/>
  <c r="G17" i="9"/>
  <c r="M17" i="9"/>
  <c r="H17" i="9"/>
  <c r="W9" i="9"/>
  <c r="A1" i="8" l="1"/>
  <c r="A1" i="2"/>
  <c r="P177" i="9" l="1"/>
  <c r="O177" i="9"/>
  <c r="M177" i="9"/>
  <c r="L177" i="9"/>
  <c r="I177" i="9"/>
  <c r="H177" i="9"/>
  <c r="P14" i="9"/>
  <c r="O14" i="9"/>
  <c r="M14" i="9"/>
  <c r="L14" i="9"/>
  <c r="I14" i="9"/>
  <c r="H14" i="9"/>
  <c r="B4" i="9"/>
  <c r="S8" i="9"/>
  <c r="M6" i="9" l="1"/>
  <c r="L6" i="9"/>
  <c r="H6" i="9"/>
  <c r="I6" i="9"/>
  <c r="C19" i="2"/>
  <c r="C7" i="9"/>
  <c r="C75" i="8" l="1"/>
  <c r="C76" i="8"/>
  <c r="H9" i="27"/>
  <c r="C92" i="8" l="1"/>
  <c r="C104" i="8" s="1"/>
  <c r="C106" i="8" s="1"/>
  <c r="I70" i="8" s="1"/>
  <c r="G155" i="8"/>
  <c r="K46" i="8"/>
  <c r="G58" i="8"/>
  <c r="G43" i="8"/>
  <c r="G44" i="8"/>
  <c r="G55" i="8" s="1"/>
  <c r="D55" i="8"/>
  <c r="D110" i="8"/>
  <c r="E110" i="8" s="1"/>
  <c r="C21" i="8"/>
  <c r="C22" i="8" s="1"/>
  <c r="C20" i="8"/>
  <c r="C23" i="8"/>
  <c r="F5" i="8"/>
  <c r="C10" i="8" s="1"/>
  <c r="F5" i="2"/>
  <c r="C128" i="8"/>
  <c r="C127" i="8"/>
  <c r="F88" i="8"/>
  <c r="E88" i="8"/>
  <c r="E68" i="8" s="1"/>
  <c r="D88" i="8"/>
  <c r="C68" i="8"/>
  <c r="G87" i="8"/>
  <c r="G86" i="8"/>
  <c r="G85" i="8"/>
  <c r="G84" i="8"/>
  <c r="G83" i="8"/>
  <c r="G82" i="8"/>
  <c r="G81" i="8"/>
  <c r="G80" i="8"/>
  <c r="G73" i="8"/>
  <c r="I67" i="8"/>
  <c r="G67" i="8"/>
  <c r="G16" i="8" s="1"/>
  <c r="C66" i="8"/>
  <c r="D42" i="8"/>
  <c r="K15" i="8"/>
  <c r="J15" i="8"/>
  <c r="I15" i="8"/>
  <c r="H15" i="8"/>
  <c r="C16" i="8"/>
  <c r="G11" i="8"/>
  <c r="G10" i="8"/>
  <c r="K9" i="8"/>
  <c r="G9" i="8"/>
  <c r="G8" i="8"/>
  <c r="C16" i="2"/>
  <c r="A52" i="2" s="1"/>
  <c r="C76" i="2"/>
  <c r="K15" i="2"/>
  <c r="J15" i="2"/>
  <c r="I15" i="2"/>
  <c r="H15" i="2"/>
  <c r="G11" i="2"/>
  <c r="K9" i="2"/>
  <c r="G10" i="2"/>
  <c r="G9" i="2"/>
  <c r="G8" i="2"/>
  <c r="C127" i="2"/>
  <c r="F8" i="27"/>
  <c r="F9" i="27"/>
  <c r="T8" i="9"/>
  <c r="D47" i="28" l="1"/>
  <c r="D45" i="28"/>
  <c r="D46" i="28"/>
  <c r="D50" i="28"/>
  <c r="D44" i="28"/>
  <c r="C40" i="31"/>
  <c r="D40" i="31" s="1"/>
  <c r="G54" i="8"/>
  <c r="G48" i="8"/>
  <c r="D43" i="8"/>
  <c r="K42" i="8" s="1"/>
  <c r="G50" i="8"/>
  <c r="K43" i="8" s="1"/>
  <c r="C69" i="8"/>
  <c r="C135" i="8" s="1"/>
  <c r="C136" i="8" s="1"/>
  <c r="D68" i="8"/>
  <c r="D69" i="8" s="1"/>
  <c r="D135" i="8" s="1"/>
  <c r="D136" i="8" s="1"/>
  <c r="D147" i="8" s="1"/>
  <c r="G88" i="8"/>
  <c r="K46" i="2"/>
  <c r="E14" i="8"/>
  <c r="A52" i="8"/>
  <c r="K8" i="8"/>
  <c r="D53" i="8"/>
  <c r="E119" i="8"/>
  <c r="E118" i="8"/>
  <c r="E121" i="8"/>
  <c r="E122" i="8"/>
  <c r="E120" i="8"/>
  <c r="E115" i="8"/>
  <c r="D32" i="8"/>
  <c r="B19" i="8"/>
  <c r="B18" i="8"/>
  <c r="E7" i="2"/>
  <c r="E113" i="8"/>
  <c r="E116" i="8"/>
  <c r="E112" i="8"/>
  <c r="E117" i="8"/>
  <c r="G72" i="8"/>
  <c r="G74" i="8" s="1"/>
  <c r="E114" i="8"/>
  <c r="E69" i="8"/>
  <c r="E135" i="8" s="1"/>
  <c r="E136" i="8" s="1"/>
  <c r="E147" i="8" s="1"/>
  <c r="C129" i="8"/>
  <c r="G128" i="8" s="1"/>
  <c r="G130" i="8" s="1"/>
  <c r="E111" i="8"/>
  <c r="I68" i="8"/>
  <c r="E7" i="8"/>
  <c r="E14" i="2"/>
  <c r="C8" i="9"/>
  <c r="D8" i="9"/>
  <c r="C147" i="8" l="1"/>
  <c r="C150" i="8" s="1"/>
  <c r="G136" i="8"/>
  <c r="G147" i="8"/>
  <c r="G150" i="8" s="1"/>
  <c r="I69" i="8"/>
  <c r="D54" i="8"/>
  <c r="D48" i="8"/>
  <c r="G68" i="8"/>
  <c r="K44" i="8" s="1"/>
  <c r="K45" i="8" s="1"/>
  <c r="K47" i="8" s="1"/>
  <c r="G53" i="8"/>
  <c r="E128" i="8"/>
  <c r="E123" i="8"/>
  <c r="D35" i="8" s="1"/>
  <c r="D37" i="8" s="1"/>
  <c r="D50" i="8"/>
  <c r="X8" i="9"/>
  <c r="Y8" i="9"/>
  <c r="D61" i="8" l="1"/>
  <c r="D38" i="8"/>
  <c r="K12" i="8" s="1"/>
  <c r="D59" i="8"/>
  <c r="E9" i="27"/>
  <c r="G9" i="27" s="1"/>
  <c r="Z8" i="9"/>
  <c r="G69" i="8"/>
  <c r="G17" i="8" s="1"/>
  <c r="G18" i="8"/>
  <c r="D130" i="8"/>
  <c r="G61" i="8"/>
  <c r="G59" i="8"/>
  <c r="F128" i="8"/>
  <c r="J17" i="8" s="1"/>
  <c r="O8" i="9"/>
  <c r="K8" i="9"/>
  <c r="P8" i="9"/>
  <c r="E8" i="9"/>
  <c r="G8" i="9"/>
  <c r="G27" i="8" l="1"/>
  <c r="D9" i="27"/>
  <c r="I9" i="27" s="1"/>
  <c r="C17" i="27" s="1"/>
  <c r="G12" i="8"/>
  <c r="I19" i="8"/>
  <c r="J19" i="8"/>
  <c r="K19" i="8"/>
  <c r="K26" i="8" s="1"/>
  <c r="H19" i="8"/>
  <c r="K18" i="8"/>
  <c r="H18" i="8"/>
  <c r="K17" i="8"/>
  <c r="H17" i="8"/>
  <c r="J18" i="8"/>
  <c r="K16" i="8"/>
  <c r="H16" i="8"/>
  <c r="J16" i="8"/>
  <c r="I18" i="8"/>
  <c r="I16" i="8"/>
  <c r="I17" i="8"/>
  <c r="J24" i="8"/>
  <c r="E117" i="2"/>
  <c r="E116" i="2"/>
  <c r="E115" i="2"/>
  <c r="E114" i="2"/>
  <c r="E113" i="2"/>
  <c r="F88" i="2"/>
  <c r="E88" i="2"/>
  <c r="E68" i="2" s="1"/>
  <c r="D68" i="2"/>
  <c r="G73" i="2"/>
  <c r="G67" i="2"/>
  <c r="G16" i="2" s="1"/>
  <c r="G87" i="2"/>
  <c r="G86" i="2"/>
  <c r="G85" i="2"/>
  <c r="G84" i="2"/>
  <c r="G83" i="2"/>
  <c r="G82" i="2"/>
  <c r="G81" i="2"/>
  <c r="G80" i="2"/>
  <c r="C68" i="2"/>
  <c r="I68" i="2" s="1"/>
  <c r="C128" i="2"/>
  <c r="C129" i="2" s="1"/>
  <c r="C66" i="2"/>
  <c r="G44" i="2"/>
  <c r="G55" i="2" s="1"/>
  <c r="D44" i="2"/>
  <c r="D55" i="2" s="1"/>
  <c r="D46" i="2"/>
  <c r="U8" i="9"/>
  <c r="H8" i="9"/>
  <c r="Q8" i="9"/>
  <c r="F8" i="9"/>
  <c r="I8" i="9"/>
  <c r="G7" i="9"/>
  <c r="L8" i="9"/>
  <c r="M8" i="9"/>
  <c r="K23" i="8" l="1"/>
  <c r="J9" i="27"/>
  <c r="G25" i="8"/>
  <c r="G138" i="8"/>
  <c r="G142" i="8" s="1"/>
  <c r="G23" i="8"/>
  <c r="K24" i="8"/>
  <c r="G24" i="8"/>
  <c r="K25" i="8"/>
  <c r="J26" i="8"/>
  <c r="E123" i="2"/>
  <c r="D35" i="2" s="1"/>
  <c r="D37" i="2" s="1"/>
  <c r="I26" i="8"/>
  <c r="H26" i="8"/>
  <c r="D57" i="2"/>
  <c r="H24" i="8"/>
  <c r="I23" i="8"/>
  <c r="H25" i="8"/>
  <c r="I25" i="8"/>
  <c r="J25" i="8"/>
  <c r="J23" i="8"/>
  <c r="I24" i="8"/>
  <c r="H23" i="8"/>
  <c r="G128" i="2"/>
  <c r="E128" i="2"/>
  <c r="C69" i="2"/>
  <c r="E69" i="2"/>
  <c r="E135" i="2" s="1"/>
  <c r="E136" i="2" s="1"/>
  <c r="E147" i="2" s="1"/>
  <c r="D69" i="2"/>
  <c r="D135" i="2" s="1"/>
  <c r="D136" i="2" s="1"/>
  <c r="G72" i="2"/>
  <c r="G88" i="2"/>
  <c r="G68" i="2"/>
  <c r="D43" i="2"/>
  <c r="I16" i="9"/>
  <c r="O16" i="9"/>
  <c r="P16" i="9"/>
  <c r="K16" i="9"/>
  <c r="L16" i="9"/>
  <c r="H16" i="9"/>
  <c r="M16" i="9"/>
  <c r="G16" i="9"/>
  <c r="I69" i="2" l="1"/>
  <c r="C135" i="2"/>
  <c r="C136" i="2" s="1"/>
  <c r="C147" i="2" s="1"/>
  <c r="C150" i="2" s="1"/>
  <c r="T16" i="9"/>
  <c r="S16" i="9"/>
  <c r="G156" i="8"/>
  <c r="G158" i="8" s="1"/>
  <c r="G144" i="8"/>
  <c r="D38" i="2"/>
  <c r="D147" i="2"/>
  <c r="G136" i="2"/>
  <c r="D54" i="2"/>
  <c r="G18" i="2"/>
  <c r="K44" i="2"/>
  <c r="D130" i="2"/>
  <c r="F128" i="2"/>
  <c r="K18" i="2" s="1"/>
  <c r="G130" i="2"/>
  <c r="G69" i="2"/>
  <c r="D48" i="2"/>
  <c r="P7" i="9"/>
  <c r="Y7" i="9"/>
  <c r="W8" i="9"/>
  <c r="G147" i="2" l="1"/>
  <c r="G150" i="2" s="1"/>
  <c r="D59" i="2"/>
  <c r="J19" i="2"/>
  <c r="K19" i="2"/>
  <c r="K26" i="2" s="1"/>
  <c r="H19" i="2"/>
  <c r="I19" i="2"/>
  <c r="K17" i="2"/>
  <c r="I17" i="2"/>
  <c r="J17" i="2"/>
  <c r="H17" i="2"/>
  <c r="G74" i="2"/>
  <c r="G17" i="2"/>
  <c r="J18" i="2"/>
  <c r="I18" i="2"/>
  <c r="H16" i="2"/>
  <c r="H18" i="2"/>
  <c r="K16" i="2"/>
  <c r="I16" i="2"/>
  <c r="J16" i="2"/>
  <c r="J39" i="2"/>
  <c r="I7" i="9"/>
  <c r="L7" i="9"/>
  <c r="M7" i="9"/>
  <c r="H7" i="9"/>
  <c r="H26" i="2" l="1"/>
  <c r="I26" i="2"/>
  <c r="J26" i="2"/>
  <c r="G27" i="2"/>
  <c r="G39" i="2"/>
  <c r="K12" i="2"/>
  <c r="K8" i="2"/>
  <c r="G42" i="2"/>
  <c r="C10" i="2"/>
  <c r="D31" i="28" s="1"/>
  <c r="U7" i="9"/>
  <c r="E7" i="9"/>
  <c r="P15" i="9"/>
  <c r="O15" i="9"/>
  <c r="D33" i="28" l="1"/>
  <c r="F34" i="28"/>
  <c r="I34" i="28"/>
  <c r="E36" i="28"/>
  <c r="E37" i="28" s="1"/>
  <c r="H34" i="28"/>
  <c r="E33" i="28"/>
  <c r="E34" i="28" s="1"/>
  <c r="G34" i="28"/>
  <c r="D49" i="28"/>
  <c r="C34" i="31"/>
  <c r="D8" i="27"/>
  <c r="T15" i="9"/>
  <c r="S15" i="9"/>
  <c r="G12" i="2"/>
  <c r="G43" i="2"/>
  <c r="D50" i="2" s="1"/>
  <c r="G50" i="2"/>
  <c r="K43" i="2" s="1"/>
  <c r="G53" i="2"/>
  <c r="D32" i="2"/>
  <c r="B19" i="2"/>
  <c r="B18" i="2"/>
  <c r="G54" i="2"/>
  <c r="F7" i="9"/>
  <c r="X7" i="9"/>
  <c r="D34" i="31" l="1"/>
  <c r="D43" i="31" s="1"/>
  <c r="C43" i="31"/>
  <c r="E8" i="27"/>
  <c r="G8" i="27" s="1"/>
  <c r="Z7" i="9"/>
  <c r="G138" i="2"/>
  <c r="G142" i="2" s="1"/>
  <c r="K45" i="2"/>
  <c r="K47" i="2" s="1"/>
  <c r="D61" i="2"/>
  <c r="G48" i="2"/>
  <c r="G59" i="2"/>
  <c r="G61" i="2"/>
  <c r="K42" i="2"/>
  <c r="A1" i="6"/>
  <c r="A1" i="9" s="1"/>
  <c r="N6" i="30"/>
  <c r="Q7" i="9"/>
  <c r="J8" i="31" l="1"/>
  <c r="J9" i="31"/>
  <c r="J10" i="31"/>
  <c r="C18" i="27"/>
  <c r="C19" i="27" s="1"/>
  <c r="I8" i="27"/>
  <c r="J8" i="27"/>
  <c r="G156" i="2"/>
  <c r="G158" i="2" s="1"/>
  <c r="G144" i="2"/>
  <c r="J25" i="2"/>
  <c r="I24" i="2"/>
  <c r="H23" i="2"/>
  <c r="K25" i="2"/>
  <c r="J24" i="2"/>
  <c r="I23" i="2"/>
  <c r="G25" i="2"/>
  <c r="K24" i="2"/>
  <c r="J23" i="2"/>
  <c r="H25" i="2"/>
  <c r="G24" i="2"/>
  <c r="K23" i="2"/>
  <c r="I25" i="2"/>
  <c r="H24" i="2"/>
  <c r="G23" i="2"/>
  <c r="K15" i="9"/>
  <c r="T6" i="30"/>
  <c r="I15" i="9"/>
  <c r="G15" i="9"/>
  <c r="S6" i="30"/>
  <c r="H15" i="9"/>
  <c r="V8" i="9"/>
  <c r="W7" i="9"/>
  <c r="L15" i="9"/>
  <c r="M15" i="9"/>
  <c r="C21" i="27" l="1"/>
  <c r="D18" i="28" s="1"/>
  <c r="F40" i="28" s="1"/>
  <c r="F21" i="28" l="1"/>
  <c r="F22" i="28" s="1"/>
  <c r="I35" i="28"/>
  <c r="I38" i="28" s="1"/>
  <c r="F35" i="28"/>
  <c r="F38" i="28" s="1"/>
  <c r="E35" i="28"/>
  <c r="E38" i="28" s="1"/>
  <c r="H21" i="28"/>
  <c r="H22" i="28" s="1"/>
  <c r="G35" i="28"/>
  <c r="G38" i="28" s="1"/>
  <c r="I21" i="28"/>
  <c r="I22" i="28" s="1"/>
  <c r="E21" i="28"/>
  <c r="E22" i="28" s="1"/>
  <c r="H35" i="28"/>
  <c r="H38" i="28" s="1"/>
  <c r="G21" i="28"/>
  <c r="G22" i="28" s="1"/>
  <c r="I23" i="28"/>
  <c r="I28" i="28" s="1"/>
  <c r="F41" i="28"/>
  <c r="D26" i="28" l="1"/>
  <c r="D41" i="28"/>
  <c r="D25" i="28"/>
  <c r="D40" i="28"/>
  <c r="D27" i="28" l="1"/>
  <c r="D42" i="28"/>
  <c r="D53" i="28" l="1"/>
  <c r="D56" i="28" s="1"/>
  <c r="D59" i="28" s="1"/>
  <c r="B78" i="28"/>
  <c r="D61" i="28" l="1"/>
  <c r="D62" i="28" s="1"/>
  <c r="B70" i="28" s="1"/>
  <c r="L18" i="24" l="1"/>
  <c r="I18" i="24"/>
  <c r="F18" i="24"/>
  <c r="H17" i="24"/>
  <c r="J18" i="24"/>
  <c r="K17" i="24"/>
  <c r="I17" i="24"/>
  <c r="I19" i="24"/>
  <c r="F17" i="24"/>
  <c r="F19" i="24" s="1"/>
  <c r="F21" i="24" s="1"/>
  <c r="G18" i="24"/>
  <c r="K18" i="24"/>
  <c r="K19" i="24" s="1"/>
  <c r="G17" i="24"/>
  <c r="G19" i="24" s="1"/>
  <c r="H18" i="24"/>
  <c r="H19" i="24" s="1"/>
  <c r="L17" i="24"/>
  <c r="L19" i="24"/>
  <c r="L21" i="24" s="1"/>
  <c r="L22" i="24" s="1"/>
  <c r="J17" i="24"/>
  <c r="J19" i="24" s="1"/>
  <c r="E18" i="24"/>
  <c r="E17" i="24"/>
  <c r="E19" i="24" l="1"/>
  <c r="L26" i="24"/>
  <c r="L19" i="23"/>
  <c r="L5" i="26" s="1"/>
  <c r="L11" i="26" s="1"/>
  <c r="L27" i="24"/>
  <c r="E21" i="24"/>
  <c r="E22" i="24" s="1"/>
  <c r="K21" i="24"/>
  <c r="K22" i="24" s="1"/>
  <c r="G21" i="24"/>
  <c r="G22" i="24" s="1"/>
  <c r="J21" i="24"/>
  <c r="J22" i="24" s="1"/>
  <c r="H21" i="24"/>
  <c r="H22" i="24" s="1"/>
  <c r="F22" i="24"/>
  <c r="I21" i="24"/>
  <c r="I22" i="24" s="1"/>
  <c r="K27" i="24" l="1"/>
  <c r="K19" i="23"/>
  <c r="K5" i="26" s="1"/>
  <c r="K11" i="26" s="1"/>
  <c r="K26" i="24"/>
  <c r="E27" i="24"/>
  <c r="E26" i="24"/>
  <c r="E19" i="23"/>
  <c r="I27" i="24"/>
  <c r="I19" i="23"/>
  <c r="I5" i="26" s="1"/>
  <c r="I11" i="26" s="1"/>
  <c r="I26" i="24"/>
  <c r="H27" i="24"/>
  <c r="H19" i="23"/>
  <c r="H5" i="26" s="1"/>
  <c r="H11" i="26" s="1"/>
  <c r="H26" i="24"/>
  <c r="J26" i="24"/>
  <c r="J27" i="24"/>
  <c r="J19" i="23"/>
  <c r="J5" i="26" s="1"/>
  <c r="J11" i="26" s="1"/>
  <c r="F19" i="23"/>
  <c r="F5" i="26" s="1"/>
  <c r="F11" i="26" s="1"/>
  <c r="F27" i="24"/>
  <c r="F26" i="24"/>
  <c r="G27" i="24"/>
  <c r="G19" i="23"/>
  <c r="G5" i="26" s="1"/>
  <c r="G11" i="26" s="1"/>
  <c r="G26" i="24"/>
  <c r="L21" i="26"/>
  <c r="L33" i="23"/>
  <c r="G21" i="26" l="1"/>
  <c r="G33" i="23"/>
  <c r="F21" i="26"/>
  <c r="F33" i="23"/>
  <c r="I21" i="26"/>
  <c r="I33" i="23"/>
  <c r="J21" i="26"/>
  <c r="J33" i="23"/>
  <c r="H21" i="26"/>
  <c r="H33" i="23"/>
  <c r="E21" i="23"/>
  <c r="E5" i="26"/>
  <c r="E11" i="26" s="1"/>
  <c r="K21" i="26"/>
  <c r="K33" i="23"/>
  <c r="E26" i="25" l="1"/>
  <c r="E27" i="25" s="1"/>
  <c r="F18" i="23"/>
  <c r="F21" i="23" s="1"/>
  <c r="E21" i="26"/>
  <c r="E22" i="26" s="1"/>
  <c r="E33" i="23"/>
  <c r="E36" i="23" s="1"/>
  <c r="E39" i="23" s="1"/>
  <c r="E40" i="23" s="1"/>
  <c r="F26" i="25" l="1"/>
  <c r="F27" i="25" s="1"/>
  <c r="G18" i="23"/>
  <c r="G21" i="23" s="1"/>
  <c r="F38" i="23"/>
  <c r="E41" i="23"/>
  <c r="E5" i="25"/>
  <c r="F20" i="26"/>
  <c r="F22" i="26" s="1"/>
  <c r="E9" i="25" l="1"/>
  <c r="E16" i="25" s="1"/>
  <c r="E29" i="25" s="1"/>
  <c r="E43" i="23"/>
  <c r="F32" i="23"/>
  <c r="F36" i="23" s="1"/>
  <c r="F39" i="23" s="1"/>
  <c r="F40" i="23" s="1"/>
  <c r="G26" i="25"/>
  <c r="G27" i="25" s="1"/>
  <c r="H18" i="23"/>
  <c r="H21" i="23" s="1"/>
  <c r="F5" i="25"/>
  <c r="F43" i="23" s="1"/>
  <c r="G20" i="26"/>
  <c r="G22" i="26" s="1"/>
  <c r="G5" i="25" l="1"/>
  <c r="G43" i="23" s="1"/>
  <c r="H20" i="26"/>
  <c r="H22" i="26" s="1"/>
  <c r="F9" i="25"/>
  <c r="F16" i="25" s="1"/>
  <c r="F29" i="25" s="1"/>
  <c r="G32" i="23"/>
  <c r="G36" i="23" s="1"/>
  <c r="G39" i="23" s="1"/>
  <c r="I18" i="23"/>
  <c r="I21" i="23" s="1"/>
  <c r="H26" i="25"/>
  <c r="H27" i="25" s="1"/>
  <c r="G38" i="23"/>
  <c r="F41" i="23"/>
  <c r="J18" i="23" l="1"/>
  <c r="J21" i="23" s="1"/>
  <c r="I26" i="25"/>
  <c r="I27" i="25" s="1"/>
  <c r="H5" i="25"/>
  <c r="I20" i="26"/>
  <c r="I22" i="26" s="1"/>
  <c r="G9" i="25"/>
  <c r="G16" i="25" s="1"/>
  <c r="G29" i="25" s="1"/>
  <c r="H32" i="23"/>
  <c r="H36" i="23" s="1"/>
  <c r="H43" i="23"/>
  <c r="G40" i="23"/>
  <c r="J26" i="25" l="1"/>
  <c r="J27" i="25" s="1"/>
  <c r="K18" i="23"/>
  <c r="K21" i="23" s="1"/>
  <c r="J20" i="26"/>
  <c r="J22" i="26" s="1"/>
  <c r="I5" i="25"/>
  <c r="H9" i="25"/>
  <c r="H16" i="25" s="1"/>
  <c r="H29" i="25" s="1"/>
  <c r="I43" i="23"/>
  <c r="I32" i="23"/>
  <c r="I36" i="23" s="1"/>
  <c r="H38" i="23"/>
  <c r="G41" i="23"/>
  <c r="K20" i="26" l="1"/>
  <c r="K22" i="26" s="1"/>
  <c r="J5" i="25"/>
  <c r="K26" i="25"/>
  <c r="K27" i="25" s="1"/>
  <c r="L18" i="23"/>
  <c r="L21" i="23" s="1"/>
  <c r="L26" i="25" s="1"/>
  <c r="L27" i="25" s="1"/>
  <c r="H39" i="23"/>
  <c r="H40" i="23" s="1"/>
  <c r="I9" i="25"/>
  <c r="I16" i="25" s="1"/>
  <c r="I29" i="25" s="1"/>
  <c r="J43" i="23"/>
  <c r="J32" i="23"/>
  <c r="J36" i="23" s="1"/>
  <c r="L20" i="26" l="1"/>
  <c r="L22" i="26" s="1"/>
  <c r="L5" i="25" s="1"/>
  <c r="L9" i="25" s="1"/>
  <c r="L16" i="25" s="1"/>
  <c r="L29" i="25" s="1"/>
  <c r="K5" i="25"/>
  <c r="I38" i="23"/>
  <c r="H41" i="23"/>
  <c r="J9" i="25"/>
  <c r="J16" i="25" s="1"/>
  <c r="J29" i="25" s="1"/>
  <c r="K43" i="23"/>
  <c r="K32" i="23"/>
  <c r="K36" i="23" s="1"/>
  <c r="I39" i="23" l="1"/>
  <c r="I40" i="23" s="1"/>
  <c r="L43" i="23"/>
  <c r="K9" i="25"/>
  <c r="K16" i="25" s="1"/>
  <c r="K29" i="25" s="1"/>
  <c r="L32" i="23"/>
  <c r="L36" i="23" s="1"/>
  <c r="J38" i="23" l="1"/>
  <c r="I41" i="23"/>
  <c r="J39" i="23" l="1"/>
  <c r="J40" i="23" s="1"/>
  <c r="K38" i="23" l="1"/>
  <c r="J41" i="23"/>
  <c r="K39" i="23" l="1"/>
  <c r="K40" i="23" s="1"/>
  <c r="L38" i="23" l="1"/>
  <c r="K41" i="23"/>
  <c r="L39" i="23" l="1"/>
  <c r="L40" i="23" s="1"/>
  <c r="L41" i="2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FE training</author>
    <author>Alastair Matchett</author>
    <author>MM</author>
  </authors>
  <commentList>
    <comment ref="C23" authorId="0" shapeId="0" xr:uid="{00000000-0006-0000-0200-000001000000}">
      <text>
        <r>
          <rPr>
            <b/>
            <sz val="9"/>
            <color indexed="81"/>
            <rFont val="Tahoma"/>
            <family val="2"/>
          </rPr>
          <t>FE training:</t>
        </r>
        <r>
          <rPr>
            <sz val="9"/>
            <color indexed="81"/>
            <rFont val="Tahoma"/>
            <family val="2"/>
          </rPr>
          <t xml:space="preserve">
Expected 2016 dividend from p. 28 of PIB / current share price</t>
        </r>
      </text>
    </comment>
    <comment ref="C24" authorId="0" shapeId="0" xr:uid="{00000000-0006-0000-0200-000002000000}">
      <text>
        <r>
          <rPr>
            <b/>
            <sz val="9"/>
            <color indexed="81"/>
            <rFont val="Tahoma"/>
            <family val="2"/>
          </rPr>
          <t>FE training:</t>
        </r>
        <r>
          <rPr>
            <sz val="9"/>
            <color indexed="81"/>
            <rFont val="Tahoma"/>
            <family val="2"/>
          </rPr>
          <t xml:space="preserve">
Company overview, p. 9 of PIB</t>
        </r>
      </text>
    </comment>
    <comment ref="C26" authorId="1" shapeId="0" xr:uid="{00000000-0006-0000-0200-000003000000}">
      <text>
        <r>
          <rPr>
            <b/>
            <sz val="9"/>
            <color indexed="81"/>
            <rFont val="Tahoma"/>
            <family val="2"/>
          </rPr>
          <t>Alastair Matchett:</t>
        </r>
        <r>
          <rPr>
            <sz val="9"/>
            <color indexed="81"/>
            <rFont val="Tahoma"/>
            <family val="2"/>
          </rPr>
          <t xml:space="preserve">
PIB page 30</t>
        </r>
      </text>
    </comment>
    <comment ref="C27" authorId="0" shapeId="0" xr:uid="{00000000-0006-0000-0200-000004000000}">
      <text>
        <r>
          <rPr>
            <b/>
            <sz val="9"/>
            <color indexed="81"/>
            <rFont val="Tahoma"/>
            <family val="2"/>
          </rPr>
          <t>FE training:</t>
        </r>
        <r>
          <rPr>
            <sz val="9"/>
            <color indexed="81"/>
            <rFont val="Tahoma"/>
            <family val="2"/>
          </rPr>
          <t xml:space="preserve">
P. 27 of PIB</t>
        </r>
      </text>
    </comment>
    <comment ref="G32" authorId="0" shapeId="0" xr:uid="{00000000-0006-0000-0200-000005000000}">
      <text>
        <r>
          <rPr>
            <b/>
            <sz val="9"/>
            <color indexed="81"/>
            <rFont val="Tahoma"/>
            <family val="2"/>
          </rPr>
          <t>FE training:</t>
        </r>
        <r>
          <rPr>
            <sz val="9"/>
            <color indexed="81"/>
            <rFont val="Tahoma"/>
            <family val="2"/>
          </rPr>
          <t xml:space="preserve">
BS p. 125 of 2015 AR,p . 160 of PIB</t>
        </r>
      </text>
    </comment>
    <comment ref="J32" authorId="0" shapeId="0" xr:uid="{00000000-0006-0000-0200-000006000000}">
      <text>
        <r>
          <rPr>
            <b/>
            <sz val="9"/>
            <color indexed="81"/>
            <rFont val="Tahoma"/>
            <family val="2"/>
          </rPr>
          <t>FE training:</t>
        </r>
        <r>
          <rPr>
            <sz val="9"/>
            <color indexed="81"/>
            <rFont val="Tahoma"/>
            <family val="2"/>
          </rPr>
          <t xml:space="preserve">
BS p. 125 of 2015 AR,p . 160 of PIB</t>
        </r>
      </text>
    </comment>
    <comment ref="D33" authorId="0" shapeId="0" xr:uid="{00000000-0006-0000-0200-000007000000}">
      <text>
        <r>
          <rPr>
            <b/>
            <sz val="9"/>
            <color indexed="81"/>
            <rFont val="Tahoma"/>
            <family val="2"/>
          </rPr>
          <t>FE training:</t>
        </r>
        <r>
          <rPr>
            <sz val="9"/>
            <color indexed="81"/>
            <rFont val="Tahoma"/>
            <family val="2"/>
          </rPr>
          <t xml:space="preserve">
Note 23  AR p. 207, PIB page 242</t>
        </r>
      </text>
    </comment>
    <comment ref="E37" authorId="0" shapeId="0" xr:uid="{00000000-0006-0000-0200-000008000000}">
      <text>
        <r>
          <rPr>
            <b/>
            <sz val="9"/>
            <color indexed="81"/>
            <rFont val="Tahoma"/>
            <family val="2"/>
          </rPr>
          <t>FE training:</t>
        </r>
        <r>
          <rPr>
            <sz val="9"/>
            <color indexed="81"/>
            <rFont val="Tahoma"/>
            <family val="2"/>
          </rPr>
          <t xml:space="preserve">
Non controlling interest put option</t>
        </r>
      </text>
    </comment>
    <comment ref="G37" authorId="0" shapeId="0" xr:uid="{00000000-0006-0000-0200-000009000000}">
      <text>
        <r>
          <rPr>
            <b/>
            <sz val="9"/>
            <color indexed="81"/>
            <rFont val="Tahoma"/>
            <family val="2"/>
          </rPr>
          <t>FE training:</t>
        </r>
        <r>
          <rPr>
            <sz val="9"/>
            <color indexed="81"/>
            <rFont val="Tahoma"/>
            <family val="2"/>
          </rPr>
          <t xml:space="preserve">
BS p. 125 of 2015 AR,p . 160 of PIB</t>
        </r>
      </text>
    </comment>
    <comment ref="G38" authorId="0" shapeId="0" xr:uid="{00000000-0006-0000-0200-00000A000000}">
      <text>
        <r>
          <rPr>
            <b/>
            <sz val="9"/>
            <color indexed="81"/>
            <rFont val="Tahoma"/>
            <family val="2"/>
          </rPr>
          <t>FE training:</t>
        </r>
        <r>
          <rPr>
            <sz val="9"/>
            <color indexed="81"/>
            <rFont val="Tahoma"/>
            <family val="2"/>
          </rPr>
          <t xml:space="preserve">
BS p. 125 of 2015 AR,p . 160 of PIB</t>
        </r>
      </text>
    </comment>
    <comment ref="E42" authorId="0" shapeId="0" xr:uid="{00000000-0006-0000-0200-00000B000000}">
      <text>
        <r>
          <rPr>
            <b/>
            <sz val="9"/>
            <color indexed="81"/>
            <rFont val="Tahoma"/>
            <family val="2"/>
          </rPr>
          <t>FE training:</t>
        </r>
        <r>
          <rPr>
            <sz val="9"/>
            <color indexed="81"/>
            <rFont val="Tahoma"/>
            <family val="2"/>
          </rPr>
          <t xml:space="preserve">
Includes  NCI put option</t>
        </r>
      </text>
    </comment>
    <comment ref="C72" authorId="0" shapeId="0" xr:uid="{00000000-0006-0000-0200-00000C000000}">
      <text>
        <r>
          <rPr>
            <b/>
            <sz val="9"/>
            <color indexed="81"/>
            <rFont val="Tahoma"/>
            <family val="2"/>
          </rPr>
          <t>FE training:</t>
        </r>
        <r>
          <rPr>
            <sz val="9"/>
            <color indexed="81"/>
            <rFont val="Tahoma"/>
            <family val="2"/>
          </rPr>
          <t xml:space="preserve">
Note 6, p. 157, p. 192 of PIB
and note 20 p 190 of AR, p. 225 of PIB</t>
        </r>
      </text>
    </comment>
    <comment ref="C73" authorId="0" shapeId="0" xr:uid="{00000000-0006-0000-0200-00000D000000}">
      <text>
        <r>
          <rPr>
            <b/>
            <sz val="9"/>
            <color indexed="81"/>
            <rFont val="Tahoma"/>
            <family val="2"/>
          </rPr>
          <t>FE training:</t>
        </r>
        <r>
          <rPr>
            <sz val="9"/>
            <color indexed="81"/>
            <rFont val="Tahoma"/>
            <family val="2"/>
          </rPr>
          <t xml:space="preserve">
From note 7 p 162 of AR, p.  161 of PIB, 
and note 20 p 190 of AR, p. 225 of PIB</t>
        </r>
      </text>
    </comment>
    <comment ref="C74" authorId="2" shapeId="0" xr:uid="{00000000-0006-0000-0200-00000E000000}">
      <text>
        <r>
          <rPr>
            <b/>
            <sz val="9"/>
            <color indexed="81"/>
            <rFont val="Tahoma"/>
            <family val="2"/>
          </rPr>
          <t>FE:</t>
        </r>
        <r>
          <rPr>
            <sz val="9"/>
            <color indexed="81"/>
            <rFont val="Tahoma"/>
            <family val="2"/>
          </rPr>
          <t xml:space="preserve">
Nnote 19 pdf 189 , p. 224  Of PIB </t>
        </r>
      </text>
    </comment>
    <comment ref="C75" authorId="2" shapeId="0" xr:uid="{00000000-0006-0000-0200-00000F000000}">
      <text>
        <r>
          <rPr>
            <b/>
            <sz val="9"/>
            <color indexed="81"/>
            <rFont val="Tahoma"/>
            <family val="2"/>
          </rPr>
          <t>FE:</t>
        </r>
        <r>
          <rPr>
            <sz val="9"/>
            <color indexed="81"/>
            <rFont val="Tahoma"/>
            <family val="2"/>
          </rPr>
          <t xml:space="preserve">
2015 AR footnote 18 pg 185 AR , p. 220 of PIB</t>
        </r>
      </text>
    </comment>
    <comment ref="B80" authorId="0" shapeId="0" xr:uid="{00000000-0006-0000-0200-000010000000}">
      <text>
        <r>
          <rPr>
            <b/>
            <sz val="9"/>
            <color indexed="81"/>
            <rFont val="Tahoma"/>
            <family val="2"/>
          </rPr>
          <t>FE training:</t>
        </r>
        <r>
          <rPr>
            <sz val="9"/>
            <color indexed="81"/>
            <rFont val="Tahoma"/>
            <family val="2"/>
          </rPr>
          <t xml:space="preserve">
Note 5c AR p. 156
PIB 191</t>
        </r>
      </text>
    </comment>
    <comment ref="C93" authorId="1" shapeId="0" xr:uid="{00000000-0006-0000-0200-000011000000}">
      <text>
        <r>
          <rPr>
            <b/>
            <sz val="9"/>
            <color indexed="81"/>
            <rFont val="Tahoma"/>
            <family val="2"/>
          </rPr>
          <t>FE:</t>
        </r>
        <r>
          <rPr>
            <sz val="9"/>
            <color indexed="81"/>
            <rFont val="Tahoma"/>
            <family val="2"/>
          </rPr>
          <t xml:space="preserve">
Page 87 in PDF and also see note 19 on PDF page 224</t>
        </r>
      </text>
    </comment>
    <comment ref="C105" authorId="0" shapeId="0" xr:uid="{00000000-0006-0000-0200-000012000000}">
      <text>
        <r>
          <rPr>
            <b/>
            <sz val="9"/>
            <color indexed="81"/>
            <rFont val="Tahoma"/>
            <family val="2"/>
          </rPr>
          <t>FE training:</t>
        </r>
        <r>
          <rPr>
            <sz val="9"/>
            <color indexed="81"/>
            <rFont val="Tahoma"/>
            <family val="2"/>
          </rPr>
          <t xml:space="preserve">
Note 12 p. 165 2015 AR, p. 201 of PIB</t>
        </r>
      </text>
    </comment>
    <comment ref="B110" authorId="0" shapeId="0" xr:uid="{00000000-0006-0000-0200-000013000000}">
      <text>
        <r>
          <rPr>
            <b/>
            <sz val="9"/>
            <color indexed="81"/>
            <rFont val="Tahoma"/>
            <family val="2"/>
          </rPr>
          <t xml:space="preserve">FE training:
</t>
        </r>
        <r>
          <rPr>
            <sz val="9"/>
            <color indexed="81"/>
            <rFont val="Tahoma"/>
            <family val="2"/>
          </rPr>
          <t>Note 14, p. 171 of AR, p. 206 of PIB</t>
        </r>
      </text>
    </comment>
    <comment ref="D134" authorId="1" shapeId="0" xr:uid="{00000000-0006-0000-0200-000014000000}">
      <text>
        <r>
          <rPr>
            <b/>
            <sz val="9"/>
            <color indexed="81"/>
            <rFont val="Tahoma"/>
            <family val="2"/>
          </rPr>
          <t>Alastair Matchett:</t>
        </r>
        <r>
          <rPr>
            <sz val="9"/>
            <color indexed="81"/>
            <rFont val="Tahoma"/>
            <family val="2"/>
          </rPr>
          <t xml:space="preserve">
No information in the interim financial statements.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FE training</author>
    <author>FE</author>
    <author>Alastair Matchett</author>
  </authors>
  <commentList>
    <comment ref="C23" authorId="0" shapeId="0" xr:uid="{00000000-0006-0000-0300-000001000000}">
      <text>
        <r>
          <rPr>
            <b/>
            <sz val="9"/>
            <color indexed="81"/>
            <rFont val="Tahoma"/>
            <family val="2"/>
          </rPr>
          <t>FE training:</t>
        </r>
        <r>
          <rPr>
            <sz val="9"/>
            <color indexed="81"/>
            <rFont val="Tahoma"/>
            <family val="2"/>
          </rPr>
          <t xml:space="preserve">
Expected 2016 dividend from p. 29 of PIB / current share price</t>
        </r>
      </text>
    </comment>
    <comment ref="C24" authorId="0" shapeId="0" xr:uid="{00000000-0006-0000-0300-000002000000}">
      <text>
        <r>
          <rPr>
            <b/>
            <sz val="9"/>
            <color indexed="81"/>
            <rFont val="Tahoma"/>
            <family val="2"/>
          </rPr>
          <t>FE training:</t>
        </r>
        <r>
          <rPr>
            <sz val="9"/>
            <color indexed="81"/>
            <rFont val="Tahoma"/>
            <family val="2"/>
          </rPr>
          <t xml:space="preserve">
From company overveiw p. 9 of PIB</t>
        </r>
      </text>
    </comment>
    <comment ref="C26" authorId="1" shapeId="0" xr:uid="{00000000-0006-0000-0300-000003000000}">
      <text>
        <r>
          <rPr>
            <b/>
            <sz val="9"/>
            <color indexed="81"/>
            <rFont val="Tahoma"/>
            <family val="2"/>
          </rPr>
          <t>FE:</t>
        </r>
        <r>
          <rPr>
            <sz val="9"/>
            <color indexed="81"/>
            <rFont val="Tahoma"/>
            <family val="2"/>
          </rPr>
          <t xml:space="preserve">
PIB 31</t>
        </r>
      </text>
    </comment>
    <comment ref="C27" authorId="0" shapeId="0" xr:uid="{00000000-0006-0000-0300-000004000000}">
      <text>
        <r>
          <rPr>
            <b/>
            <sz val="9"/>
            <color indexed="81"/>
            <rFont val="Tahoma"/>
            <family val="2"/>
          </rPr>
          <t>FE training:</t>
        </r>
        <r>
          <rPr>
            <sz val="9"/>
            <color indexed="81"/>
            <rFont val="Tahoma"/>
            <family val="2"/>
          </rPr>
          <t xml:space="preserve">
P. 28 of PIB</t>
        </r>
      </text>
    </comment>
    <comment ref="D33" authorId="0" shapeId="0" xr:uid="{00000000-0006-0000-0300-000005000000}">
      <text>
        <r>
          <rPr>
            <b/>
            <sz val="9"/>
            <color indexed="81"/>
            <rFont val="Tahoma"/>
            <family val="2"/>
          </rPr>
          <t>FE training:</t>
        </r>
        <r>
          <rPr>
            <sz val="9"/>
            <color indexed="81"/>
            <rFont val="Tahoma"/>
            <family val="2"/>
          </rPr>
          <t xml:space="preserve">
From note 15 p. 152 &amp; 153 of AR, excludes treasury shares, PIB pages 188 &amp; 189</t>
        </r>
      </text>
    </comment>
    <comment ref="H34" authorId="0" shapeId="0" xr:uid="{00000000-0006-0000-0300-000006000000}">
      <text>
        <r>
          <rPr>
            <b/>
            <sz val="9"/>
            <color indexed="81"/>
            <rFont val="Tahoma"/>
            <family val="2"/>
          </rPr>
          <t>FE training:</t>
        </r>
        <r>
          <rPr>
            <sz val="9"/>
            <color indexed="81"/>
            <rFont val="Tahoma"/>
            <family val="2"/>
          </rPr>
          <t xml:space="preserve">
Includes JVs and available for sale financial assets</t>
        </r>
      </text>
    </comment>
    <comment ref="G37" authorId="0" shapeId="0" xr:uid="{00000000-0006-0000-0300-000007000000}">
      <text>
        <r>
          <rPr>
            <b/>
            <sz val="9"/>
            <color indexed="81"/>
            <rFont val="Tahoma"/>
            <family val="2"/>
          </rPr>
          <t>FE training:</t>
        </r>
        <r>
          <rPr>
            <sz val="9"/>
            <color indexed="81"/>
            <rFont val="Tahoma"/>
            <family val="2"/>
          </rPr>
          <t xml:space="preserve">
Put option for Diageo plc for its 34% share in Moët Hennessy see note 20, p 162., p. 198 of PIB</t>
        </r>
      </text>
    </comment>
    <comment ref="G38" authorId="2" shapeId="0" xr:uid="{00000000-0006-0000-0300-000008000000}">
      <text>
        <r>
          <rPr>
            <b/>
            <sz val="9"/>
            <color indexed="81"/>
            <rFont val="Tahoma"/>
            <family val="2"/>
          </rPr>
          <t>Alastair Matchett:</t>
        </r>
        <r>
          <rPr>
            <sz val="9"/>
            <color indexed="81"/>
            <rFont val="Tahoma"/>
            <family val="2"/>
          </rPr>
          <t xml:space="preserve">
Using market values by taking the PE ratio of LVMH</t>
        </r>
      </text>
    </comment>
    <comment ref="A41" authorId="0" shapeId="0" xr:uid="{00000000-0006-0000-0300-000009000000}">
      <text>
        <r>
          <rPr>
            <b/>
            <sz val="9"/>
            <color indexed="81"/>
            <rFont val="Tahoma"/>
            <family val="2"/>
          </rPr>
          <t>FE training:</t>
        </r>
        <r>
          <rPr>
            <sz val="9"/>
            <color indexed="81"/>
            <rFont val="Tahoma"/>
            <family val="2"/>
          </rPr>
          <t xml:space="preserve">
p. 126 of AR 2015</t>
        </r>
      </text>
    </comment>
    <comment ref="E42" authorId="0" shapeId="0" xr:uid="{00000000-0006-0000-0300-00000A000000}">
      <text>
        <r>
          <rPr>
            <b/>
            <sz val="9"/>
            <color indexed="81"/>
            <rFont val="Tahoma"/>
            <family val="2"/>
          </rPr>
          <t>FE training:</t>
        </r>
        <r>
          <rPr>
            <sz val="9"/>
            <color indexed="81"/>
            <rFont val="Tahoma"/>
            <family val="2"/>
          </rPr>
          <t xml:space="preserve">
Includes put option for Diageo plc for its 34% share in Moët Hennessy see note 20, p 162. </t>
        </r>
      </text>
    </comment>
    <comment ref="I63" authorId="0" shapeId="0" xr:uid="{00000000-0006-0000-0300-00000B000000}">
      <text>
        <r>
          <rPr>
            <b/>
            <sz val="9"/>
            <color indexed="81"/>
            <rFont val="Tahoma"/>
            <family val="2"/>
          </rPr>
          <t>FE training:</t>
        </r>
        <r>
          <rPr>
            <sz val="9"/>
            <color indexed="81"/>
            <rFont val="Tahoma"/>
            <family val="2"/>
          </rPr>
          <t xml:space="preserve">
From p. 28 of PIB</t>
        </r>
      </text>
    </comment>
    <comment ref="C72" authorId="1" shapeId="0" xr:uid="{00000000-0006-0000-0300-00000C000000}">
      <text>
        <r>
          <rPr>
            <b/>
            <sz val="9"/>
            <color indexed="81"/>
            <rFont val="Tahoma"/>
            <family val="2"/>
          </rPr>
          <t>FE:</t>
        </r>
        <r>
          <rPr>
            <sz val="9"/>
            <color indexed="81"/>
            <rFont val="Tahoma"/>
            <family val="2"/>
          </rPr>
          <t xml:space="preserve">
Footnote 6 2015 AR pg 144, p.180 of PIB </t>
        </r>
      </text>
    </comment>
    <comment ref="C73" authorId="1" shapeId="0" xr:uid="{00000000-0006-0000-0300-00000D000000}">
      <text>
        <r>
          <rPr>
            <b/>
            <sz val="9"/>
            <color indexed="81"/>
            <rFont val="Tahoma"/>
            <family val="2"/>
          </rPr>
          <t>FE:</t>
        </r>
        <r>
          <rPr>
            <sz val="9"/>
            <color indexed="81"/>
            <rFont val="Tahoma"/>
            <family val="2"/>
          </rPr>
          <t xml:space="preserve">
Footnote 3 2015 AR pg 140, p. 176 of PIB</t>
        </r>
      </text>
    </comment>
    <comment ref="B75" authorId="1" shapeId="0" xr:uid="{00000000-0006-0000-0300-00000E000000}">
      <text>
        <r>
          <rPr>
            <b/>
            <sz val="9"/>
            <color indexed="81"/>
            <rFont val="Tahoma"/>
            <family val="2"/>
          </rPr>
          <t>FE:</t>
        </r>
        <r>
          <rPr>
            <sz val="9"/>
            <color indexed="81"/>
            <rFont val="Tahoma"/>
            <family val="2"/>
          </rPr>
          <t xml:space="preserve">
Not disclosed - per KPMG</t>
        </r>
      </text>
    </comment>
    <comment ref="C76" authorId="0" shapeId="0" xr:uid="{00000000-0006-0000-0300-00000F000000}">
      <text>
        <r>
          <rPr>
            <b/>
            <sz val="9"/>
            <color indexed="81"/>
            <rFont val="Tahoma"/>
            <family val="2"/>
          </rPr>
          <t>FE training:</t>
        </r>
        <r>
          <rPr>
            <sz val="9"/>
            <color indexed="81"/>
            <rFont val="Tahoma"/>
            <family val="2"/>
          </rPr>
          <t xml:space="preserve">
From the IS p. 124 of 2015 AR, p. 160 of PIB, denominator is operating profit plus net fin income / (expense)</t>
        </r>
      </text>
    </comment>
    <comment ref="B80" authorId="1" shapeId="0" xr:uid="{00000000-0006-0000-0300-000010000000}">
      <text>
        <r>
          <rPr>
            <b/>
            <sz val="9"/>
            <color indexed="81"/>
            <rFont val="Tahoma"/>
            <family val="2"/>
          </rPr>
          <t>FE:</t>
        </r>
        <r>
          <rPr>
            <sz val="9"/>
            <color indexed="81"/>
            <rFont val="Tahoma"/>
            <family val="2"/>
          </rPr>
          <t xml:space="preserve">
Footnote 25 2015 AR pg 57 OR ar p171 PIB p.207</t>
        </r>
      </text>
    </comment>
    <comment ref="B81" authorId="1" shapeId="0" xr:uid="{00000000-0006-0000-0300-000011000000}">
      <text>
        <r>
          <rPr>
            <b/>
            <sz val="9"/>
            <color indexed="81"/>
            <rFont val="Tahoma"/>
            <family val="2"/>
          </rPr>
          <t>FE:</t>
        </r>
        <r>
          <rPr>
            <sz val="9"/>
            <color indexed="81"/>
            <rFont val="Tahoma"/>
            <family val="2"/>
          </rPr>
          <t xml:space="preserve">
Footnote 25 2015 AR pg 57 OR ar p171 PIB p.207</t>
        </r>
      </text>
    </comment>
    <comment ref="B82" authorId="1" shapeId="0" xr:uid="{00000000-0006-0000-0300-000012000000}">
      <text>
        <r>
          <rPr>
            <b/>
            <sz val="9"/>
            <color indexed="81"/>
            <rFont val="Tahoma"/>
            <family val="2"/>
          </rPr>
          <t>FE:</t>
        </r>
        <r>
          <rPr>
            <sz val="9"/>
            <color indexed="81"/>
            <rFont val="Tahoma"/>
            <family val="2"/>
          </rPr>
          <t xml:space="preserve">
Footnote 25 2015 AR pg 57
</t>
        </r>
      </text>
    </comment>
    <comment ref="B83" authorId="1" shapeId="0" xr:uid="{00000000-0006-0000-0300-000013000000}">
      <text>
        <r>
          <rPr>
            <b/>
            <sz val="9"/>
            <color indexed="81"/>
            <rFont val="Tahoma"/>
            <family val="2"/>
          </rPr>
          <t>FE:</t>
        </r>
        <r>
          <rPr>
            <sz val="9"/>
            <color indexed="81"/>
            <rFont val="Tahoma"/>
            <family val="2"/>
          </rPr>
          <t xml:space="preserve">
Footnote 25 2015 AR pg 57 </t>
        </r>
      </text>
    </comment>
    <comment ref="B110" authorId="0" shapeId="0" xr:uid="{00000000-0006-0000-0300-000014000000}">
      <text>
        <r>
          <rPr>
            <b/>
            <sz val="9"/>
            <color indexed="81"/>
            <rFont val="Tahoma"/>
            <family val="2"/>
          </rPr>
          <t>FE training:</t>
        </r>
        <r>
          <rPr>
            <sz val="9"/>
            <color indexed="81"/>
            <rFont val="Tahoma"/>
            <family val="2"/>
          </rPr>
          <t xml:space="preserve">
From  note 16 p. 156 of AR</t>
        </r>
      </text>
    </comment>
    <comment ref="D134" authorId="2" shapeId="0" xr:uid="{00000000-0006-0000-0300-000015000000}">
      <text>
        <r>
          <rPr>
            <b/>
            <sz val="9"/>
            <color indexed="81"/>
            <rFont val="Tahoma"/>
            <family val="2"/>
          </rPr>
          <t>Alastair Matchett:</t>
        </r>
        <r>
          <rPr>
            <sz val="9"/>
            <color indexed="81"/>
            <rFont val="Tahoma"/>
            <family val="2"/>
          </rPr>
          <t xml:space="preserve">
No information in the interim financial statements.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FE training</author>
    <author>FE</author>
    <author>Alastair Matchett</author>
  </authors>
  <commentList>
    <comment ref="C23" authorId="0" shapeId="0" xr:uid="{00000000-0006-0000-0400-000001000000}">
      <text>
        <r>
          <rPr>
            <b/>
            <sz val="9"/>
            <color indexed="81"/>
            <rFont val="Tahoma"/>
            <family val="2"/>
          </rPr>
          <t>FE training:</t>
        </r>
        <r>
          <rPr>
            <sz val="9"/>
            <color indexed="81"/>
            <rFont val="Tahoma"/>
            <family val="2"/>
          </rPr>
          <t xml:space="preserve">
Per share earnings estimates, p. 29 of PIB, expected dividends / current share price</t>
        </r>
      </text>
    </comment>
    <comment ref="C24" authorId="0" shapeId="0" xr:uid="{00000000-0006-0000-0400-000002000000}">
      <text>
        <r>
          <rPr>
            <b/>
            <sz val="9"/>
            <color indexed="81"/>
            <rFont val="Tahoma"/>
            <family val="2"/>
          </rPr>
          <t>FE training:</t>
        </r>
        <r>
          <rPr>
            <sz val="9"/>
            <color indexed="81"/>
            <rFont val="Tahoma"/>
            <family val="2"/>
          </rPr>
          <t xml:space="preserve">
From company overview, p. 9 of PIB</t>
        </r>
      </text>
    </comment>
    <comment ref="C27" authorId="0" shapeId="0" xr:uid="{00000000-0006-0000-0400-000003000000}">
      <text>
        <r>
          <rPr>
            <b/>
            <sz val="9"/>
            <color indexed="81"/>
            <rFont val="Tahoma"/>
            <family val="2"/>
          </rPr>
          <t>FE training:</t>
        </r>
        <r>
          <rPr>
            <sz val="9"/>
            <color indexed="81"/>
            <rFont val="Tahoma"/>
            <family val="2"/>
          </rPr>
          <t xml:space="preserve">
Earnings estimates, p. 28 of PIB</t>
        </r>
      </text>
    </comment>
    <comment ref="G32" authorId="1" shapeId="0" xr:uid="{00000000-0006-0000-0400-000004000000}">
      <text>
        <r>
          <rPr>
            <b/>
            <sz val="9"/>
            <color indexed="81"/>
            <rFont val="Tahoma"/>
            <family val="2"/>
          </rPr>
          <t>FE:</t>
        </r>
        <r>
          <rPr>
            <sz val="9"/>
            <color indexed="81"/>
            <rFont val="Tahoma"/>
            <family val="2"/>
          </rPr>
          <t xml:space="preserve">
PIB p.231</t>
        </r>
      </text>
    </comment>
    <comment ref="J32" authorId="1" shapeId="0" xr:uid="{00000000-0006-0000-0400-000005000000}">
      <text>
        <r>
          <rPr>
            <b/>
            <sz val="9"/>
            <color indexed="81"/>
            <rFont val="Tahoma"/>
            <family val="2"/>
          </rPr>
          <t>FE:</t>
        </r>
        <r>
          <rPr>
            <sz val="9"/>
            <color indexed="81"/>
            <rFont val="Tahoma"/>
            <family val="2"/>
          </rPr>
          <t xml:space="preserve">
PIB p.231</t>
        </r>
      </text>
    </comment>
    <comment ref="D33" authorId="0" shapeId="0" xr:uid="{00000000-0006-0000-0400-000006000000}">
      <text>
        <r>
          <rPr>
            <b/>
            <sz val="9"/>
            <color indexed="81"/>
            <rFont val="Tahoma"/>
            <family val="2"/>
          </rPr>
          <t>FE training:</t>
        </r>
        <r>
          <rPr>
            <sz val="9"/>
            <color indexed="81"/>
            <rFont val="Tahoma"/>
            <family val="2"/>
          </rPr>
          <t xml:space="preserve">
From interim press release
PIB 238</t>
        </r>
      </text>
    </comment>
    <comment ref="J34" authorId="0" shapeId="0" xr:uid="{00000000-0006-0000-0400-000007000000}">
      <text>
        <r>
          <rPr>
            <b/>
            <sz val="9"/>
            <color indexed="81"/>
            <rFont val="Tahoma"/>
            <family val="2"/>
          </rPr>
          <t>FE training:</t>
        </r>
        <r>
          <rPr>
            <sz val="9"/>
            <color indexed="81"/>
            <rFont val="Tahoma"/>
            <family val="2"/>
          </rPr>
          <t xml:space="preserve">
Includes investment properties and derivative assets pib p.231</t>
        </r>
      </text>
    </comment>
    <comment ref="G37" authorId="0" shapeId="0" xr:uid="{00000000-0006-0000-0400-000008000000}">
      <text>
        <r>
          <rPr>
            <b/>
            <sz val="9"/>
            <color indexed="81"/>
            <rFont val="Tahoma"/>
            <family val="2"/>
          </rPr>
          <t>FE training:</t>
        </r>
        <r>
          <rPr>
            <sz val="9"/>
            <color indexed="81"/>
            <rFont val="Tahoma"/>
            <family val="2"/>
          </rPr>
          <t xml:space="preserve">
Includes derivative financial liabilities
PIB 231</t>
        </r>
      </text>
    </comment>
    <comment ref="A41" authorId="0" shapeId="0" xr:uid="{00000000-0006-0000-0400-000009000000}">
      <text>
        <r>
          <rPr>
            <b/>
            <sz val="9"/>
            <color indexed="81"/>
            <rFont val="Tahoma"/>
            <family val="2"/>
          </rPr>
          <t>FE training:</t>
        </r>
        <r>
          <rPr>
            <sz val="9"/>
            <color indexed="81"/>
            <rFont val="Tahoma"/>
            <family val="2"/>
          </rPr>
          <t xml:space="preserve">
From 30 Sept 2015 earnings release</t>
        </r>
      </text>
    </comment>
    <comment ref="E42" authorId="0" shapeId="0" xr:uid="{00000000-0006-0000-0400-00000A000000}">
      <text>
        <r>
          <rPr>
            <b/>
            <sz val="9"/>
            <color indexed="81"/>
            <rFont val="Tahoma"/>
            <family val="2"/>
          </rPr>
          <t>FE training:</t>
        </r>
        <r>
          <rPr>
            <sz val="9"/>
            <color indexed="81"/>
            <rFont val="Tahoma"/>
            <family val="2"/>
          </rPr>
          <t xml:space="preserve">
Includes derivative financial liabilities</t>
        </r>
      </text>
    </comment>
    <comment ref="D44" authorId="1" shapeId="0" xr:uid="{00000000-0006-0000-0400-00000B000000}">
      <text>
        <r>
          <rPr>
            <b/>
            <sz val="9"/>
            <color indexed="81"/>
            <rFont val="Tahoma"/>
            <family val="2"/>
          </rPr>
          <t>FE:</t>
        </r>
        <r>
          <rPr>
            <sz val="9"/>
            <color indexed="81"/>
            <rFont val="Tahoma"/>
            <family val="2"/>
          </rPr>
          <t xml:space="preserve">
PIB p230 and PIB p.236</t>
        </r>
      </text>
    </comment>
    <comment ref="D45" authorId="1" shapeId="0" xr:uid="{00000000-0006-0000-0400-00000C000000}">
      <text>
        <r>
          <rPr>
            <b/>
            <sz val="9"/>
            <color indexed="81"/>
            <rFont val="Tahoma"/>
            <family val="2"/>
          </rPr>
          <t>FE:</t>
        </r>
        <r>
          <rPr>
            <sz val="9"/>
            <color indexed="81"/>
            <rFont val="Tahoma"/>
            <family val="2"/>
          </rPr>
          <t xml:space="preserve">
PIB p236</t>
        </r>
      </text>
    </comment>
    <comment ref="B72" authorId="1" shapeId="0" xr:uid="{00000000-0006-0000-0400-00000D000000}">
      <text>
        <r>
          <rPr>
            <b/>
            <sz val="9"/>
            <color indexed="81"/>
            <rFont val="Tahoma"/>
            <family val="2"/>
          </rPr>
          <t>FE:</t>
        </r>
        <r>
          <rPr>
            <sz val="9"/>
            <color indexed="81"/>
            <rFont val="Tahoma"/>
            <family val="2"/>
          </rPr>
          <t xml:space="preserve">
PIB 232</t>
        </r>
      </text>
    </comment>
    <comment ref="B74" authorId="1" shapeId="0" xr:uid="{00000000-0006-0000-0400-00000E000000}">
      <text>
        <r>
          <rPr>
            <b/>
            <sz val="9"/>
            <color indexed="81"/>
            <rFont val="Tahoma"/>
            <family val="2"/>
          </rPr>
          <t>FE:</t>
        </r>
        <r>
          <rPr>
            <sz val="9"/>
            <color indexed="81"/>
            <rFont val="Tahoma"/>
            <family val="2"/>
          </rPr>
          <t xml:space="preserve">
IS pib p.229</t>
        </r>
      </text>
    </comment>
    <comment ref="B75" authorId="1" shapeId="0" xr:uid="{00000000-0006-0000-0400-00000F000000}">
      <text>
        <r>
          <rPr>
            <b/>
            <sz val="9"/>
            <color indexed="81"/>
            <rFont val="Tahoma"/>
            <family val="2"/>
          </rPr>
          <t>FE:</t>
        </r>
        <r>
          <rPr>
            <sz val="9"/>
            <color indexed="81"/>
            <rFont val="Tahoma"/>
            <family val="2"/>
          </rPr>
          <t xml:space="preserve">
Footnote 9 2015 AR pg 135</t>
        </r>
      </text>
    </comment>
    <comment ref="B80" authorId="1" shapeId="0" xr:uid="{00000000-0006-0000-0400-000010000000}">
      <text>
        <r>
          <rPr>
            <b/>
            <sz val="9"/>
            <color indexed="81"/>
            <rFont val="Tahoma"/>
            <family val="2"/>
          </rPr>
          <t>FE:</t>
        </r>
        <r>
          <rPr>
            <sz val="9"/>
            <color indexed="81"/>
            <rFont val="Tahoma"/>
            <family val="2"/>
          </rPr>
          <t xml:space="preserve">
Impairment - CFS and footnote 13 2015 AR pg 139 
PIB 175</t>
        </r>
      </text>
    </comment>
    <comment ref="C105" authorId="0" shapeId="0" xr:uid="{00000000-0006-0000-0400-000011000000}">
      <text>
        <r>
          <rPr>
            <b/>
            <sz val="9"/>
            <color indexed="81"/>
            <rFont val="Tahoma"/>
            <family val="2"/>
          </rPr>
          <t>FE training:</t>
        </r>
        <r>
          <rPr>
            <sz val="9"/>
            <color indexed="81"/>
            <rFont val="Tahoma"/>
            <family val="2"/>
          </rPr>
          <t xml:space="preserve">
Note 10, p. 136 of 2015 AR, p. 172 of PIB</t>
        </r>
      </text>
    </comment>
    <comment ref="B110" authorId="0" shapeId="0" xr:uid="{00000000-0006-0000-0400-000012000000}">
      <text>
        <r>
          <rPr>
            <b/>
            <sz val="9"/>
            <color indexed="81"/>
            <rFont val="Tahoma"/>
            <family val="2"/>
          </rPr>
          <t>FE training:</t>
        </r>
        <r>
          <rPr>
            <sz val="9"/>
            <color indexed="81"/>
            <rFont val="Tahoma"/>
            <family val="2"/>
          </rPr>
          <t xml:space="preserve">
Note 26 p 153 AR
PIB 189</t>
        </r>
      </text>
    </comment>
    <comment ref="C119" authorId="1" shapeId="0" xr:uid="{00000000-0006-0000-0400-000013000000}">
      <text>
        <r>
          <rPr>
            <b/>
            <sz val="9"/>
            <color indexed="81"/>
            <rFont val="Tahoma"/>
            <family val="2"/>
          </rPr>
          <t>FE:</t>
        </r>
        <r>
          <rPr>
            <sz val="9"/>
            <color indexed="81"/>
            <rFont val="Tahoma"/>
            <family val="2"/>
          </rPr>
          <t xml:space="preserve">
PIB 192</t>
        </r>
      </text>
    </comment>
    <comment ref="C120" authorId="1" shapeId="0" xr:uid="{00000000-0006-0000-0400-000014000000}">
      <text>
        <r>
          <rPr>
            <b/>
            <sz val="9"/>
            <color indexed="81"/>
            <rFont val="Tahoma"/>
            <family val="2"/>
          </rPr>
          <t>FE:</t>
        </r>
        <r>
          <rPr>
            <sz val="9"/>
            <color indexed="81"/>
            <rFont val="Tahoma"/>
            <family val="2"/>
          </rPr>
          <t xml:space="preserve">
PIB 192</t>
        </r>
      </text>
    </comment>
    <comment ref="C121" authorId="1" shapeId="0" xr:uid="{00000000-0006-0000-0400-000015000000}">
      <text>
        <r>
          <rPr>
            <b/>
            <sz val="9"/>
            <color indexed="81"/>
            <rFont val="Tahoma"/>
            <family val="2"/>
          </rPr>
          <t>FE:</t>
        </r>
        <r>
          <rPr>
            <sz val="9"/>
            <color indexed="81"/>
            <rFont val="Tahoma"/>
            <family val="2"/>
          </rPr>
          <t xml:space="preserve">
PIB 193</t>
        </r>
      </text>
    </comment>
    <comment ref="C122" authorId="1" shapeId="0" xr:uid="{00000000-0006-0000-0400-000016000000}">
      <text>
        <r>
          <rPr>
            <b/>
            <sz val="9"/>
            <color indexed="81"/>
            <rFont val="Tahoma"/>
            <family val="2"/>
          </rPr>
          <t>FE:</t>
        </r>
        <r>
          <rPr>
            <sz val="9"/>
            <color indexed="81"/>
            <rFont val="Tahoma"/>
            <family val="2"/>
          </rPr>
          <t xml:space="preserve">
PIB 194</t>
        </r>
      </text>
    </comment>
    <comment ref="D134" authorId="2" shapeId="0" xr:uid="{00000000-0006-0000-0400-000017000000}">
      <text>
        <r>
          <rPr>
            <b/>
            <sz val="9"/>
            <color indexed="81"/>
            <rFont val="Tahoma"/>
            <family val="2"/>
          </rPr>
          <t>Alastair Matchett:</t>
        </r>
        <r>
          <rPr>
            <sz val="9"/>
            <color indexed="81"/>
            <rFont val="Tahoma"/>
            <family val="2"/>
          </rPr>
          <t xml:space="preserve">
No information in the interim financial statements.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Alastair Matchett</author>
  </authors>
  <commentList>
    <comment ref="B24" authorId="0" shapeId="0" xr:uid="{00000000-0006-0000-0500-000001000000}">
      <text>
        <r>
          <rPr>
            <b/>
            <sz val="9"/>
            <color indexed="81"/>
            <rFont val="Tahoma"/>
            <family val="2"/>
          </rPr>
          <t>Alastair Matchett:</t>
        </r>
        <r>
          <rPr>
            <sz val="9"/>
            <color indexed="81"/>
            <rFont val="Tahoma"/>
            <family val="2"/>
          </rPr>
          <t xml:space="preserve">
Depreciation expense from note 4 page F-18 of the 2015 10-K</t>
        </r>
      </text>
    </comment>
    <comment ref="B33" authorId="0" shapeId="0" xr:uid="{00000000-0006-0000-0500-000002000000}">
      <text>
        <r>
          <rPr>
            <b/>
            <sz val="9"/>
            <color indexed="81"/>
            <rFont val="Tahoma"/>
            <family val="2"/>
          </rPr>
          <t>Alastair Matchett:</t>
        </r>
        <r>
          <rPr>
            <sz val="9"/>
            <color indexed="81"/>
            <rFont val="Tahoma"/>
            <family val="2"/>
          </rPr>
          <t xml:space="preserve">
Note 6 in the 2015 10-K</t>
        </r>
      </text>
    </comment>
    <comment ref="B34" authorId="0" shapeId="0" xr:uid="{00000000-0006-0000-0500-000003000000}">
      <text>
        <r>
          <rPr>
            <b/>
            <sz val="9"/>
            <color indexed="81"/>
            <rFont val="Tahoma"/>
            <family val="2"/>
          </rPr>
          <t>Alastair Matchett:</t>
        </r>
        <r>
          <rPr>
            <sz val="9"/>
            <color indexed="81"/>
            <rFont val="Tahoma"/>
            <family val="2"/>
          </rPr>
          <t xml:space="preserve">
Includes non-recurring items listed in the MD&amp;A section of the 2015 10-K page 39</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Alastair Matchett</author>
  </authors>
  <commentList>
    <comment ref="B7" authorId="0" shapeId="0" xr:uid="{00000000-0006-0000-0700-000001000000}">
      <text>
        <r>
          <rPr>
            <b/>
            <sz val="9"/>
            <color indexed="81"/>
            <rFont val="Tahoma"/>
            <family val="2"/>
          </rPr>
          <t>Alastair Matchett:</t>
        </r>
        <r>
          <rPr>
            <sz val="9"/>
            <color indexed="81"/>
            <rFont val="Tahoma"/>
            <family val="2"/>
          </rPr>
          <t xml:space="preserve">
Depreciation expense from note 4 page F-18 of the 2015 10-K</t>
        </r>
      </text>
    </comment>
    <comment ref="B11" authorId="0" shapeId="0" xr:uid="{00000000-0006-0000-0700-000002000000}">
      <text>
        <r>
          <rPr>
            <b/>
            <sz val="9"/>
            <color indexed="81"/>
            <rFont val="Tahoma"/>
            <family val="2"/>
          </rPr>
          <t>Alastair Matchett:</t>
        </r>
        <r>
          <rPr>
            <sz val="9"/>
            <color indexed="81"/>
            <rFont val="Tahoma"/>
            <family val="2"/>
          </rPr>
          <t xml:space="preserve">
Note 6 in the 2015 10-K</t>
        </r>
      </text>
    </comment>
    <comment ref="B15" authorId="0" shapeId="0" xr:uid="{00000000-0006-0000-0700-000003000000}">
      <text>
        <r>
          <rPr>
            <b/>
            <sz val="9"/>
            <color indexed="81"/>
            <rFont val="Tahoma"/>
            <family val="2"/>
          </rPr>
          <t>Alastair Matchett:</t>
        </r>
        <r>
          <rPr>
            <sz val="9"/>
            <color indexed="81"/>
            <rFont val="Tahoma"/>
            <family val="2"/>
          </rPr>
          <t xml:space="preserve">
Includes non-recurring items listed in the MD&amp;A section of the 2015 10-K page 39</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Alastair Matchett</author>
  </authors>
  <commentList>
    <comment ref="B8" authorId="0" shapeId="0" xr:uid="{00000000-0006-0000-0800-000001000000}">
      <text>
        <r>
          <rPr>
            <b/>
            <sz val="9"/>
            <color indexed="81"/>
            <rFont val="Tahoma"/>
            <family val="2"/>
          </rPr>
          <t>Alastair Matchett:</t>
        </r>
        <r>
          <rPr>
            <sz val="9"/>
            <color indexed="81"/>
            <rFont val="Tahoma"/>
            <family val="2"/>
          </rPr>
          <t xml:space="preserve">
Includes other receivables, prepaid expenses, and prepaid income taxes</t>
        </r>
      </text>
    </comment>
    <comment ref="B15" authorId="0" shapeId="0" xr:uid="{00000000-0006-0000-0800-000002000000}">
      <text>
        <r>
          <rPr>
            <b/>
            <sz val="9"/>
            <color indexed="81"/>
            <rFont val="Tahoma"/>
            <family val="2"/>
          </rPr>
          <t>Alastair Matchett:</t>
        </r>
        <r>
          <rPr>
            <sz val="9"/>
            <color indexed="81"/>
            <rFont val="Tahoma"/>
            <family val="2"/>
          </rPr>
          <t xml:space="preserve">
Includes deferred tax assets</t>
        </r>
      </text>
    </comment>
    <comment ref="B20" authorId="0" shapeId="0" xr:uid="{00000000-0006-0000-0800-000003000000}">
      <text>
        <r>
          <rPr>
            <b/>
            <sz val="9"/>
            <color indexed="81"/>
            <rFont val="Tahoma"/>
            <family val="2"/>
          </rPr>
          <t>Alastair Matchett:</t>
        </r>
        <r>
          <rPr>
            <sz val="9"/>
            <color indexed="81"/>
            <rFont val="Tahoma"/>
            <family val="2"/>
          </rPr>
          <t xml:space="preserve">
Includes accrued expenses</t>
        </r>
      </text>
    </comment>
    <comment ref="B23" authorId="0" shapeId="0" xr:uid="{00000000-0006-0000-0800-000004000000}">
      <text>
        <r>
          <rPr>
            <b/>
            <sz val="9"/>
            <color indexed="81"/>
            <rFont val="Tahoma"/>
            <family val="2"/>
          </rPr>
          <t>Alastair Matchett:</t>
        </r>
        <r>
          <rPr>
            <sz val="9"/>
            <color indexed="81"/>
            <rFont val="Tahoma"/>
            <family val="2"/>
          </rPr>
          <t xml:space="preserve">
Includes deferred tax liabilities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Alastair Matchett</author>
  </authors>
  <commentList>
    <comment ref="C23" authorId="0" shapeId="0" xr:uid="{00000000-0006-0000-0F00-000001000000}">
      <text>
        <r>
          <rPr>
            <b/>
            <sz val="9"/>
            <color indexed="81"/>
            <rFont val="Tahoma"/>
            <family val="2"/>
          </rPr>
          <t>FE:</t>
        </r>
        <r>
          <rPr>
            <sz val="9"/>
            <color indexed="81"/>
            <rFont val="Tahoma"/>
            <family val="2"/>
          </rPr>
          <t xml:space="preserve">
From proxy statement - front page</t>
        </r>
      </text>
    </comment>
    <comment ref="C74" authorId="0" shapeId="0" xr:uid="{00000000-0006-0000-0F00-000002000000}">
      <text>
        <r>
          <rPr>
            <b/>
            <sz val="9"/>
            <color indexed="81"/>
            <rFont val="Tahoma"/>
            <family val="2"/>
          </rPr>
          <t>FE:</t>
        </r>
        <r>
          <rPr>
            <sz val="9"/>
            <color indexed="81"/>
            <rFont val="Tahoma"/>
            <family val="2"/>
          </rPr>
          <t xml:space="preserve">
From proxy statement - front page</t>
        </r>
      </text>
    </comment>
    <comment ref="C75" authorId="0" shapeId="0" xr:uid="{00000000-0006-0000-0F00-000003000000}">
      <text>
        <r>
          <rPr>
            <b/>
            <sz val="9"/>
            <color indexed="81"/>
            <rFont val="Tahoma"/>
            <family val="2"/>
          </rPr>
          <t>FE:</t>
        </r>
        <r>
          <rPr>
            <sz val="9"/>
            <color indexed="81"/>
            <rFont val="Tahoma"/>
            <family val="2"/>
          </rPr>
          <t xml:space="preserve">
From proxy statement - front page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Alastair Matchett</author>
    <author>FE training</author>
    <author>MM</author>
    <author>FE</author>
  </authors>
  <commentList>
    <comment ref="C18" authorId="0" shapeId="0" xr:uid="{00000000-0006-0000-1000-000001000000}">
      <text>
        <r>
          <rPr>
            <b/>
            <sz val="9"/>
            <color rgb="FF000000"/>
            <rFont val="Tahoma"/>
            <family val="2"/>
          </rPr>
          <t>Alastair Matchett:</t>
        </r>
        <r>
          <rPr>
            <sz val="9"/>
            <color rgb="FF000000"/>
            <rFont val="Tahoma"/>
            <family val="2"/>
          </rPr>
          <t xml:space="preserve">
</t>
        </r>
        <r>
          <rPr>
            <sz val="9"/>
            <color rgb="FF000000"/>
            <rFont val="Tahoma"/>
            <family val="2"/>
          </rPr>
          <t>Excludes the price jump on acquisition announcement - before volume spike on March 2nd</t>
        </r>
      </text>
    </comment>
    <comment ref="C24" authorId="1" shapeId="0" xr:uid="{00000000-0006-0000-1000-000002000000}">
      <text>
        <r>
          <rPr>
            <b/>
            <sz val="9"/>
            <color indexed="81"/>
            <rFont val="Tahoma"/>
            <family val="2"/>
          </rPr>
          <t>FE training:</t>
        </r>
        <r>
          <rPr>
            <sz val="9"/>
            <color indexed="81"/>
            <rFont val="Tahoma"/>
            <family val="2"/>
          </rPr>
          <t xml:space="preserve">
Company overview, p. 10 of PDF</t>
        </r>
      </text>
    </comment>
    <comment ref="C27" authorId="1" shapeId="0" xr:uid="{00000000-0006-0000-1000-000003000000}">
      <text>
        <r>
          <rPr>
            <b/>
            <sz val="9"/>
            <color indexed="81"/>
            <rFont val="Tahoma"/>
            <family val="2"/>
          </rPr>
          <t>FE training:</t>
        </r>
        <r>
          <rPr>
            <sz val="9"/>
            <color indexed="81"/>
            <rFont val="Tahoma"/>
            <family val="2"/>
          </rPr>
          <t xml:space="preserve">
p. 28 of PIB</t>
        </r>
      </text>
    </comment>
    <comment ref="G32" authorId="1" shapeId="0" xr:uid="{00000000-0006-0000-1000-000004000000}">
      <text>
        <r>
          <rPr>
            <b/>
            <sz val="9"/>
            <color indexed="81"/>
            <rFont val="Tahoma"/>
            <family val="2"/>
          </rPr>
          <t>FE training:</t>
        </r>
        <r>
          <rPr>
            <sz val="9"/>
            <color indexed="81"/>
            <rFont val="Tahoma"/>
            <family val="2"/>
          </rPr>
          <t xml:space="preserve">
From p. 2 10Q1 2016</t>
        </r>
      </text>
    </comment>
    <comment ref="J32" authorId="1" shapeId="0" xr:uid="{00000000-0006-0000-1000-000005000000}">
      <text>
        <r>
          <rPr>
            <b/>
            <sz val="9"/>
            <color indexed="81"/>
            <rFont val="Tahoma"/>
            <family val="2"/>
          </rPr>
          <t>FE training:</t>
        </r>
        <r>
          <rPr>
            <sz val="9"/>
            <color indexed="81"/>
            <rFont val="Tahoma"/>
            <family val="2"/>
          </rPr>
          <t xml:space="preserve">
From p. 2 10Q1 2016</t>
        </r>
      </text>
    </comment>
    <comment ref="D33" authorId="1" shapeId="0" xr:uid="{00000000-0006-0000-1000-000006000000}">
      <text>
        <r>
          <rPr>
            <b/>
            <sz val="9"/>
            <color indexed="81"/>
            <rFont val="Tahoma"/>
            <family val="2"/>
          </rPr>
          <t>FE training:</t>
        </r>
        <r>
          <rPr>
            <sz val="9"/>
            <color indexed="81"/>
            <rFont val="Tahoma"/>
            <family val="2"/>
          </rPr>
          <t xml:space="preserve">
Front page of 10Q1 2016
PIB 177</t>
        </r>
      </text>
    </comment>
    <comment ref="C72" authorId="1" shapeId="0" xr:uid="{00000000-0006-0000-1000-000007000000}">
      <text>
        <r>
          <rPr>
            <b/>
            <sz val="9"/>
            <color indexed="81"/>
            <rFont val="Tahoma"/>
            <family val="2"/>
          </rPr>
          <t>FE training:</t>
        </r>
        <r>
          <rPr>
            <sz val="9"/>
            <color indexed="81"/>
            <rFont val="Tahoma"/>
            <family val="2"/>
          </rPr>
          <t xml:space="preserve">
Footnote 4 pg F18 2015 10K. PIB 113</t>
        </r>
      </text>
    </comment>
    <comment ref="D72" authorId="1" shapeId="0" xr:uid="{00000000-0006-0000-1000-000008000000}">
      <text>
        <r>
          <rPr>
            <b/>
            <sz val="9"/>
            <color indexed="81"/>
            <rFont val="Tahoma"/>
            <family val="2"/>
          </rPr>
          <t>FE training:</t>
        </r>
        <r>
          <rPr>
            <sz val="9"/>
            <color indexed="81"/>
            <rFont val="Tahoma"/>
            <family val="2"/>
          </rPr>
          <t xml:space="preserve">
Note 5, p. 12 of 10Q1 2016, p. 190 of pdf </t>
        </r>
      </text>
    </comment>
    <comment ref="E72" authorId="1" shapeId="0" xr:uid="{00000000-0006-0000-1000-000009000000}">
      <text>
        <r>
          <rPr>
            <b/>
            <sz val="9"/>
            <color indexed="81"/>
            <rFont val="Tahoma"/>
            <family val="2"/>
          </rPr>
          <t>FE training:</t>
        </r>
        <r>
          <rPr>
            <sz val="9"/>
            <color indexed="81"/>
            <rFont val="Tahoma"/>
            <family val="2"/>
          </rPr>
          <t xml:space="preserve">
Note 5, p. 12 of 10Q1 2016, p. 190 of pdf </t>
        </r>
      </text>
    </comment>
    <comment ref="C73" authorId="1" shapeId="0" xr:uid="{00000000-0006-0000-1000-00000A000000}">
      <text>
        <r>
          <rPr>
            <b/>
            <sz val="9"/>
            <color indexed="81"/>
            <rFont val="Tahoma"/>
            <family val="2"/>
          </rPr>
          <t>FE training:</t>
        </r>
        <r>
          <rPr>
            <sz val="9"/>
            <color indexed="81"/>
            <rFont val="Tahoma"/>
            <family val="2"/>
          </rPr>
          <t xml:space="preserve">
Footnote 6 pg F19 2015 10K, PIB p. 114</t>
        </r>
      </text>
    </comment>
    <comment ref="D73" authorId="1" shapeId="0" xr:uid="{00000000-0006-0000-1000-00000B000000}">
      <text>
        <r>
          <rPr>
            <b/>
            <sz val="9"/>
            <color indexed="81"/>
            <rFont val="Tahoma"/>
            <family val="2"/>
          </rPr>
          <t>FE training:</t>
        </r>
        <r>
          <rPr>
            <sz val="9"/>
            <color indexed="81"/>
            <rFont val="Tahoma"/>
            <family val="2"/>
          </rPr>
          <t xml:space="preserve">
From Note 7, p. 14 of 10Q1 2016. PIB 192.</t>
        </r>
      </text>
    </comment>
    <comment ref="E73" authorId="1" shapeId="0" xr:uid="{00000000-0006-0000-1000-00000C000000}">
      <text>
        <r>
          <rPr>
            <b/>
            <sz val="9"/>
            <color indexed="81"/>
            <rFont val="Tahoma"/>
            <family val="2"/>
          </rPr>
          <t>FE training:</t>
        </r>
        <r>
          <rPr>
            <sz val="9"/>
            <color indexed="81"/>
            <rFont val="Tahoma"/>
            <family val="2"/>
          </rPr>
          <t xml:space="preserve">
From Note 7, p. 14 of 10Q1 2016. PIB 192.</t>
        </r>
      </text>
    </comment>
    <comment ref="C75" authorId="1" shapeId="0" xr:uid="{00000000-0006-0000-1000-00000D000000}">
      <text>
        <r>
          <rPr>
            <b/>
            <sz val="9"/>
            <color indexed="81"/>
            <rFont val="Tahoma"/>
            <family val="2"/>
          </rPr>
          <t>FE training:</t>
        </r>
        <r>
          <rPr>
            <sz val="9"/>
            <color indexed="81"/>
            <rFont val="Tahoma"/>
            <family val="2"/>
          </rPr>
          <t xml:space="preserve">
Note 10, 2015 10K p. F23, pdf p. 118</t>
        </r>
      </text>
    </comment>
    <comment ref="C80" authorId="2" shapeId="0" xr:uid="{00000000-0006-0000-1000-00000E000000}">
      <text>
        <r>
          <rPr>
            <b/>
            <sz val="9"/>
            <color indexed="81"/>
            <rFont val="Tahoma"/>
            <family val="2"/>
          </rPr>
          <t>FE:</t>
        </r>
        <r>
          <rPr>
            <sz val="9"/>
            <color indexed="81"/>
            <rFont val="Tahoma"/>
            <family val="2"/>
          </rPr>
          <t xml:space="preserve">
Impairment - F13 2015 10K. PIB 108, also in  MD&amp;A p. 40, p. 76</t>
        </r>
      </text>
    </comment>
    <comment ref="C81" authorId="2" shapeId="0" xr:uid="{00000000-0006-0000-1000-00000F000000}">
      <text>
        <r>
          <rPr>
            <b/>
            <sz val="9"/>
            <color indexed="81"/>
            <rFont val="Tahoma"/>
            <family val="2"/>
          </rPr>
          <t>FE:</t>
        </r>
        <r>
          <rPr>
            <sz val="9"/>
            <color indexed="81"/>
            <rFont val="Tahoma"/>
            <family val="2"/>
          </rPr>
          <t xml:space="preserve">
Severance - MD&amp;A pg 40 2015 10K. PIB 76.</t>
        </r>
      </text>
    </comment>
    <comment ref="D81" authorId="0" shapeId="0" xr:uid="{00000000-0006-0000-1000-000010000000}">
      <text>
        <r>
          <rPr>
            <b/>
            <sz val="9"/>
            <color indexed="81"/>
            <rFont val="Tahoma"/>
            <family val="2"/>
          </rPr>
          <t>Alastair Matchett:</t>
        </r>
        <r>
          <rPr>
            <sz val="9"/>
            <color indexed="81"/>
            <rFont val="Tahoma"/>
            <family val="2"/>
          </rPr>
          <t xml:space="preserve">
From the MD&amp;A in the 27/3/2016 10-Q</t>
        </r>
      </text>
    </comment>
    <comment ref="E81" authorId="0" shapeId="0" xr:uid="{00000000-0006-0000-1000-000011000000}">
      <text>
        <r>
          <rPr>
            <b/>
            <sz val="9"/>
            <color indexed="81"/>
            <rFont val="Tahoma"/>
            <family val="2"/>
          </rPr>
          <t>Alastair Matchett:</t>
        </r>
        <r>
          <rPr>
            <sz val="9"/>
            <color indexed="81"/>
            <rFont val="Tahoma"/>
            <family val="2"/>
          </rPr>
          <t xml:space="preserve">
From the MD&amp;A in the 27/3/2016 10-Q</t>
        </r>
      </text>
    </comment>
    <comment ref="C82" authorId="2" shapeId="0" xr:uid="{00000000-0006-0000-1000-000012000000}">
      <text>
        <r>
          <rPr>
            <b/>
            <sz val="9"/>
            <color indexed="81"/>
            <rFont val="Tahoma"/>
            <family val="2"/>
          </rPr>
          <t>FE:</t>
        </r>
        <r>
          <rPr>
            <sz val="9"/>
            <color indexed="81"/>
            <rFont val="Tahoma"/>
            <family val="2"/>
          </rPr>
          <t xml:space="preserve">
Tumi Japan - MD&amp;A pg 40 2015 10K. PIB 76.</t>
        </r>
      </text>
    </comment>
    <comment ref="C92" authorId="2" shapeId="0" xr:uid="{00000000-0006-0000-1000-000013000000}">
      <text>
        <r>
          <rPr>
            <b/>
            <sz val="9"/>
            <color indexed="81"/>
            <rFont val="Tahoma"/>
            <family val="2"/>
          </rPr>
          <t>FE:</t>
        </r>
        <r>
          <rPr>
            <sz val="9"/>
            <color indexed="81"/>
            <rFont val="Tahoma"/>
            <family val="2"/>
          </rPr>
          <t xml:space="preserve">
Impairment - F13 2015 10K. PIB 108, also in  MD&amp;A p. 40, p. 76</t>
        </r>
      </text>
    </comment>
    <comment ref="C93" authorId="2" shapeId="0" xr:uid="{00000000-0006-0000-1000-000014000000}">
      <text>
        <r>
          <rPr>
            <b/>
            <sz val="9"/>
            <color indexed="81"/>
            <rFont val="Tahoma"/>
            <family val="2"/>
          </rPr>
          <t>FE:</t>
        </r>
        <r>
          <rPr>
            <sz val="9"/>
            <color indexed="81"/>
            <rFont val="Tahoma"/>
            <family val="2"/>
          </rPr>
          <t xml:space="preserve">
See page 14 of the press release</t>
        </r>
      </text>
    </comment>
    <comment ref="C94" authorId="2" shapeId="0" xr:uid="{00000000-0006-0000-1000-000015000000}">
      <text>
        <r>
          <rPr>
            <b/>
            <sz val="9"/>
            <color indexed="81"/>
            <rFont val="Tahoma"/>
            <family val="2"/>
          </rPr>
          <t>FE:</t>
        </r>
        <r>
          <rPr>
            <sz val="9"/>
            <color indexed="81"/>
            <rFont val="Tahoma"/>
            <family val="2"/>
          </rPr>
          <t xml:space="preserve">
See page 14 of the press release</t>
        </r>
      </text>
    </comment>
    <comment ref="B110" authorId="1" shapeId="0" xr:uid="{00000000-0006-0000-1000-000016000000}">
      <text>
        <r>
          <rPr>
            <b/>
            <sz val="9"/>
            <color indexed="81"/>
            <rFont val="Tahoma"/>
            <family val="2"/>
          </rPr>
          <t>FE training:</t>
        </r>
        <r>
          <rPr>
            <sz val="9"/>
            <color indexed="81"/>
            <rFont val="Tahoma"/>
            <family val="2"/>
          </rPr>
          <t xml:space="preserve">
Note 15 p. 19 of 10Q1 PIB 197</t>
        </r>
      </text>
    </comment>
    <comment ref="B111" authorId="3" shapeId="0" xr:uid="{00000000-0006-0000-1000-000017000000}">
      <text>
        <r>
          <rPr>
            <b/>
            <sz val="9"/>
            <color indexed="81"/>
            <rFont val="Tahoma"/>
            <family val="2"/>
          </rPr>
          <t>FE:</t>
        </r>
        <r>
          <rPr>
            <sz val="9"/>
            <color indexed="81"/>
            <rFont val="Tahoma"/>
            <family val="2"/>
          </rPr>
          <t xml:space="preserve">
PIB 198</t>
        </r>
      </text>
    </comment>
    <comment ref="B112" authorId="3" shapeId="0" xr:uid="{00000000-0006-0000-1000-000018000000}">
      <text>
        <r>
          <rPr>
            <b/>
            <sz val="9"/>
            <color indexed="81"/>
            <rFont val="Tahoma"/>
            <family val="2"/>
          </rPr>
          <t>FE:</t>
        </r>
        <r>
          <rPr>
            <sz val="9"/>
            <color indexed="81"/>
            <rFont val="Tahoma"/>
            <family val="2"/>
          </rPr>
          <t xml:space="preserve">
PIB 198</t>
        </r>
      </text>
    </comment>
    <comment ref="D134" authorId="0" shapeId="0" xr:uid="{00000000-0006-0000-1000-000019000000}">
      <text>
        <r>
          <rPr>
            <b/>
            <sz val="9"/>
            <color indexed="81"/>
            <rFont val="Tahoma"/>
            <family val="2"/>
          </rPr>
          <t>Alastair Matchett:</t>
        </r>
        <r>
          <rPr>
            <sz val="9"/>
            <color indexed="81"/>
            <rFont val="Tahoma"/>
            <family val="2"/>
          </rPr>
          <t xml:space="preserve">
No information in the interim financial statements.</t>
        </r>
      </text>
    </comment>
  </commentList>
</comments>
</file>

<file path=xl/sharedStrings.xml><?xml version="1.0" encoding="utf-8"?>
<sst xmlns="http://schemas.openxmlformats.org/spreadsheetml/2006/main" count="1734" uniqueCount="634">
  <si>
    <t>Features</t>
  </si>
  <si>
    <t>◦</t>
  </si>
  <si>
    <t>Model Details</t>
  </si>
  <si>
    <t>Date</t>
  </si>
  <si>
    <t>Units</t>
  </si>
  <si>
    <t>Analyst Name</t>
  </si>
  <si>
    <t>Circular Switch</t>
  </si>
  <si>
    <t>USD</t>
  </si>
  <si>
    <t>Millions</t>
  </si>
  <si>
    <t>Firstname Lastname</t>
  </si>
  <si>
    <t>This document is for training purposes only. Financial Edge accepts no responsibility or liability for any other purpose or usage.</t>
  </si>
  <si>
    <t>Formatting</t>
  </si>
  <si>
    <t>Input</t>
  </si>
  <si>
    <t>Hard coded</t>
  </si>
  <si>
    <t>Formulas</t>
  </si>
  <si>
    <t>Tab Structure</t>
  </si>
  <si>
    <t>Tab name here</t>
  </si>
  <si>
    <t>Tab description here</t>
  </si>
  <si>
    <t>Tumi</t>
  </si>
  <si>
    <t>Summary sheet name</t>
  </si>
  <si>
    <t>TUMI</t>
  </si>
  <si>
    <t>Analyst name</t>
  </si>
  <si>
    <t>Key data</t>
  </si>
  <si>
    <t>Ticker</t>
  </si>
  <si>
    <t>TUMI-US</t>
  </si>
  <si>
    <t>Country</t>
  </si>
  <si>
    <t>USA</t>
  </si>
  <si>
    <t>Analysis date</t>
  </si>
  <si>
    <t>Historical year end</t>
  </si>
  <si>
    <t>Last filing date</t>
  </si>
  <si>
    <t>Calendarize to</t>
  </si>
  <si>
    <t>Home currency</t>
  </si>
  <si>
    <t>FX rate</t>
  </si>
  <si>
    <t>52 week low</t>
  </si>
  <si>
    <t>52 week high</t>
  </si>
  <si>
    <t>Dividend yield</t>
  </si>
  <si>
    <t>NA</t>
  </si>
  <si>
    <t>Historical 5 year beta</t>
  </si>
  <si>
    <t>Credit rating</t>
  </si>
  <si>
    <t>5 year EPS forward growth</t>
  </si>
  <si>
    <t>Cash and equivalents</t>
  </si>
  <si>
    <t>Financial investments</t>
  </si>
  <si>
    <t>Financial debt</t>
  </si>
  <si>
    <t>Non-core assets</t>
  </si>
  <si>
    <t>Preference shares</t>
  </si>
  <si>
    <t>M&amp;A adj.</t>
  </si>
  <si>
    <t>Non-controlling interests</t>
  </si>
  <si>
    <t>Enterprise value</t>
  </si>
  <si>
    <t>Diluted equity value</t>
  </si>
  <si>
    <t>LTM</t>
  </si>
  <si>
    <t>2016e</t>
  </si>
  <si>
    <t>2017e</t>
  </si>
  <si>
    <t>2018e</t>
  </si>
  <si>
    <t>2019e</t>
  </si>
  <si>
    <t>Sales</t>
  </si>
  <si>
    <t>EBITDA</t>
  </si>
  <si>
    <t>EBIT</t>
  </si>
  <si>
    <t>EV/EBITDA</t>
  </si>
  <si>
    <t>EV/EBIT</t>
  </si>
  <si>
    <t>P/E</t>
  </si>
  <si>
    <t>Gross debt / LTM EBITDA</t>
  </si>
  <si>
    <t>Calendarized multiples to 31-Dec</t>
  </si>
  <si>
    <t>EV/revenue</t>
  </si>
  <si>
    <t>Equity valuation</t>
  </si>
  <si>
    <t>Shares outstanding as of</t>
  </si>
  <si>
    <t>Basic shares outstanding</t>
  </si>
  <si>
    <t>Balance sheet cash and equivalents</t>
  </si>
  <si>
    <t>Additional share class</t>
  </si>
  <si>
    <t>LT financial investments</t>
  </si>
  <si>
    <t>Dilution from share options</t>
  </si>
  <si>
    <t>M&amp;A adjustment</t>
  </si>
  <si>
    <t>Pension deficit adjustment</t>
  </si>
  <si>
    <t>Diluted shares outstanding</t>
  </si>
  <si>
    <t>Preferred equity</t>
  </si>
  <si>
    <t>Capitalized operating leases</t>
  </si>
  <si>
    <t>Non controlling interest</t>
  </si>
  <si>
    <t>Invested capital</t>
  </si>
  <si>
    <t>Total debt</t>
  </si>
  <si>
    <t>Sources of funds adjustments</t>
  </si>
  <si>
    <t>Total sources of funds adjustments</t>
  </si>
  <si>
    <t>Uses of funds adjustments</t>
  </si>
  <si>
    <t>Cash and short term investments</t>
  </si>
  <si>
    <t>Long term operating assets, ex goodwill</t>
  </si>
  <si>
    <t>Goodwill</t>
  </si>
  <si>
    <t>Current operating assets</t>
  </si>
  <si>
    <t>Total assets</t>
  </si>
  <si>
    <t>Capital employed</t>
  </si>
  <si>
    <t>Long term operating liabilities</t>
  </si>
  <si>
    <t xml:space="preserve">Preference shares </t>
  </si>
  <si>
    <t>Common equity</t>
  </si>
  <si>
    <t>Total balance sheet debt</t>
  </si>
  <si>
    <t>Total liabilities and equity</t>
  </si>
  <si>
    <t>All data in millions</t>
  </si>
  <si>
    <t>ROIC and asset efficiency ratios</t>
  </si>
  <si>
    <t>ROIC pre tax</t>
  </si>
  <si>
    <t>ETR</t>
  </si>
  <si>
    <t>ROIC post tax</t>
  </si>
  <si>
    <t>LTM earnings</t>
  </si>
  <si>
    <t>Consensus estimates</t>
  </si>
  <si>
    <t>Old 10-Q/</t>
  </si>
  <si>
    <t>New 10-Q/</t>
  </si>
  <si>
    <t>Annual</t>
  </si>
  <si>
    <t>interim</t>
  </si>
  <si>
    <t>Other adj</t>
  </si>
  <si>
    <t>Adj. LTM</t>
  </si>
  <si>
    <t>FY</t>
  </si>
  <si>
    <t>FY +1</t>
  </si>
  <si>
    <t>FY +2</t>
  </si>
  <si>
    <t>FY +3</t>
  </si>
  <si>
    <t>FY +4</t>
  </si>
  <si>
    <t>Revenues</t>
  </si>
  <si>
    <t>Fully diluted EPS</t>
  </si>
  <si>
    <t>Reported operating profit</t>
  </si>
  <si>
    <t>Non-recurring 1</t>
  </si>
  <si>
    <t>Non-recurring 2</t>
  </si>
  <si>
    <t>Non-recurring 3</t>
  </si>
  <si>
    <t>Non-recurring 4</t>
  </si>
  <si>
    <t>Non-recurring 5</t>
  </si>
  <si>
    <t>Non-recurring 6</t>
  </si>
  <si>
    <t>Non-recurring 7</t>
  </si>
  <si>
    <t>Non-recurring 8</t>
  </si>
  <si>
    <t>Share options and restricted stock units</t>
  </si>
  <si>
    <t>Tranche</t>
  </si>
  <si>
    <t>Number</t>
  </si>
  <si>
    <t>Strike price</t>
  </si>
  <si>
    <t>Net new shares</t>
  </si>
  <si>
    <t>Total</t>
  </si>
  <si>
    <t>Calendarization workings</t>
  </si>
  <si>
    <t xml:space="preserve">Fiscal year </t>
  </si>
  <si>
    <t>% last year</t>
  </si>
  <si>
    <t>% current year</t>
  </si>
  <si>
    <t>% next year</t>
  </si>
  <si>
    <t>Calendarize?</t>
  </si>
  <si>
    <t>Other adjustments</t>
  </si>
  <si>
    <t>Depreciation</t>
  </si>
  <si>
    <t>Amortization</t>
  </si>
  <si>
    <t>PSUs</t>
  </si>
  <si>
    <t>Tranche 1</t>
  </si>
  <si>
    <t>Tranche 3</t>
  </si>
  <si>
    <t>Tranche 4</t>
  </si>
  <si>
    <t>Tranche 5</t>
  </si>
  <si>
    <t>Tranche 6</t>
  </si>
  <si>
    <t>Tranche 7</t>
  </si>
  <si>
    <t>Tranche 8</t>
  </si>
  <si>
    <t>Service based RSUs</t>
  </si>
  <si>
    <t>Gross interest expense</t>
  </si>
  <si>
    <t>Days difference</t>
  </si>
  <si>
    <t>Convert to</t>
  </si>
  <si>
    <t>Current operating liabilities</t>
  </si>
  <si>
    <t>OWC / LTM sales</t>
  </si>
  <si>
    <t>LTM EBIT / LTM sales</t>
  </si>
  <si>
    <t>MTR</t>
  </si>
  <si>
    <t>Sales / invested capital</t>
  </si>
  <si>
    <t>Acquirer</t>
  </si>
  <si>
    <t>Samsonite</t>
  </si>
  <si>
    <t>Target</t>
  </si>
  <si>
    <t>Convert local currencies to</t>
  </si>
  <si>
    <t>1910-HK</t>
  </si>
  <si>
    <t>Luxembourg</t>
  </si>
  <si>
    <t>Tranche 2</t>
  </si>
  <si>
    <t>Company</t>
  </si>
  <si>
    <t>Share price</t>
  </si>
  <si>
    <t>Market Cap</t>
  </si>
  <si>
    <t>EV</t>
  </si>
  <si>
    <t xml:space="preserve">Debt / </t>
  </si>
  <si>
    <t>LTM EBITDA</t>
  </si>
  <si>
    <t>growth (%)</t>
  </si>
  <si>
    <t>Dividend</t>
  </si>
  <si>
    <t>yield (%)</t>
  </si>
  <si>
    <t>DO NOT DELETE</t>
  </si>
  <si>
    <t>K12</t>
  </si>
  <si>
    <t>Non controlling interest valuation</t>
  </si>
  <si>
    <t>Acquisition costs</t>
  </si>
  <si>
    <t>Sales /</t>
  </si>
  <si>
    <t>IC</t>
  </si>
  <si>
    <t>EBIT /</t>
  </si>
  <si>
    <t>Post tax</t>
  </si>
  <si>
    <t>ROIC</t>
  </si>
  <si>
    <t>EV / EBTDA</t>
  </si>
  <si>
    <t>EV / Sales</t>
  </si>
  <si>
    <t>Operating data</t>
  </si>
  <si>
    <t>Beta</t>
  </si>
  <si>
    <t>Historical</t>
  </si>
  <si>
    <t>Multiples</t>
  </si>
  <si>
    <t>G24</t>
  </si>
  <si>
    <t>H24</t>
  </si>
  <si>
    <t>I24</t>
  </si>
  <si>
    <t xml:space="preserve">Case In Point - Samsonite Acquiring Tumi </t>
  </si>
  <si>
    <t>Model information</t>
  </si>
  <si>
    <t>Diluted WASO</t>
  </si>
  <si>
    <t>DCF</t>
  </si>
  <si>
    <t>Comparables valuation</t>
  </si>
  <si>
    <t>Long term growth rate</t>
  </si>
  <si>
    <t>LVMH</t>
  </si>
  <si>
    <t>Burberry</t>
  </si>
  <si>
    <t>GBP</t>
  </si>
  <si>
    <t>Acquirer latest year end</t>
  </si>
  <si>
    <t>Current price as % of 52 week high</t>
  </si>
  <si>
    <t xml:space="preserve">% of 52 </t>
  </si>
  <si>
    <t>week high</t>
  </si>
  <si>
    <t>C22</t>
  </si>
  <si>
    <t>G12</t>
  </si>
  <si>
    <t>BRBY-GB</t>
  </si>
  <si>
    <t>United Kingdom</t>
  </si>
  <si>
    <t>Asset impairment</t>
  </si>
  <si>
    <t>Tranche 9</t>
  </si>
  <si>
    <t>Tranche 10</t>
  </si>
  <si>
    <t>Tranche 11</t>
  </si>
  <si>
    <t>Tranche 12</t>
  </si>
  <si>
    <t>All employee share plan</t>
  </si>
  <si>
    <t>The Burberry Co-Investment Plan</t>
  </si>
  <si>
    <t>June 2013 One-off Grant</t>
  </si>
  <si>
    <t>Tranche 13</t>
  </si>
  <si>
    <t>June 2014 One-off Grant</t>
  </si>
  <si>
    <t>Other non operating assets</t>
  </si>
  <si>
    <t>C19</t>
  </si>
  <si>
    <t>EUR</t>
  </si>
  <si>
    <t>France</t>
  </si>
  <si>
    <t>MC-FR</t>
  </si>
  <si>
    <t>Restructuring</t>
  </si>
  <si>
    <t>Acquisition related costs</t>
  </si>
  <si>
    <t>Impairments</t>
  </si>
  <si>
    <t>Balance sheet data local currency</t>
  </si>
  <si>
    <t>EPS</t>
  </si>
  <si>
    <t>G17</t>
  </si>
  <si>
    <t>H17</t>
  </si>
  <si>
    <t>I17</t>
  </si>
  <si>
    <t>FINANCIAL EDGE</t>
  </si>
  <si>
    <t>Non recurring items in operating income</t>
  </si>
  <si>
    <t>Non recurring items in net income</t>
  </si>
  <si>
    <t>Reported net income</t>
  </si>
  <si>
    <t>Recurring net income</t>
  </si>
  <si>
    <t>Diluted recurring EPS</t>
  </si>
  <si>
    <t>Non-recurring 9</t>
  </si>
  <si>
    <t>Non-recurring 10</t>
  </si>
  <si>
    <t>Non-recurring 11</t>
  </si>
  <si>
    <t>Non-recurring 12</t>
  </si>
  <si>
    <t>H16</t>
  </si>
  <si>
    <t>I16</t>
  </si>
  <si>
    <t>G16</t>
  </si>
  <si>
    <t>K43</t>
  </si>
  <si>
    <t>K44</t>
  </si>
  <si>
    <t>K47</t>
  </si>
  <si>
    <t>LT EPS</t>
  </si>
  <si>
    <t>c27</t>
  </si>
  <si>
    <t>c23</t>
  </si>
  <si>
    <t>G27</t>
  </si>
  <si>
    <t>C24</t>
  </si>
  <si>
    <t>G23</t>
  </si>
  <si>
    <t>H23</t>
  </si>
  <si>
    <t>I23</t>
  </si>
  <si>
    <t>H26</t>
  </si>
  <si>
    <t>I26</t>
  </si>
  <si>
    <t>A+</t>
  </si>
  <si>
    <t>WACC calculation</t>
  </si>
  <si>
    <t>LBO model</t>
  </si>
  <si>
    <t>M&amp;A model</t>
  </si>
  <si>
    <t>````</t>
  </si>
  <si>
    <t>EBITDAR</t>
  </si>
  <si>
    <t>Valuation complexities</t>
  </si>
  <si>
    <t>Operating lease expense</t>
  </si>
  <si>
    <t>Enterprise value in USD</t>
  </si>
  <si>
    <t>Lease expense</t>
  </si>
  <si>
    <t xml:space="preserve"> Capitalization multiple</t>
  </si>
  <si>
    <t>Implied debt</t>
  </si>
  <si>
    <t>Adjusted Enterprise Value</t>
  </si>
  <si>
    <t>EV / LTM EBITDAR</t>
  </si>
  <si>
    <t>Numbers in USD</t>
  </si>
  <si>
    <t>Pension adjustment</t>
  </si>
  <si>
    <t>Plan liabilities</t>
  </si>
  <si>
    <t>Plan assets</t>
  </si>
  <si>
    <t>Underfunded pension and OPEB liability</t>
  </si>
  <si>
    <t>Underfunded pension and OPEB liability after tax</t>
  </si>
  <si>
    <t>Total pension expense</t>
  </si>
  <si>
    <t>Service cost</t>
  </si>
  <si>
    <t>EBITDAR adjusted for pensions</t>
  </si>
  <si>
    <t>EV / LTM EBITDAR adjusted for pensions</t>
  </si>
  <si>
    <t xml:space="preserve">EV / </t>
  </si>
  <si>
    <t>G158</t>
  </si>
  <si>
    <t>This is from the press release</t>
  </si>
  <si>
    <t>BB</t>
  </si>
  <si>
    <t>Associates and JVs</t>
  </si>
  <si>
    <t>From page 210 of PDF and note 27.3</t>
  </si>
  <si>
    <t>Equity income (loss)</t>
  </si>
  <si>
    <t>Tumi 1</t>
  </si>
  <si>
    <t>PEG</t>
  </si>
  <si>
    <t>Change in fair value of the put option</t>
  </si>
  <si>
    <t>Key data - step 1</t>
  </si>
  <si>
    <t>Key data - step 2</t>
  </si>
  <si>
    <t>Share options and restricted stock units - step 3</t>
  </si>
  <si>
    <t>Balance sheet data local currency - step 4</t>
  </si>
  <si>
    <t>LTM earnings - step 5</t>
  </si>
  <si>
    <t>Non recurring items in operating income - step 6</t>
  </si>
  <si>
    <t>Non recurring items in net income - step 7</t>
  </si>
  <si>
    <t>Consensus estimates - step 8</t>
  </si>
  <si>
    <t>EV / EBITDA</t>
  </si>
  <si>
    <t>LTM EBITDAR</t>
  </si>
  <si>
    <t>C150</t>
  </si>
  <si>
    <t>EV /</t>
  </si>
  <si>
    <t>incl. pensions and leases</t>
  </si>
  <si>
    <t>Total debt/</t>
  </si>
  <si>
    <t>G141</t>
  </si>
  <si>
    <t>G155</t>
  </si>
  <si>
    <t>EBITDAR adjusted for pensions and leases</t>
  </si>
  <si>
    <t>G53</t>
  </si>
  <si>
    <t>C26</t>
  </si>
  <si>
    <t>Credit</t>
  </si>
  <si>
    <t>Rating</t>
  </si>
  <si>
    <t>Credit comps</t>
  </si>
  <si>
    <t>Tumi five year forecast</t>
  </si>
  <si>
    <t>Figures in MMs</t>
  </si>
  <si>
    <t>Hist.</t>
  </si>
  <si>
    <t>Proj.</t>
  </si>
  <si>
    <t>Assumptions</t>
  </si>
  <si>
    <t>Circ switch</t>
  </si>
  <si>
    <t>Revenue breakdown</t>
  </si>
  <si>
    <t>Existing stores</t>
  </si>
  <si>
    <t>New stores</t>
  </si>
  <si>
    <t>Number of stores</t>
  </si>
  <si>
    <t>Same store sales</t>
  </si>
  <si>
    <t>New store sales</t>
  </si>
  <si>
    <t>Direct to consumer sales</t>
  </si>
  <si>
    <t>Mature stores sales per store 000s</t>
  </si>
  <si>
    <t>Same store sales growth</t>
  </si>
  <si>
    <t>Year 1 store sales per store 000s</t>
  </si>
  <si>
    <t>New store sales growth in year 1</t>
  </si>
  <si>
    <t>Growth in direct to consumer sales</t>
  </si>
  <si>
    <t>Total indirect sales</t>
  </si>
  <si>
    <t xml:space="preserve"> Growth in indirect sales</t>
  </si>
  <si>
    <t>Total sales</t>
  </si>
  <si>
    <t xml:space="preserve"> Growth rate</t>
  </si>
  <si>
    <t>Other income statement assumptions</t>
  </si>
  <si>
    <t>COGS % sales</t>
  </si>
  <si>
    <t>Depreciation % of last year's net PP&amp;E</t>
  </si>
  <si>
    <t>SG&amp;A % sales</t>
  </si>
  <si>
    <t>(Amortization $ amount)</t>
  </si>
  <si>
    <t>Non-recurring income (expenses) amount</t>
  </si>
  <si>
    <t>Associate income % growth</t>
  </si>
  <si>
    <t>Interest rate on cash</t>
  </si>
  <si>
    <t>Interest rate on debt</t>
  </si>
  <si>
    <t>Effective tax rate</t>
  </si>
  <si>
    <t>Basic WASO</t>
  </si>
  <si>
    <t>Balance sheet assumptions</t>
  </si>
  <si>
    <t>Inventory days</t>
  </si>
  <si>
    <t>Receivable days</t>
  </si>
  <si>
    <t>Inventories days on COGS</t>
  </si>
  <si>
    <t>Other current assets % of sales</t>
  </si>
  <si>
    <t>Capex % sales</t>
  </si>
  <si>
    <t>(Associate payout ratio %)</t>
  </si>
  <si>
    <t>Goodwill $ amount</t>
  </si>
  <si>
    <t>Other assets amount</t>
  </si>
  <si>
    <t>Payable days</t>
  </si>
  <si>
    <t>Other current liabilities % of sales</t>
  </si>
  <si>
    <t>Other long-term liabilities $ amount</t>
  </si>
  <si>
    <t>(Dividends $ amount)</t>
  </si>
  <si>
    <t>Net PP&amp;E</t>
  </si>
  <si>
    <t>Beginning</t>
  </si>
  <si>
    <t>Capex</t>
  </si>
  <si>
    <t xml:space="preserve"> Ending</t>
  </si>
  <si>
    <t>Associate investments</t>
  </si>
  <si>
    <t>Share of income</t>
  </si>
  <si>
    <t>Share of dividends</t>
  </si>
  <si>
    <t>Equity</t>
  </si>
  <si>
    <t>Net income</t>
  </si>
  <si>
    <t>Dividends</t>
  </si>
  <si>
    <t>Operating working capital</t>
  </si>
  <si>
    <t xml:space="preserve"> OWC</t>
  </si>
  <si>
    <t>Debt schedule</t>
  </si>
  <si>
    <t>Beginning cash</t>
  </si>
  <si>
    <t xml:space="preserve"> Cash flow for debt servicing</t>
  </si>
  <si>
    <t>Beginning revolver</t>
  </si>
  <si>
    <t>Issuance (repayment)</t>
  </si>
  <si>
    <t xml:space="preserve"> Ending revolver</t>
  </si>
  <si>
    <t>Interest expense on revolver</t>
  </si>
  <si>
    <t>Interest income on cash</t>
  </si>
  <si>
    <t>Net sales</t>
  </si>
  <si>
    <t>Cost of sales</t>
  </si>
  <si>
    <t xml:space="preserve"> Gross profit</t>
  </si>
  <si>
    <t>SG&amp;A</t>
  </si>
  <si>
    <t xml:space="preserve"> EBIT</t>
  </si>
  <si>
    <t>Non-recurring income (expenses)</t>
  </si>
  <si>
    <t>Associate income</t>
  </si>
  <si>
    <t>Interest income</t>
  </si>
  <si>
    <t>Interest expense</t>
  </si>
  <si>
    <t>Income before tax</t>
  </si>
  <si>
    <t>Provision for income taxes</t>
  </si>
  <si>
    <t>Basic earnings per common share</t>
  </si>
  <si>
    <t>Diluted earnings per common share</t>
  </si>
  <si>
    <t>Cash</t>
  </si>
  <si>
    <t>Accounts receivable</t>
  </si>
  <si>
    <t>Inventories</t>
  </si>
  <si>
    <t>Other current assets</t>
  </si>
  <si>
    <t xml:space="preserve"> Total current assets</t>
  </si>
  <si>
    <t>PP&amp;E</t>
  </si>
  <si>
    <t>Associate investment</t>
  </si>
  <si>
    <t>Intangible assets</t>
  </si>
  <si>
    <t>Other assets</t>
  </si>
  <si>
    <t xml:space="preserve"> Total assets</t>
  </si>
  <si>
    <t>Revolver</t>
  </si>
  <si>
    <t>Accounts payable</t>
  </si>
  <si>
    <t>Other current liabilities</t>
  </si>
  <si>
    <t xml:space="preserve"> Total current liabilities</t>
  </si>
  <si>
    <t>Other long-term liabilities</t>
  </si>
  <si>
    <t xml:space="preserve"> Total liabilities</t>
  </si>
  <si>
    <t xml:space="preserve"> Total liabilities and equity</t>
  </si>
  <si>
    <t>Balance?</t>
  </si>
  <si>
    <t>(Inc) dec in other LT assets</t>
  </si>
  <si>
    <t>Inc (dec) in other LT liabilities</t>
  </si>
  <si>
    <t>Less equity income net of dividends received</t>
  </si>
  <si>
    <t>(Inc) dec in OWC</t>
  </si>
  <si>
    <t xml:space="preserve"> Cash flow from operations</t>
  </si>
  <si>
    <t>(Capex)</t>
  </si>
  <si>
    <t xml:space="preserve"> Cash flow from investing activities</t>
  </si>
  <si>
    <t>(Dividends)</t>
  </si>
  <si>
    <t>Inc (dec) in revolver</t>
  </si>
  <si>
    <t xml:space="preserve"> Cash flow from financing activities</t>
  </si>
  <si>
    <t>Net cash flow</t>
  </si>
  <si>
    <t xml:space="preserve"> Ending cash</t>
  </si>
  <si>
    <t>Weighted Average Cost of Capital</t>
  </si>
  <si>
    <t>Market</t>
  </si>
  <si>
    <t>Cap.</t>
  </si>
  <si>
    <t>Incl. leases</t>
  </si>
  <si>
    <t xml:space="preserve">Unlevered </t>
  </si>
  <si>
    <t>C75</t>
  </si>
  <si>
    <t>Net debt</t>
  </si>
  <si>
    <t>G8</t>
  </si>
  <si>
    <t>G9</t>
  </si>
  <si>
    <t>G10</t>
  </si>
  <si>
    <t>Risk free rate</t>
  </si>
  <si>
    <t>10 year US treasury 'on the run'</t>
  </si>
  <si>
    <t>Equity risk premium</t>
  </si>
  <si>
    <t>Long-term cost of debt</t>
  </si>
  <si>
    <t>Average comparable Beta (U)</t>
  </si>
  <si>
    <t>Levered Beta</t>
  </si>
  <si>
    <t>Net debt /</t>
  </si>
  <si>
    <t>Net debt + equity</t>
  </si>
  <si>
    <t xml:space="preserve"> Cost of equity</t>
  </si>
  <si>
    <t xml:space="preserve"> Cost of debt after tax</t>
  </si>
  <si>
    <t>WACC</t>
  </si>
  <si>
    <t>Marginal tax rate</t>
  </si>
  <si>
    <t>Unlevered net income</t>
  </si>
  <si>
    <t xml:space="preserve"> Free cash flows</t>
  </si>
  <si>
    <t>LT growth rate</t>
  </si>
  <si>
    <t>Year count</t>
  </si>
  <si>
    <t>Discount factor</t>
  </si>
  <si>
    <t>PV of free cash flows</t>
  </si>
  <si>
    <t>Terminal value</t>
  </si>
  <si>
    <t>Sum of PV of free cash flows</t>
  </si>
  <si>
    <t>PV of terminal value</t>
  </si>
  <si>
    <t xml:space="preserve"> Enterprise Value</t>
  </si>
  <si>
    <t>Implied TV EV / LTM EBITDA</t>
  </si>
  <si>
    <t>Standard discounting</t>
  </si>
  <si>
    <t>Discounting to a deal date</t>
  </si>
  <si>
    <t>Deal date</t>
  </si>
  <si>
    <t>Year end</t>
  </si>
  <si>
    <t>Date of free cash flow</t>
  </si>
  <si>
    <t>Number of days to discount</t>
  </si>
  <si>
    <t>% of free cash flow received</t>
  </si>
  <si>
    <t>Free cash flow received</t>
  </si>
  <si>
    <t>Present value of FCF received</t>
  </si>
  <si>
    <t xml:space="preserve"> Implied Enterprise Value</t>
  </si>
  <si>
    <t xml:space="preserve"> Equity value before options</t>
  </si>
  <si>
    <t>Shares outstanding before options</t>
  </si>
  <si>
    <t xml:space="preserve"> Implied share price before options</t>
  </si>
  <si>
    <t>Number of options</t>
  </si>
  <si>
    <t>RSUs</t>
  </si>
  <si>
    <t xml:space="preserve"> Diluted shares outstanding</t>
  </si>
  <si>
    <t xml:space="preserve"> Implied share price</t>
  </si>
  <si>
    <t>Sensitivity analysis</t>
  </si>
  <si>
    <t>Increment for growth</t>
  </si>
  <si>
    <t>Increment for WACC</t>
  </si>
  <si>
    <t>Long-term growth rate</t>
  </si>
  <si>
    <t>Operational scenario</t>
  </si>
  <si>
    <t>Base case</t>
  </si>
  <si>
    <t>Synergy assumptions</t>
  </si>
  <si>
    <t>Synergies % of sales</t>
  </si>
  <si>
    <t>Synergies</t>
  </si>
  <si>
    <t>H21</t>
  </si>
  <si>
    <t>H20</t>
  </si>
  <si>
    <t>J10</t>
  </si>
  <si>
    <t>J8</t>
  </si>
  <si>
    <t>H10</t>
  </si>
  <si>
    <t>H8</t>
  </si>
  <si>
    <t>D43</t>
  </si>
  <si>
    <t>D33</t>
  </si>
  <si>
    <t>C28</t>
  </si>
  <si>
    <t>C27</t>
  </si>
  <si>
    <t>D19</t>
  </si>
  <si>
    <t>D22</t>
  </si>
  <si>
    <t>C13</t>
  </si>
  <si>
    <t>C12</t>
  </si>
  <si>
    <t>C8</t>
  </si>
  <si>
    <t>sales</t>
  </si>
  <si>
    <t>LTM sales</t>
  </si>
  <si>
    <t>equity value</t>
  </si>
  <si>
    <t>per share</t>
  </si>
  <si>
    <t>premium</t>
  </si>
  <si>
    <t>share price</t>
  </si>
  <si>
    <t>completed</t>
  </si>
  <si>
    <t>Announced</t>
  </si>
  <si>
    <t>Synergies % of target</t>
  </si>
  <si>
    <t>EV/</t>
  </si>
  <si>
    <t>Acquisition</t>
  </si>
  <si>
    <t>% shares</t>
  </si>
  <si>
    <t>% cash</t>
  </si>
  <si>
    <t>1  month</t>
  </si>
  <si>
    <t xml:space="preserve">Offer </t>
  </si>
  <si>
    <t>Unaffected</t>
  </si>
  <si>
    <t>Date transaction</t>
  </si>
  <si>
    <t>Tommy Hilfiger was founded by Thomas J. Hilfiger in 1982 and is one of the largest designer brands globally. It designs, sources and markets men's and women's casual wear, sportswear, jeans, children's wear and footwear. Phillips-Van Heusen Corp expected that the acquisition to be immediately accretive to its earnings per share before one-time costs and accounting charges.</t>
  </si>
  <si>
    <t>Tommy Hilfiger Europe BV</t>
  </si>
  <si>
    <t>Phillips-Van Heusen Corp</t>
  </si>
  <si>
    <t>Cristallo SpA, a company controlled by PAI Partners SAS, acquired a 78.6% majority stake in Marcolin SpA for EUR207.6 million (US$269.2 million) in cash. Based in Italy, Marcolin SpA designs, manufactures and develops high quality spectacle frames.</t>
  </si>
  <si>
    <t>Marcolin SpA</t>
  </si>
  <si>
    <t>PAI Partners SAS</t>
  </si>
  <si>
    <t xml:space="preserve"> The acquisition is in line with PVH Corp's growth strategy in the global branded lifestyle apparel industry. PVH, based in New York, owns brands including Calvin Klein, Tommy Hilfiger and Van Heusen. Warnaco, also based in New York, holds brands including Chaps, but also holds the license to manufacture and sell Calvin Klein branded jeans and underwear.</t>
  </si>
  <si>
    <t>The Warnaco Group, Inc.</t>
  </si>
  <si>
    <t>PVH Corp.</t>
  </si>
  <si>
    <t>The transaction was aimed to combine TowerBrook Capital's retail and apparel expertise with the True Religion team to help with brand building and international opportunities. True Religion Apparel Inc is located in Vernon, California, United States and designs, manufactures and markets apparel.</t>
  </si>
  <si>
    <t>True Religion Apparel, Inc.</t>
  </si>
  <si>
    <t>Soros Fund Management LLC</t>
  </si>
  <si>
    <t xml:space="preserve">LVMH Moët Hennessy Louis Vuitton SA acquired an 80% majority stake in Loro Piana SpA from Sergio and Pier Luigi Loro Piana. The acquisition would allow both companies to expand their presence in the fashion sector. Loro Piana SpA is located in Quarona, Vercelli, Italy and manufactures and distributes designer apparel, leather goods, and accessories. </t>
  </si>
  <si>
    <t>LoroPiana</t>
  </si>
  <si>
    <t>The acquisition is in line with the growth strategy of Essilor International SA and enhances its product portfolio of offerings such as sunglasses and sun lens segment.  The acquisition was expected to be accretive to the earnings of Essilor expands International SA.</t>
  </si>
  <si>
    <t>Costa, Inc.</t>
  </si>
  <si>
    <t>Essilor International SA</t>
  </si>
  <si>
    <t>Samsonite International</t>
  </si>
  <si>
    <t>Short description of the deal</t>
  </si>
  <si>
    <t>Ac.</t>
  </si>
  <si>
    <t>1 month</t>
  </si>
  <si>
    <t xml:space="preserve">Unaffected </t>
  </si>
  <si>
    <t>All data in USD mm unless otherwise stated, as of 06-May-16</t>
  </si>
  <si>
    <t>Samsonite acquiring Tumi</t>
  </si>
  <si>
    <t>Transaction comparables valuation</t>
  </si>
  <si>
    <t>Non recurring items</t>
  </si>
  <si>
    <t>Target sales</t>
  </si>
  <si>
    <t>Target SG&amp;A</t>
  </si>
  <si>
    <t>Announced synergies</t>
  </si>
  <si>
    <t xml:space="preserve">% </t>
  </si>
  <si>
    <t>Amount</t>
  </si>
  <si>
    <t>Depreciation &amp; amortization</t>
  </si>
  <si>
    <t>Local currency</t>
  </si>
  <si>
    <t>Acquisition EV</t>
  </si>
  <si>
    <t>Non core assets</t>
  </si>
  <si>
    <t>Adjustments</t>
  </si>
  <si>
    <t>Equity to EV bridge</t>
  </si>
  <si>
    <t>l</t>
  </si>
  <si>
    <t>Value driver used</t>
  </si>
  <si>
    <t>% stock per share</t>
  </si>
  <si>
    <t>% cash per share</t>
  </si>
  <si>
    <t>Fully diluted equity value</t>
  </si>
  <si>
    <t>Fully diluted shares outstanding</t>
  </si>
  <si>
    <t>Dilution</t>
  </si>
  <si>
    <t>Basic shares outstanding (all classes)</t>
  </si>
  <si>
    <t>Target share price 4 weeks before</t>
  </si>
  <si>
    <t>% of target SG&amp;A</t>
  </si>
  <si>
    <t>Target share price 1 week before</t>
  </si>
  <si>
    <t>% of target sales</t>
  </si>
  <si>
    <t>Target share price 1 day before</t>
  </si>
  <si>
    <t>%</t>
  </si>
  <si>
    <t>Offer share price in local currency</t>
  </si>
  <si>
    <t>1 month before</t>
  </si>
  <si>
    <t>1 week before</t>
  </si>
  <si>
    <t>1 day before</t>
  </si>
  <si>
    <t>% premium</t>
  </si>
  <si>
    <t>Premium summary</t>
  </si>
  <si>
    <t>Date of completion</t>
  </si>
  <si>
    <t>Announcement date</t>
  </si>
  <si>
    <t>Tumi - USA</t>
  </si>
  <si>
    <t>Target ticker</t>
  </si>
  <si>
    <t>Tumi Holdings</t>
  </si>
  <si>
    <t>Target name</t>
  </si>
  <si>
    <t>Acquirer ticker</t>
  </si>
  <si>
    <t>Acquirer name</t>
  </si>
  <si>
    <t>Multiple</t>
  </si>
  <si>
    <t>Margin</t>
  </si>
  <si>
    <t>Value driver</t>
  </si>
  <si>
    <t>Comparables summary</t>
  </si>
  <si>
    <t>Transaction comparables</t>
  </si>
  <si>
    <t>LVMH Moët Hennessy Louis Vuitton</t>
  </si>
  <si>
    <t>Loro Piano</t>
  </si>
  <si>
    <t>Pending</t>
  </si>
  <si>
    <t>Valuation summary</t>
  </si>
  <si>
    <t>For use in football field</t>
  </si>
  <si>
    <t>Income statement</t>
  </si>
  <si>
    <t>Cash flow statement</t>
  </si>
  <si>
    <t>© 2016 Financial Edge Training</t>
  </si>
  <si>
    <t>Calculations</t>
  </si>
  <si>
    <t>Balance sheet</t>
  </si>
  <si>
    <t>Discounted cash flow</t>
  </si>
  <si>
    <t>Free cash flows</t>
  </si>
  <si>
    <t>Margins</t>
  </si>
  <si>
    <t>Key Data</t>
  </si>
  <si>
    <t>EV / EBITDA CY2 Multiple</t>
  </si>
  <si>
    <t>EBITDA CY for Tumi</t>
  </si>
  <si>
    <t>Implied EV</t>
  </si>
  <si>
    <t>Plus Financial Asset</t>
  </si>
  <si>
    <t>Less Financial Liabilities</t>
  </si>
  <si>
    <t>Implied Equity Value</t>
  </si>
  <si>
    <t>Implied Share Price</t>
  </si>
  <si>
    <t>EV / EBITDA CY 2</t>
  </si>
  <si>
    <t>PE CY 2</t>
  </si>
  <si>
    <t>LMVH</t>
  </si>
  <si>
    <t xml:space="preserve">PE CY 2 multiple </t>
  </si>
  <si>
    <t>Some consistency with companies</t>
  </si>
  <si>
    <t>CY 2 fully diluted EPS</t>
  </si>
  <si>
    <t>Low</t>
  </si>
  <si>
    <t>High</t>
  </si>
  <si>
    <t>DCF (WACC 6.65% to 7.05% LT Growth)</t>
  </si>
  <si>
    <t>Share price range</t>
  </si>
  <si>
    <t>52 Week High Low</t>
  </si>
  <si>
    <t>Transaction Comps</t>
  </si>
  <si>
    <t>The Warnaco Group</t>
  </si>
  <si>
    <t>Looking at some recent acquisition deals, making judgement of how they are relevant/in industry to our deals</t>
  </si>
  <si>
    <t>Implied Acquisition EV</t>
  </si>
  <si>
    <t>Plus Financial Assets</t>
  </si>
  <si>
    <t xml:space="preserve">Less Financial Liabilities </t>
  </si>
  <si>
    <t>Premium Paid</t>
  </si>
  <si>
    <t>Unaffected share price</t>
  </si>
  <si>
    <t>4% to 6% of LTM sales</t>
  </si>
  <si>
    <t>LTM Tumi EBIT Multiple</t>
  </si>
  <si>
    <t>Increase in EV</t>
  </si>
  <si>
    <t>Unadjusted EV</t>
  </si>
  <si>
    <t>Adjusted EV</t>
  </si>
  <si>
    <t>Valuation Method</t>
  </si>
  <si>
    <t>Transaction EV/LTM EBITDA</t>
  </si>
  <si>
    <t>Difference</t>
  </si>
  <si>
    <t>DCF with Synergies 4% to 6% of LTM sales</t>
  </si>
  <si>
    <t>Valution of Tumi</t>
  </si>
  <si>
    <t>X</t>
  </si>
  <si>
    <t>Y</t>
  </si>
  <si>
    <t>7 methods</t>
  </si>
  <si>
    <t>Current Price</t>
  </si>
  <si>
    <t>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</si>
</sst>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1" formatCode="_(* #,##0_);_(* \(#,##0\);_(* &quot;-&quot;_);_(@_)"/>
    <numFmt numFmtId="43" formatCode="_(* #,##0.00_);_(* \(#,##0.00\);_(* &quot;-&quot;??_);_(@_)"/>
    <numFmt numFmtId="164" formatCode="_(&quot;£&quot;* #,##0_);_(&quot;£&quot;* \(#,##0\);_(&quot;£&quot;* &quot;-&quot;_);_(@_)"/>
    <numFmt numFmtId="165" formatCode="_(&quot;£&quot;* #,##0.00_);_(&quot;£&quot;* \(#,##0.00\);_(&quot;£&quot;* &quot;-&quot;??_);_(@_)"/>
    <numFmt numFmtId="166" formatCode="[$-409]d\-mmm\-yy;@"/>
    <numFmt numFmtId="167" formatCode="0.0"/>
    <numFmt numFmtId="168" formatCode="#,##0.0_);\(#,##0.0\)\,0.0_);@_)"/>
    <numFmt numFmtId="169" formatCode="#,##0.0\ \x_);\(#,##0.0\ \x\);"/>
    <numFmt numFmtId="170" formatCode="0.0%_);\(0.0%\)"/>
    <numFmt numFmtId="171" formatCode=";;;"/>
    <numFmt numFmtId="172" formatCode="#,##0.0_);\(#,##0.0\);0.0_);@_)"/>
    <numFmt numFmtId="173" formatCode="#,##0.00_);\(#,##0.00\);0.00_);@_)"/>
    <numFmt numFmtId="174" formatCode="#,##0.0_);\(#,##0.0\)"/>
    <numFmt numFmtId="175" formatCode="_ \ * #,##0.0_)_%;_ \ * \(#,##0.0\)_%;;_ \ * @_)_%"/>
    <numFmt numFmtId="176" formatCode="#,##0.0_)_%;\(#,##0.0\)_%;#,##0.0_)_%;@_)_%"/>
    <numFmt numFmtId="177" formatCode="#,##0.000_);\(#,##0.000\);0.000_);@_)"/>
    <numFmt numFmtId="178" formatCode="#,##0.00\ \x_);\(#,##0.00\ \x\);"/>
    <numFmt numFmtId="179" formatCode="0.00%_);\(0.00%\)"/>
    <numFmt numFmtId="180" formatCode="#,##0_);\(#,##0\);0_);@_)"/>
  </numFmts>
  <fonts count="67" x14ac:knownFonts="1">
    <font>
      <sz val="11"/>
      <name val="Calibri"/>
      <family val="2"/>
      <scheme val="minor"/>
    </font>
    <font>
      <sz val="26"/>
      <color theme="1"/>
      <name val="Calibri"/>
      <family val="2"/>
      <scheme val="minor"/>
    </font>
    <font>
      <sz val="11"/>
      <color theme="1"/>
      <name val="Calibri"/>
      <family val="2"/>
      <scheme val="minor"/>
    </font>
    <font>
      <sz val="18"/>
      <color theme="1"/>
      <name val="Calibri"/>
      <family val="2"/>
      <scheme val="minor"/>
    </font>
    <font>
      <sz val="11"/>
      <color theme="1" tint="0.249977111117893"/>
      <name val="Calibri"/>
      <family val="2"/>
      <scheme val="minor"/>
    </font>
    <font>
      <sz val="11"/>
      <color rgb="FF085393"/>
      <name val="Calibri"/>
      <family val="2"/>
      <scheme val="minor"/>
    </font>
    <font>
      <b/>
      <sz val="12"/>
      <color rgb="FF163260"/>
      <name val="Calibri"/>
      <family val="2"/>
      <scheme val="minor"/>
    </font>
    <font>
      <sz val="10"/>
      <color rgb="FF085393"/>
      <name val="Calibri"/>
      <family val="2"/>
      <scheme val="minor"/>
    </font>
    <font>
      <u/>
      <sz val="11"/>
      <color rgb="FF085393"/>
      <name val="Calibri"/>
      <family val="2"/>
      <scheme val="minor"/>
    </font>
    <font>
      <u/>
      <sz val="14"/>
      <color rgb="FF085393"/>
      <name val="Calibri"/>
      <family val="2"/>
      <scheme val="minor"/>
    </font>
    <font>
      <sz val="16"/>
      <color theme="0"/>
      <name val="Calibri Light"/>
      <family val="2"/>
      <scheme val="maj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65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
      <sz val="14"/>
      <color theme="0"/>
      <name val="Calibri"/>
      <family val="2"/>
      <scheme val="minor"/>
    </font>
    <font>
      <sz val="11"/>
      <color theme="0"/>
      <name val="Calibri"/>
      <family val="2"/>
      <scheme val="minor"/>
    </font>
    <font>
      <sz val="9"/>
      <color theme="0"/>
      <name val="Calibri"/>
      <family val="2"/>
      <scheme val="minor"/>
    </font>
    <font>
      <sz val="11"/>
      <name val="Calibri"/>
      <family val="2"/>
      <scheme val="minor"/>
    </font>
    <font>
      <sz val="11"/>
      <color rgb="FF0000FF"/>
      <name val="Calibri"/>
      <family val="2"/>
      <scheme val="minor"/>
    </font>
    <font>
      <sz val="9"/>
      <color rgb="FF085393"/>
      <name val="Calibri"/>
      <family val="2"/>
      <scheme val="minor"/>
    </font>
    <font>
      <sz val="22"/>
      <color theme="0"/>
      <name val="Calibri Light"/>
      <family val="2"/>
      <scheme val="major"/>
    </font>
    <font>
      <sz val="10"/>
      <color rgb="FF085393"/>
      <name val="Open Sans"/>
      <family val="2"/>
    </font>
    <font>
      <sz val="10"/>
      <color rgb="FF0000FF"/>
      <name val="Open Sans"/>
      <family val="2"/>
    </font>
    <font>
      <b/>
      <sz val="11"/>
      <color theme="0"/>
      <name val="Calibri"/>
      <family val="2"/>
      <scheme val="minor"/>
    </font>
    <font>
      <sz val="10"/>
      <color theme="1" tint="0.24994659260841701"/>
      <name val="Open Sans"/>
      <family val="2"/>
    </font>
    <font>
      <sz val="9"/>
      <color indexed="81"/>
      <name val="Tahoma"/>
      <family val="2"/>
    </font>
    <font>
      <b/>
      <sz val="9"/>
      <color indexed="81"/>
      <name val="Tahoma"/>
      <family val="2"/>
    </font>
    <font>
      <b/>
      <sz val="10"/>
      <color rgb="FF163260"/>
      <name val="Open Sans"/>
      <family val="2"/>
    </font>
    <font>
      <sz val="12"/>
      <color rgb="FF008080"/>
      <name val="Calibri"/>
      <family val="2"/>
      <scheme val="minor"/>
    </font>
    <font>
      <u/>
      <sz val="12"/>
      <color theme="1"/>
      <name val="Calibri"/>
      <family val="2"/>
      <scheme val="minor"/>
    </font>
    <font>
      <b/>
      <i/>
      <sz val="12"/>
      <color theme="1"/>
      <name val="Calibri"/>
      <family val="2"/>
      <scheme val="minor"/>
    </font>
    <font>
      <b/>
      <sz val="26"/>
      <color theme="1"/>
      <name val="Calibri"/>
      <family val="2"/>
      <scheme val="minor"/>
    </font>
    <font>
      <sz val="12"/>
      <color rgb="FF000000"/>
      <name val="Calibri"/>
      <family val="2"/>
      <scheme val="minor"/>
    </font>
    <font>
      <b/>
      <i/>
      <u/>
      <sz val="16"/>
      <color theme="1"/>
      <name val="Calibri"/>
      <family val="2"/>
      <scheme val="minor"/>
    </font>
    <font>
      <sz val="12"/>
      <color rgb="FFFF0000"/>
      <name val="Calibri"/>
      <family val="2"/>
      <scheme val="minor"/>
    </font>
    <font>
      <sz val="11"/>
      <color rgb="FFFF0000"/>
      <name val="Calibri"/>
      <family val="2"/>
      <scheme val="minor"/>
    </font>
    <font>
      <i/>
      <sz val="8"/>
      <color theme="0"/>
      <name val="Calibri"/>
      <family val="2"/>
      <scheme val="minor"/>
    </font>
    <font>
      <sz val="10"/>
      <color theme="0"/>
      <name val="Calibri"/>
      <family val="2"/>
      <scheme val="minor"/>
    </font>
    <font>
      <sz val="11"/>
      <color theme="1" tint="0.24994659260841701"/>
      <name val="Calibri"/>
      <family val="2"/>
    </font>
    <font>
      <b/>
      <sz val="9"/>
      <color theme="0"/>
      <name val="Calibri"/>
      <family val="2"/>
      <scheme val="minor"/>
    </font>
    <font>
      <i/>
      <sz val="12"/>
      <color rgb="FF163260"/>
      <name val="Calibri"/>
      <family val="2"/>
      <scheme val="minor"/>
    </font>
    <font>
      <b/>
      <sz val="11"/>
      <color rgb="FF085393"/>
      <name val="Calibri"/>
      <family val="2"/>
      <scheme val="minor"/>
    </font>
    <font>
      <i/>
      <sz val="11"/>
      <color rgb="FF085393"/>
      <name val="Calibri"/>
      <family val="2"/>
      <scheme val="minor"/>
    </font>
    <font>
      <sz val="26"/>
      <color rgb="FF0F2FB5"/>
      <name val="Calibri"/>
      <family val="2"/>
      <scheme val="minor"/>
    </font>
    <font>
      <b/>
      <sz val="11"/>
      <color theme="1" tint="0.24994659260841701"/>
      <name val="Calibri"/>
      <family val="2"/>
      <scheme val="minor"/>
    </font>
    <font>
      <b/>
      <sz val="11"/>
      <name val="Calibri"/>
      <family val="2"/>
      <scheme val="minor"/>
    </font>
    <font>
      <sz val="11"/>
      <color theme="1" tint="0.24994659260841701"/>
      <name val="Calibri"/>
      <family val="2"/>
      <scheme val="minor"/>
    </font>
    <font>
      <i/>
      <sz val="9"/>
      <color rgb="FF085393"/>
      <name val="Calibri"/>
      <family val="2"/>
      <scheme val="minor"/>
    </font>
    <font>
      <sz val="12"/>
      <color theme="1"/>
      <name val="Calibri"/>
      <family val="2"/>
      <scheme val="minor"/>
    </font>
    <font>
      <b/>
      <i/>
      <sz val="11"/>
      <name val="Calibri"/>
      <family val="2"/>
      <scheme val="minor"/>
    </font>
    <font>
      <b/>
      <sz val="9"/>
      <color rgb="FF000000"/>
      <name val="Tahoma"/>
      <family val="2"/>
    </font>
    <font>
      <sz val="9"/>
      <color rgb="FF000000"/>
      <name val="Tahoma"/>
      <family val="2"/>
    </font>
    <font>
      <sz val="10"/>
      <name val="Calibri"/>
      <family val="2"/>
      <scheme val="minor"/>
    </font>
  </fonts>
  <fills count="41">
    <fill>
      <patternFill patternType="none"/>
    </fill>
    <fill>
      <patternFill patternType="gray125"/>
    </fill>
    <fill>
      <patternFill patternType="solid">
        <fgColor rgb="FF163260"/>
        <bgColor indexed="64"/>
      </patternFill>
    </fill>
    <fill>
      <patternFill patternType="solid">
        <fgColor rgb="FF085393"/>
        <bgColor indexed="64"/>
      </patternFill>
    </fill>
    <fill>
      <patternFill patternType="solid">
        <fgColor theme="0"/>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0F8FE"/>
        <bgColor indexed="64"/>
      </patternFill>
    </fill>
    <fill>
      <patternFill patternType="solid">
        <fgColor theme="7"/>
        <bgColor indexed="64"/>
      </patternFill>
    </fill>
    <fill>
      <patternFill patternType="solid">
        <fgColor theme="3" tint="0.79998168889431442"/>
        <bgColor indexed="64"/>
      </patternFill>
    </fill>
    <fill>
      <patternFill patternType="solid">
        <fgColor theme="6"/>
        <bgColor indexed="64"/>
      </patternFill>
    </fill>
  </fills>
  <borders count="28">
    <border>
      <left/>
      <right/>
      <top/>
      <bottom/>
      <diagonal/>
    </border>
    <border>
      <left/>
      <right/>
      <top/>
      <bottom style="medium">
        <color theme="0" tint="-0.149998474074526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BBDEFB"/>
      </left>
      <right style="thin">
        <color rgb="FFBBDEFB"/>
      </right>
      <top style="thin">
        <color rgb="FFBBDEFB"/>
      </top>
      <bottom style="thin">
        <color rgb="FFBBDEFB"/>
      </bottom>
      <diagonal/>
    </border>
    <border>
      <left/>
      <right/>
      <top/>
      <bottom style="medium">
        <color theme="0" tint="-0.14996795556505021"/>
      </bottom>
      <diagonal/>
    </border>
    <border>
      <left style="thin">
        <color rgb="FFBBDEFB"/>
      </left>
      <right/>
      <top style="thin">
        <color rgb="FFBBDEFB"/>
      </top>
      <bottom style="thin">
        <color rgb="FFBBDEFB"/>
      </bottom>
      <diagonal/>
    </border>
    <border>
      <left style="thin">
        <color indexed="64"/>
      </left>
      <right/>
      <top/>
      <bottom/>
      <diagonal/>
    </border>
    <border>
      <left/>
      <right/>
      <top/>
      <bottom style="thin">
        <color indexed="64"/>
      </bottom>
      <diagonal/>
    </border>
    <border>
      <left/>
      <right/>
      <top style="thin">
        <color indexed="64"/>
      </top>
      <bottom/>
      <diagonal/>
    </border>
    <border>
      <left style="thin">
        <color rgb="FFBBDEFB"/>
      </left>
      <right/>
      <top style="thin">
        <color rgb="FFBBDEFB"/>
      </top>
      <bottom/>
      <diagonal/>
    </border>
    <border>
      <left style="thin">
        <color indexed="64"/>
      </left>
      <right style="thin">
        <color indexed="64"/>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right/>
      <top/>
      <bottom style="medium">
        <color rgb="FFE2F1FE"/>
      </bottom>
      <diagonal/>
    </border>
    <border>
      <left style="thin">
        <color rgb="FFBBDEFB"/>
      </left>
      <right style="thin">
        <color auto="1"/>
      </right>
      <top style="thin">
        <color rgb="FFBBDEFB"/>
      </top>
      <bottom style="thin">
        <color rgb="FFBBDEFB"/>
      </bottom>
      <diagonal/>
    </border>
    <border>
      <left/>
      <right style="thin">
        <color indexed="64"/>
      </right>
      <top/>
      <bottom/>
      <diagonal/>
    </border>
  </borders>
  <cellStyleXfs count="81">
    <xf numFmtId="172" fontId="0" fillId="0" borderId="0" applyFill="0" applyBorder="0" applyAlignment="0" applyProtection="0"/>
    <xf numFmtId="0" fontId="8" fillId="0" borderId="0" applyNumberForma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9" fontId="11" fillId="0" borderId="0" applyFont="0" applyFill="0" applyBorder="0" applyAlignment="0" applyProtection="0"/>
    <xf numFmtId="0" fontId="12" fillId="0" borderId="0" applyNumberFormat="0" applyFill="0" applyBorder="0" applyAlignment="0" applyProtection="0"/>
    <xf numFmtId="0" fontId="13" fillId="0" borderId="2" applyNumberFormat="0" applyFill="0" applyAlignment="0" applyProtection="0"/>
    <xf numFmtId="0" fontId="14" fillId="0" borderId="3" applyNumberFormat="0" applyFill="0" applyAlignment="0" applyProtection="0"/>
    <xf numFmtId="0" fontId="15" fillId="0" borderId="4" applyNumberFormat="0" applyFill="0" applyAlignment="0" applyProtection="0"/>
    <xf numFmtId="0" fontId="15" fillId="0" borderId="0" applyNumberFormat="0" applyFill="0" applyBorder="0" applyAlignment="0" applyProtection="0"/>
    <xf numFmtId="0" fontId="16" fillId="6" borderId="0" applyNumberFormat="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5" applyNumberFormat="0" applyAlignment="0" applyProtection="0"/>
    <xf numFmtId="0" fontId="20" fillId="10" borderId="6" applyNumberFormat="0" applyAlignment="0" applyProtection="0"/>
    <xf numFmtId="0" fontId="21" fillId="10" borderId="5" applyNumberFormat="0" applyAlignment="0" applyProtection="0"/>
    <xf numFmtId="0" fontId="22" fillId="0" borderId="7" applyNumberFormat="0" applyFill="0" applyAlignment="0" applyProtection="0"/>
    <xf numFmtId="0" fontId="23" fillId="11" borderId="8" applyNumberFormat="0" applyAlignment="0" applyProtection="0"/>
    <xf numFmtId="0" fontId="24" fillId="0" borderId="0" applyNumberFormat="0" applyFill="0" applyBorder="0" applyAlignment="0" applyProtection="0"/>
    <xf numFmtId="0" fontId="11" fillId="12" borderId="9" applyNumberFormat="0" applyFont="0" applyAlignment="0" applyProtection="0"/>
    <xf numFmtId="0" fontId="25" fillId="0" borderId="0" applyNumberFormat="0" applyFill="0" applyBorder="0" applyAlignment="0" applyProtection="0"/>
    <xf numFmtId="0" fontId="26" fillId="0" borderId="10" applyNumberFormat="0" applyFill="0" applyAlignment="0" applyProtection="0"/>
    <xf numFmtId="0" fontId="27"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27" fillId="16" borderId="0" applyNumberFormat="0" applyBorder="0" applyAlignment="0" applyProtection="0"/>
    <xf numFmtId="0" fontId="27"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27" fillId="20" borderId="0" applyNumberFormat="0" applyBorder="0" applyAlignment="0" applyProtection="0"/>
    <xf numFmtId="0" fontId="27"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27" fillId="24" borderId="0" applyNumberFormat="0" applyBorder="0" applyAlignment="0" applyProtection="0"/>
    <xf numFmtId="0" fontId="27"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27" fillId="28" borderId="0" applyNumberFormat="0" applyBorder="0" applyAlignment="0" applyProtection="0"/>
    <xf numFmtId="0" fontId="27"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27" fillId="32" borderId="0" applyNumberFormat="0" applyBorder="0" applyAlignment="0" applyProtection="0"/>
    <xf numFmtId="0" fontId="27"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27" fillId="36" borderId="0" applyNumberFormat="0" applyBorder="0" applyAlignment="0" applyProtection="0"/>
    <xf numFmtId="0" fontId="34" fillId="2" borderId="0" applyNumberFormat="0">
      <alignment horizontal="left"/>
    </xf>
    <xf numFmtId="0" fontId="10" fillId="3" borderId="0" applyNumberFormat="0" applyAlignment="0">
      <alignment horizontal="left"/>
    </xf>
    <xf numFmtId="0" fontId="6" fillId="0" borderId="0" applyNumberFormat="0" applyFill="0" applyBorder="0">
      <alignment horizontal="left" vertical="center"/>
    </xf>
    <xf numFmtId="0" fontId="4" fillId="5" borderId="0" applyNumberFormat="0" applyFont="0" applyAlignment="0" applyProtection="0">
      <alignment vertical="top"/>
    </xf>
    <xf numFmtId="166" fontId="30" fillId="3" borderId="0">
      <alignment horizontal="center"/>
    </xf>
    <xf numFmtId="168" fontId="29" fillId="2" borderId="0">
      <alignment horizontal="center"/>
    </xf>
    <xf numFmtId="168" fontId="5" fillId="0" borderId="0">
      <alignment vertical="top"/>
    </xf>
    <xf numFmtId="166" fontId="31" fillId="0" borderId="0" applyFont="0" applyFill="0" applyBorder="0" applyAlignment="0" applyProtection="0"/>
    <xf numFmtId="169" fontId="11" fillId="0" borderId="0" applyFont="0" applyFill="0" applyBorder="0" applyAlignment="0" applyProtection="0"/>
    <xf numFmtId="170" fontId="31" fillId="2" borderId="0" applyFont="0" applyFill="0" applyBorder="0" applyAlignment="0" applyProtection="0"/>
    <xf numFmtId="168" fontId="32" fillId="2" borderId="0" applyNumberFormat="0" applyFill="0" applyBorder="0" applyAlignment="0" applyProtection="0"/>
    <xf numFmtId="168" fontId="33" fillId="0" borderId="0" applyNumberFormat="0" applyFill="0" applyBorder="0" applyAlignment="0">
      <alignment vertical="top"/>
    </xf>
    <xf numFmtId="171" fontId="31" fillId="2" borderId="0" applyFont="0" applyFill="0" applyBorder="0" applyAlignment="0" applyProtection="0"/>
    <xf numFmtId="169" fontId="32" fillId="37" borderId="11" applyNumberFormat="0">
      <protection locked="0"/>
    </xf>
    <xf numFmtId="0" fontId="4" fillId="5" borderId="12" applyFont="0" applyAlignment="0" applyProtection="0">
      <alignment vertical="top"/>
    </xf>
    <xf numFmtId="168" fontId="34" fillId="3" borderId="0" applyNumberFormat="0" applyBorder="0">
      <alignment horizontal="center" vertical="top"/>
    </xf>
    <xf numFmtId="168" fontId="5" fillId="38" borderId="0" applyNumberFormat="0" applyFont="0" applyBorder="0" applyAlignment="0" applyProtection="0">
      <alignment vertical="top"/>
    </xf>
    <xf numFmtId="174" fontId="32" fillId="0" borderId="0" applyNumberFormat="0" applyFill="0" applyBorder="0" applyAlignment="0" applyProtection="0"/>
    <xf numFmtId="15" fontId="42" fillId="0" borderId="0" applyFill="0" applyBorder="0" applyAlignment="0" applyProtection="0"/>
    <xf numFmtId="175" fontId="43" fillId="39" borderId="0" applyFill="0" applyBorder="0" applyAlignment="0" applyProtection="0">
      <alignment horizontal="center"/>
    </xf>
    <xf numFmtId="0" fontId="44" fillId="39" borderId="19" applyNumberFormat="0" applyBorder="0" applyAlignment="0" applyProtection="0">
      <alignment horizontal="center"/>
    </xf>
    <xf numFmtId="0" fontId="45" fillId="0" borderId="0" applyNumberFormat="0" applyFill="0" applyBorder="0" applyAlignment="0" applyProtection="0"/>
    <xf numFmtId="169" fontId="2" fillId="0" borderId="0" applyFont="0" applyFill="0" applyBorder="0" applyAlignment="0" applyProtection="0"/>
    <xf numFmtId="176" fontId="46" fillId="0" borderId="0" applyFont="0" applyFill="0" applyBorder="0" applyAlignment="0" applyProtection="0">
      <alignment horizontal="right"/>
    </xf>
    <xf numFmtId="170" fontId="2" fillId="0" borderId="0" applyFont="0" applyFill="0" applyBorder="0" applyAlignment="0" applyProtection="0"/>
    <xf numFmtId="0" fontId="47" fillId="0" borderId="0" applyNumberFormat="0" applyFill="0" applyBorder="0" applyAlignment="0" applyProtection="0"/>
    <xf numFmtId="176" fontId="48" fillId="0" borderId="24" applyNumberFormat="0" applyFill="0" applyAlignment="0">
      <alignment horizontal="right"/>
    </xf>
    <xf numFmtId="174" fontId="1" fillId="0" borderId="0" applyFont="0" applyFill="0" applyBorder="0" applyAlignment="0" applyProtection="0"/>
    <xf numFmtId="15" fontId="1" fillId="0" borderId="0" applyFont="0" applyFill="0" applyBorder="0" applyAlignment="0" applyProtection="0"/>
    <xf numFmtId="174" fontId="57" fillId="0" borderId="0" applyNumberFormat="0" applyFill="0" applyBorder="0" applyAlignment="0" applyProtection="0"/>
    <xf numFmtId="170" fontId="1" fillId="0" borderId="0" applyFont="0" applyFill="0" applyBorder="0" applyAlignment="0" applyProtection="0"/>
    <xf numFmtId="172" fontId="60" fillId="0" borderId="0"/>
    <xf numFmtId="0" fontId="62" fillId="0" borderId="0" applyFill="0" applyBorder="0" applyAlignment="0" applyProtection="0"/>
  </cellStyleXfs>
  <cellXfs count="246">
    <xf numFmtId="172" fontId="0" fillId="0" borderId="0" xfId="0"/>
    <xf numFmtId="172" fontId="4" fillId="5" borderId="0" xfId="0" applyFont="1" applyFill="1" applyBorder="1"/>
    <xf numFmtId="172" fontId="4" fillId="4" borderId="0" xfId="0" applyFont="1" applyFill="1" applyBorder="1"/>
    <xf numFmtId="172" fontId="4" fillId="5" borderId="0" xfId="0" applyFont="1" applyFill="1" applyBorder="1" applyAlignment="1">
      <alignment vertical="top" wrapText="1"/>
    </xf>
    <xf numFmtId="172" fontId="4" fillId="5" borderId="1" xfId="0" applyFont="1" applyFill="1" applyBorder="1" applyAlignment="1">
      <alignment vertical="top"/>
    </xf>
    <xf numFmtId="168" fontId="34" fillId="2" borderId="0" xfId="48" applyNumberFormat="1">
      <alignment horizontal="left"/>
    </xf>
    <xf numFmtId="172" fontId="27" fillId="2" borderId="0" xfId="0" applyFont="1" applyFill="1" applyBorder="1" applyAlignment="1"/>
    <xf numFmtId="172" fontId="28" fillId="3" borderId="0" xfId="0" applyFont="1" applyFill="1" applyBorder="1" applyAlignment="1"/>
    <xf numFmtId="172" fontId="5" fillId="5" borderId="0" xfId="0" applyFont="1" applyFill="1" applyBorder="1" applyAlignment="1">
      <alignment horizontal="center" vertical="top"/>
    </xf>
    <xf numFmtId="172" fontId="5" fillId="5" borderId="0" xfId="0" applyFont="1" applyFill="1" applyBorder="1" applyAlignment="1">
      <alignment vertical="top"/>
    </xf>
    <xf numFmtId="172" fontId="27" fillId="2" borderId="0" xfId="0" applyFont="1" applyFill="1" applyBorder="1" applyAlignment="1">
      <alignment vertical="center"/>
    </xf>
    <xf numFmtId="166" fontId="30" fillId="3" borderId="0" xfId="52">
      <alignment horizontal="center"/>
    </xf>
    <xf numFmtId="168" fontId="29" fillId="2" borderId="0" xfId="53">
      <alignment horizontal="center"/>
    </xf>
    <xf numFmtId="168" fontId="34" fillId="2" borderId="0" xfId="48" applyNumberFormat="1" applyAlignment="1"/>
    <xf numFmtId="168" fontId="10" fillId="3" borderId="0" xfId="49" applyNumberFormat="1" applyAlignment="1"/>
    <xf numFmtId="168" fontId="6" fillId="0" borderId="0" xfId="50" applyNumberFormat="1">
      <alignment horizontal="left" vertical="center"/>
    </xf>
    <xf numFmtId="168" fontId="5" fillId="0" borderId="0" xfId="54">
      <alignment vertical="top"/>
    </xf>
    <xf numFmtId="172" fontId="4" fillId="5" borderId="0" xfId="0" applyFont="1" applyFill="1" applyBorder="1" applyAlignment="1">
      <alignment horizontal="left" vertical="top"/>
    </xf>
    <xf numFmtId="172" fontId="4" fillId="5" borderId="0" xfId="0" applyFont="1" applyFill="1" applyBorder="1" applyAlignment="1">
      <alignment vertical="top"/>
    </xf>
    <xf numFmtId="172" fontId="4" fillId="0" borderId="0" xfId="0" applyFont="1" applyFill="1" applyBorder="1" applyAlignment="1">
      <alignment vertical="top" wrapText="1"/>
    </xf>
    <xf numFmtId="172" fontId="5" fillId="0" borderId="0" xfId="0" applyFont="1" applyFill="1" applyBorder="1" applyAlignment="1">
      <alignment vertical="top"/>
    </xf>
    <xf numFmtId="172" fontId="4" fillId="0" borderId="0" xfId="0" applyFont="1" applyFill="1" applyBorder="1" applyAlignment="1">
      <alignment horizontal="left" wrapText="1"/>
    </xf>
    <xf numFmtId="172" fontId="4" fillId="0" borderId="0" xfId="0" applyFont="1" applyFill="1" applyBorder="1" applyAlignment="1">
      <alignment vertical="top"/>
    </xf>
    <xf numFmtId="172" fontId="4" fillId="0" borderId="0" xfId="0" applyFont="1" applyFill="1" applyBorder="1"/>
    <xf numFmtId="172" fontId="6" fillId="0" borderId="0" xfId="0" applyFont="1" applyFill="1" applyBorder="1" applyAlignment="1">
      <alignment vertical="center"/>
    </xf>
    <xf numFmtId="172" fontId="7" fillId="0" borderId="0" xfId="0" applyFont="1" applyFill="1" applyBorder="1" applyAlignment="1">
      <alignment vertical="center" wrapText="1"/>
    </xf>
    <xf numFmtId="172" fontId="4" fillId="0" borderId="0" xfId="0" applyFont="1" applyFill="1" applyBorder="1" applyAlignment="1">
      <alignment horizontal="left" vertical="top"/>
    </xf>
    <xf numFmtId="172" fontId="5" fillId="0" borderId="0" xfId="0" applyFont="1" applyFill="1" applyBorder="1" applyAlignment="1">
      <alignment horizontal="center" vertical="top"/>
    </xf>
    <xf numFmtId="172" fontId="9" fillId="0" borderId="0" xfId="0" applyFont="1" applyFill="1" applyBorder="1" applyAlignment="1">
      <alignment vertical="center" wrapText="1"/>
    </xf>
    <xf numFmtId="166" fontId="4" fillId="0" borderId="0" xfId="0" applyNumberFormat="1" applyFont="1" applyFill="1" applyBorder="1" applyAlignment="1">
      <alignment horizontal="left"/>
    </xf>
    <xf numFmtId="172" fontId="4" fillId="0" borderId="0" xfId="0" applyFont="1" applyFill="1" applyBorder="1" applyAlignment="1">
      <alignment horizontal="left"/>
    </xf>
    <xf numFmtId="167" fontId="4" fillId="0" borderId="0" xfId="0" applyNumberFormat="1" applyFont="1" applyFill="1" applyBorder="1" applyAlignment="1">
      <alignment horizontal="left"/>
    </xf>
    <xf numFmtId="172" fontId="0" fillId="0" borderId="0" xfId="0" applyFill="1"/>
    <xf numFmtId="172" fontId="5" fillId="0" borderId="0" xfId="0" applyFont="1" applyFill="1" applyBorder="1" applyAlignment="1">
      <alignment horizontal="left" vertical="top"/>
    </xf>
    <xf numFmtId="172" fontId="5" fillId="0" borderId="0" xfId="0" applyFont="1" applyFill="1" applyBorder="1"/>
    <xf numFmtId="172" fontId="0" fillId="0" borderId="0" xfId="0" applyFill="1" applyBorder="1"/>
    <xf numFmtId="172" fontId="27" fillId="0" borderId="0" xfId="0" applyFont="1" applyFill="1" applyBorder="1" applyAlignment="1"/>
    <xf numFmtId="172" fontId="28" fillId="0" borderId="0" xfId="0" applyFont="1" applyFill="1" applyBorder="1" applyAlignment="1"/>
    <xf numFmtId="168" fontId="32" fillId="0" borderId="0" xfId="58" applyFill="1" applyBorder="1" applyAlignment="1">
      <alignment vertical="top"/>
    </xf>
    <xf numFmtId="168" fontId="4" fillId="5" borderId="0" xfId="51" applyNumberFormat="1" applyFont="1" applyBorder="1" applyAlignment="1">
      <alignment horizontal="left" vertical="top"/>
    </xf>
    <xf numFmtId="168" fontId="5" fillId="5" borderId="0" xfId="51" applyNumberFormat="1" applyFont="1" applyBorder="1" applyAlignment="1">
      <alignment horizontal="center" vertical="top"/>
    </xf>
    <xf numFmtId="168" fontId="4" fillId="5" borderId="0" xfId="51" applyNumberFormat="1" applyFont="1" applyBorder="1" applyAlignment="1"/>
    <xf numFmtId="168" fontId="7" fillId="5" borderId="0" xfId="51" applyNumberFormat="1" applyFont="1" applyBorder="1" applyAlignment="1">
      <alignment vertical="center" wrapText="1"/>
    </xf>
    <xf numFmtId="168" fontId="4" fillId="5" borderId="0" xfId="51" applyNumberFormat="1" applyFont="1" applyAlignment="1">
      <alignment vertical="top"/>
    </xf>
    <xf numFmtId="168" fontId="5" fillId="5" borderId="0" xfId="51" applyNumberFormat="1" applyFont="1" applyAlignment="1">
      <alignment horizontal="center" vertical="top"/>
    </xf>
    <xf numFmtId="168" fontId="4" fillId="5" borderId="0" xfId="51" applyNumberFormat="1" applyFont="1" applyAlignment="1"/>
    <xf numFmtId="168" fontId="7" fillId="5" borderId="0" xfId="51" applyNumberFormat="1" applyFont="1" applyAlignment="1">
      <alignment vertical="center" wrapText="1"/>
    </xf>
    <xf numFmtId="0" fontId="4" fillId="5" borderId="12" xfId="62" applyFont="1" applyAlignment="1">
      <alignment vertical="top"/>
    </xf>
    <xf numFmtId="0" fontId="5" fillId="5" borderId="12" xfId="62" applyFont="1" applyAlignment="1">
      <alignment horizontal="center" vertical="top"/>
    </xf>
    <xf numFmtId="0" fontId="4" fillId="5" borderId="12" xfId="62" applyFont="1" applyAlignment="1"/>
    <xf numFmtId="0" fontId="7" fillId="5" borderId="12" xfId="62" applyFont="1" applyAlignment="1">
      <alignment vertical="center" wrapText="1"/>
    </xf>
    <xf numFmtId="172" fontId="27" fillId="0" borderId="0" xfId="0" applyFont="1" applyFill="1" applyBorder="1" applyAlignment="1">
      <alignment vertical="center"/>
    </xf>
    <xf numFmtId="168" fontId="9" fillId="5" borderId="0" xfId="51" applyNumberFormat="1" applyFont="1" applyAlignment="1">
      <alignment vertical="center" wrapText="1"/>
    </xf>
    <xf numFmtId="0" fontId="5" fillId="5" borderId="12" xfId="62" applyFont="1" applyAlignment="1"/>
    <xf numFmtId="0" fontId="4" fillId="5" borderId="12" xfId="62" applyFont="1" applyAlignment="1">
      <alignment horizontal="left"/>
    </xf>
    <xf numFmtId="0" fontId="9" fillId="5" borderId="12" xfId="62" applyFont="1" applyAlignment="1">
      <alignment horizontal="center" vertical="center" wrapText="1"/>
    </xf>
    <xf numFmtId="0" fontId="9" fillId="5" borderId="12" xfId="62" applyFont="1" applyAlignment="1">
      <alignment vertical="center" wrapText="1"/>
    </xf>
    <xf numFmtId="168" fontId="32" fillId="37" borderId="11" xfId="61" applyNumberFormat="1">
      <protection locked="0"/>
    </xf>
    <xf numFmtId="168" fontId="4" fillId="0" borderId="0" xfId="51" applyNumberFormat="1" applyFont="1" applyFill="1" applyAlignment="1"/>
    <xf numFmtId="0" fontId="4" fillId="0" borderId="0" xfId="62" applyFont="1" applyFill="1" applyBorder="1" applyAlignment="1"/>
    <xf numFmtId="172" fontId="0" fillId="5" borderId="0" xfId="51" applyNumberFormat="1" applyFont="1" applyAlignment="1"/>
    <xf numFmtId="172" fontId="4" fillId="5" borderId="0" xfId="51" applyNumberFormat="1" applyFont="1" applyAlignment="1">
      <alignment vertical="top"/>
    </xf>
    <xf numFmtId="0" fontId="0" fillId="5" borderId="12" xfId="62" applyFont="1" applyAlignment="1"/>
    <xf numFmtId="172" fontId="6" fillId="5" borderId="0" xfId="51" applyNumberFormat="1" applyFont="1" applyAlignment="1">
      <alignment vertical="center"/>
    </xf>
    <xf numFmtId="0" fontId="5" fillId="5" borderId="12" xfId="62" applyFont="1" applyAlignment="1">
      <alignment horizontal="left" vertical="top"/>
    </xf>
    <xf numFmtId="168" fontId="4" fillId="5" borderId="0" xfId="51" applyNumberFormat="1" applyFont="1" applyAlignment="1">
      <alignment horizontal="left"/>
    </xf>
    <xf numFmtId="168" fontId="35" fillId="0" borderId="0" xfId="54" applyFont="1">
      <alignment vertical="top"/>
    </xf>
    <xf numFmtId="168" fontId="36" fillId="37" borderId="11" xfId="61" applyNumberFormat="1" applyFont="1">
      <protection locked="0"/>
    </xf>
    <xf numFmtId="172" fontId="36" fillId="37" borderId="11" xfId="61" applyNumberFormat="1" applyFont="1">
      <protection locked="0"/>
    </xf>
    <xf numFmtId="169" fontId="0" fillId="0" borderId="0" xfId="56" applyFont="1"/>
    <xf numFmtId="172" fontId="33" fillId="0" borderId="0" xfId="59" applyNumberFormat="1" applyAlignment="1"/>
    <xf numFmtId="168" fontId="29" fillId="2" borderId="0" xfId="53" applyAlignment="1">
      <alignment horizontal="left"/>
    </xf>
    <xf numFmtId="168" fontId="37" fillId="2" borderId="0" xfId="53" applyFont="1" applyAlignment="1">
      <alignment horizontal="left"/>
    </xf>
    <xf numFmtId="172" fontId="32" fillId="37" borderId="11" xfId="61" applyNumberFormat="1">
      <protection locked="0"/>
    </xf>
    <xf numFmtId="15" fontId="0" fillId="0" borderId="0" xfId="0" applyNumberFormat="1"/>
    <xf numFmtId="172" fontId="32" fillId="37" borderId="13" xfId="61" applyNumberFormat="1" applyBorder="1" applyAlignment="1">
      <alignment horizontal="center"/>
      <protection locked="0"/>
    </xf>
    <xf numFmtId="15" fontId="32" fillId="37" borderId="13" xfId="61" applyNumberFormat="1" applyBorder="1">
      <protection locked="0"/>
    </xf>
    <xf numFmtId="172" fontId="32" fillId="37" borderId="13" xfId="61" applyNumberFormat="1" applyBorder="1">
      <protection locked="0"/>
    </xf>
    <xf numFmtId="173" fontId="32" fillId="37" borderId="13" xfId="61" applyNumberFormat="1" applyBorder="1">
      <protection locked="0"/>
    </xf>
    <xf numFmtId="172" fontId="32" fillId="37" borderId="13" xfId="61" applyNumberFormat="1" applyBorder="1" applyAlignment="1">
      <alignment horizontal="right"/>
      <protection locked="0"/>
    </xf>
    <xf numFmtId="172" fontId="0" fillId="0" borderId="14" xfId="0" applyBorder="1"/>
    <xf numFmtId="168" fontId="6" fillId="0" borderId="15" xfId="50" applyNumberFormat="1" applyBorder="1">
      <alignment horizontal="left" vertical="center"/>
    </xf>
    <xf numFmtId="172" fontId="0" fillId="0" borderId="15" xfId="0" applyBorder="1"/>
    <xf numFmtId="170" fontId="32" fillId="37" borderId="17" xfId="57" applyFont="1" applyFill="1" applyBorder="1" applyProtection="1">
      <protection locked="0"/>
    </xf>
    <xf numFmtId="168" fontId="6" fillId="0" borderId="16" xfId="50" applyNumberFormat="1" applyBorder="1">
      <alignment horizontal="left" vertical="center"/>
    </xf>
    <xf numFmtId="168" fontId="5" fillId="0" borderId="16" xfId="54" applyBorder="1">
      <alignment vertical="top"/>
    </xf>
    <xf numFmtId="172" fontId="0" fillId="0" borderId="16" xfId="0" applyBorder="1"/>
    <xf numFmtId="172" fontId="0" fillId="0" borderId="0" xfId="0" applyBorder="1"/>
    <xf numFmtId="168" fontId="37" fillId="2" borderId="15" xfId="53" applyFont="1" applyBorder="1" applyAlignment="1">
      <alignment horizontal="left"/>
    </xf>
    <xf numFmtId="172" fontId="0" fillId="0" borderId="18" xfId="0" applyBorder="1"/>
    <xf numFmtId="172" fontId="0" fillId="0" borderId="0" xfId="0" applyAlignment="1">
      <alignment horizontal="center"/>
    </xf>
    <xf numFmtId="172" fontId="32" fillId="0" borderId="0" xfId="58" applyNumberFormat="1" applyFill="1"/>
    <xf numFmtId="172" fontId="38" fillId="0" borderId="0" xfId="0" applyFont="1"/>
    <xf numFmtId="168" fontId="41" fillId="0" borderId="14" xfId="50" applyNumberFormat="1" applyFont="1" applyBorder="1">
      <alignment horizontal="left" vertical="center"/>
    </xf>
    <xf numFmtId="168" fontId="5" fillId="0" borderId="0" xfId="54" applyFill="1" applyBorder="1">
      <alignment vertical="top"/>
    </xf>
    <xf numFmtId="170" fontId="0" fillId="0" borderId="0" xfId="57" applyFont="1" applyFill="1"/>
    <xf numFmtId="168" fontId="6" fillId="0" borderId="23" xfId="50" applyNumberFormat="1" applyBorder="1">
      <alignment horizontal="left" vertical="center"/>
    </xf>
    <xf numFmtId="168" fontId="5" fillId="0" borderId="23" xfId="54" applyBorder="1">
      <alignment vertical="top"/>
    </xf>
    <xf numFmtId="172" fontId="0" fillId="0" borderId="23" xfId="0" applyBorder="1"/>
    <xf numFmtId="173" fontId="32" fillId="0" borderId="0" xfId="58" applyNumberFormat="1" applyFill="1"/>
    <xf numFmtId="174" fontId="32" fillId="0" borderId="0" xfId="58" applyNumberFormat="1" applyFill="1"/>
    <xf numFmtId="172" fontId="49" fillId="0" borderId="0" xfId="58" applyNumberFormat="1" applyFont="1" applyFill="1"/>
    <xf numFmtId="170" fontId="0" fillId="0" borderId="0" xfId="72" applyFont="1"/>
    <xf numFmtId="172" fontId="49" fillId="0" borderId="14" xfId="0" applyFont="1" applyBorder="1"/>
    <xf numFmtId="170" fontId="32" fillId="37" borderId="11" xfId="61" applyNumberFormat="1">
      <protection locked="0"/>
    </xf>
    <xf numFmtId="172" fontId="49" fillId="0" borderId="0" xfId="0" applyFont="1" applyBorder="1"/>
    <xf numFmtId="172" fontId="49" fillId="0" borderId="18" xfId="0" applyFont="1" applyBorder="1"/>
    <xf numFmtId="173" fontId="0" fillId="0" borderId="0" xfId="0" applyNumberFormat="1"/>
    <xf numFmtId="168" fontId="50" fillId="2" borderId="0" xfId="53" applyFont="1" applyAlignment="1">
      <alignment horizontal="left"/>
    </xf>
    <xf numFmtId="168" fontId="51" fillId="2" borderId="0" xfId="53" applyFont="1">
      <alignment horizontal="center"/>
    </xf>
    <xf numFmtId="168" fontId="51" fillId="2" borderId="25" xfId="53" applyFont="1" applyBorder="1">
      <alignment horizontal="center"/>
    </xf>
    <xf numFmtId="168" fontId="6" fillId="0" borderId="0" xfId="50" applyNumberFormat="1" applyFont="1">
      <alignment horizontal="left" vertical="center"/>
    </xf>
    <xf numFmtId="172" fontId="52" fillId="0" borderId="0" xfId="0" applyFont="1"/>
    <xf numFmtId="173" fontId="0" fillId="0" borderId="0" xfId="0" applyNumberFormat="1" applyAlignment="1">
      <alignment horizontal="right"/>
    </xf>
    <xf numFmtId="169" fontId="0" fillId="0" borderId="0" xfId="56" applyFont="1" applyAlignment="1">
      <alignment horizontal="right"/>
    </xf>
    <xf numFmtId="168" fontId="53" fillId="40" borderId="0" xfId="50" applyNumberFormat="1" applyFont="1" applyFill="1">
      <alignment horizontal="left" vertical="center"/>
    </xf>
    <xf numFmtId="168" fontId="30" fillId="40" borderId="0" xfId="54" applyFont="1" applyFill="1">
      <alignment vertical="top"/>
    </xf>
    <xf numFmtId="172" fontId="30" fillId="40" borderId="0" xfId="0" applyFont="1" applyFill="1"/>
    <xf numFmtId="172" fontId="30" fillId="40" borderId="0" xfId="0" applyFont="1" applyFill="1" applyAlignment="1">
      <alignment horizontal="center"/>
    </xf>
    <xf numFmtId="168" fontId="51" fillId="2" borderId="25" xfId="53" applyFont="1" applyBorder="1" applyAlignment="1">
      <alignment horizontal="centerContinuous"/>
    </xf>
    <xf numFmtId="172" fontId="0" fillId="0" borderId="22" xfId="0" applyBorder="1"/>
    <xf numFmtId="169" fontId="0" fillId="0" borderId="0" xfId="56" applyFont="1" applyFill="1"/>
    <xf numFmtId="177" fontId="32" fillId="37" borderId="13" xfId="61" applyNumberFormat="1" applyBorder="1">
      <protection locked="0"/>
    </xf>
    <xf numFmtId="172" fontId="32" fillId="37" borderId="26" xfId="61" applyNumberFormat="1" applyBorder="1" applyAlignment="1">
      <alignment horizontal="right"/>
      <protection locked="0"/>
    </xf>
    <xf numFmtId="168" fontId="6" fillId="0" borderId="0" xfId="50" applyNumberFormat="1" applyBorder="1">
      <alignment horizontal="left" vertical="center"/>
    </xf>
    <xf numFmtId="168" fontId="5" fillId="0" borderId="0" xfId="54" applyBorder="1">
      <alignment vertical="top"/>
    </xf>
    <xf numFmtId="168" fontId="37" fillId="2" borderId="19" xfId="53" applyFont="1" applyBorder="1" applyAlignment="1">
      <alignment horizontal="left"/>
    </xf>
    <xf numFmtId="168" fontId="29" fillId="2" borderId="16" xfId="53" applyBorder="1">
      <alignment horizontal="center"/>
    </xf>
    <xf numFmtId="168" fontId="29" fillId="2" borderId="20" xfId="53" applyBorder="1">
      <alignment horizontal="center"/>
    </xf>
    <xf numFmtId="172" fontId="0" fillId="0" borderId="27" xfId="0" applyBorder="1"/>
    <xf numFmtId="168" fontId="6" fillId="0" borderId="14" xfId="50" applyNumberFormat="1" applyBorder="1">
      <alignment horizontal="left" vertical="center"/>
    </xf>
    <xf numFmtId="168" fontId="6" fillId="0" borderId="21" xfId="50" applyNumberFormat="1" applyBorder="1">
      <alignment horizontal="left" vertical="center"/>
    </xf>
    <xf numFmtId="168" fontId="5" fillId="0" borderId="15" xfId="54" applyBorder="1">
      <alignment vertical="top"/>
    </xf>
    <xf numFmtId="168" fontId="5" fillId="0" borderId="15" xfId="54" applyFill="1" applyBorder="1">
      <alignment vertical="top"/>
    </xf>
    <xf numFmtId="172" fontId="49" fillId="0" borderId="0" xfId="0" applyFont="1"/>
    <xf numFmtId="173" fontId="0" fillId="0" borderId="0" xfId="0" applyNumberFormat="1" applyBorder="1"/>
    <xf numFmtId="172" fontId="32" fillId="0" borderId="0" xfId="58" applyNumberFormat="1" applyFill="1" applyBorder="1"/>
    <xf numFmtId="172" fontId="0" fillId="0" borderId="0" xfId="0" applyAlignment="1">
      <alignment horizontal="right"/>
    </xf>
    <xf numFmtId="170" fontId="32" fillId="37" borderId="13" xfId="57" applyFont="1" applyFill="1" applyBorder="1" applyAlignment="1" applyProtection="1">
      <alignment horizontal="right"/>
      <protection locked="0"/>
    </xf>
    <xf numFmtId="172" fontId="32" fillId="37" borderId="11" xfId="61" applyNumberFormat="1" applyAlignment="1">
      <alignment horizontal="right"/>
      <protection locked="0"/>
    </xf>
    <xf numFmtId="172" fontId="32" fillId="0" borderId="0" xfId="58" applyNumberFormat="1" applyFill="1" applyAlignment="1">
      <alignment horizontal="right"/>
    </xf>
    <xf numFmtId="168" fontId="6" fillId="0" borderId="19" xfId="50" applyNumberFormat="1" applyBorder="1">
      <alignment horizontal="left" vertical="center"/>
    </xf>
    <xf numFmtId="173" fontId="0" fillId="0" borderId="16" xfId="0" applyNumberFormat="1" applyBorder="1"/>
    <xf numFmtId="168" fontId="51" fillId="40" borderId="0" xfId="53" applyFont="1" applyFill="1">
      <alignment horizontal="center"/>
    </xf>
    <xf numFmtId="172" fontId="32" fillId="37" borderId="13" xfId="58" quotePrefix="1" applyNumberFormat="1" applyFill="1" applyBorder="1" applyAlignment="1" applyProtection="1">
      <alignment horizontal="right"/>
      <protection locked="0"/>
    </xf>
    <xf numFmtId="166" fontId="5" fillId="0" borderId="0" xfId="55" applyFont="1" applyBorder="1" applyAlignment="1">
      <alignment vertical="top"/>
    </xf>
    <xf numFmtId="168" fontId="5" fillId="0" borderId="0" xfId="54" applyBorder="1" applyAlignment="1">
      <alignment horizontal="right" vertical="top"/>
    </xf>
    <xf numFmtId="168" fontId="5" fillId="0" borderId="0" xfId="54" applyBorder="1" applyAlignment="1">
      <alignment horizontal="center" vertical="top"/>
    </xf>
    <xf numFmtId="166" fontId="0" fillId="0" borderId="0" xfId="55" applyFont="1"/>
    <xf numFmtId="172" fontId="32" fillId="0" borderId="0" xfId="65" applyNumberFormat="1"/>
    <xf numFmtId="168" fontId="54" fillId="0" borderId="0" xfId="50" applyNumberFormat="1" applyFont="1">
      <alignment horizontal="left" vertical="center"/>
    </xf>
    <xf numFmtId="168" fontId="55" fillId="0" borderId="0" xfId="54" applyFont="1">
      <alignment vertical="top"/>
    </xf>
    <xf numFmtId="168" fontId="56" fillId="0" borderId="0" xfId="59" applyFont="1">
      <alignment vertical="top"/>
    </xf>
    <xf numFmtId="178" fontId="0" fillId="0" borderId="0" xfId="56" applyNumberFormat="1" applyFont="1"/>
    <xf numFmtId="173" fontId="0" fillId="0" borderId="18" xfId="0" applyNumberFormat="1" applyBorder="1"/>
    <xf numFmtId="168" fontId="29" fillId="2" borderId="0" xfId="53" applyAlignment="1">
      <alignment horizontal="centerContinuous"/>
    </xf>
    <xf numFmtId="168" fontId="29" fillId="2" borderId="0" xfId="53" applyAlignment="1">
      <alignment horizontal="right"/>
    </xf>
    <xf numFmtId="168" fontId="50" fillId="2" borderId="0" xfId="53" applyFont="1" applyAlignment="1">
      <alignment horizontal="right"/>
    </xf>
    <xf numFmtId="172" fontId="58" fillId="0" borderId="0" xfId="0" applyFont="1"/>
    <xf numFmtId="168" fontId="5" fillId="0" borderId="0" xfId="54" applyFill="1">
      <alignment vertical="top"/>
    </xf>
    <xf numFmtId="170" fontId="32" fillId="0" borderId="0" xfId="65" applyNumberFormat="1"/>
    <xf numFmtId="179" fontId="0" fillId="0" borderId="0" xfId="57" applyNumberFormat="1" applyFont="1" applyFill="1"/>
    <xf numFmtId="170" fontId="32" fillId="0" borderId="0" xfId="65" applyNumberFormat="1" applyFill="1"/>
    <xf numFmtId="172" fontId="59" fillId="0" borderId="0" xfId="0" applyFont="1"/>
    <xf numFmtId="172" fontId="0" fillId="0" borderId="0" xfId="0" applyAlignment="1">
      <alignment horizontal="centerContinuous"/>
    </xf>
    <xf numFmtId="172" fontId="60" fillId="0" borderId="0" xfId="79"/>
    <xf numFmtId="172" fontId="30" fillId="40" borderId="0" xfId="79" applyFont="1" applyFill="1"/>
    <xf numFmtId="168" fontId="51" fillId="2" borderId="0" xfId="53" applyFont="1" applyAlignment="1">
      <alignment horizontal="left"/>
    </xf>
    <xf numFmtId="15" fontId="60" fillId="0" borderId="0" xfId="79" applyNumberFormat="1"/>
    <xf numFmtId="172" fontId="60" fillId="0" borderId="0" xfId="79" applyAlignment="1"/>
    <xf numFmtId="0" fontId="60" fillId="0" borderId="0" xfId="79" applyNumberFormat="1" applyAlignment="1">
      <alignment horizontal="left" vertical="top" wrapText="1"/>
    </xf>
    <xf numFmtId="168" fontId="5" fillId="0" borderId="0" xfId="54" applyAlignment="1">
      <alignment vertical="top"/>
    </xf>
    <xf numFmtId="168" fontId="6" fillId="0" borderId="0" xfId="50" applyNumberFormat="1" applyAlignment="1">
      <alignment horizontal="left" vertical="center"/>
    </xf>
    <xf numFmtId="168" fontId="61" fillId="0" borderId="0" xfId="59" applyFont="1">
      <alignment vertical="top"/>
    </xf>
    <xf numFmtId="172" fontId="28" fillId="0" borderId="0" xfId="79" applyFont="1" applyFill="1" applyBorder="1" applyAlignment="1"/>
    <xf numFmtId="166" fontId="30" fillId="3" borderId="0" xfId="52" applyBorder="1">
      <alignment horizontal="center"/>
    </xf>
    <xf numFmtId="172" fontId="28" fillId="3" borderId="0" xfId="79" applyFont="1" applyFill="1" applyBorder="1" applyAlignment="1"/>
    <xf numFmtId="168" fontId="10" fillId="3" borderId="0" xfId="49" applyNumberFormat="1" applyBorder="1" applyAlignment="1"/>
    <xf numFmtId="172" fontId="27" fillId="0" borderId="0" xfId="79" applyFont="1" applyFill="1" applyBorder="1" applyAlignment="1">
      <alignment vertical="center"/>
    </xf>
    <xf numFmtId="168" fontId="29" fillId="2" borderId="0" xfId="53" applyBorder="1">
      <alignment horizontal="center"/>
    </xf>
    <xf numFmtId="172" fontId="27" fillId="2" borderId="0" xfId="79" applyFont="1" applyFill="1" applyBorder="1" applyAlignment="1">
      <alignment vertical="center"/>
    </xf>
    <xf numFmtId="168" fontId="34" fillId="2" borderId="0" xfId="48" applyNumberFormat="1" applyBorder="1">
      <alignment horizontal="left"/>
    </xf>
    <xf numFmtId="172" fontId="60" fillId="0" borderId="0" xfId="79" applyBorder="1"/>
    <xf numFmtId="172" fontId="60" fillId="0" borderId="16" xfId="79" applyBorder="1"/>
    <xf numFmtId="172" fontId="60" fillId="0" borderId="14" xfId="79" applyBorder="1"/>
    <xf numFmtId="173" fontId="32" fillId="0" borderId="0" xfId="58" applyNumberFormat="1" applyFill="1" applyBorder="1"/>
    <xf numFmtId="172" fontId="33" fillId="0" borderId="0" xfId="59" applyNumberFormat="1" applyBorder="1" applyAlignment="1"/>
    <xf numFmtId="168" fontId="29" fillId="2" borderId="0" xfId="53" applyBorder="1" applyAlignment="1">
      <alignment horizontal="left"/>
    </xf>
    <xf numFmtId="172" fontId="60" fillId="0" borderId="0" xfId="79" applyAlignment="1">
      <alignment horizontal="right"/>
    </xf>
    <xf numFmtId="172" fontId="33" fillId="0" borderId="0" xfId="59" applyNumberFormat="1" applyFill="1" applyBorder="1" applyAlignment="1">
      <alignment horizontal="center"/>
    </xf>
    <xf numFmtId="15" fontId="33" fillId="0" borderId="0" xfId="59" applyNumberFormat="1" applyBorder="1" applyAlignment="1">
      <alignment horizontal="center"/>
    </xf>
    <xf numFmtId="172" fontId="33" fillId="0" borderId="0" xfId="59" applyNumberFormat="1" applyBorder="1" applyAlignment="1">
      <alignment horizontal="center"/>
    </xf>
    <xf numFmtId="168" fontId="5" fillId="0" borderId="14" xfId="54" applyBorder="1">
      <alignment vertical="top"/>
    </xf>
    <xf numFmtId="174" fontId="60" fillId="0" borderId="0" xfId="79" applyNumberFormat="1" applyBorder="1" applyAlignment="1">
      <alignment horizontal="right"/>
    </xf>
    <xf numFmtId="172" fontId="60" fillId="0" borderId="18" xfId="79" applyBorder="1"/>
    <xf numFmtId="168" fontId="5" fillId="0" borderId="18" xfId="54" applyBorder="1">
      <alignment vertical="top"/>
    </xf>
    <xf numFmtId="168" fontId="37" fillId="2" borderId="0" xfId="53" applyFont="1" applyBorder="1" applyAlignment="1">
      <alignment horizontal="left"/>
    </xf>
    <xf numFmtId="173" fontId="60" fillId="0" borderId="0" xfId="79" applyNumberFormat="1" applyBorder="1"/>
    <xf numFmtId="170" fontId="0" fillId="0" borderId="16" xfId="57" applyFont="1" applyFill="1" applyBorder="1"/>
    <xf numFmtId="173" fontId="60" fillId="0" borderId="0" xfId="79" applyNumberFormat="1" applyBorder="1" applyAlignment="1">
      <alignment horizontal="right"/>
    </xf>
    <xf numFmtId="173" fontId="32" fillId="37" borderId="11" xfId="61" applyNumberFormat="1">
      <protection locked="0"/>
    </xf>
    <xf numFmtId="170" fontId="0" fillId="0" borderId="0" xfId="57" applyFont="1" applyFill="1" applyBorder="1" applyAlignment="1">
      <alignment horizontal="right"/>
    </xf>
    <xf numFmtId="168" fontId="37" fillId="2" borderId="0" xfId="53" applyFont="1" applyBorder="1" applyAlignment="1">
      <alignment horizontal="center"/>
    </xf>
    <xf numFmtId="172" fontId="60" fillId="0" borderId="0" xfId="79" applyBorder="1" applyAlignment="1">
      <alignment horizontal="center"/>
    </xf>
    <xf numFmtId="169" fontId="0" fillId="0" borderId="0" xfId="70" applyFont="1" applyBorder="1"/>
    <xf numFmtId="170" fontId="0" fillId="0" borderId="14" xfId="57" applyFont="1" applyFill="1" applyBorder="1"/>
    <xf numFmtId="170" fontId="0" fillId="0" borderId="0" xfId="57" applyFont="1" applyFill="1" applyBorder="1"/>
    <xf numFmtId="172" fontId="32" fillId="37" borderId="11" xfId="61" applyNumberFormat="1" applyAlignment="1">
      <alignment horizontal="center"/>
      <protection locked="0"/>
    </xf>
    <xf numFmtId="15" fontId="32" fillId="37" borderId="11" xfId="61" applyNumberFormat="1">
      <protection locked="0"/>
    </xf>
    <xf numFmtId="169" fontId="0" fillId="0" borderId="14" xfId="70" applyFont="1" applyBorder="1"/>
    <xf numFmtId="15" fontId="60" fillId="0" borderId="0" xfId="79" applyNumberFormat="1" applyBorder="1"/>
    <xf numFmtId="168" fontId="35" fillId="0" borderId="0" xfId="54" applyFont="1" applyBorder="1">
      <alignment vertical="top"/>
    </xf>
    <xf numFmtId="172" fontId="36" fillId="37" borderId="0" xfId="61" applyNumberFormat="1" applyFont="1" applyBorder="1">
      <protection locked="0"/>
    </xf>
    <xf numFmtId="172" fontId="60" fillId="0" borderId="0" xfId="79" applyBorder="1" applyAlignment="1">
      <alignment horizontal="right"/>
    </xf>
    <xf numFmtId="172" fontId="60" fillId="0" borderId="18" xfId="79" applyBorder="1" applyAlignment="1">
      <alignment horizontal="right"/>
    </xf>
    <xf numFmtId="168" fontId="5" fillId="0" borderId="18" xfId="54" applyBorder="1" applyAlignment="1">
      <alignment horizontal="right" vertical="top"/>
    </xf>
    <xf numFmtId="173" fontId="32" fillId="37" borderId="11" xfId="61" applyNumberFormat="1" applyAlignment="1">
      <alignment horizontal="right"/>
      <protection locked="0"/>
    </xf>
    <xf numFmtId="170" fontId="32" fillId="37" borderId="11" xfId="65" applyNumberFormat="1" applyFill="1" applyBorder="1" applyProtection="1">
      <protection locked="0"/>
    </xf>
    <xf numFmtId="170" fontId="32" fillId="0" borderId="0" xfId="57" applyFont="1" applyFill="1"/>
    <xf numFmtId="177" fontId="32" fillId="37" borderId="11" xfId="61" applyNumberFormat="1">
      <protection locked="0"/>
    </xf>
    <xf numFmtId="179" fontId="32" fillId="37" borderId="11" xfId="61" applyNumberFormat="1">
      <protection locked="0"/>
    </xf>
    <xf numFmtId="172" fontId="63" fillId="0" borderId="0" xfId="0" applyFont="1"/>
    <xf numFmtId="15" fontId="31" fillId="0" borderId="0" xfId="79" applyNumberFormat="1" applyFont="1" applyAlignment="1">
      <alignment vertical="top"/>
    </xf>
    <xf numFmtId="173" fontId="31" fillId="0" borderId="0" xfId="79" applyNumberFormat="1" applyFont="1" applyAlignment="1">
      <alignment horizontal="right" vertical="top"/>
    </xf>
    <xf numFmtId="170" fontId="31" fillId="0" borderId="0" xfId="72" applyFont="1" applyAlignment="1">
      <alignment horizontal="right" vertical="top"/>
    </xf>
    <xf numFmtId="172" fontId="31" fillId="0" borderId="0" xfId="79" applyFont="1" applyAlignment="1">
      <alignment horizontal="right" vertical="top"/>
    </xf>
    <xf numFmtId="169" fontId="31" fillId="0" borderId="0" xfId="70" applyFont="1" applyAlignment="1">
      <alignment horizontal="right" vertical="top"/>
    </xf>
    <xf numFmtId="170" fontId="31" fillId="0" borderId="0" xfId="57" applyFont="1" applyFill="1" applyAlignment="1">
      <alignment horizontal="right" vertical="top"/>
    </xf>
    <xf numFmtId="169" fontId="32" fillId="0" borderId="0" xfId="56" applyFont="1"/>
    <xf numFmtId="178" fontId="32" fillId="0" borderId="0" xfId="56" applyNumberFormat="1" applyFont="1"/>
    <xf numFmtId="173" fontId="59" fillId="0" borderId="0" xfId="0" applyNumberFormat="1" applyFont="1"/>
    <xf numFmtId="168" fontId="51" fillId="2" borderId="0" xfId="53" applyFont="1" applyBorder="1" applyAlignment="1">
      <alignment horizontal="centerContinuous"/>
    </xf>
    <xf numFmtId="169" fontId="32" fillId="0" borderId="0" xfId="65" applyNumberFormat="1"/>
    <xf numFmtId="180" fontId="66" fillId="0" borderId="0" xfId="0" applyNumberFormat="1" applyFont="1" applyAlignment="1">
      <alignment horizontal="left"/>
    </xf>
    <xf numFmtId="168" fontId="34" fillId="2" borderId="0" xfId="48" applyNumberFormat="1" applyFill="1" applyAlignment="1">
      <alignment horizontal="center"/>
    </xf>
    <xf numFmtId="172" fontId="7" fillId="0" borderId="0" xfId="0" applyFont="1" applyFill="1" applyBorder="1" applyAlignment="1">
      <alignment horizontal="center" vertical="center" wrapText="1"/>
    </xf>
    <xf numFmtId="168" fontId="4" fillId="5" borderId="0" xfId="51" applyNumberFormat="1" applyFont="1" applyBorder="1" applyAlignment="1">
      <alignment horizontal="left" vertical="top"/>
    </xf>
    <xf numFmtId="168" fontId="34" fillId="3" borderId="0" xfId="49" applyNumberFormat="1" applyFont="1" applyAlignment="1">
      <alignment horizontal="center" vertical="center"/>
    </xf>
    <xf numFmtId="168" fontId="33" fillId="5" borderId="0" xfId="59" applyNumberFormat="1" applyFill="1" applyBorder="1" applyAlignment="1">
      <alignment horizontal="center" vertical="center" wrapText="1"/>
    </xf>
    <xf numFmtId="172" fontId="9" fillId="0" borderId="0" xfId="0" applyFont="1" applyFill="1" applyBorder="1" applyAlignment="1">
      <alignment horizontal="center" vertical="center" wrapText="1"/>
    </xf>
    <xf numFmtId="172" fontId="0" fillId="5" borderId="0" xfId="51" applyNumberFormat="1" applyFont="1" applyAlignment="1">
      <alignment horizontal="left"/>
    </xf>
    <xf numFmtId="168" fontId="4" fillId="5" borderId="0" xfId="51" applyNumberFormat="1" applyFont="1" applyAlignment="1">
      <alignment horizontal="left"/>
    </xf>
    <xf numFmtId="166" fontId="4" fillId="5" borderId="0" xfId="51" applyNumberFormat="1" applyFont="1" applyAlignment="1">
      <alignment horizontal="left"/>
    </xf>
    <xf numFmtId="0" fontId="4" fillId="5" borderId="0" xfId="51" applyNumberFormat="1" applyFont="1" applyAlignment="1">
      <alignment horizontal="left"/>
    </xf>
    <xf numFmtId="172" fontId="6" fillId="5" borderId="0" xfId="0" applyFont="1" applyFill="1" applyBorder="1" applyAlignment="1">
      <alignment horizontal="left" vertical="center"/>
    </xf>
    <xf numFmtId="172" fontId="6" fillId="5" borderId="0" xfId="50" applyNumberFormat="1" applyFill="1" applyAlignment="1">
      <alignment horizontal="left" vertical="center"/>
    </xf>
  </cellXfs>
  <cellStyles count="81">
    <cellStyle name="20% - Accent1" xfId="25" builtinId="30" hidden="1"/>
    <cellStyle name="20% - Accent2" xfId="29" builtinId="34" hidden="1"/>
    <cellStyle name="20% - Accent3" xfId="33" builtinId="38" hidden="1"/>
    <cellStyle name="20% - Accent4" xfId="37" builtinId="42" hidden="1"/>
    <cellStyle name="20% - Accent5" xfId="41" builtinId="46" hidden="1"/>
    <cellStyle name="20% - Accent6" xfId="45" builtinId="50" hidden="1"/>
    <cellStyle name="40% - Accent1" xfId="26" builtinId="31" hidden="1"/>
    <cellStyle name="40% - Accent2" xfId="30" builtinId="35" hidden="1"/>
    <cellStyle name="40% - Accent3" xfId="34" builtinId="39" hidden="1"/>
    <cellStyle name="40% - Accent4" xfId="38" builtinId="43" hidden="1"/>
    <cellStyle name="40% - Accent5" xfId="42" builtinId="47" hidden="1"/>
    <cellStyle name="40% - Accent6" xfId="46" builtinId="51" hidden="1"/>
    <cellStyle name="60% - Accent1" xfId="27" builtinId="32" hidden="1"/>
    <cellStyle name="60% - Accent2" xfId="31" builtinId="36" hidden="1"/>
    <cellStyle name="60% - Accent3" xfId="35" builtinId="40" hidden="1"/>
    <cellStyle name="60% - Accent4" xfId="39" builtinId="44" hidden="1"/>
    <cellStyle name="60% - Accent5" xfId="43" builtinId="48" hidden="1"/>
    <cellStyle name="60% - Accent6" xfId="47" builtinId="52" hidden="1"/>
    <cellStyle name="Accent1" xfId="24" builtinId="29" hidden="1"/>
    <cellStyle name="Accent2" xfId="28" builtinId="33" hidden="1"/>
    <cellStyle name="Accent3" xfId="32" builtinId="37" hidden="1"/>
    <cellStyle name="Accent4" xfId="36" builtinId="41" hidden="1"/>
    <cellStyle name="Accent5" xfId="40" builtinId="45" hidden="1"/>
    <cellStyle name="Accent6" xfId="44" builtinId="49" hidden="1"/>
    <cellStyle name="b" xfId="65" xr:uid="{00000000-0005-0000-0000-000018000000}"/>
    <cellStyle name="b 2" xfId="77" xr:uid="{00000000-0005-0000-0000-000019000000}"/>
    <cellStyle name="Background Fill" xfId="51" xr:uid="{00000000-0005-0000-0000-00001A000000}"/>
    <cellStyle name="Bad" xfId="13" builtinId="27" hidden="1"/>
    <cellStyle name="BG Border" xfId="62" xr:uid="{00000000-0005-0000-0000-00001C000000}"/>
    <cellStyle name="Blank" xfId="60" xr:uid="{00000000-0005-0000-0000-00001D000000}"/>
    <cellStyle name="Calculation" xfId="17" builtinId="22" hidden="1"/>
    <cellStyle name="CapIQ_date" xfId="66" xr:uid="{00000000-0005-0000-0000-00001F000000}"/>
    <cellStyle name="Check Cell" xfId="19" builtinId="23" hidden="1"/>
    <cellStyle name="Column_header" xfId="67" xr:uid="{00000000-0005-0000-0000-000021000000}"/>
    <cellStyle name="Comma" xfId="2" builtinId="3" hidden="1"/>
    <cellStyle name="Comma [0]" xfId="3" builtinId="6" hidden="1"/>
    <cellStyle name="Cover Title" xfId="63" xr:uid="{00000000-0005-0000-0000-000024000000}"/>
    <cellStyle name="Currency" xfId="4" builtinId="4" hidden="1"/>
    <cellStyle name="Currency [0]" xfId="5" builtinId="7" hidden="1"/>
    <cellStyle name="d" xfId="76" xr:uid="{00000000-0005-0000-0000-000027000000}"/>
    <cellStyle name="Date" xfId="55" xr:uid="{00000000-0005-0000-0000-000028000000}"/>
    <cellStyle name="Date Heading" xfId="52" xr:uid="{00000000-0005-0000-0000-000029000000}"/>
    <cellStyle name="Explanatory Text" xfId="22" builtinId="53" hidden="1"/>
    <cellStyle name="Good" xfId="12" builtinId="26" hidden="1"/>
    <cellStyle name="Hard Coded Number" xfId="58" xr:uid="{00000000-0005-0000-0000-00002C000000}"/>
    <cellStyle name="Heading" xfId="68" xr:uid="{00000000-0005-0000-0000-00002D000000}"/>
    <cellStyle name="Heading 1" xfId="8" builtinId="16" hidden="1"/>
    <cellStyle name="Heading 2" xfId="9" builtinId="17" hidden="1"/>
    <cellStyle name="Heading 3" xfId="10" builtinId="18" hidden="1"/>
    <cellStyle name="Heading 4" xfId="11" builtinId="19" hidden="1"/>
    <cellStyle name="Highlight" xfId="64" xr:uid="{00000000-0005-0000-0000-000032000000}"/>
    <cellStyle name="Hist Proj Title" xfId="53" xr:uid="{00000000-0005-0000-0000-000033000000}"/>
    <cellStyle name="Hyperlink" xfId="1" builtinId="8" hidden="1" customBuiltin="1"/>
    <cellStyle name="Input" xfId="15" builtinId="20" hidden="1"/>
    <cellStyle name="Input" xfId="61" builtinId="20" customBuiltin="1"/>
    <cellStyle name="Linked Cell" xfId="18" builtinId="24" hidden="1"/>
    <cellStyle name="Main_heading" xfId="69" xr:uid="{00000000-0005-0000-0000-000038000000}"/>
    <cellStyle name="Multiple" xfId="56" xr:uid="{00000000-0005-0000-0000-000039000000}"/>
    <cellStyle name="Multiple 2" xfId="70" xr:uid="{00000000-0005-0000-0000-00003A000000}"/>
    <cellStyle name="Neutral" xfId="14" builtinId="28" hidden="1"/>
    <cellStyle name="Normal" xfId="0" builtinId="0" customBuiltin="1"/>
    <cellStyle name="Normal 2" xfId="75" xr:uid="{00000000-0005-0000-0000-00003D000000}"/>
    <cellStyle name="Normal 3" xfId="79" xr:uid="{00000000-0005-0000-0000-00003E000000}"/>
    <cellStyle name="Normal 4" xfId="80" xr:uid="{00000000-0005-0000-0000-00003F000000}"/>
    <cellStyle name="Note" xfId="21" builtinId="10" hidden="1"/>
    <cellStyle name="Notes and Comments" xfId="59" xr:uid="{00000000-0005-0000-0000-000041000000}"/>
    <cellStyle name="Number_1dp" xfId="71" xr:uid="{00000000-0005-0000-0000-000042000000}"/>
    <cellStyle name="Output" xfId="16" builtinId="21" hidden="1"/>
    <cellStyle name="P" xfId="72" xr:uid="{00000000-0005-0000-0000-000044000000}"/>
    <cellStyle name="p 2" xfId="78" xr:uid="{00000000-0005-0000-0000-000045000000}"/>
    <cellStyle name="Percent" xfId="6" builtinId="5" hidden="1"/>
    <cellStyle name="Percent" xfId="57" builtinId="5" customBuiltin="1"/>
    <cellStyle name="Primary Title" xfId="48" xr:uid="{00000000-0005-0000-0000-000048000000}"/>
    <cellStyle name="Row Label" xfId="54" xr:uid="{00000000-0005-0000-0000-000049000000}"/>
    <cellStyle name="Secondary Title" xfId="49" xr:uid="{00000000-0005-0000-0000-00004A000000}"/>
    <cellStyle name="Section_heading" xfId="73" xr:uid="{00000000-0005-0000-0000-00004B000000}"/>
    <cellStyle name="Switch" xfId="74" xr:uid="{00000000-0005-0000-0000-00004C000000}"/>
    <cellStyle name="Tertiary Title" xfId="50" xr:uid="{00000000-0005-0000-0000-00004D000000}"/>
    <cellStyle name="Title" xfId="7" builtinId="15" hidden="1"/>
    <cellStyle name="Total" xfId="23" builtinId="25" hidden="1"/>
    <cellStyle name="Warning Text" xfId="20" builtinId="11" hidden="1"/>
  </cellStyles>
  <dxfs count="0"/>
  <tableStyles count="0" defaultTableStyle="TableStyleMedium2" defaultPivotStyle="PivotStyleLight16"/>
  <colors>
    <mruColors>
      <color rgb="FFE2F1FE"/>
      <color rgb="FFF0F8FE"/>
      <color rgb="FF163260"/>
      <color rgb="FF085393"/>
      <color rgb="FFBBDEFB"/>
      <color rgb="FF0000FF"/>
      <color rgb="FFEBF1FB"/>
      <color rgb="FFD3E0F5"/>
      <color rgb="FFC9D9F3"/>
      <color rgb="FFC4E3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'Football field'!$A$64</c:f>
          <c:strCache>
            <c:ptCount val="1"/>
            <c:pt idx="0">
              <c:v>Valution of Tumi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'Football field'!$C$65</c:f>
              <c:strCache>
                <c:ptCount val="1"/>
                <c:pt idx="0">
                  <c:v>Low </c:v>
                </c:pt>
              </c:strCache>
            </c:strRef>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field'!$B$66:$B$72</c:f>
              <c:strCache>
                <c:ptCount val="7"/>
                <c:pt idx="0">
                  <c:v>EV / EBITDA CY 2 </c:v>
                </c:pt>
                <c:pt idx="1">
                  <c:v>PE CY 2 </c:v>
                </c:pt>
                <c:pt idx="2">
                  <c:v>DCF (WACC 6.65% to 7.05% LT Growth) </c:v>
                </c:pt>
                <c:pt idx="3">
                  <c:v>52 Week High Low </c:v>
                </c:pt>
                <c:pt idx="4">
                  <c:v>Transaction EV/LTM EBITDA </c:v>
                </c:pt>
                <c:pt idx="5">
                  <c:v>Premium Paid </c:v>
                </c:pt>
                <c:pt idx="6">
                  <c:v>DCF with Synergies 4% to 6% of LTM sales </c:v>
                </c:pt>
              </c:strCache>
            </c:strRef>
          </c:cat>
          <c:val>
            <c:numRef>
              <c:f>'Football field'!$C$66:$C$72</c:f>
              <c:numCache>
                <c:formatCode>#,##0.00_);\(#,##0.00\);0.00_);@_)</c:formatCode>
                <c:ptCount val="7"/>
                <c:pt idx="0" formatCode="#,##0.0_);\(#,##0.0\);0.0_);@_)">
                  <c:v>17.840166915960015</c:v>
                </c:pt>
                <c:pt idx="1">
                  <c:v>17.5716</c:v>
                </c:pt>
                <c:pt idx="2">
                  <c:v>20.234896366651373</c:v>
                </c:pt>
                <c:pt idx="3">
                  <c:v>15.01</c:v>
                </c:pt>
                <c:pt idx="4">
                  <c:v>19.039115677685736</c:v>
                </c:pt>
                <c:pt idx="5">
                  <c:v>24.552</c:v>
                </c:pt>
                <c:pt idx="6">
                  <c:v>24.378792483924407</c:v>
                </c:pt>
              </c:numCache>
            </c:numRef>
          </c:val>
          <c:extLst>
            <c:ext xmlns:c16="http://schemas.microsoft.com/office/drawing/2014/chart" uri="{C3380CC4-5D6E-409C-BE32-E72D297353CC}">
              <c16:uniqueId val="{00000000-61A6-B140-A6DD-52733D5CA0FF}"/>
            </c:ext>
          </c:extLst>
        </c:ser>
        <c:ser>
          <c:idx val="1"/>
          <c:order val="1"/>
          <c:tx>
            <c:strRef>
              <c:f>'Football field'!$D$65</c:f>
              <c:strCache>
                <c:ptCount val="1"/>
                <c:pt idx="0">
                  <c:v>Difference </c:v>
                </c:pt>
              </c:strCache>
            </c:strRef>
          </c:tx>
          <c:spPr>
            <a:solidFill>
              <a:schemeClr val="accent2"/>
            </a:solidFill>
            <a:ln>
              <a:noFill/>
            </a:ln>
            <a:effectLst/>
          </c:spPr>
          <c:invertIfNegative val="0"/>
          <c:cat>
            <c:strRef>
              <c:f>'Football field'!$B$66:$B$72</c:f>
              <c:strCache>
                <c:ptCount val="7"/>
                <c:pt idx="0">
                  <c:v>EV / EBITDA CY 2 </c:v>
                </c:pt>
                <c:pt idx="1">
                  <c:v>PE CY 2 </c:v>
                </c:pt>
                <c:pt idx="2">
                  <c:v>DCF (WACC 6.65% to 7.05% LT Growth) </c:v>
                </c:pt>
                <c:pt idx="3">
                  <c:v>52 Week High Low </c:v>
                </c:pt>
                <c:pt idx="4">
                  <c:v>Transaction EV/LTM EBITDA </c:v>
                </c:pt>
                <c:pt idx="5">
                  <c:v>Premium Paid </c:v>
                </c:pt>
                <c:pt idx="6">
                  <c:v>DCF with Synergies 4% to 6% of LTM sales </c:v>
                </c:pt>
              </c:strCache>
            </c:strRef>
          </c:cat>
          <c:val>
            <c:numRef>
              <c:f>'Football field'!$D$66:$D$72</c:f>
              <c:numCache>
                <c:formatCode>#,##0.0_);\(#,##0.0\);0.0_);@_)</c:formatCode>
                <c:ptCount val="7"/>
                <c:pt idx="0">
                  <c:v>1.8317883833583153</c:v>
                </c:pt>
                <c:pt idx="1">
                  <c:v>0.18360000000000198</c:v>
                </c:pt>
                <c:pt idx="2">
                  <c:v>3.0929222471832851</c:v>
                </c:pt>
                <c:pt idx="3">
                  <c:v>12.83</c:v>
                </c:pt>
                <c:pt idx="4">
                  <c:v>10.080475200811815</c:v>
                </c:pt>
                <c:pt idx="5">
                  <c:v>1.980000000000004</c:v>
                </c:pt>
                <c:pt idx="6">
                  <c:v>5.2081632586016511</c:v>
                </c:pt>
              </c:numCache>
            </c:numRef>
          </c:val>
          <c:extLst>
            <c:ext xmlns:c16="http://schemas.microsoft.com/office/drawing/2014/chart" uri="{C3380CC4-5D6E-409C-BE32-E72D297353CC}">
              <c16:uniqueId val="{00000001-61A6-B140-A6DD-52733D5CA0FF}"/>
            </c:ext>
          </c:extLst>
        </c:ser>
        <c:dLbls>
          <c:showLegendKey val="0"/>
          <c:showVal val="0"/>
          <c:showCatName val="0"/>
          <c:showSerName val="0"/>
          <c:showPercent val="0"/>
          <c:showBubbleSize val="0"/>
        </c:dLbls>
        <c:gapWidth val="150"/>
        <c:overlap val="100"/>
        <c:axId val="1626330624"/>
        <c:axId val="1626332272"/>
      </c:barChart>
      <c:scatterChart>
        <c:scatterStyle val="lineMarker"/>
        <c:varyColors val="0"/>
        <c:ser>
          <c:idx val="2"/>
          <c:order val="2"/>
          <c:tx>
            <c:v>Share price</c:v>
          </c:tx>
          <c:spPr>
            <a:ln w="12700" cap="rnd">
              <a:solidFill>
                <a:schemeClr val="bg2">
                  <a:lumMod val="50000"/>
                </a:schemeClr>
              </a:solidFill>
              <a:prstDash val="dash"/>
              <a:round/>
            </a:ln>
            <a:effectLst/>
          </c:spPr>
          <c:marker>
            <c:symbol val="none"/>
          </c:marker>
          <c:dPt>
            <c:idx val="1"/>
            <c:marker>
              <c:symbol val="none"/>
            </c:marker>
            <c:bubble3D val="0"/>
            <c:spPr>
              <a:ln w="19050" cap="rnd">
                <a:solidFill>
                  <a:schemeClr val="bg2">
                    <a:lumMod val="50000"/>
                  </a:schemeClr>
                </a:solidFill>
                <a:prstDash val="dash"/>
                <a:round/>
              </a:ln>
              <a:effectLst/>
            </c:spPr>
            <c:extLst>
              <c:ext xmlns:c16="http://schemas.microsoft.com/office/drawing/2014/chart" uri="{C3380CC4-5D6E-409C-BE32-E72D297353CC}">
                <c16:uniqueId val="{00000006-61A6-B140-A6DD-52733D5CA0FF}"/>
              </c:ext>
            </c:extLst>
          </c:dPt>
          <c:xVal>
            <c:numRef>
              <c:f>'Football field'!$H$61:$H$62</c:f>
              <c:numCache>
                <c:formatCode>#,##0.0_);\(#,##0.0\);0.0_);@_)</c:formatCode>
                <c:ptCount val="2"/>
                <c:pt idx="0">
                  <c:v>19.8</c:v>
                </c:pt>
                <c:pt idx="1">
                  <c:v>19.8</c:v>
                </c:pt>
              </c:numCache>
            </c:numRef>
          </c:xVal>
          <c:yVal>
            <c:numRef>
              <c:f>'Football field'!$I$61:$I$62</c:f>
              <c:numCache>
                <c:formatCode>#,##0.0_);\(#,##0.0\);0.0_);@_)</c:formatCode>
                <c:ptCount val="2"/>
                <c:pt idx="0">
                  <c:v>0</c:v>
                </c:pt>
                <c:pt idx="1">
                  <c:v>7</c:v>
                </c:pt>
              </c:numCache>
            </c:numRef>
          </c:yVal>
          <c:smooth val="0"/>
          <c:extLst>
            <c:ext xmlns:c16="http://schemas.microsoft.com/office/drawing/2014/chart" uri="{C3380CC4-5D6E-409C-BE32-E72D297353CC}">
              <c16:uniqueId val="{00000005-61A6-B140-A6DD-52733D5CA0FF}"/>
            </c:ext>
          </c:extLst>
        </c:ser>
        <c:ser>
          <c:idx val="3"/>
          <c:order val="3"/>
          <c:tx>
            <c:v>Data Labels</c:v>
          </c:tx>
          <c:spPr>
            <a:ln w="28575"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'Football field'!$F$66:$F$72</c:f>
              <c:numCache>
                <c:formatCode>#,##0.00_);\(#,##0.00\);0.00_);@_)</c:formatCode>
                <c:ptCount val="7"/>
                <c:pt idx="0" formatCode="#,##0.0_);\(#,##0.0\);0.0_);@_)">
                  <c:v>19.671955299318331</c:v>
                </c:pt>
                <c:pt idx="1">
                  <c:v>17.755200000000002</c:v>
                </c:pt>
                <c:pt idx="2">
                  <c:v>23.327818613834658</c:v>
                </c:pt>
                <c:pt idx="3">
                  <c:v>27.84</c:v>
                </c:pt>
                <c:pt idx="4">
                  <c:v>29.119590878497551</c:v>
                </c:pt>
                <c:pt idx="5">
                  <c:v>26.532000000000004</c:v>
                </c:pt>
                <c:pt idx="6">
                  <c:v>29.586955742526058</c:v>
                </c:pt>
              </c:numCache>
            </c:numRef>
          </c:xVal>
          <c:yVal>
            <c:numRef>
              <c:f>'Football field'!$E$66:$E$72</c:f>
              <c:numCache>
                <c:formatCode>#,##0.0_);\(#,##0.0\);0.0_);@_)</c:formatCode>
                <c:ptCount val="7"/>
                <c:pt idx="0">
                  <c:v>6.5</c:v>
                </c:pt>
                <c:pt idx="1">
                  <c:v>5.5</c:v>
                </c:pt>
                <c:pt idx="2">
                  <c:v>4.5</c:v>
                </c:pt>
                <c:pt idx="3">
                  <c:v>3.5</c:v>
                </c:pt>
                <c:pt idx="4">
                  <c:v>2.5</c:v>
                </c:pt>
                <c:pt idx="5">
                  <c:v>1.5</c:v>
                </c:pt>
                <c:pt idx="6">
                  <c:v>0.5</c:v>
                </c:pt>
              </c:numCache>
            </c:numRef>
          </c:yVal>
          <c:smooth val="0"/>
          <c:extLst>
            <c:ext xmlns:c16="http://schemas.microsoft.com/office/drawing/2014/chart" uri="{C3380CC4-5D6E-409C-BE32-E72D297353CC}">
              <c16:uniqueId val="{00000007-61A6-B140-A6DD-52733D5CA0FF}"/>
            </c:ext>
          </c:extLst>
        </c:ser>
        <c:dLbls>
          <c:showLegendKey val="0"/>
          <c:showVal val="0"/>
          <c:showCatName val="0"/>
          <c:showSerName val="0"/>
          <c:showPercent val="0"/>
          <c:showBubbleSize val="0"/>
        </c:dLbls>
        <c:axId val="1621988128"/>
        <c:axId val="1650632576"/>
      </c:scatterChart>
      <c:catAx>
        <c:axId val="162633062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6332272"/>
        <c:crosses val="autoZero"/>
        <c:auto val="1"/>
        <c:lblAlgn val="ctr"/>
        <c:lblOffset val="100"/>
        <c:noMultiLvlLbl val="0"/>
      </c:catAx>
      <c:valAx>
        <c:axId val="1626332272"/>
        <c:scaling>
          <c:orientation val="minMax"/>
          <c:min val="1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Implied Share 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_);\(#,##0.0\);0.0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6330624"/>
        <c:crosses val="max"/>
        <c:crossBetween val="between"/>
      </c:valAx>
      <c:valAx>
        <c:axId val="1650632576"/>
        <c:scaling>
          <c:orientation val="minMax"/>
          <c:max val="7"/>
        </c:scaling>
        <c:delete val="1"/>
        <c:axPos val="r"/>
        <c:numFmt formatCode="#,##0.0_);\(#,##0.0\);0.0_);@_)" sourceLinked="1"/>
        <c:majorTickMark val="out"/>
        <c:minorTickMark val="none"/>
        <c:tickLblPos val="nextTo"/>
        <c:crossAx val="1621988128"/>
        <c:crosses val="max"/>
        <c:crossBetween val="midCat"/>
      </c:valAx>
      <c:valAx>
        <c:axId val="1621988128"/>
        <c:scaling>
          <c:orientation val="minMax"/>
        </c:scaling>
        <c:delete val="1"/>
        <c:axPos val="b"/>
        <c:numFmt formatCode="#,##0.0_);\(#,##0.0\);0.0_);@_)" sourceLinked="1"/>
        <c:majorTickMark val="out"/>
        <c:minorTickMark val="none"/>
        <c:tickLblPos val="nextTo"/>
        <c:crossAx val="16506325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8.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19050</xdr:colOff>
      <xdr:row>0</xdr:row>
      <xdr:rowOff>1019175</xdr:rowOff>
    </xdr:from>
    <xdr:to>
      <xdr:col>9</xdr:col>
      <xdr:colOff>457200</xdr:colOff>
      <xdr:row>0</xdr:row>
      <xdr:rowOff>1503980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95550" y="1019175"/>
          <a:ext cx="3533775" cy="4848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1931713</xdr:colOff>
      <xdr:row>0</xdr:row>
      <xdr:rowOff>123826</xdr:rowOff>
    </xdr:from>
    <xdr:to>
      <xdr:col>16</xdr:col>
      <xdr:colOff>161849</xdr:colOff>
      <xdr:row>0</xdr:row>
      <xdr:rowOff>466726</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27738" y="123826"/>
          <a:ext cx="401836" cy="3429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171450</xdr:colOff>
      <xdr:row>63</xdr:row>
      <xdr:rowOff>28575</xdr:rowOff>
    </xdr:from>
    <xdr:to>
      <xdr:col>12</xdr:col>
      <xdr:colOff>323850</xdr:colOff>
      <xdr:row>77</xdr:row>
      <xdr:rowOff>104775</xdr:rowOff>
    </xdr:to>
    <xdr:graphicFrame macro="">
      <xdr:nvGraphicFramePr>
        <xdr:cNvPr id="2" name="Chart 1">
          <a:extLst>
            <a:ext uri="{FF2B5EF4-FFF2-40B4-BE49-F238E27FC236}">
              <a16:creationId xmlns:a16="http://schemas.microsoft.com/office/drawing/2014/main" id="{7B54DA7F-2F05-D144-8D96-CC0CEB729E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FE Training">
  <a:themeElements>
    <a:clrScheme name="Financial Edge">
      <a:dk1>
        <a:srgbClr val="3F3F3F"/>
      </a:dk1>
      <a:lt1>
        <a:sysClr val="window" lastClr="FFFFFF"/>
      </a:lt1>
      <a:dk2>
        <a:srgbClr val="163260"/>
      </a:dk2>
      <a:lt2>
        <a:srgbClr val="F2F2F2"/>
      </a:lt2>
      <a:accent1>
        <a:srgbClr val="085393"/>
      </a:accent1>
      <a:accent2>
        <a:srgbClr val="8064A2"/>
      </a:accent2>
      <a:accent3>
        <a:srgbClr val="C0504D"/>
      </a:accent3>
      <a:accent4>
        <a:srgbClr val="ED7D31"/>
      </a:accent4>
      <a:accent5>
        <a:srgbClr val="FFC000"/>
      </a:accent5>
      <a:accent6>
        <a:srgbClr val="70AD47"/>
      </a:accent6>
      <a:hlink>
        <a:srgbClr val="085393"/>
      </a:hlink>
      <a:folHlink>
        <a:srgbClr val="B2B2B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vmlDrawing" Target="../drawings/vmlDrawing5.v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vmlDrawing" Target="../drawings/vmlDrawing7.v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9.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10.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11.v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vmlDrawing" Target="../drawings/vmlDrawing15.vml"/><Relationship Id="rId1" Type="http://schemas.openxmlformats.org/officeDocument/2006/relationships/printerSettings" Target="../printerSettings/printerSettings11.bin"/><Relationship Id="rId4" Type="http://schemas.openxmlformats.org/officeDocument/2006/relationships/comments" Target="../comments7.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vmlDrawing" Target="../drawings/vmlDrawing17.vml"/><Relationship Id="rId1" Type="http://schemas.openxmlformats.org/officeDocument/2006/relationships/printerSettings" Target="../printerSettings/printerSettings12.bin"/><Relationship Id="rId4" Type="http://schemas.openxmlformats.org/officeDocument/2006/relationships/comments" Target="../comments8.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
  <sheetViews>
    <sheetView showGridLines="0" zoomScaleNormal="100" workbookViewId="0">
      <selection sqref="A1:N1"/>
    </sheetView>
  </sheetViews>
  <sheetFormatPr baseColWidth="10" defaultColWidth="9.1640625" defaultRowHeight="15" x14ac:dyDescent="0.2"/>
  <cols>
    <col min="1" max="1" width="9.83203125" style="32" customWidth="1"/>
    <col min="2" max="13" width="9.33203125" style="32" customWidth="1"/>
    <col min="14" max="14" width="9.83203125" style="32" customWidth="1"/>
    <col min="15" max="26" width="9.1640625" style="32" customWidth="1"/>
    <col min="27" max="16384" width="9.1640625" style="32"/>
  </cols>
  <sheetData>
    <row r="1" spans="1:14" s="36" customFormat="1" ht="189.75" customHeight="1" x14ac:dyDescent="0.35">
      <c r="A1" s="234"/>
      <c r="B1" s="234"/>
      <c r="C1" s="234"/>
      <c r="D1" s="234"/>
      <c r="E1" s="234"/>
      <c r="F1" s="234"/>
      <c r="G1" s="234"/>
      <c r="H1" s="234"/>
      <c r="I1" s="234"/>
      <c r="J1" s="234"/>
      <c r="K1" s="234"/>
      <c r="L1" s="234"/>
      <c r="M1" s="234"/>
      <c r="N1" s="234"/>
    </row>
    <row r="2" spans="1:14" s="22" customFormat="1" ht="75" customHeight="1" x14ac:dyDescent="0.2">
      <c r="A2" s="237" t="s">
        <v>187</v>
      </c>
      <c r="B2" s="237"/>
      <c r="C2" s="237"/>
      <c r="D2" s="237"/>
      <c r="E2" s="237"/>
      <c r="F2" s="237"/>
      <c r="G2" s="237"/>
      <c r="H2" s="237"/>
      <c r="I2" s="237"/>
      <c r="J2" s="237"/>
      <c r="K2" s="237"/>
      <c r="L2" s="237"/>
      <c r="M2" s="237"/>
      <c r="N2" s="237"/>
    </row>
    <row r="3" spans="1:14" s="23" customFormat="1" ht="7.5" customHeight="1" x14ac:dyDescent="0.2">
      <c r="B3" s="24"/>
      <c r="C3" s="24"/>
      <c r="F3" s="25"/>
      <c r="G3" s="25"/>
      <c r="H3" s="25"/>
      <c r="I3" s="25"/>
      <c r="J3" s="25"/>
      <c r="K3" s="25"/>
    </row>
    <row r="4" spans="1:14" s="23" customFormat="1" ht="15" customHeight="1" x14ac:dyDescent="0.2">
      <c r="A4" s="39"/>
      <c r="B4" s="40"/>
      <c r="C4" s="236"/>
      <c r="D4" s="236"/>
      <c r="E4" s="41"/>
      <c r="F4" s="42"/>
      <c r="G4" s="42"/>
      <c r="H4" s="42"/>
      <c r="I4" s="42"/>
      <c r="J4" s="42"/>
      <c r="K4" s="42"/>
      <c r="L4" s="41"/>
      <c r="M4" s="41"/>
      <c r="N4" s="41"/>
    </row>
    <row r="5" spans="1:14" s="23" customFormat="1" ht="15" customHeight="1" x14ac:dyDescent="0.2">
      <c r="A5" s="238" t="s">
        <v>10</v>
      </c>
      <c r="B5" s="238"/>
      <c r="C5" s="238"/>
      <c r="D5" s="238"/>
      <c r="E5" s="238"/>
      <c r="F5" s="238"/>
      <c r="G5" s="238"/>
      <c r="H5" s="238"/>
      <c r="I5" s="238"/>
      <c r="J5" s="238"/>
      <c r="K5" s="238"/>
      <c r="L5" s="238"/>
      <c r="M5" s="238"/>
      <c r="N5" s="238"/>
    </row>
    <row r="6" spans="1:14" s="23" customFormat="1" ht="15" customHeight="1" x14ac:dyDescent="0.2">
      <c r="A6" s="238"/>
      <c r="B6" s="238"/>
      <c r="C6" s="238"/>
      <c r="D6" s="238"/>
      <c r="E6" s="238"/>
      <c r="F6" s="238"/>
      <c r="G6" s="238"/>
      <c r="H6" s="238"/>
      <c r="I6" s="238"/>
      <c r="J6" s="238"/>
      <c r="K6" s="238"/>
      <c r="L6" s="238"/>
      <c r="M6" s="238"/>
      <c r="N6" s="238"/>
    </row>
    <row r="7" spans="1:14" s="23" customFormat="1" ht="15" customHeight="1" x14ac:dyDescent="0.2">
      <c r="A7" s="238" t="s">
        <v>586</v>
      </c>
      <c r="B7" s="238"/>
      <c r="C7" s="238"/>
      <c r="D7" s="238"/>
      <c r="E7" s="238"/>
      <c r="F7" s="238"/>
      <c r="G7" s="238"/>
      <c r="H7" s="238"/>
      <c r="I7" s="238"/>
      <c r="J7" s="238"/>
      <c r="K7" s="238"/>
      <c r="L7" s="238"/>
      <c r="M7" s="238"/>
      <c r="N7" s="238"/>
    </row>
    <row r="8" spans="1:14" s="23" customFormat="1" ht="15" customHeight="1" thickBot="1" x14ac:dyDescent="0.25">
      <c r="A8" s="47"/>
      <c r="B8" s="48"/>
      <c r="C8" s="47"/>
      <c r="D8" s="47"/>
      <c r="E8" s="49"/>
      <c r="F8" s="50"/>
      <c r="G8" s="50"/>
      <c r="H8" s="50"/>
      <c r="I8" s="50"/>
      <c r="J8" s="50"/>
      <c r="K8" s="50"/>
      <c r="L8" s="49"/>
      <c r="M8" s="49"/>
      <c r="N8" s="49"/>
    </row>
    <row r="9" spans="1:14" s="23" customFormat="1" ht="15" customHeight="1" x14ac:dyDescent="0.2">
      <c r="F9" s="28"/>
      <c r="G9" s="239"/>
      <c r="H9" s="239"/>
      <c r="I9" s="239"/>
      <c r="J9" s="239"/>
      <c r="K9" s="28"/>
    </row>
    <row r="10" spans="1:14" s="23" customFormat="1" ht="15" customHeight="1" x14ac:dyDescent="0.2">
      <c r="B10" s="24"/>
      <c r="C10" s="24"/>
      <c r="F10" s="28"/>
      <c r="G10" s="239"/>
      <c r="H10" s="239"/>
      <c r="I10" s="239"/>
      <c r="J10" s="239"/>
      <c r="K10" s="28"/>
    </row>
    <row r="11" spans="1:14" s="23" customFormat="1" ht="15" customHeight="1" x14ac:dyDescent="0.2">
      <c r="B11" s="20"/>
      <c r="C11" s="20"/>
      <c r="D11" s="21"/>
      <c r="F11" s="25"/>
      <c r="G11" s="25"/>
      <c r="H11" s="25"/>
      <c r="I11" s="25"/>
      <c r="J11" s="25"/>
      <c r="K11" s="25"/>
    </row>
    <row r="12" spans="1:14" s="23" customFormat="1" ht="15" customHeight="1" x14ac:dyDescent="0.2">
      <c r="A12" s="26"/>
      <c r="B12" s="20"/>
      <c r="C12" s="20"/>
      <c r="D12" s="29"/>
      <c r="F12" s="25"/>
      <c r="G12" s="235"/>
      <c r="H12" s="235"/>
      <c r="I12" s="235"/>
      <c r="J12" s="235"/>
      <c r="K12" s="25"/>
    </row>
    <row r="13" spans="1:14" s="23" customFormat="1" ht="15" customHeight="1" x14ac:dyDescent="0.2">
      <c r="A13" s="19"/>
      <c r="B13" s="20"/>
      <c r="C13" s="20"/>
      <c r="D13" s="30"/>
      <c r="F13" s="25"/>
      <c r="G13" s="235"/>
      <c r="H13" s="235"/>
      <c r="I13" s="235"/>
      <c r="J13" s="235"/>
      <c r="K13" s="25"/>
    </row>
    <row r="14" spans="1:14" s="23" customFormat="1" ht="15" customHeight="1" x14ac:dyDescent="0.2">
      <c r="A14" s="22"/>
      <c r="B14" s="20"/>
      <c r="C14" s="20"/>
      <c r="D14" s="30"/>
      <c r="F14" s="25"/>
      <c r="G14" s="235"/>
      <c r="H14" s="235"/>
      <c r="I14" s="235"/>
      <c r="J14" s="235"/>
      <c r="K14" s="25"/>
    </row>
    <row r="15" spans="1:14" s="23" customFormat="1" ht="15" customHeight="1" x14ac:dyDescent="0.2">
      <c r="A15" s="22"/>
      <c r="B15" s="20"/>
      <c r="C15" s="20"/>
      <c r="D15" s="30"/>
      <c r="F15" s="25"/>
      <c r="G15" s="25"/>
      <c r="H15" s="25"/>
      <c r="I15" s="25"/>
      <c r="J15" s="25"/>
      <c r="K15" s="25"/>
    </row>
    <row r="16" spans="1:14" s="23" customFormat="1" ht="15" customHeight="1" x14ac:dyDescent="0.2">
      <c r="A16" s="22"/>
      <c r="B16" s="20"/>
      <c r="C16" s="20"/>
      <c r="D16" s="31"/>
      <c r="F16" s="25"/>
      <c r="G16" s="235"/>
      <c r="H16" s="235"/>
      <c r="I16" s="235"/>
      <c r="J16" s="235"/>
      <c r="K16" s="25"/>
    </row>
    <row r="17" spans="1:12" s="23" customFormat="1" ht="15" customHeight="1" x14ac:dyDescent="0.2">
      <c r="A17" s="22"/>
      <c r="B17" s="33"/>
      <c r="C17" s="34"/>
      <c r="D17" s="31"/>
      <c r="F17" s="25"/>
      <c r="G17" s="25"/>
      <c r="H17" s="25"/>
      <c r="I17" s="25"/>
      <c r="J17" s="25"/>
      <c r="K17" s="25"/>
    </row>
    <row r="18" spans="1:12" ht="15" customHeight="1" x14ac:dyDescent="0.2">
      <c r="A18" s="35"/>
      <c r="B18" s="35"/>
      <c r="C18" s="35"/>
      <c r="D18" s="35"/>
      <c r="E18" s="35"/>
      <c r="F18" s="35"/>
      <c r="G18" s="35"/>
      <c r="H18" s="35"/>
      <c r="I18" s="35"/>
      <c r="J18" s="35"/>
      <c r="K18" s="35"/>
      <c r="L18" s="35"/>
    </row>
    <row r="19" spans="1:12" x14ac:dyDescent="0.2">
      <c r="A19" s="35"/>
      <c r="B19" s="35"/>
      <c r="C19" s="35"/>
      <c r="D19" s="35"/>
      <c r="E19" s="35"/>
      <c r="F19" s="35"/>
      <c r="G19" s="35"/>
      <c r="H19" s="35"/>
      <c r="I19" s="35"/>
      <c r="J19" s="35"/>
      <c r="K19" s="35"/>
      <c r="L19" s="35"/>
    </row>
    <row r="20" spans="1:12" x14ac:dyDescent="0.2">
      <c r="A20" s="35"/>
      <c r="B20" s="35"/>
      <c r="C20" s="35"/>
      <c r="D20" s="35"/>
      <c r="E20" s="35"/>
      <c r="F20" s="35"/>
      <c r="G20" s="35"/>
      <c r="H20" s="35"/>
      <c r="I20" s="35"/>
      <c r="J20" s="35"/>
      <c r="K20" s="35"/>
      <c r="L20" s="35"/>
    </row>
    <row r="21" spans="1:12" x14ac:dyDescent="0.2">
      <c r="A21" s="35"/>
      <c r="B21" s="35"/>
      <c r="C21" s="35"/>
      <c r="D21" s="35"/>
      <c r="E21" s="35"/>
      <c r="F21" s="35"/>
      <c r="G21" s="35"/>
      <c r="H21" s="35"/>
      <c r="I21" s="35"/>
      <c r="J21" s="35"/>
      <c r="K21" s="35"/>
      <c r="L21" s="35"/>
    </row>
  </sheetData>
  <mergeCells count="8">
    <mergeCell ref="A1:N1"/>
    <mergeCell ref="G16:J16"/>
    <mergeCell ref="G12:J14"/>
    <mergeCell ref="C4:D4"/>
    <mergeCell ref="A2:N2"/>
    <mergeCell ref="A5:N6"/>
    <mergeCell ref="A7:N7"/>
    <mergeCell ref="G9:J10"/>
  </mergeCells>
  <pageMargins left="0.7" right="0.7" top="0.75" bottom="0.75" header="0.3" footer="0.3"/>
  <pageSetup paperSize="9" orientation="landscape" verticalDpi="0" r:id="rId1"/>
  <headerFooter>
    <oddHeader xml:space="preserve">&amp;R&amp;10&amp;F 
&amp;A
</oddHeader>
    <oddFooter>&amp;L&amp;10© 2016&amp;C&amp;10Page &amp;P of &amp;N&amp;R&amp;G</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8"/>
  <sheetViews>
    <sheetView showGridLines="0" zoomScaleNormal="100" workbookViewId="0"/>
  </sheetViews>
  <sheetFormatPr baseColWidth="10" defaultColWidth="9.1640625" defaultRowHeight="15" x14ac:dyDescent="0.2"/>
  <cols>
    <col min="1" max="1" width="1.5" customWidth="1"/>
    <col min="2" max="2" width="2.83203125" customWidth="1"/>
    <col min="3" max="3" width="13.33203125" customWidth="1"/>
    <col min="4" max="4" width="2.83203125" customWidth="1"/>
    <col min="5" max="7" width="1.5" customWidth="1"/>
    <col min="8" max="8" width="2.83203125" customWidth="1"/>
    <col min="9" max="9" width="42.6640625" customWidth="1"/>
    <col min="10" max="11" width="1.5" customWidth="1"/>
    <col min="12" max="12" width="31.5" customWidth="1"/>
    <col min="13" max="14" width="1.5" customWidth="1"/>
    <col min="15" max="15" width="2.83203125" customWidth="1"/>
    <col min="16" max="16" width="32.5" customWidth="1"/>
    <col min="17" max="17" width="2.83203125" customWidth="1"/>
    <col min="18" max="18" width="1.5" customWidth="1"/>
    <col min="23" max="23" width="17.6640625" bestFit="1" customWidth="1"/>
  </cols>
  <sheetData>
    <row r="1" spans="1:18" s="36" customFormat="1" ht="45" customHeight="1" x14ac:dyDescent="0.35">
      <c r="A1" s="13" t="str">
        <f>Welcome!A2</f>
        <v xml:space="preserve">Case In Point - Samsonite Acquiring Tumi </v>
      </c>
      <c r="B1" s="13"/>
      <c r="C1" s="13"/>
      <c r="D1" s="13"/>
      <c r="E1" s="13"/>
      <c r="F1" s="13"/>
      <c r="G1" s="13"/>
      <c r="H1" s="13"/>
      <c r="I1" s="13"/>
      <c r="J1" s="6"/>
      <c r="K1" s="6"/>
      <c r="L1" s="6"/>
      <c r="M1" s="6"/>
      <c r="N1" s="6"/>
      <c r="O1" s="6"/>
      <c r="P1" s="6"/>
      <c r="Q1" s="6"/>
      <c r="R1" s="6"/>
    </row>
    <row r="2" spans="1:18" s="37" customFormat="1" ht="30" customHeight="1" x14ac:dyDescent="0.25">
      <c r="A2" s="14" t="s">
        <v>188</v>
      </c>
      <c r="B2" s="14"/>
      <c r="C2" s="14"/>
      <c r="D2" s="14"/>
      <c r="E2" s="14"/>
      <c r="F2" s="14"/>
      <c r="G2" s="14"/>
      <c r="H2" s="14"/>
      <c r="I2" s="14"/>
      <c r="J2" s="7"/>
      <c r="K2" s="7"/>
      <c r="L2" s="7"/>
      <c r="M2" s="7"/>
      <c r="N2" s="7"/>
      <c r="O2" s="7"/>
      <c r="P2" s="7"/>
      <c r="Q2" s="7"/>
      <c r="R2" s="7"/>
    </row>
    <row r="3" spans="1:18" s="2" customFormat="1" ht="7.5" customHeight="1" x14ac:dyDescent="0.2"/>
    <row r="4" spans="1:18" s="2" customFormat="1" ht="22.5" customHeight="1" x14ac:dyDescent="0.2">
      <c r="A4" s="1"/>
      <c r="B4" s="244" t="s">
        <v>0</v>
      </c>
      <c r="C4" s="244"/>
      <c r="D4" s="244"/>
      <c r="E4" s="244"/>
      <c r="F4" s="244"/>
      <c r="G4" s="244"/>
      <c r="H4" s="244"/>
      <c r="I4" s="244"/>
      <c r="K4" s="1"/>
      <c r="L4" s="244" t="s">
        <v>2</v>
      </c>
      <c r="M4" s="244"/>
      <c r="N4" s="244"/>
      <c r="O4" s="244"/>
      <c r="P4" s="244"/>
      <c r="Q4" s="46"/>
      <c r="R4" s="46"/>
    </row>
    <row r="5" spans="1:18" s="2" customFormat="1" ht="15" customHeight="1" x14ac:dyDescent="0.2">
      <c r="A5" s="17"/>
      <c r="B5" s="8" t="s">
        <v>1</v>
      </c>
      <c r="C5" s="60" t="s">
        <v>191</v>
      </c>
      <c r="D5" s="18"/>
      <c r="E5" s="18"/>
      <c r="F5" s="18"/>
      <c r="G5" s="18"/>
      <c r="H5" s="18"/>
      <c r="I5" s="18"/>
      <c r="K5" s="1"/>
      <c r="L5" s="9" t="s">
        <v>153</v>
      </c>
      <c r="M5" s="9"/>
      <c r="N5" s="241" t="s">
        <v>154</v>
      </c>
      <c r="O5" s="241"/>
      <c r="P5" s="241"/>
      <c r="Q5" s="241"/>
      <c r="R5" s="46"/>
    </row>
    <row r="6" spans="1:18" s="2" customFormat="1" ht="15" customHeight="1" x14ac:dyDescent="0.2">
      <c r="A6" s="17"/>
      <c r="B6" s="8" t="s">
        <v>1</v>
      </c>
      <c r="C6" s="18" t="s">
        <v>190</v>
      </c>
      <c r="D6" s="18"/>
      <c r="E6" s="18"/>
      <c r="F6" s="18"/>
      <c r="G6" s="18"/>
      <c r="H6" s="18"/>
      <c r="I6" s="18"/>
      <c r="K6" s="1"/>
      <c r="L6" s="9" t="s">
        <v>155</v>
      </c>
      <c r="M6" s="9"/>
      <c r="N6" s="65" t="s">
        <v>18</v>
      </c>
      <c r="O6" s="65"/>
      <c r="P6" s="65"/>
      <c r="Q6" s="65"/>
      <c r="R6" s="46"/>
    </row>
    <row r="7" spans="1:18" s="2" customFormat="1" ht="15" customHeight="1" x14ac:dyDescent="0.2">
      <c r="A7" s="3"/>
      <c r="B7" s="8" t="s">
        <v>1</v>
      </c>
      <c r="C7" s="18" t="s">
        <v>254</v>
      </c>
      <c r="D7" s="18"/>
      <c r="E7" s="18"/>
      <c r="F7" s="18"/>
      <c r="G7" s="18"/>
      <c r="H7" s="18"/>
      <c r="I7" s="18"/>
      <c r="K7" s="17"/>
      <c r="L7" s="9" t="s">
        <v>27</v>
      </c>
      <c r="M7" s="9"/>
      <c r="N7" s="242">
        <v>42496</v>
      </c>
      <c r="O7" s="242"/>
      <c r="P7" s="242"/>
      <c r="Q7" s="242"/>
      <c r="R7" s="46"/>
    </row>
    <row r="8" spans="1:18" s="2" customFormat="1" ht="15" customHeight="1" x14ac:dyDescent="0.2">
      <c r="A8" s="3"/>
      <c r="B8" s="8" t="s">
        <v>1</v>
      </c>
      <c r="C8" s="18" t="s">
        <v>255</v>
      </c>
      <c r="D8" s="18"/>
      <c r="E8" s="18"/>
      <c r="F8" s="18"/>
      <c r="G8" s="18"/>
      <c r="H8" s="18"/>
      <c r="I8" s="18"/>
      <c r="K8" s="17"/>
      <c r="L8" s="9" t="s">
        <v>196</v>
      </c>
      <c r="M8" s="9"/>
      <c r="N8" s="242">
        <v>42369</v>
      </c>
      <c r="O8" s="242"/>
      <c r="P8" s="242"/>
      <c r="Q8" s="242"/>
      <c r="R8" s="46"/>
    </row>
    <row r="9" spans="1:18" s="2" customFormat="1" ht="15" customHeight="1" x14ac:dyDescent="0.2">
      <c r="A9" s="18"/>
      <c r="B9" s="8" t="s">
        <v>1</v>
      </c>
      <c r="C9" s="18" t="s">
        <v>256</v>
      </c>
      <c r="D9" s="18"/>
      <c r="E9" s="18"/>
      <c r="F9" s="18"/>
      <c r="G9" s="18"/>
      <c r="H9" s="18"/>
      <c r="I9" s="18"/>
      <c r="K9" s="3"/>
      <c r="L9" s="9" t="s">
        <v>156</v>
      </c>
      <c r="M9" s="9"/>
      <c r="N9" s="241" t="s">
        <v>7</v>
      </c>
      <c r="O9" s="241"/>
      <c r="P9" s="241"/>
      <c r="Q9" s="241"/>
      <c r="R9" s="46"/>
    </row>
    <row r="10" spans="1:18" s="2" customFormat="1" ht="15" customHeight="1" x14ac:dyDescent="0.2">
      <c r="A10" s="18"/>
      <c r="B10" s="8"/>
      <c r="C10" s="18"/>
      <c r="D10" s="18"/>
      <c r="E10" s="18"/>
      <c r="F10" s="18"/>
      <c r="G10" s="18"/>
      <c r="H10" s="18"/>
      <c r="I10" s="18"/>
      <c r="K10" s="18"/>
      <c r="L10" s="9" t="s">
        <v>4</v>
      </c>
      <c r="M10" s="9"/>
      <c r="N10" s="241" t="s">
        <v>8</v>
      </c>
      <c r="O10" s="241"/>
      <c r="P10" s="241"/>
      <c r="Q10" s="241"/>
      <c r="R10" s="46"/>
    </row>
    <row r="11" spans="1:18" s="2" customFormat="1" ht="15" customHeight="1" x14ac:dyDescent="0.2">
      <c r="A11" s="43"/>
      <c r="B11" s="44"/>
      <c r="C11" s="43"/>
      <c r="D11" s="43"/>
      <c r="E11" s="43"/>
      <c r="F11" s="43"/>
      <c r="G11" s="43"/>
      <c r="H11" s="43"/>
      <c r="I11" s="43"/>
      <c r="K11" s="18"/>
      <c r="L11" s="9" t="s">
        <v>5</v>
      </c>
      <c r="M11" s="9"/>
      <c r="N11" s="241" t="s">
        <v>9</v>
      </c>
      <c r="O11" s="241"/>
      <c r="P11" s="241"/>
      <c r="Q11" s="241"/>
      <c r="R11" s="46"/>
    </row>
    <row r="12" spans="1:18" s="2" customFormat="1" ht="15" customHeight="1" x14ac:dyDescent="0.2">
      <c r="A12" s="45"/>
      <c r="B12" s="45"/>
      <c r="C12" s="45"/>
      <c r="D12" s="45"/>
      <c r="E12" s="45"/>
      <c r="F12" s="45"/>
      <c r="G12" s="45"/>
      <c r="H12" s="45"/>
      <c r="I12" s="45"/>
      <c r="K12" s="18"/>
      <c r="L12" s="9" t="s">
        <v>6</v>
      </c>
      <c r="M12" s="9"/>
      <c r="N12" s="243">
        <v>0</v>
      </c>
      <c r="O12" s="243"/>
      <c r="P12" s="243"/>
      <c r="Q12" s="243"/>
      <c r="R12" s="52"/>
    </row>
    <row r="13" spans="1:18" s="2" customFormat="1" ht="15" customHeight="1" thickBot="1" x14ac:dyDescent="0.25">
      <c r="A13" s="49"/>
      <c r="B13" s="49"/>
      <c r="C13" s="49"/>
      <c r="D13" s="49"/>
      <c r="E13" s="49"/>
      <c r="F13" s="49"/>
      <c r="G13" s="49"/>
      <c r="H13" s="49"/>
      <c r="I13" s="49"/>
      <c r="K13" s="4"/>
      <c r="L13" s="64"/>
      <c r="M13" s="64"/>
      <c r="N13" s="53"/>
      <c r="O13" s="54"/>
      <c r="P13" s="54"/>
      <c r="Q13" s="55"/>
      <c r="R13" s="56"/>
    </row>
    <row r="14" spans="1:18" s="2" customFormat="1" ht="7.5" customHeight="1" x14ac:dyDescent="0.2">
      <c r="K14" s="25"/>
      <c r="L14" s="25"/>
      <c r="M14" s="25"/>
      <c r="N14" s="25"/>
      <c r="O14" s="25"/>
      <c r="P14" s="25"/>
      <c r="Q14" s="25"/>
      <c r="R14" s="25"/>
    </row>
    <row r="15" spans="1:18" s="2" customFormat="1" ht="22.5" customHeight="1" x14ac:dyDescent="0.2">
      <c r="A15" s="60"/>
      <c r="B15" s="245" t="s">
        <v>15</v>
      </c>
      <c r="C15" s="245"/>
      <c r="D15" s="245"/>
      <c r="E15" s="245"/>
      <c r="F15" s="245"/>
      <c r="G15" s="245"/>
      <c r="H15" s="245"/>
      <c r="I15" s="245"/>
      <c r="J15" s="245"/>
      <c r="K15" s="245"/>
      <c r="L15" s="245"/>
      <c r="N15" s="1"/>
      <c r="O15" s="244" t="s">
        <v>11</v>
      </c>
      <c r="P15" s="244"/>
      <c r="Q15" s="244"/>
      <c r="R15" s="63"/>
    </row>
    <row r="16" spans="1:18" s="2" customFormat="1" ht="15" customHeight="1" x14ac:dyDescent="0.2">
      <c r="A16" s="61"/>
      <c r="B16" s="240" t="s">
        <v>16</v>
      </c>
      <c r="C16" s="240"/>
      <c r="D16" s="240" t="s">
        <v>17</v>
      </c>
      <c r="E16" s="240"/>
      <c r="F16" s="240"/>
      <c r="G16" s="240"/>
      <c r="H16" s="240"/>
      <c r="I16" s="240"/>
      <c r="J16" s="240"/>
      <c r="K16" s="240"/>
      <c r="L16" s="240"/>
      <c r="N16" s="17"/>
      <c r="O16" s="27"/>
      <c r="P16" s="22"/>
      <c r="Q16" s="22"/>
      <c r="R16" s="61"/>
    </row>
    <row r="17" spans="1:18" s="2" customFormat="1" ht="15" customHeight="1" x14ac:dyDescent="0.2">
      <c r="A17" s="61"/>
      <c r="B17" s="240"/>
      <c r="C17" s="240"/>
      <c r="D17" s="240"/>
      <c r="E17" s="240"/>
      <c r="F17" s="240"/>
      <c r="G17" s="240"/>
      <c r="H17" s="240"/>
      <c r="I17" s="240"/>
      <c r="J17" s="240"/>
      <c r="K17" s="240"/>
      <c r="L17" s="240"/>
      <c r="N17" s="3"/>
      <c r="O17" s="27"/>
      <c r="P17" s="57" t="s">
        <v>12</v>
      </c>
      <c r="Q17" s="22"/>
      <c r="R17" s="61"/>
    </row>
    <row r="18" spans="1:18" s="2" customFormat="1" ht="15" customHeight="1" x14ac:dyDescent="0.2">
      <c r="A18" s="61"/>
      <c r="B18" s="240"/>
      <c r="C18" s="240"/>
      <c r="D18" s="240"/>
      <c r="E18" s="240"/>
      <c r="F18" s="240"/>
      <c r="G18" s="240"/>
      <c r="H18" s="240"/>
      <c r="I18" s="240"/>
      <c r="J18" s="240"/>
      <c r="K18" s="240"/>
      <c r="L18" s="240"/>
      <c r="N18" s="18"/>
      <c r="O18" s="27"/>
      <c r="P18" s="38" t="s">
        <v>13</v>
      </c>
      <c r="Q18" s="22"/>
      <c r="R18" s="61"/>
    </row>
    <row r="19" spans="1:18" s="2" customFormat="1" ht="15" customHeight="1" x14ac:dyDescent="0.2">
      <c r="A19" s="61"/>
      <c r="B19" s="240"/>
      <c r="C19" s="240"/>
      <c r="D19" s="240"/>
      <c r="E19" s="240"/>
      <c r="F19" s="240"/>
      <c r="G19" s="240"/>
      <c r="H19" s="240"/>
      <c r="I19" s="240"/>
      <c r="J19" s="240"/>
      <c r="K19" s="240"/>
      <c r="L19" s="240"/>
      <c r="N19" s="18"/>
      <c r="O19" s="27"/>
      <c r="P19" t="s">
        <v>14</v>
      </c>
      <c r="Q19" s="22"/>
      <c r="R19" s="61"/>
    </row>
    <row r="20" spans="1:18" s="2" customFormat="1" ht="15" customHeight="1" x14ac:dyDescent="0.2">
      <c r="A20" s="45"/>
      <c r="B20" s="240"/>
      <c r="C20" s="240"/>
      <c r="D20" s="240"/>
      <c r="E20" s="240"/>
      <c r="F20" s="240"/>
      <c r="G20" s="240"/>
      <c r="H20" s="240"/>
      <c r="I20" s="240"/>
      <c r="J20" s="240"/>
      <c r="K20" s="240"/>
      <c r="L20" s="240"/>
      <c r="N20" s="45"/>
      <c r="O20" s="58"/>
      <c r="P20" s="58"/>
      <c r="Q20" s="58"/>
      <c r="R20" s="45"/>
    </row>
    <row r="21" spans="1:18" ht="16" thickBot="1" x14ac:dyDescent="0.25">
      <c r="A21" s="49"/>
      <c r="B21" s="49"/>
      <c r="C21" s="49"/>
      <c r="D21" s="62"/>
      <c r="E21" s="62"/>
      <c r="F21" s="62"/>
      <c r="G21" s="62"/>
      <c r="H21" s="62"/>
      <c r="I21" s="62"/>
      <c r="J21" s="62"/>
      <c r="K21" s="62"/>
      <c r="L21" s="62"/>
      <c r="N21" s="49"/>
      <c r="O21" s="49"/>
      <c r="P21" s="49"/>
      <c r="Q21" s="49"/>
      <c r="R21" s="49"/>
    </row>
    <row r="22" spans="1:18" x14ac:dyDescent="0.2">
      <c r="Q22" s="59"/>
      <c r="R22" s="35"/>
    </row>
    <row r="23" spans="1:18" x14ac:dyDescent="0.2">
      <c r="F23" s="35"/>
      <c r="G23" s="35"/>
      <c r="H23" s="35"/>
      <c r="I23" s="35"/>
      <c r="J23" s="35"/>
      <c r="K23" s="35"/>
      <c r="L23" s="35"/>
      <c r="M23" s="35"/>
      <c r="N23" s="35"/>
      <c r="O23" s="35"/>
      <c r="P23" s="35"/>
      <c r="Q23" s="35"/>
      <c r="R23" s="35"/>
    </row>
    <row r="24" spans="1:18" x14ac:dyDescent="0.2">
      <c r="F24" s="35"/>
      <c r="G24" s="35"/>
      <c r="H24" s="35"/>
      <c r="I24" s="35"/>
      <c r="J24" s="35"/>
      <c r="K24" s="35"/>
      <c r="L24" s="35"/>
      <c r="M24" s="35"/>
      <c r="N24" s="35"/>
      <c r="O24" s="35"/>
      <c r="P24" s="35"/>
      <c r="Q24" s="35"/>
      <c r="R24" s="35"/>
    </row>
    <row r="25" spans="1:18" x14ac:dyDescent="0.2">
      <c r="F25" s="35"/>
      <c r="G25" s="35"/>
      <c r="H25" s="35"/>
      <c r="I25" s="35"/>
      <c r="J25" s="35"/>
      <c r="K25" s="35"/>
      <c r="L25" s="35"/>
      <c r="M25" s="35"/>
      <c r="N25" s="32"/>
      <c r="O25" s="32"/>
      <c r="P25" s="32"/>
      <c r="Q25" s="32"/>
    </row>
    <row r="26" spans="1:18" x14ac:dyDescent="0.2">
      <c r="F26" s="32"/>
      <c r="G26" s="32"/>
      <c r="H26" s="32"/>
      <c r="I26" s="32"/>
      <c r="J26" s="32"/>
      <c r="K26" s="32"/>
      <c r="L26" s="32"/>
      <c r="M26" s="32"/>
      <c r="N26" s="32"/>
      <c r="O26" s="32"/>
      <c r="P26" s="32"/>
      <c r="Q26" s="32"/>
    </row>
    <row r="27" spans="1:18" x14ac:dyDescent="0.2">
      <c r="F27" s="32"/>
      <c r="G27" s="32"/>
      <c r="H27" s="32"/>
      <c r="I27" s="32"/>
      <c r="J27" s="32"/>
      <c r="K27" s="32"/>
      <c r="L27" s="32"/>
      <c r="M27" s="32"/>
      <c r="N27" s="32"/>
      <c r="O27" s="32"/>
      <c r="P27" s="32"/>
      <c r="Q27" s="32"/>
    </row>
    <row r="28" spans="1:18" x14ac:dyDescent="0.2">
      <c r="F28" s="32"/>
      <c r="G28" s="32"/>
      <c r="H28" s="32"/>
      <c r="I28" s="32"/>
      <c r="J28" s="32"/>
      <c r="K28" s="32"/>
      <c r="L28" s="32"/>
      <c r="M28" s="32"/>
      <c r="N28" s="32"/>
      <c r="O28" s="32"/>
      <c r="P28" s="32"/>
      <c r="Q28" s="32"/>
    </row>
  </sheetData>
  <mergeCells count="21">
    <mergeCell ref="B19:C19"/>
    <mergeCell ref="L4:P4"/>
    <mergeCell ref="B4:I4"/>
    <mergeCell ref="B15:L15"/>
    <mergeCell ref="N8:Q8"/>
    <mergeCell ref="B20:C20"/>
    <mergeCell ref="D18:L18"/>
    <mergeCell ref="D19:L19"/>
    <mergeCell ref="D20:L20"/>
    <mergeCell ref="N5:Q5"/>
    <mergeCell ref="N7:Q7"/>
    <mergeCell ref="N9:Q9"/>
    <mergeCell ref="N10:Q10"/>
    <mergeCell ref="N11:Q11"/>
    <mergeCell ref="N12:Q12"/>
    <mergeCell ref="O15:Q15"/>
    <mergeCell ref="D16:L16"/>
    <mergeCell ref="D17:L17"/>
    <mergeCell ref="B16:C16"/>
    <mergeCell ref="B17:C17"/>
    <mergeCell ref="B18:C18"/>
  </mergeCells>
  <pageMargins left="0.7" right="0.7" top="0.75" bottom="0.75" header="0.3" footer="0.3"/>
  <pageSetup paperSize="9" orientation="landscape" verticalDpi="0" r:id="rId1"/>
  <headerFooter>
    <oddHeader xml:space="preserve">&amp;R&amp;10&amp;F 
&amp;A
</oddHeader>
    <oddFooter>&amp;L&amp;10© 2016&amp;C&amp;10Page &amp;P of &amp;N&amp;R&amp;G</oddFooter>
  </headerFooter>
  <drawing r:id="rId2"/>
  <legacyDrawingHF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N158"/>
  <sheetViews>
    <sheetView zoomScaleNormal="100" workbookViewId="0"/>
  </sheetViews>
  <sheetFormatPr baseColWidth="10" defaultColWidth="9.1640625" defaultRowHeight="15" customHeight="1" x14ac:dyDescent="0.2"/>
  <cols>
    <col min="1" max="1" width="1.5" style="15" customWidth="1"/>
    <col min="2" max="2" width="35.6640625" style="16" customWidth="1"/>
    <col min="3" max="7" width="11" customWidth="1"/>
    <col min="8" max="8" width="21.6640625" customWidth="1"/>
    <col min="9" max="10" width="11" customWidth="1"/>
    <col min="11" max="13" width="9.6640625" customWidth="1"/>
  </cols>
  <sheetData>
    <row r="1" spans="1:12" s="51" customFormat="1" ht="45" customHeight="1" x14ac:dyDescent="0.35">
      <c r="A1" s="5" t="str">
        <f>Welcome!A2</f>
        <v xml:space="preserve">Case In Point - Samsonite Acquiring Tumi </v>
      </c>
      <c r="B1" s="10"/>
      <c r="C1" s="12"/>
      <c r="D1" s="12"/>
      <c r="E1" s="12"/>
      <c r="F1" s="12"/>
      <c r="G1" s="12"/>
      <c r="H1" s="12"/>
      <c r="I1" s="12"/>
      <c r="J1" s="12"/>
      <c r="K1" s="12"/>
      <c r="L1" s="12"/>
    </row>
    <row r="2" spans="1:12" s="37" customFormat="1" ht="30" customHeight="1" x14ac:dyDescent="0.25">
      <c r="A2" s="14" t="s">
        <v>191</v>
      </c>
      <c r="B2" s="7"/>
      <c r="C2" s="11"/>
      <c r="D2" s="11"/>
      <c r="E2" s="11"/>
      <c r="F2" s="11"/>
      <c r="G2" s="11"/>
      <c r="H2" s="11"/>
      <c r="I2" s="11"/>
      <c r="J2" s="11"/>
      <c r="K2" s="11"/>
      <c r="L2" s="11"/>
    </row>
    <row r="4" spans="1:12" ht="15" customHeight="1" x14ac:dyDescent="0.2">
      <c r="B4" s="66" t="s">
        <v>19</v>
      </c>
      <c r="C4" s="67" t="s">
        <v>154</v>
      </c>
      <c r="E4" s="66" t="s">
        <v>21</v>
      </c>
      <c r="F4" s="68" t="s">
        <v>227</v>
      </c>
    </row>
    <row r="5" spans="1:12" ht="15" customHeight="1" x14ac:dyDescent="0.2">
      <c r="B5" s="66" t="s">
        <v>92</v>
      </c>
      <c r="E5" s="66" t="s">
        <v>3</v>
      </c>
      <c r="F5" s="74">
        <f>Info!N7</f>
        <v>42496</v>
      </c>
    </row>
    <row r="7" spans="1:12" ht="15" customHeight="1" x14ac:dyDescent="0.2">
      <c r="A7" s="72" t="s">
        <v>287</v>
      </c>
      <c r="B7" s="12"/>
      <c r="C7" s="12"/>
      <c r="D7" s="89"/>
      <c r="E7" s="88" t="str">
        <f>"Enterprise value calculation in "&amp;C16</f>
        <v>Enterprise value calculation in USD</v>
      </c>
      <c r="F7" s="88"/>
      <c r="G7" s="88"/>
      <c r="H7" s="88"/>
      <c r="I7" s="88"/>
      <c r="J7" s="88"/>
      <c r="K7" s="88"/>
      <c r="L7" s="80"/>
    </row>
    <row r="8" spans="1:12" ht="15" customHeight="1" x14ac:dyDescent="0.2">
      <c r="B8" s="16" t="s">
        <v>23</v>
      </c>
      <c r="C8" s="75" t="s">
        <v>157</v>
      </c>
      <c r="D8" s="89"/>
      <c r="E8" t="s">
        <v>40</v>
      </c>
      <c r="G8">
        <f>J32/FX</f>
        <v>180.803</v>
      </c>
      <c r="I8" t="s">
        <v>42</v>
      </c>
      <c r="K8">
        <f>G32/FX</f>
        <v>62.780999999999999</v>
      </c>
      <c r="L8" s="80"/>
    </row>
    <row r="9" spans="1:12" ht="15" customHeight="1" x14ac:dyDescent="0.2">
      <c r="B9" s="16" t="s">
        <v>25</v>
      </c>
      <c r="C9" s="75" t="s">
        <v>158</v>
      </c>
      <c r="D9" s="89"/>
      <c r="E9" t="s">
        <v>41</v>
      </c>
      <c r="G9">
        <f>J33/FX</f>
        <v>0</v>
      </c>
      <c r="I9" t="s">
        <v>44</v>
      </c>
      <c r="K9">
        <f>G36/FX</f>
        <v>0</v>
      </c>
      <c r="L9" s="80"/>
    </row>
    <row r="10" spans="1:12" ht="15" customHeight="1" x14ac:dyDescent="0.2">
      <c r="B10" s="16" t="s">
        <v>27</v>
      </c>
      <c r="C10" s="74">
        <f>F5</f>
        <v>42496</v>
      </c>
      <c r="D10" s="89"/>
      <c r="E10" t="s">
        <v>43</v>
      </c>
      <c r="G10">
        <f>J34/FX</f>
        <v>0</v>
      </c>
      <c r="I10" t="s">
        <v>46</v>
      </c>
      <c r="K10">
        <f>G38/FX</f>
        <v>39.832000000000001</v>
      </c>
      <c r="L10" s="80"/>
    </row>
    <row r="11" spans="1:12" ht="15" customHeight="1" x14ac:dyDescent="0.2">
      <c r="B11" s="16" t="s">
        <v>28</v>
      </c>
      <c r="C11" s="76">
        <v>42369</v>
      </c>
      <c r="D11" s="154">
        <v>7.77</v>
      </c>
      <c r="E11" t="s">
        <v>45</v>
      </c>
      <c r="G11">
        <f>J35/FX</f>
        <v>0</v>
      </c>
      <c r="I11" t="s">
        <v>133</v>
      </c>
      <c r="K11">
        <f>SUM(G33:G35,G37)/FX</f>
        <v>55.829000000000001</v>
      </c>
      <c r="L11" s="80"/>
    </row>
    <row r="12" spans="1:12" ht="15" customHeight="1" x14ac:dyDescent="0.2">
      <c r="B12" s="16" t="s">
        <v>29</v>
      </c>
      <c r="C12" s="76">
        <v>42369</v>
      </c>
      <c r="D12" s="89"/>
      <c r="E12" t="s">
        <v>47</v>
      </c>
      <c r="G12">
        <f>SUM(K8:K12)-SUM(G8:G11)</f>
        <v>4346.0501966821112</v>
      </c>
      <c r="I12" t="s">
        <v>48</v>
      </c>
      <c r="K12">
        <f>D38/FX</f>
        <v>4368.411196682111</v>
      </c>
      <c r="L12" s="80"/>
    </row>
    <row r="13" spans="1:12" ht="15" customHeight="1" x14ac:dyDescent="0.2">
      <c r="C13" s="76"/>
      <c r="D13" s="80"/>
      <c r="E13" s="86"/>
      <c r="F13" s="86"/>
      <c r="G13" s="86"/>
      <c r="H13" s="86"/>
      <c r="I13" s="86"/>
      <c r="J13" s="86"/>
      <c r="K13" s="86"/>
      <c r="L13" s="87"/>
    </row>
    <row r="14" spans="1:12" ht="15" customHeight="1" x14ac:dyDescent="0.2">
      <c r="B14" s="16" t="s">
        <v>30</v>
      </c>
      <c r="C14" s="74">
        <f>Info!N8</f>
        <v>42369</v>
      </c>
      <c r="D14" s="80"/>
      <c r="E14" s="88" t="str">
        <f>"Calendarized numbers summary in "&amp;C16</f>
        <v>Calendarized numbers summary in USD</v>
      </c>
      <c r="F14" s="88"/>
      <c r="G14" s="88"/>
      <c r="H14" s="88"/>
      <c r="I14" s="88"/>
      <c r="J14" s="88"/>
      <c r="K14" s="88"/>
    </row>
    <row r="15" spans="1:12" ht="15" customHeight="1" x14ac:dyDescent="0.2">
      <c r="B15" s="16" t="s">
        <v>31</v>
      </c>
      <c r="C15" s="75" t="s">
        <v>7</v>
      </c>
      <c r="D15" s="89"/>
      <c r="G15" s="90" t="s">
        <v>49</v>
      </c>
      <c r="H15" s="90" t="str">
        <f>YEAR($C$14)+1&amp;"e"</f>
        <v>2016e</v>
      </c>
      <c r="I15" s="90" t="str">
        <f>YEAR($C$14)+2&amp;"e"</f>
        <v>2017e</v>
      </c>
      <c r="J15" s="90" t="str">
        <f>YEAR($C$14)+3&amp;"e"</f>
        <v>2018e</v>
      </c>
      <c r="K15" s="90" t="str">
        <f>YEAR($C$14)+4&amp;"e"</f>
        <v>2019e</v>
      </c>
      <c r="L15" s="80"/>
    </row>
    <row r="16" spans="1:12" ht="15" customHeight="1" x14ac:dyDescent="0.2">
      <c r="B16" s="16" t="s">
        <v>147</v>
      </c>
      <c r="C16" s="90" t="str">
        <f>Info!N9</f>
        <v>USD</v>
      </c>
      <c r="D16" s="89"/>
      <c r="E16" t="s">
        <v>54</v>
      </c>
      <c r="G16">
        <f>G67/FX</f>
        <v>2432.4769999999999</v>
      </c>
      <c r="H16">
        <f>SUMPRODUCT(I67:K67,calendar)/FX</f>
        <v>2596.9111969111968</v>
      </c>
      <c r="I16">
        <f>SUMPRODUCT(J67:L67,calendar)/FX</f>
        <v>2828.3140283140283</v>
      </c>
      <c r="J16">
        <f>SUMPRODUCT(K67:M67,calendar)/FX</f>
        <v>3025.2252252252256</v>
      </c>
      <c r="K16">
        <f>SUMPRODUCT(L67:N67,calendar)/FX</f>
        <v>0</v>
      </c>
      <c r="L16" s="80"/>
    </row>
    <row r="17" spans="1:12" ht="15" customHeight="1" x14ac:dyDescent="0.2">
      <c r="B17" s="16" t="s">
        <v>32</v>
      </c>
      <c r="C17" s="77">
        <v>1</v>
      </c>
      <c r="D17" s="89"/>
      <c r="E17" t="s">
        <v>55</v>
      </c>
      <c r="G17">
        <f>G69/FX</f>
        <v>377.40599999999995</v>
      </c>
      <c r="H17">
        <f>SUMPRODUCT(I69:K69,calendar)/FX</f>
        <v>413.64221364221368</v>
      </c>
      <c r="I17">
        <f>SUMPRODUCT(J69:L69,calendar)/FX</f>
        <v>480.95238095238096</v>
      </c>
      <c r="J17">
        <f>SUMPRODUCT(K69:M69,calendar)/FX</f>
        <v>538.09523809523807</v>
      </c>
      <c r="K17">
        <f>SUMPRODUCT(L69:N69,calendar)/FX</f>
        <v>0</v>
      </c>
      <c r="L17" s="80"/>
    </row>
    <row r="18" spans="1:12" ht="15" customHeight="1" x14ac:dyDescent="0.2">
      <c r="B18" s="16" t="str">
        <f>"Closing price as at "&amp;TEXT($C$10,"dd-mmm-yy")</f>
        <v>Closing price as at 06-May-16</v>
      </c>
      <c r="C18" s="78">
        <f>24/FXadj</f>
        <v>3.0888030888030888</v>
      </c>
      <c r="D18" s="89"/>
      <c r="E18" t="s">
        <v>56</v>
      </c>
      <c r="G18">
        <f>G68/FX</f>
        <v>317.80799999999994</v>
      </c>
      <c r="H18">
        <f>SUMPRODUCT(I68:K68,calendar)/FX</f>
        <v>349.16344916344917</v>
      </c>
      <c r="I18">
        <f>SUMPRODUCT(J68:L68,calendar)/FX</f>
        <v>406.04890604890608</v>
      </c>
      <c r="J18">
        <f>SUMPRODUCT(K68:M68,calendar)/FX</f>
        <v>453.66795366795367</v>
      </c>
      <c r="K18">
        <f>SUMPRODUCT(L68:N68,calendar)/FX</f>
        <v>0</v>
      </c>
      <c r="L18" s="80"/>
    </row>
    <row r="19" spans="1:12" ht="15" customHeight="1" x14ac:dyDescent="0.2">
      <c r="B19" s="16" t="str">
        <f>"Closing price as at "&amp;TEXT($C$10,"dd-mmm-yy")&amp;" in USD"</f>
        <v>Closing price as at 06-May-16 in USD</v>
      </c>
      <c r="C19" s="107">
        <f>C18/FX</f>
        <v>3.0888030888030888</v>
      </c>
      <c r="D19" s="89"/>
      <c r="E19" t="s">
        <v>223</v>
      </c>
      <c r="H19" s="107">
        <f>SUMPRODUCT(I70:K70,calendar)/FX</f>
        <v>0.16087516087516088</v>
      </c>
      <c r="I19" s="107">
        <f>SUMPRODUCT(J70:L70,calendar)/FX</f>
        <v>0.18790218790218791</v>
      </c>
      <c r="J19" s="107">
        <f>SUMPRODUCT(K70:M70,calendar)/FX</f>
        <v>0.20720720720720723</v>
      </c>
      <c r="K19" s="107">
        <f>SUMPRODUCT(L70:N70,calendar)/FX</f>
        <v>0</v>
      </c>
      <c r="L19" s="80"/>
    </row>
    <row r="20" spans="1:12" ht="15" customHeight="1" x14ac:dyDescent="0.2">
      <c r="B20" s="16" t="s">
        <v>33</v>
      </c>
      <c r="C20" s="78">
        <f>18.86/7.77</f>
        <v>2.4272844272844272</v>
      </c>
      <c r="D20" s="80"/>
      <c r="E20" s="86"/>
      <c r="F20" s="86"/>
      <c r="G20" s="86"/>
      <c r="H20" s="86"/>
      <c r="I20" s="86"/>
      <c r="J20" s="86"/>
      <c r="K20" s="86"/>
    </row>
    <row r="21" spans="1:12" ht="15" customHeight="1" x14ac:dyDescent="0.2">
      <c r="B21" s="16" t="s">
        <v>34</v>
      </c>
      <c r="C21" s="78">
        <f>29.4/7.77</f>
        <v>3.7837837837837838</v>
      </c>
      <c r="D21" s="80"/>
      <c r="E21" s="88" t="s">
        <v>61</v>
      </c>
      <c r="F21" s="88"/>
      <c r="G21" s="88"/>
      <c r="H21" s="88"/>
      <c r="I21" s="88"/>
      <c r="J21" s="88"/>
      <c r="K21" s="88"/>
    </row>
    <row r="22" spans="1:12" ht="15" customHeight="1" x14ac:dyDescent="0.2">
      <c r="B22" s="16" t="s">
        <v>197</v>
      </c>
      <c r="C22" s="95">
        <f>C18/C21</f>
        <v>0.81632653061224492</v>
      </c>
      <c r="D22" s="89"/>
      <c r="G22" s="90" t="s">
        <v>49</v>
      </c>
      <c r="H22" s="90" t="s">
        <v>50</v>
      </c>
      <c r="I22" s="90" t="s">
        <v>51</v>
      </c>
      <c r="J22" s="90" t="s">
        <v>52</v>
      </c>
      <c r="K22" s="90" t="s">
        <v>53</v>
      </c>
      <c r="L22" s="80"/>
    </row>
    <row r="23" spans="1:12" ht="15" customHeight="1" x14ac:dyDescent="0.2">
      <c r="B23" s="16" t="s">
        <v>35</v>
      </c>
      <c r="C23" s="104">
        <f>(0.58/7.77)/C18</f>
        <v>2.4166666666666666E-2</v>
      </c>
      <c r="D23" s="106"/>
      <c r="E23" t="s">
        <v>62</v>
      </c>
      <c r="G23" s="69">
        <f t="shared" ref="G23:K25" si="0">IFERROR($G$12/G16,"NA")</f>
        <v>1.786676789413471</v>
      </c>
      <c r="H23" s="69">
        <f t="shared" si="0"/>
        <v>1.6735459425225496</v>
      </c>
      <c r="I23" s="69">
        <f t="shared" si="0"/>
        <v>1.5366222255287589</v>
      </c>
      <c r="J23" s="69">
        <f t="shared" si="0"/>
        <v>1.4366038470271421</v>
      </c>
      <c r="K23" s="114" t="str">
        <f t="shared" si="0"/>
        <v>NA</v>
      </c>
      <c r="L23" s="80"/>
    </row>
    <row r="24" spans="1:12" ht="15" customHeight="1" x14ac:dyDescent="0.2">
      <c r="B24" s="16" t="s">
        <v>37</v>
      </c>
      <c r="C24" s="78">
        <v>0.81</v>
      </c>
      <c r="D24" s="89"/>
      <c r="E24" t="s">
        <v>57</v>
      </c>
      <c r="G24" s="69">
        <f t="shared" si="0"/>
        <v>11.515583209281548</v>
      </c>
      <c r="H24" s="69">
        <f t="shared" si="0"/>
        <v>10.506785945308028</v>
      </c>
      <c r="I24" s="69">
        <f t="shared" si="0"/>
        <v>9.0363419931014182</v>
      </c>
      <c r="J24" s="69">
        <f t="shared" si="0"/>
        <v>8.0767304540110025</v>
      </c>
      <c r="K24" s="114" t="str">
        <f t="shared" si="0"/>
        <v>NA</v>
      </c>
      <c r="L24" s="80"/>
    </row>
    <row r="25" spans="1:12" ht="15" customHeight="1" x14ac:dyDescent="0.2">
      <c r="D25" s="89"/>
      <c r="E25" t="s">
        <v>58</v>
      </c>
      <c r="G25" s="69">
        <f t="shared" si="0"/>
        <v>13.675081170650557</v>
      </c>
      <c r="H25" s="69">
        <f t="shared" si="0"/>
        <v>12.447036501371176</v>
      </c>
      <c r="I25" s="69">
        <f t="shared" si="0"/>
        <v>10.703267837787639</v>
      </c>
      <c r="J25" s="69">
        <f t="shared" si="0"/>
        <v>9.5798042633248244</v>
      </c>
      <c r="K25" s="114" t="str">
        <f t="shared" si="0"/>
        <v>NA</v>
      </c>
      <c r="L25" s="80"/>
    </row>
    <row r="26" spans="1:12" ht="15" customHeight="1" x14ac:dyDescent="0.2">
      <c r="B26" s="16" t="s">
        <v>38</v>
      </c>
      <c r="C26" s="79" t="s">
        <v>280</v>
      </c>
      <c r="D26" s="89"/>
      <c r="E26" t="s">
        <v>59</v>
      </c>
      <c r="H26" s="69">
        <f>$C$19/H19</f>
        <v>19.2</v>
      </c>
      <c r="I26" s="69">
        <f>$C$19/I19</f>
        <v>16.43835616438356</v>
      </c>
      <c r="J26" s="69">
        <f>$C$19/J19</f>
        <v>14.906832298136644</v>
      </c>
      <c r="K26" s="114" t="str">
        <f>IFERROR($C$19/K19,"NA")</f>
        <v>NA</v>
      </c>
      <c r="L26" s="80"/>
    </row>
    <row r="27" spans="1:12" ht="15" customHeight="1" x14ac:dyDescent="0.2">
      <c r="B27" s="16" t="s">
        <v>39</v>
      </c>
      <c r="C27" s="83">
        <v>0.13100000000000001</v>
      </c>
      <c r="D27" s="89"/>
      <c r="E27" t="s">
        <v>60</v>
      </c>
      <c r="G27" s="69">
        <f>G32/G69</f>
        <v>0.16634870669782675</v>
      </c>
      <c r="L27" s="80"/>
    </row>
    <row r="28" spans="1:12" ht="15" customHeight="1" x14ac:dyDescent="0.2">
      <c r="A28" s="84"/>
      <c r="B28" s="85"/>
      <c r="C28" s="86"/>
      <c r="D28" s="87"/>
      <c r="E28" s="86"/>
      <c r="F28" s="86"/>
      <c r="G28" s="86"/>
      <c r="H28" s="86"/>
      <c r="I28" s="86"/>
      <c r="J28" s="86"/>
      <c r="K28" s="86"/>
      <c r="L28" s="87"/>
    </row>
    <row r="29" spans="1:12" ht="15" customHeight="1" x14ac:dyDescent="0.2">
      <c r="A29" s="72" t="s">
        <v>288</v>
      </c>
      <c r="B29" s="12"/>
      <c r="C29" s="12"/>
      <c r="D29" s="12"/>
      <c r="E29" s="12"/>
      <c r="F29" s="12"/>
      <c r="G29" s="12"/>
      <c r="H29" s="12"/>
      <c r="I29" s="12"/>
      <c r="J29" s="12"/>
      <c r="K29" s="12"/>
      <c r="L29" s="80"/>
    </row>
    <row r="30" spans="1:12" ht="15" customHeight="1" x14ac:dyDescent="0.2">
      <c r="B30" s="16" t="s">
        <v>63</v>
      </c>
      <c r="E30" s="16" t="s">
        <v>78</v>
      </c>
      <c r="H30" s="16" t="s">
        <v>80</v>
      </c>
      <c r="L30" s="80"/>
    </row>
    <row r="31" spans="1:12" ht="15" customHeight="1" x14ac:dyDescent="0.2">
      <c r="E31" s="16"/>
      <c r="H31" s="16"/>
      <c r="L31" s="80"/>
    </row>
    <row r="32" spans="1:12" ht="15" customHeight="1" x14ac:dyDescent="0.2">
      <c r="B32" s="16" t="s">
        <v>64</v>
      </c>
      <c r="D32" s="74">
        <f>C10</f>
        <v>42496</v>
      </c>
      <c r="E32" s="16" t="s">
        <v>77</v>
      </c>
      <c r="G32" s="73">
        <f>0.057+62.724</f>
        <v>62.780999999999999</v>
      </c>
      <c r="H32" s="16" t="s">
        <v>66</v>
      </c>
      <c r="J32" s="73">
        <v>180.803</v>
      </c>
      <c r="L32" s="80"/>
    </row>
    <row r="33" spans="1:13" ht="15" customHeight="1" x14ac:dyDescent="0.2">
      <c r="B33" s="16" t="s">
        <v>65</v>
      </c>
      <c r="D33" s="73">
        <v>1409.833525</v>
      </c>
      <c r="E33" s="16" t="s">
        <v>71</v>
      </c>
      <c r="G33" s="73">
        <v>0</v>
      </c>
      <c r="H33" s="16" t="s">
        <v>68</v>
      </c>
      <c r="J33" s="73">
        <v>0</v>
      </c>
      <c r="L33" s="80"/>
    </row>
    <row r="34" spans="1:13" ht="15" customHeight="1" x14ac:dyDescent="0.2">
      <c r="B34" s="16" t="s">
        <v>67</v>
      </c>
      <c r="D34" s="73">
        <v>0</v>
      </c>
      <c r="E34" s="16" t="s">
        <v>74</v>
      </c>
      <c r="G34" s="73">
        <v>0</v>
      </c>
      <c r="H34" s="16" t="s">
        <v>43</v>
      </c>
      <c r="J34" s="73">
        <v>0</v>
      </c>
      <c r="L34" s="80"/>
    </row>
    <row r="35" spans="1:13" ht="15" customHeight="1" x14ac:dyDescent="0.2">
      <c r="B35" s="16" t="s">
        <v>69</v>
      </c>
      <c r="D35">
        <f>E123</f>
        <v>4.4395999258333365</v>
      </c>
      <c r="E35" s="16" t="s">
        <v>70</v>
      </c>
      <c r="G35" s="73">
        <v>0</v>
      </c>
      <c r="H35" s="16" t="s">
        <v>70</v>
      </c>
      <c r="J35" s="73">
        <v>0</v>
      </c>
      <c r="L35" s="80"/>
    </row>
    <row r="36" spans="1:13" ht="15" customHeight="1" x14ac:dyDescent="0.2">
      <c r="B36" s="16" t="s">
        <v>70</v>
      </c>
      <c r="D36" s="73">
        <v>0</v>
      </c>
      <c r="E36" s="16" t="s">
        <v>73</v>
      </c>
      <c r="G36" s="73">
        <v>0</v>
      </c>
      <c r="H36" s="16"/>
      <c r="L36" s="80"/>
    </row>
    <row r="37" spans="1:13" ht="15" customHeight="1" x14ac:dyDescent="0.2">
      <c r="B37" s="16" t="s">
        <v>72</v>
      </c>
      <c r="D37">
        <f>SUM(D33:D36)</f>
        <v>1414.2731249258334</v>
      </c>
      <c r="E37" s="16" t="s">
        <v>133</v>
      </c>
      <c r="G37" s="73">
        <v>55.829000000000001</v>
      </c>
      <c r="H37" s="16"/>
      <c r="L37" s="80"/>
      <c r="M37" s="16"/>
    </row>
    <row r="38" spans="1:13" ht="15" customHeight="1" x14ac:dyDescent="0.2">
      <c r="B38" s="16" t="s">
        <v>48</v>
      </c>
      <c r="D38">
        <f>D37*C18</f>
        <v>4368.411196682111</v>
      </c>
      <c r="E38" s="16" t="s">
        <v>171</v>
      </c>
      <c r="G38" s="73">
        <v>39.832000000000001</v>
      </c>
      <c r="H38" s="16"/>
      <c r="L38" s="80"/>
      <c r="M38" s="16"/>
    </row>
    <row r="39" spans="1:13" ht="15" customHeight="1" x14ac:dyDescent="0.2">
      <c r="A39" s="81"/>
      <c r="E39" s="16" t="s">
        <v>79</v>
      </c>
      <c r="G39">
        <f>SUM(G32:G38)</f>
        <v>158.44200000000001</v>
      </c>
      <c r="H39" s="16" t="s">
        <v>80</v>
      </c>
      <c r="J39">
        <f>SUM(J32:J35)</f>
        <v>180.803</v>
      </c>
      <c r="L39" s="80"/>
      <c r="M39" s="16"/>
    </row>
    <row r="40" spans="1:13" ht="15" customHeight="1" x14ac:dyDescent="0.2">
      <c r="A40" s="84"/>
      <c r="B40" s="85"/>
      <c r="C40" s="86"/>
      <c r="D40" s="86"/>
      <c r="E40" s="86"/>
      <c r="F40" s="86"/>
      <c r="G40" s="86"/>
      <c r="H40" s="86"/>
      <c r="I40" s="86"/>
      <c r="J40" s="86"/>
      <c r="K40" s="86"/>
    </row>
    <row r="41" spans="1:13" ht="15" customHeight="1" x14ac:dyDescent="0.2">
      <c r="A41" s="72" t="s">
        <v>290</v>
      </c>
      <c r="B41" s="12"/>
      <c r="C41" s="12"/>
      <c r="D41" s="12"/>
      <c r="E41" s="12"/>
      <c r="F41" s="12"/>
      <c r="G41" s="12"/>
      <c r="H41" s="89"/>
      <c r="I41" s="71" t="s">
        <v>93</v>
      </c>
      <c r="J41" s="12"/>
      <c r="K41" s="12"/>
      <c r="L41" s="80"/>
    </row>
    <row r="42" spans="1:13" ht="15" customHeight="1" x14ac:dyDescent="0.2">
      <c r="A42" s="93"/>
      <c r="B42" s="16" t="s">
        <v>81</v>
      </c>
      <c r="D42">
        <f>J32</f>
        <v>180.803</v>
      </c>
      <c r="E42" s="16" t="s">
        <v>90</v>
      </c>
      <c r="G42" s="92">
        <f>G32+G37</f>
        <v>118.61</v>
      </c>
      <c r="H42" s="89"/>
      <c r="I42" s="16" t="s">
        <v>149</v>
      </c>
      <c r="K42" s="95">
        <f>(D43-G43)/G67</f>
        <v>6.7665182445712721E-2</v>
      </c>
      <c r="L42" s="80"/>
    </row>
    <row r="43" spans="1:13" ht="15" customHeight="1" x14ac:dyDescent="0.2">
      <c r="A43" s="93"/>
      <c r="B43" s="16" t="s">
        <v>84</v>
      </c>
      <c r="D43" s="73">
        <f>894.076-D42</f>
        <v>713.27300000000002</v>
      </c>
      <c r="E43" s="94" t="s">
        <v>148</v>
      </c>
      <c r="G43" s="77">
        <f>59.139+442.141+47.399</f>
        <v>548.67900000000009</v>
      </c>
      <c r="H43" s="89"/>
      <c r="I43" s="16" t="s">
        <v>152</v>
      </c>
      <c r="K43" s="121">
        <f>G67/G50</f>
        <v>1.8190919336251383</v>
      </c>
      <c r="L43" s="80"/>
    </row>
    <row r="44" spans="1:13" ht="15" customHeight="1" x14ac:dyDescent="0.2">
      <c r="A44" s="93"/>
      <c r="B44" s="16" t="s">
        <v>82</v>
      </c>
      <c r="D44" s="73">
        <f>1321.765-D45</f>
        <v>1024.4050000000002</v>
      </c>
      <c r="E44" s="94" t="s">
        <v>87</v>
      </c>
      <c r="G44" s="77">
        <f>38.523+106.24+4.403</f>
        <v>149.166</v>
      </c>
      <c r="H44" s="89"/>
      <c r="I44" s="16" t="s">
        <v>150</v>
      </c>
      <c r="K44" s="95">
        <f>G68/G67</f>
        <v>0.13065200616490924</v>
      </c>
      <c r="L44" s="80"/>
      <c r="M44" s="95"/>
    </row>
    <row r="45" spans="1:13" ht="15" customHeight="1" x14ac:dyDescent="0.2">
      <c r="A45" s="93"/>
      <c r="B45" s="16" t="s">
        <v>83</v>
      </c>
      <c r="D45" s="73">
        <v>297.36</v>
      </c>
      <c r="E45" s="16" t="s">
        <v>88</v>
      </c>
      <c r="G45">
        <f>G36</f>
        <v>0</v>
      </c>
      <c r="H45" s="89"/>
      <c r="I45" s="16" t="s">
        <v>94</v>
      </c>
      <c r="K45" s="95">
        <f>K44*K43</f>
        <v>0.23766801052652825</v>
      </c>
      <c r="L45" s="80"/>
    </row>
    <row r="46" spans="1:13" ht="15" customHeight="1" x14ac:dyDescent="0.2">
      <c r="A46" s="93"/>
      <c r="B46" s="16" t="s">
        <v>214</v>
      </c>
      <c r="D46" s="73">
        <v>0</v>
      </c>
      <c r="E46" s="94" t="s">
        <v>89</v>
      </c>
      <c r="G46" s="77">
        <v>1359.5540000000001</v>
      </c>
      <c r="H46" s="89"/>
      <c r="I46" s="16" t="s">
        <v>95</v>
      </c>
      <c r="K46" s="95">
        <f>C76</f>
        <v>0.2543908472479901</v>
      </c>
      <c r="L46" s="80"/>
    </row>
    <row r="47" spans="1:13" ht="15" customHeight="1" x14ac:dyDescent="0.2">
      <c r="E47" s="16" t="s">
        <v>75</v>
      </c>
      <c r="G47">
        <f>G38</f>
        <v>39.832000000000001</v>
      </c>
      <c r="H47" s="89"/>
      <c r="I47" s="94" t="s">
        <v>96</v>
      </c>
      <c r="K47" s="95">
        <f>K45*(1-K46)</f>
        <v>0.17720744396494051</v>
      </c>
      <c r="L47" s="80"/>
    </row>
    <row r="48" spans="1:13" ht="15" customHeight="1" x14ac:dyDescent="0.2">
      <c r="B48" s="16" t="s">
        <v>85</v>
      </c>
      <c r="D48">
        <f>SUM(D42:D46)</f>
        <v>2215.8410000000003</v>
      </c>
      <c r="E48" s="94" t="s">
        <v>91</v>
      </c>
      <c r="G48">
        <f>SUM(G42:G47)</f>
        <v>2215.8409999999999</v>
      </c>
      <c r="H48" s="80"/>
      <c r="I48" s="86"/>
      <c r="J48" s="86"/>
      <c r="K48" s="86"/>
    </row>
    <row r="49" spans="1:14" ht="15" customHeight="1" x14ac:dyDescent="0.2">
      <c r="H49" s="80"/>
    </row>
    <row r="50" spans="1:14" ht="15" customHeight="1" x14ac:dyDescent="0.2">
      <c r="B50" s="16" t="s">
        <v>86</v>
      </c>
      <c r="D50">
        <f>D43+D44+D45-G43-G44</f>
        <v>1337.1930000000004</v>
      </c>
      <c r="E50" s="94" t="s">
        <v>76</v>
      </c>
      <c r="G50">
        <f>SUM(G42,G45:G47)-D42-D46</f>
        <v>1337.1930000000002</v>
      </c>
      <c r="H50" s="80"/>
    </row>
    <row r="51" spans="1:14" ht="15" customHeight="1" x14ac:dyDescent="0.2">
      <c r="A51" s="96"/>
      <c r="B51" s="97"/>
      <c r="C51" s="98"/>
      <c r="D51" s="98"/>
      <c r="E51" s="98"/>
      <c r="F51" s="98"/>
      <c r="G51" s="98"/>
    </row>
    <row r="52" spans="1:14" ht="15" customHeight="1" x14ac:dyDescent="0.2">
      <c r="A52" s="126" t="str">
        <f>"Balance sheet data ("&amp;C16&amp;")"</f>
        <v>Balance sheet data (USD)</v>
      </c>
      <c r="B52" s="127"/>
      <c r="C52" s="127"/>
      <c r="D52" s="127"/>
      <c r="E52" s="127"/>
      <c r="F52" s="127"/>
      <c r="G52" s="127"/>
      <c r="H52" s="80"/>
    </row>
    <row r="53" spans="1:14" ht="15" customHeight="1" x14ac:dyDescent="0.2">
      <c r="A53" s="93"/>
      <c r="B53" s="125" t="s">
        <v>81</v>
      </c>
      <c r="C53" s="87"/>
      <c r="D53" s="87">
        <f>D42/FX</f>
        <v>180.803</v>
      </c>
      <c r="E53" s="125" t="s">
        <v>90</v>
      </c>
      <c r="F53" s="87"/>
      <c r="G53" s="87">
        <f t="shared" ref="G53:G58" si="1">G42/FX</f>
        <v>118.61</v>
      </c>
      <c r="H53" s="80"/>
    </row>
    <row r="54" spans="1:14" ht="15" customHeight="1" x14ac:dyDescent="0.2">
      <c r="A54" s="93"/>
      <c r="B54" s="125" t="s">
        <v>84</v>
      </c>
      <c r="C54" s="87"/>
      <c r="D54" s="87">
        <f>D43/FX</f>
        <v>713.27300000000002</v>
      </c>
      <c r="E54" s="94" t="s">
        <v>148</v>
      </c>
      <c r="F54" s="87"/>
      <c r="G54" s="87">
        <f t="shared" si="1"/>
        <v>548.67900000000009</v>
      </c>
      <c r="H54" s="80"/>
    </row>
    <row r="55" spans="1:14" ht="15" customHeight="1" x14ac:dyDescent="0.2">
      <c r="A55" s="93"/>
      <c r="B55" s="125" t="s">
        <v>82</v>
      </c>
      <c r="C55" s="87"/>
      <c r="D55" s="87">
        <f>D44/FX</f>
        <v>1024.4050000000002</v>
      </c>
      <c r="E55" s="94" t="s">
        <v>87</v>
      </c>
      <c r="F55" s="87"/>
      <c r="G55" s="87">
        <f t="shared" si="1"/>
        <v>149.166</v>
      </c>
      <c r="H55" s="80"/>
    </row>
    <row r="56" spans="1:14" ht="15" customHeight="1" x14ac:dyDescent="0.2">
      <c r="A56" s="93"/>
      <c r="B56" s="125" t="s">
        <v>83</v>
      </c>
      <c r="C56" s="87"/>
      <c r="D56" s="87">
        <f>D45/FX</f>
        <v>297.36</v>
      </c>
      <c r="E56" s="125" t="s">
        <v>88</v>
      </c>
      <c r="F56" s="87"/>
      <c r="G56" s="87">
        <f t="shared" si="1"/>
        <v>0</v>
      </c>
      <c r="H56" s="80"/>
    </row>
    <row r="57" spans="1:14" ht="15" customHeight="1" x14ac:dyDescent="0.2">
      <c r="A57" s="93"/>
      <c r="B57" s="125" t="s">
        <v>214</v>
      </c>
      <c r="C57" s="87"/>
      <c r="D57" s="87">
        <f>D46/FX</f>
        <v>0</v>
      </c>
      <c r="E57" s="94" t="s">
        <v>89</v>
      </c>
      <c r="F57" s="87"/>
      <c r="G57" s="87">
        <f t="shared" si="1"/>
        <v>1359.5540000000001</v>
      </c>
      <c r="H57" s="80"/>
    </row>
    <row r="58" spans="1:14" ht="15" customHeight="1" x14ac:dyDescent="0.2">
      <c r="A58" s="130"/>
      <c r="B58" s="125"/>
      <c r="C58" s="87"/>
      <c r="D58" s="87"/>
      <c r="E58" s="125" t="s">
        <v>75</v>
      </c>
      <c r="F58" s="87"/>
      <c r="G58" s="87">
        <f t="shared" si="1"/>
        <v>39.832000000000001</v>
      </c>
      <c r="H58" s="80"/>
    </row>
    <row r="59" spans="1:14" ht="15" customHeight="1" x14ac:dyDescent="0.2">
      <c r="A59" s="130"/>
      <c r="B59" s="125" t="s">
        <v>85</v>
      </c>
      <c r="C59" s="87"/>
      <c r="D59" s="87">
        <f>SUM(D53:D57)</f>
        <v>2215.8410000000003</v>
      </c>
      <c r="E59" s="94" t="s">
        <v>91</v>
      </c>
      <c r="F59" s="87"/>
      <c r="G59" s="87">
        <f>SUM(G53:G58)</f>
        <v>2215.8409999999999</v>
      </c>
      <c r="H59" s="80"/>
    </row>
    <row r="60" spans="1:14" ht="15" customHeight="1" x14ac:dyDescent="0.2">
      <c r="A60" s="130"/>
      <c r="B60" s="125"/>
      <c r="C60" s="87"/>
      <c r="D60" s="87"/>
      <c r="E60" s="87"/>
      <c r="F60" s="87"/>
      <c r="G60" s="87"/>
      <c r="H60" s="80"/>
    </row>
    <row r="61" spans="1:14" ht="15" customHeight="1" x14ac:dyDescent="0.2">
      <c r="A61" s="131"/>
      <c r="B61" s="132" t="s">
        <v>86</v>
      </c>
      <c r="C61" s="82"/>
      <c r="D61" s="82">
        <f>D54+D55+D56-G54-G55</f>
        <v>1337.1930000000004</v>
      </c>
      <c r="E61" s="133" t="s">
        <v>76</v>
      </c>
      <c r="F61" s="82"/>
      <c r="G61" s="82">
        <f>SUM(G53,G56:G58)-D53-D57</f>
        <v>1337.1930000000002</v>
      </c>
      <c r="H61" s="80"/>
    </row>
    <row r="62" spans="1:14" ht="15" customHeight="1" x14ac:dyDescent="0.2">
      <c r="A62" s="124"/>
      <c r="B62" s="125"/>
      <c r="C62" s="87"/>
      <c r="D62" s="87"/>
      <c r="E62" s="87"/>
      <c r="F62" s="87"/>
      <c r="G62" s="87"/>
    </row>
    <row r="63" spans="1:14" ht="15" customHeight="1" x14ac:dyDescent="0.2">
      <c r="A63" s="71" t="s">
        <v>291</v>
      </c>
      <c r="B63" s="12"/>
      <c r="C63" s="12"/>
      <c r="D63" s="12"/>
      <c r="E63" s="12"/>
      <c r="F63" s="12"/>
      <c r="G63" s="12"/>
      <c r="H63" s="89"/>
      <c r="I63" s="71" t="s">
        <v>294</v>
      </c>
      <c r="J63" s="12"/>
      <c r="K63" s="12"/>
      <c r="L63" s="12"/>
      <c r="M63" s="12"/>
    </row>
    <row r="64" spans="1:14" ht="15" customHeight="1" x14ac:dyDescent="0.2">
      <c r="C64" s="146"/>
      <c r="D64" s="146" t="s">
        <v>99</v>
      </c>
      <c r="E64" s="146" t="s">
        <v>100</v>
      </c>
      <c r="F64" s="146"/>
      <c r="G64" s="146"/>
      <c r="H64" s="89"/>
      <c r="N64" s="80"/>
    </row>
    <row r="65" spans="1:14" ht="15" customHeight="1" x14ac:dyDescent="0.2">
      <c r="C65" s="146" t="s">
        <v>101</v>
      </c>
      <c r="D65" s="146" t="s">
        <v>102</v>
      </c>
      <c r="E65" s="146" t="s">
        <v>102</v>
      </c>
      <c r="F65" s="146" t="s">
        <v>103</v>
      </c>
      <c r="G65" s="146" t="s">
        <v>104</v>
      </c>
      <c r="H65" s="89"/>
      <c r="I65" s="147" t="s">
        <v>105</v>
      </c>
      <c r="J65" s="147" t="s">
        <v>106</v>
      </c>
      <c r="K65" s="147" t="s">
        <v>107</v>
      </c>
      <c r="L65" s="147" t="s">
        <v>108</v>
      </c>
      <c r="M65" s="147" t="s">
        <v>109</v>
      </c>
      <c r="N65" s="80"/>
    </row>
    <row r="66" spans="1:14" ht="15" customHeight="1" x14ac:dyDescent="0.2">
      <c r="B66" s="16" t="s">
        <v>3</v>
      </c>
      <c r="C66" s="145">
        <f>C11</f>
        <v>42369</v>
      </c>
      <c r="D66" s="145">
        <f>DATE(YEAR(E66)-1,MONTH(E66),DAY(E66))</f>
        <v>42004</v>
      </c>
      <c r="E66" s="145">
        <f>C12</f>
        <v>42369</v>
      </c>
      <c r="F66" s="125"/>
      <c r="G66" s="125"/>
      <c r="H66" s="89"/>
      <c r="I66" s="145">
        <v>42369</v>
      </c>
      <c r="J66" s="145">
        <v>42735</v>
      </c>
      <c r="K66" s="145">
        <v>43100</v>
      </c>
      <c r="L66" s="145">
        <v>43465</v>
      </c>
      <c r="M66" s="145">
        <v>43830</v>
      </c>
      <c r="N66" s="80"/>
    </row>
    <row r="67" spans="1:14" ht="15" customHeight="1" x14ac:dyDescent="0.2">
      <c r="B67" s="16" t="s">
        <v>110</v>
      </c>
      <c r="C67" s="100">
        <v>2432.4769999999999</v>
      </c>
      <c r="D67" s="91">
        <v>0</v>
      </c>
      <c r="E67" s="91">
        <v>0</v>
      </c>
      <c r="F67" s="91">
        <v>0</v>
      </c>
      <c r="G67">
        <f>C67-D67+E67+F67</f>
        <v>2432.4769999999999</v>
      </c>
      <c r="H67" s="89"/>
      <c r="I67">
        <f>C67</f>
        <v>2432.4769999999999</v>
      </c>
      <c r="J67" s="91">
        <f>20178/7.77</f>
        <v>2596.9111969111968</v>
      </c>
      <c r="K67" s="91">
        <f>21976/7.77</f>
        <v>2828.3140283140283</v>
      </c>
      <c r="L67" s="91">
        <f>23506/7.77</f>
        <v>3025.2252252252256</v>
      </c>
      <c r="M67" s="140" t="s">
        <v>36</v>
      </c>
      <c r="N67" s="103"/>
    </row>
    <row r="68" spans="1:14" ht="15" customHeight="1" x14ac:dyDescent="0.2">
      <c r="B68" s="16" t="s">
        <v>56</v>
      </c>
      <c r="C68">
        <f>C88</f>
        <v>317.77099999999996</v>
      </c>
      <c r="D68">
        <f>D88</f>
        <v>0</v>
      </c>
      <c r="E68">
        <f>E88</f>
        <v>0</v>
      </c>
      <c r="F68" s="91">
        <v>3.6999999999999998E-2</v>
      </c>
      <c r="G68">
        <f>C68-D68+E68+F68</f>
        <v>317.80799999999994</v>
      </c>
      <c r="H68" s="89"/>
      <c r="I68">
        <f>C68</f>
        <v>317.77099999999996</v>
      </c>
      <c r="J68" s="91">
        <f>2713/7.77</f>
        <v>349.16344916344917</v>
      </c>
      <c r="K68" s="91">
        <f>3155/7.77</f>
        <v>406.04890604890608</v>
      </c>
      <c r="L68" s="91">
        <f>3525/7.77</f>
        <v>453.66795366795367</v>
      </c>
      <c r="M68" s="140" t="s">
        <v>36</v>
      </c>
      <c r="N68" s="103"/>
    </row>
    <row r="69" spans="1:14" ht="15" customHeight="1" x14ac:dyDescent="0.2">
      <c r="B69" s="16" t="s">
        <v>55</v>
      </c>
      <c r="C69">
        <f>SUM(C72:C73)+C68</f>
        <v>377.34599999999995</v>
      </c>
      <c r="D69">
        <f>SUM(D72:D73)+D68</f>
        <v>1.4E-2</v>
      </c>
      <c r="E69">
        <f>SUM(E72:E73)+E68</f>
        <v>3.6999999999999998E-2</v>
      </c>
      <c r="F69" s="91">
        <v>3.6999999999999998E-2</v>
      </c>
      <c r="G69">
        <f>SUM(G72:G73)+G68</f>
        <v>377.40599999999995</v>
      </c>
      <c r="H69" s="89"/>
      <c r="I69">
        <f>C69</f>
        <v>377.34599999999995</v>
      </c>
      <c r="J69" s="91">
        <f>3214/7.77</f>
        <v>413.64221364221368</v>
      </c>
      <c r="K69" s="91">
        <f>3737/7.77</f>
        <v>480.95238095238096</v>
      </c>
      <c r="L69" s="91">
        <f>4181/7.77</f>
        <v>538.09523809523807</v>
      </c>
      <c r="M69" s="140" t="s">
        <v>36</v>
      </c>
      <c r="N69" s="103"/>
    </row>
    <row r="70" spans="1:14" ht="15" customHeight="1" x14ac:dyDescent="0.2">
      <c r="B70" s="16" t="s">
        <v>111</v>
      </c>
      <c r="H70" s="89"/>
      <c r="I70" s="107">
        <f>C106</f>
        <v>0.16227477693002992</v>
      </c>
      <c r="J70" s="99">
        <f>1.25/7.77</f>
        <v>0.16087516087516088</v>
      </c>
      <c r="K70" s="99">
        <f>1.46/7.77</f>
        <v>0.18790218790218791</v>
      </c>
      <c r="L70" s="99">
        <f>1.61/7.77</f>
        <v>0.20720720720720723</v>
      </c>
      <c r="M70" s="140" t="s">
        <v>36</v>
      </c>
      <c r="N70" s="103"/>
    </row>
    <row r="71" spans="1:14" ht="15" customHeight="1" x14ac:dyDescent="0.2">
      <c r="H71" s="80"/>
      <c r="I71" s="86"/>
      <c r="J71" s="86"/>
      <c r="K71" s="86"/>
      <c r="L71" s="86"/>
      <c r="M71" s="86"/>
      <c r="N71" s="105"/>
    </row>
    <row r="72" spans="1:14" ht="15" customHeight="1" x14ac:dyDescent="0.2">
      <c r="B72" s="16" t="s">
        <v>134</v>
      </c>
      <c r="C72" s="100">
        <v>48.984999999999999</v>
      </c>
      <c r="D72" s="91">
        <v>0</v>
      </c>
      <c r="E72" s="91">
        <v>0</v>
      </c>
      <c r="F72" s="91">
        <v>0</v>
      </c>
      <c r="G72">
        <f>C72-D72+E72+F72</f>
        <v>48.984999999999999</v>
      </c>
      <c r="H72" s="80"/>
      <c r="N72" s="87"/>
    </row>
    <row r="73" spans="1:14" ht="15" customHeight="1" x14ac:dyDescent="0.2">
      <c r="B73" s="16" t="s">
        <v>135</v>
      </c>
      <c r="C73" s="100">
        <v>10.59</v>
      </c>
      <c r="D73" s="91">
        <v>1.4E-2</v>
      </c>
      <c r="E73" s="91">
        <v>3.6999999999999998E-2</v>
      </c>
      <c r="F73" s="91">
        <v>0</v>
      </c>
      <c r="G73">
        <f>C73-D73+E73+F73</f>
        <v>10.613000000000001</v>
      </c>
      <c r="H73" s="80"/>
      <c r="N73" s="87"/>
    </row>
    <row r="74" spans="1:14" ht="15" customHeight="1" x14ac:dyDescent="0.2">
      <c r="B74" s="16" t="s">
        <v>145</v>
      </c>
      <c r="C74" s="100">
        <v>3.16</v>
      </c>
      <c r="D74" s="91">
        <v>1.4E-2</v>
      </c>
      <c r="E74" s="91">
        <v>3.6999999999999998E-2</v>
      </c>
      <c r="F74" s="91">
        <v>3.6999999999999998E-2</v>
      </c>
      <c r="G74">
        <f>SUM(G73:G73)+G72</f>
        <v>59.597999999999999</v>
      </c>
      <c r="H74" s="80"/>
      <c r="N74" s="87"/>
    </row>
    <row r="75" spans="1:14" ht="15" customHeight="1" x14ac:dyDescent="0.2">
      <c r="B75" s="16" t="s">
        <v>151</v>
      </c>
      <c r="C75" s="104">
        <f>82661/291060</f>
        <v>0.28399986257129112</v>
      </c>
      <c r="D75" s="91"/>
      <c r="E75" s="91"/>
      <c r="H75" s="80"/>
      <c r="N75" s="87"/>
    </row>
    <row r="76" spans="1:14" ht="15" customHeight="1" x14ac:dyDescent="0.2">
      <c r="B76" s="16" t="s">
        <v>95</v>
      </c>
      <c r="C76" s="104">
        <f>74043/291060</f>
        <v>0.2543908472479901</v>
      </c>
      <c r="D76" s="91"/>
      <c r="E76" s="91"/>
      <c r="H76" s="80"/>
      <c r="N76" s="87"/>
    </row>
    <row r="77" spans="1:14" ht="15" customHeight="1" x14ac:dyDescent="0.2">
      <c r="A77" s="84"/>
      <c r="B77" s="85"/>
      <c r="C77" s="86"/>
      <c r="D77" s="86"/>
      <c r="E77" s="86"/>
      <c r="F77" s="86"/>
      <c r="G77" s="86"/>
      <c r="H77" s="80"/>
      <c r="J77" s="91"/>
    </row>
    <row r="78" spans="1:14" ht="15" customHeight="1" x14ac:dyDescent="0.2">
      <c r="A78" s="71" t="s">
        <v>292</v>
      </c>
      <c r="B78" s="12"/>
      <c r="C78" s="12"/>
      <c r="D78" s="12"/>
      <c r="E78" s="12"/>
      <c r="F78" s="12"/>
      <c r="G78" s="12"/>
      <c r="H78" s="80"/>
    </row>
    <row r="79" spans="1:14" ht="15" customHeight="1" x14ac:dyDescent="0.2">
      <c r="B79" s="16" t="s">
        <v>112</v>
      </c>
      <c r="C79" s="91">
        <v>308.87099999999998</v>
      </c>
      <c r="D79" s="91">
        <v>0</v>
      </c>
      <c r="E79" s="91">
        <v>0</v>
      </c>
      <c r="F79" s="91">
        <v>0</v>
      </c>
      <c r="G79">
        <f>C79-D79+E79+F79</f>
        <v>308.87099999999998</v>
      </c>
      <c r="H79" s="80"/>
    </row>
    <row r="80" spans="1:14" ht="15" customHeight="1" x14ac:dyDescent="0.2">
      <c r="B80" s="16" t="s">
        <v>172</v>
      </c>
      <c r="C80" s="91">
        <v>8.9</v>
      </c>
      <c r="D80" s="91">
        <v>0</v>
      </c>
      <c r="E80" s="91">
        <v>0</v>
      </c>
      <c r="F80" s="91">
        <v>0</v>
      </c>
      <c r="G80">
        <f t="shared" ref="G80:G87" si="2">C80-D80+E80+F80</f>
        <v>8.9</v>
      </c>
      <c r="H80" s="80"/>
    </row>
    <row r="81" spans="1:8" ht="15" customHeight="1" x14ac:dyDescent="0.2">
      <c r="B81" s="16" t="s">
        <v>114</v>
      </c>
      <c r="C81" s="91">
        <v>0</v>
      </c>
      <c r="D81" s="91">
        <v>0</v>
      </c>
      <c r="E81" s="91">
        <v>0</v>
      </c>
      <c r="F81" s="91">
        <v>0</v>
      </c>
      <c r="G81">
        <f t="shared" si="2"/>
        <v>0</v>
      </c>
      <c r="H81" s="80"/>
    </row>
    <row r="82" spans="1:8" ht="15" customHeight="1" x14ac:dyDescent="0.2">
      <c r="B82" s="16" t="s">
        <v>115</v>
      </c>
      <c r="C82" s="91">
        <v>0</v>
      </c>
      <c r="D82" s="91">
        <v>0</v>
      </c>
      <c r="E82" s="91">
        <v>0</v>
      </c>
      <c r="F82" s="91">
        <v>0</v>
      </c>
      <c r="G82">
        <f t="shared" si="2"/>
        <v>0</v>
      </c>
      <c r="H82" s="80"/>
    </row>
    <row r="83" spans="1:8" ht="15" customHeight="1" x14ac:dyDescent="0.2">
      <c r="B83" s="16" t="s">
        <v>116</v>
      </c>
      <c r="C83" s="91">
        <v>0</v>
      </c>
      <c r="D83" s="91">
        <v>0</v>
      </c>
      <c r="E83" s="91">
        <v>0</v>
      </c>
      <c r="F83" s="91">
        <v>0</v>
      </c>
      <c r="G83">
        <f t="shared" si="2"/>
        <v>0</v>
      </c>
      <c r="H83" s="80"/>
    </row>
    <row r="84" spans="1:8" ht="15" customHeight="1" x14ac:dyDescent="0.2">
      <c r="B84" s="16" t="s">
        <v>117</v>
      </c>
      <c r="C84" s="91">
        <v>0</v>
      </c>
      <c r="D84" s="91">
        <v>0</v>
      </c>
      <c r="E84" s="91">
        <v>0</v>
      </c>
      <c r="F84" s="91">
        <v>0</v>
      </c>
      <c r="G84">
        <f t="shared" si="2"/>
        <v>0</v>
      </c>
      <c r="H84" s="80"/>
    </row>
    <row r="85" spans="1:8" ht="15" customHeight="1" x14ac:dyDescent="0.2">
      <c r="B85" s="16" t="s">
        <v>118</v>
      </c>
      <c r="C85" s="91">
        <v>0</v>
      </c>
      <c r="D85" s="91">
        <v>0</v>
      </c>
      <c r="E85" s="91">
        <v>0</v>
      </c>
      <c r="F85" s="91">
        <v>0</v>
      </c>
      <c r="G85">
        <f t="shared" si="2"/>
        <v>0</v>
      </c>
      <c r="H85" s="80"/>
    </row>
    <row r="86" spans="1:8" ht="15" customHeight="1" x14ac:dyDescent="0.2">
      <c r="B86" s="16" t="s">
        <v>119</v>
      </c>
      <c r="C86" s="91">
        <v>0</v>
      </c>
      <c r="D86" s="91">
        <v>0</v>
      </c>
      <c r="E86" s="91">
        <v>0</v>
      </c>
      <c r="F86" s="91">
        <v>0</v>
      </c>
      <c r="G86">
        <f t="shared" si="2"/>
        <v>0</v>
      </c>
      <c r="H86" s="80"/>
    </row>
    <row r="87" spans="1:8" ht="15" customHeight="1" x14ac:dyDescent="0.2">
      <c r="B87" s="16" t="s">
        <v>120</v>
      </c>
      <c r="C87" s="91">
        <v>0</v>
      </c>
      <c r="D87" s="91">
        <v>0</v>
      </c>
      <c r="E87" s="91">
        <v>0</v>
      </c>
      <c r="F87" s="91">
        <v>0</v>
      </c>
      <c r="G87">
        <f t="shared" si="2"/>
        <v>0</v>
      </c>
      <c r="H87" s="80"/>
    </row>
    <row r="88" spans="1:8" ht="15" customHeight="1" x14ac:dyDescent="0.2">
      <c r="B88" s="16" t="s">
        <v>56</v>
      </c>
      <c r="C88">
        <f>SUM(C79:C87)</f>
        <v>317.77099999999996</v>
      </c>
      <c r="D88">
        <f>SUM(D79:D87)</f>
        <v>0</v>
      </c>
      <c r="E88">
        <f>SUM(E79:E87)</f>
        <v>0</v>
      </c>
      <c r="F88">
        <f>SUM(F79:F87)</f>
        <v>0</v>
      </c>
      <c r="G88">
        <f>C88-D88+E88+F88</f>
        <v>317.77099999999996</v>
      </c>
      <c r="H88" s="80"/>
    </row>
    <row r="89" spans="1:8" ht="15" customHeight="1" x14ac:dyDescent="0.2">
      <c r="A89" s="84"/>
      <c r="B89" s="85"/>
      <c r="C89" s="86"/>
      <c r="D89" s="86"/>
      <c r="E89" s="86"/>
      <c r="F89" s="86"/>
      <c r="G89" s="86"/>
    </row>
    <row r="90" spans="1:8" ht="15" customHeight="1" x14ac:dyDescent="0.2">
      <c r="A90" s="71" t="s">
        <v>293</v>
      </c>
      <c r="B90" s="12"/>
      <c r="C90" s="12"/>
      <c r="D90" s="80"/>
    </row>
    <row r="91" spans="1:8" ht="15" customHeight="1" x14ac:dyDescent="0.2">
      <c r="B91" s="16" t="s">
        <v>230</v>
      </c>
      <c r="C91" s="91">
        <v>217.017</v>
      </c>
      <c r="D91" s="80"/>
    </row>
    <row r="92" spans="1:8" ht="15" customHeight="1" x14ac:dyDescent="0.2">
      <c r="B92" s="16" t="str">
        <f>B80</f>
        <v>Acquisition costs</v>
      </c>
      <c r="C92">
        <f>C80*(1-C75)</f>
        <v>6.3724012231155092</v>
      </c>
      <c r="D92" s="80"/>
    </row>
    <row r="93" spans="1:8" ht="15" customHeight="1" x14ac:dyDescent="0.2">
      <c r="B93" s="16" t="s">
        <v>286</v>
      </c>
      <c r="C93" s="91">
        <f>5.772</f>
        <v>5.7720000000000002</v>
      </c>
      <c r="D93" s="80"/>
    </row>
    <row r="94" spans="1:8" ht="15" customHeight="1" x14ac:dyDescent="0.2">
      <c r="B94" s="16" t="s">
        <v>115</v>
      </c>
      <c r="C94" s="91">
        <v>0</v>
      </c>
      <c r="D94" s="80"/>
    </row>
    <row r="95" spans="1:8" ht="15" customHeight="1" x14ac:dyDescent="0.2">
      <c r="B95" s="16" t="s">
        <v>116</v>
      </c>
      <c r="C95" s="91">
        <v>0</v>
      </c>
      <c r="D95" s="80"/>
    </row>
    <row r="96" spans="1:8" ht="15" customHeight="1" x14ac:dyDescent="0.2">
      <c r="B96" s="16" t="s">
        <v>117</v>
      </c>
      <c r="C96" s="91">
        <v>0</v>
      </c>
      <c r="D96" s="80"/>
    </row>
    <row r="97" spans="1:7" ht="15" customHeight="1" x14ac:dyDescent="0.2">
      <c r="B97" s="16" t="s">
        <v>118</v>
      </c>
      <c r="C97" s="91">
        <v>0</v>
      </c>
      <c r="D97" s="80"/>
    </row>
    <row r="98" spans="1:7" ht="15" customHeight="1" x14ac:dyDescent="0.2">
      <c r="B98" s="16" t="s">
        <v>119</v>
      </c>
      <c r="C98" s="91">
        <v>0</v>
      </c>
      <c r="D98" s="80"/>
    </row>
    <row r="99" spans="1:7" ht="15" customHeight="1" x14ac:dyDescent="0.2">
      <c r="B99" s="16" t="s">
        <v>120</v>
      </c>
      <c r="C99" s="91">
        <v>0</v>
      </c>
      <c r="D99" s="80"/>
    </row>
    <row r="100" spans="1:7" ht="15" customHeight="1" x14ac:dyDescent="0.2">
      <c r="B100" s="16" t="s">
        <v>233</v>
      </c>
      <c r="C100" s="91">
        <v>0</v>
      </c>
      <c r="D100" s="80"/>
    </row>
    <row r="101" spans="1:7" ht="15" customHeight="1" x14ac:dyDescent="0.2">
      <c r="A101" s="124"/>
      <c r="B101" s="16" t="s">
        <v>234</v>
      </c>
      <c r="C101" s="91">
        <v>0</v>
      </c>
      <c r="D101" s="80"/>
    </row>
    <row r="102" spans="1:7" ht="15" customHeight="1" x14ac:dyDescent="0.2">
      <c r="A102" s="124"/>
      <c r="B102" s="16" t="s">
        <v>235</v>
      </c>
      <c r="C102" s="91">
        <v>0</v>
      </c>
      <c r="D102" s="80"/>
      <c r="E102" s="87"/>
      <c r="F102" s="87"/>
      <c r="G102" s="87"/>
    </row>
    <row r="103" spans="1:7" ht="15" customHeight="1" x14ac:dyDescent="0.2">
      <c r="A103" s="124"/>
      <c r="B103" s="16" t="s">
        <v>236</v>
      </c>
      <c r="C103" s="91">
        <v>0</v>
      </c>
      <c r="D103" s="80"/>
      <c r="E103" s="87"/>
      <c r="F103" s="87"/>
      <c r="G103" s="87"/>
    </row>
    <row r="104" spans="1:7" ht="15" customHeight="1" x14ac:dyDescent="0.2">
      <c r="A104" s="124"/>
      <c r="B104" s="16" t="s">
        <v>231</v>
      </c>
      <c r="C104" s="87">
        <f>SUM(C91:C103)</f>
        <v>229.16140122311549</v>
      </c>
      <c r="D104" s="80"/>
      <c r="E104" s="87"/>
      <c r="F104" s="87"/>
      <c r="G104" s="87"/>
    </row>
    <row r="105" spans="1:7" ht="15" customHeight="1" x14ac:dyDescent="0.2">
      <c r="A105" s="124"/>
      <c r="B105" s="125" t="s">
        <v>189</v>
      </c>
      <c r="C105" s="91">
        <v>1412.181274</v>
      </c>
      <c r="D105" s="80"/>
      <c r="E105" s="87"/>
      <c r="F105" s="87"/>
      <c r="G105" s="87"/>
    </row>
    <row r="106" spans="1:7" ht="15" customHeight="1" x14ac:dyDescent="0.2">
      <c r="A106" s="124"/>
      <c r="B106" s="125" t="s">
        <v>232</v>
      </c>
      <c r="C106" s="135">
        <f>C104/C105</f>
        <v>0.16227477693002992</v>
      </c>
      <c r="D106" s="80"/>
      <c r="E106" s="87"/>
      <c r="F106" s="87"/>
      <c r="G106" s="87"/>
    </row>
    <row r="107" spans="1:7" ht="15" customHeight="1" x14ac:dyDescent="0.2">
      <c r="A107" s="84"/>
      <c r="B107" s="85"/>
      <c r="C107" s="86"/>
      <c r="D107" s="87"/>
      <c r="E107" s="87"/>
      <c r="F107" s="87"/>
      <c r="G107" s="87"/>
    </row>
    <row r="108" spans="1:7" ht="15" customHeight="1" x14ac:dyDescent="0.2">
      <c r="A108" s="71" t="s">
        <v>289</v>
      </c>
      <c r="B108" s="12"/>
      <c r="C108" s="12"/>
      <c r="D108" s="12"/>
      <c r="E108" s="12"/>
      <c r="F108" s="80"/>
    </row>
    <row r="109" spans="1:7" ht="15" customHeight="1" x14ac:dyDescent="0.2">
      <c r="B109" s="70" t="s">
        <v>122</v>
      </c>
      <c r="C109" s="70" t="s">
        <v>123</v>
      </c>
      <c r="D109" s="70" t="s">
        <v>124</v>
      </c>
      <c r="E109" s="70" t="s">
        <v>125</v>
      </c>
      <c r="F109" s="80"/>
    </row>
    <row r="110" spans="1:7" ht="15" customHeight="1" x14ac:dyDescent="0.2">
      <c r="B110" s="16" t="s">
        <v>137</v>
      </c>
      <c r="C110" s="99">
        <v>49.101565999999998</v>
      </c>
      <c r="D110" s="99">
        <f>21.83/7.77</f>
        <v>2.8095238095238093</v>
      </c>
      <c r="E110">
        <f>MAX(($C$18-D110)/$C$18*C110,0)</f>
        <v>4.4395999258333365</v>
      </c>
      <c r="F110" s="80"/>
    </row>
    <row r="111" spans="1:7" ht="15" customHeight="1" x14ac:dyDescent="0.2">
      <c r="B111" s="16" t="s">
        <v>159</v>
      </c>
      <c r="C111" s="99">
        <v>0</v>
      </c>
      <c r="D111" s="99">
        <v>0</v>
      </c>
      <c r="E111">
        <f t="shared" ref="E111:E122" si="3">MAX(($C$18-D111)/$C$18*C111,0)</f>
        <v>0</v>
      </c>
      <c r="F111" s="80"/>
    </row>
    <row r="112" spans="1:7" ht="15" customHeight="1" x14ac:dyDescent="0.2">
      <c r="B112" s="16" t="s">
        <v>138</v>
      </c>
      <c r="C112" s="99">
        <v>0</v>
      </c>
      <c r="D112" s="99">
        <v>0</v>
      </c>
      <c r="E112">
        <f t="shared" si="3"/>
        <v>0</v>
      </c>
      <c r="F112" s="80"/>
    </row>
    <row r="113" spans="1:8" ht="15" customHeight="1" x14ac:dyDescent="0.2">
      <c r="B113" s="16" t="s">
        <v>139</v>
      </c>
      <c r="C113" s="99">
        <v>0</v>
      </c>
      <c r="D113" s="99">
        <v>0</v>
      </c>
      <c r="E113">
        <f t="shared" si="3"/>
        <v>0</v>
      </c>
      <c r="F113" s="80"/>
    </row>
    <row r="114" spans="1:8" ht="15" customHeight="1" x14ac:dyDescent="0.2">
      <c r="B114" s="16" t="s">
        <v>140</v>
      </c>
      <c r="C114" s="99">
        <v>0</v>
      </c>
      <c r="D114" s="99">
        <v>0</v>
      </c>
      <c r="E114">
        <f t="shared" si="3"/>
        <v>0</v>
      </c>
      <c r="F114" s="80"/>
    </row>
    <row r="115" spans="1:8" ht="15" customHeight="1" x14ac:dyDescent="0.2">
      <c r="B115" s="16" t="s">
        <v>141</v>
      </c>
      <c r="C115" s="99">
        <v>0</v>
      </c>
      <c r="D115" s="99">
        <v>0</v>
      </c>
      <c r="E115">
        <f t="shared" si="3"/>
        <v>0</v>
      </c>
      <c r="F115" s="80"/>
    </row>
    <row r="116" spans="1:8" ht="15" customHeight="1" x14ac:dyDescent="0.2">
      <c r="B116" s="16" t="s">
        <v>142</v>
      </c>
      <c r="C116" s="99">
        <v>0</v>
      </c>
      <c r="D116" s="99">
        <v>0</v>
      </c>
      <c r="E116">
        <f t="shared" si="3"/>
        <v>0</v>
      </c>
      <c r="F116" s="80"/>
    </row>
    <row r="117" spans="1:8" ht="15" customHeight="1" x14ac:dyDescent="0.2">
      <c r="B117" s="16" t="s">
        <v>143</v>
      </c>
      <c r="C117" s="99">
        <v>0</v>
      </c>
      <c r="D117" s="99">
        <v>0</v>
      </c>
      <c r="E117">
        <f t="shared" si="3"/>
        <v>0</v>
      </c>
      <c r="F117" s="80"/>
    </row>
    <row r="118" spans="1:8" ht="15" customHeight="1" x14ac:dyDescent="0.2">
      <c r="B118" s="16" t="s">
        <v>205</v>
      </c>
      <c r="C118" s="99">
        <v>0</v>
      </c>
      <c r="D118" s="99">
        <v>0</v>
      </c>
      <c r="E118">
        <f t="shared" si="3"/>
        <v>0</v>
      </c>
      <c r="F118" s="80"/>
    </row>
    <row r="119" spans="1:8" ht="15" customHeight="1" x14ac:dyDescent="0.2">
      <c r="B119" s="16" t="s">
        <v>206</v>
      </c>
      <c r="C119" s="99">
        <v>0</v>
      </c>
      <c r="D119" s="99">
        <v>0</v>
      </c>
      <c r="E119">
        <f t="shared" si="3"/>
        <v>0</v>
      </c>
      <c r="F119" s="80"/>
    </row>
    <row r="120" spans="1:8" ht="15" customHeight="1" x14ac:dyDescent="0.2">
      <c r="B120" s="16" t="s">
        <v>207</v>
      </c>
      <c r="C120" s="99">
        <v>0</v>
      </c>
      <c r="D120" s="99">
        <v>0</v>
      </c>
      <c r="E120">
        <f t="shared" si="3"/>
        <v>0</v>
      </c>
      <c r="F120" s="80"/>
    </row>
    <row r="121" spans="1:8" ht="15" customHeight="1" x14ac:dyDescent="0.2">
      <c r="B121" s="16" t="s">
        <v>208</v>
      </c>
      <c r="C121" s="99">
        <v>0</v>
      </c>
      <c r="D121" s="99">
        <v>0</v>
      </c>
      <c r="E121">
        <f t="shared" si="3"/>
        <v>0</v>
      </c>
      <c r="F121" s="80"/>
    </row>
    <row r="122" spans="1:8" ht="15" customHeight="1" x14ac:dyDescent="0.2">
      <c r="B122" s="16" t="s">
        <v>212</v>
      </c>
      <c r="C122" s="99">
        <v>0</v>
      </c>
      <c r="D122" s="99">
        <v>0</v>
      </c>
      <c r="E122">
        <f t="shared" si="3"/>
        <v>0</v>
      </c>
      <c r="F122" s="80"/>
    </row>
    <row r="123" spans="1:8" ht="15" customHeight="1" x14ac:dyDescent="0.2">
      <c r="B123" s="16" t="s">
        <v>126</v>
      </c>
      <c r="E123">
        <f>SUM(E110:E122)</f>
        <v>4.4395999258333365</v>
      </c>
      <c r="F123" s="80"/>
    </row>
    <row r="124" spans="1:8" ht="15" customHeight="1" x14ac:dyDescent="0.2">
      <c r="A124" s="84"/>
      <c r="B124" s="85"/>
      <c r="C124" s="86"/>
      <c r="D124" s="86"/>
      <c r="E124" s="86"/>
    </row>
    <row r="126" spans="1:8" ht="15" customHeight="1" x14ac:dyDescent="0.2">
      <c r="A126" s="71" t="s">
        <v>127</v>
      </c>
      <c r="B126" s="12"/>
      <c r="C126" s="12"/>
      <c r="D126" s="12"/>
      <c r="E126" s="12"/>
      <c r="F126" s="12"/>
      <c r="G126" s="12"/>
      <c r="H126" s="80"/>
    </row>
    <row r="127" spans="1:8" ht="15" customHeight="1" x14ac:dyDescent="0.2">
      <c r="B127" s="16" t="s">
        <v>128</v>
      </c>
      <c r="C127" s="74">
        <f>C11</f>
        <v>42369</v>
      </c>
      <c r="E127" s="70" t="s">
        <v>129</v>
      </c>
      <c r="F127" s="70" t="s">
        <v>130</v>
      </c>
      <c r="G127" s="70" t="s">
        <v>131</v>
      </c>
      <c r="H127" s="80"/>
    </row>
    <row r="128" spans="1:8" ht="15" customHeight="1" x14ac:dyDescent="0.2">
      <c r="B128" s="16" t="s">
        <v>30</v>
      </c>
      <c r="C128" s="74">
        <f>C14</f>
        <v>42369</v>
      </c>
      <c r="E128" s="95">
        <f>MAX(-C129/365,0)</f>
        <v>0</v>
      </c>
      <c r="F128" s="95">
        <f>1-E128-G128</f>
        <v>1</v>
      </c>
      <c r="G128" s="95">
        <f>MAX(0,C129/365)</f>
        <v>0</v>
      </c>
      <c r="H128" s="80"/>
    </row>
    <row r="129" spans="1:8" ht="15" customHeight="1" x14ac:dyDescent="0.2">
      <c r="B129" s="16" t="s">
        <v>146</v>
      </c>
      <c r="C129">
        <f>C127-C128</f>
        <v>0</v>
      </c>
      <c r="H129" s="80"/>
    </row>
    <row r="130" spans="1:8" ht="15" customHeight="1" x14ac:dyDescent="0.2">
      <c r="B130" s="16" t="s">
        <v>132</v>
      </c>
      <c r="C130" s="16"/>
      <c r="D130">
        <f>IF(E128&gt;0,0,1)</f>
        <v>1</v>
      </c>
      <c r="E130" s="91">
        <v>1</v>
      </c>
      <c r="F130" s="91">
        <v>1</v>
      </c>
      <c r="G130">
        <f>IF(G128&gt;0,0,1)</f>
        <v>1</v>
      </c>
      <c r="H130" s="80"/>
    </row>
    <row r="131" spans="1:8" ht="15" customHeight="1" x14ac:dyDescent="0.2">
      <c r="A131" s="84"/>
      <c r="B131" s="85"/>
      <c r="C131" s="86"/>
      <c r="D131" s="86"/>
      <c r="E131" s="86"/>
      <c r="F131" s="86"/>
      <c r="G131" s="86"/>
    </row>
    <row r="132" spans="1:8" ht="15" customHeight="1" x14ac:dyDescent="0.2">
      <c r="A132" s="15" t="s">
        <v>259</v>
      </c>
      <c r="C132" s="137" t="str">
        <f>Burberry!C65</f>
        <v>Annual</v>
      </c>
      <c r="D132" s="137" t="str">
        <f>Burberry!D65</f>
        <v>interim</v>
      </c>
      <c r="E132" s="137" t="str">
        <f>Burberry!E65</f>
        <v>interim</v>
      </c>
      <c r="F132" s="137"/>
      <c r="G132" s="137" t="str">
        <f>Burberry!G65</f>
        <v>Adj. LTM</v>
      </c>
    </row>
    <row r="133" spans="1:8" ht="15" customHeight="1" x14ac:dyDescent="0.2">
      <c r="A133" s="150" t="s">
        <v>267</v>
      </c>
      <c r="C133" s="148">
        <f>Burberry!C66</f>
        <v>42094</v>
      </c>
      <c r="D133" s="148">
        <f>Burberry!D66</f>
        <v>41912</v>
      </c>
      <c r="E133" s="148">
        <f>Burberry!E66</f>
        <v>42277</v>
      </c>
      <c r="F133" s="148"/>
      <c r="G133" s="148"/>
    </row>
    <row r="134" spans="1:8" ht="15" customHeight="1" x14ac:dyDescent="0.2">
      <c r="B134" s="16" t="s">
        <v>260</v>
      </c>
      <c r="C134" s="149">
        <v>122</v>
      </c>
      <c r="D134" s="149">
        <v>0</v>
      </c>
      <c r="E134" s="149">
        <v>0</v>
      </c>
    </row>
    <row r="135" spans="1:8" ht="15" customHeight="1" x14ac:dyDescent="0.2">
      <c r="B135" s="16" t="s">
        <v>55</v>
      </c>
      <c r="C135">
        <f>C69</f>
        <v>377.34599999999995</v>
      </c>
      <c r="D135">
        <f t="shared" ref="D135:E135" si="4">D69</f>
        <v>1.4E-2</v>
      </c>
      <c r="E135">
        <f t="shared" si="4"/>
        <v>3.6999999999999998E-2</v>
      </c>
    </row>
    <row r="136" spans="1:8" ht="15" customHeight="1" x14ac:dyDescent="0.2">
      <c r="B136" s="16" t="s">
        <v>258</v>
      </c>
      <c r="C136">
        <f>C134+C135</f>
        <v>499.34599999999995</v>
      </c>
      <c r="D136">
        <f>D134+D135</f>
        <v>1.4E-2</v>
      </c>
      <c r="E136">
        <f>E134+E135</f>
        <v>3.6999999999999998E-2</v>
      </c>
      <c r="G136">
        <f>C136-D136+E136</f>
        <v>499.36899999999991</v>
      </c>
    </row>
    <row r="138" spans="1:8" ht="15" customHeight="1" x14ac:dyDescent="0.2">
      <c r="B138" s="16" t="s">
        <v>261</v>
      </c>
      <c r="G138">
        <f>G12</f>
        <v>4346.0501966821112</v>
      </c>
    </row>
    <row r="139" spans="1:8" ht="15" customHeight="1" x14ac:dyDescent="0.2">
      <c r="B139" s="16" t="s">
        <v>262</v>
      </c>
      <c r="G139">
        <f>C134</f>
        <v>122</v>
      </c>
    </row>
    <row r="140" spans="1:8" ht="15" customHeight="1" x14ac:dyDescent="0.2">
      <c r="B140" s="16" t="s">
        <v>263</v>
      </c>
      <c r="G140" s="149">
        <v>8</v>
      </c>
    </row>
    <row r="141" spans="1:8" ht="15" customHeight="1" x14ac:dyDescent="0.2">
      <c r="B141" s="16" t="s">
        <v>264</v>
      </c>
      <c r="G141">
        <f>G139*G140</f>
        <v>976</v>
      </c>
    </row>
    <row r="142" spans="1:8" ht="15" customHeight="1" x14ac:dyDescent="0.2">
      <c r="B142" s="16" t="s">
        <v>265</v>
      </c>
      <c r="G142">
        <f>G138+G141</f>
        <v>5322.0501966821112</v>
      </c>
    </row>
    <row r="144" spans="1:8" ht="15" customHeight="1" x14ac:dyDescent="0.2">
      <c r="B144" s="16" t="s">
        <v>266</v>
      </c>
      <c r="G144" s="69">
        <f>G142/G136</f>
        <v>10.657550221744065</v>
      </c>
    </row>
    <row r="146" spans="2:7" ht="15" customHeight="1" x14ac:dyDescent="0.2">
      <c r="B146" s="151" t="s">
        <v>268</v>
      </c>
    </row>
    <row r="147" spans="2:7" ht="15" customHeight="1" x14ac:dyDescent="0.2">
      <c r="B147" s="16" t="s">
        <v>258</v>
      </c>
      <c r="C147">
        <f>C136</f>
        <v>499.34599999999995</v>
      </c>
      <c r="D147">
        <f t="shared" ref="D147:E147" si="5">D136</f>
        <v>1.4E-2</v>
      </c>
      <c r="E147">
        <f t="shared" si="5"/>
        <v>3.6999999999999998E-2</v>
      </c>
      <c r="G147">
        <f>C147-D147+E147</f>
        <v>499.36899999999991</v>
      </c>
    </row>
    <row r="148" spans="2:7" ht="15" customHeight="1" x14ac:dyDescent="0.2">
      <c r="B148" s="16" t="s">
        <v>273</v>
      </c>
      <c r="C148" s="149">
        <v>3.254</v>
      </c>
      <c r="D148" s="149">
        <v>0</v>
      </c>
      <c r="E148" s="149">
        <v>0</v>
      </c>
      <c r="G148">
        <f t="shared" ref="G148:G149" si="6">C148-D148+E148</f>
        <v>3.254</v>
      </c>
    </row>
    <row r="149" spans="2:7" ht="15" customHeight="1" x14ac:dyDescent="0.2">
      <c r="B149" s="16" t="s">
        <v>274</v>
      </c>
      <c r="C149" s="149">
        <v>-0.57799999999999996</v>
      </c>
      <c r="D149" s="149">
        <v>0</v>
      </c>
      <c r="E149" s="149">
        <v>0</v>
      </c>
      <c r="G149">
        <f t="shared" si="6"/>
        <v>-0.57799999999999996</v>
      </c>
    </row>
    <row r="150" spans="2:7" ht="15" customHeight="1" x14ac:dyDescent="0.2">
      <c r="B150" s="16" t="s">
        <v>303</v>
      </c>
      <c r="C150">
        <f>SUM(C147:C149)</f>
        <v>502.02199999999999</v>
      </c>
      <c r="G150">
        <f>SUM(G147:G149)</f>
        <v>502.04499999999996</v>
      </c>
    </row>
    <row r="152" spans="2:7" ht="15" customHeight="1" x14ac:dyDescent="0.2">
      <c r="B152" s="16" t="s">
        <v>269</v>
      </c>
      <c r="G152" s="149">
        <v>238.94399999999999</v>
      </c>
    </row>
    <row r="153" spans="2:7" ht="15" customHeight="1" x14ac:dyDescent="0.2">
      <c r="B153" s="16" t="s">
        <v>270</v>
      </c>
      <c r="G153" s="149">
        <v>206.37799999999999</v>
      </c>
    </row>
    <row r="154" spans="2:7" ht="15" customHeight="1" x14ac:dyDescent="0.2">
      <c r="B154" s="16" t="s">
        <v>271</v>
      </c>
      <c r="G154">
        <f>G152-G153</f>
        <v>32.566000000000003</v>
      </c>
    </row>
    <row r="155" spans="2:7" ht="15" customHeight="1" x14ac:dyDescent="0.2">
      <c r="B155" s="16" t="s">
        <v>272</v>
      </c>
      <c r="G155">
        <f>G154*(1-C75)</f>
        <v>23.317260475503332</v>
      </c>
    </row>
    <row r="156" spans="2:7" ht="15" customHeight="1" x14ac:dyDescent="0.2">
      <c r="B156" s="16" t="s">
        <v>265</v>
      </c>
      <c r="G156">
        <f>G155+G142</f>
        <v>5345.3674571576148</v>
      </c>
    </row>
    <row r="158" spans="2:7" ht="15" customHeight="1" x14ac:dyDescent="0.2">
      <c r="B158" s="16" t="s">
        <v>276</v>
      </c>
      <c r="G158" s="69">
        <f>G156/G150</f>
        <v>10.647187915739854</v>
      </c>
    </row>
  </sheetData>
  <printOptions headings="1" gridLines="1"/>
  <pageMargins left="0.70866141732283472" right="0.70866141732283472" top="0.74803149606299213" bottom="0.74803149606299213" header="0.31496062992125984" footer="0.31496062992125984"/>
  <pageSetup paperSize="9" scale="53" fitToHeight="3" orientation="portrait" cellComments="asDisplayed" verticalDpi="1200" r:id="rId1"/>
  <headerFooter>
    <oddHeader xml:space="preserve">&amp;R&amp;10&amp;F 
&amp;A
</oddHeader>
    <oddFooter>&amp;L&amp;10© 2016&amp;C&amp;10Page &amp;P of &amp;N&amp;R&amp;G</oddFooter>
  </headerFooter>
  <legacyDrawing r:id="rId2"/>
  <legacyDrawingHF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N158"/>
  <sheetViews>
    <sheetView zoomScaleNormal="100" workbookViewId="0"/>
  </sheetViews>
  <sheetFormatPr baseColWidth="10" defaultColWidth="9.1640625" defaultRowHeight="15" customHeight="1" x14ac:dyDescent="0.2"/>
  <cols>
    <col min="1" max="1" width="1.5" style="15" customWidth="1"/>
    <col min="2" max="2" width="35.6640625" style="16" customWidth="1"/>
    <col min="3" max="10" width="11" customWidth="1"/>
    <col min="11" max="13" width="9.6640625" customWidth="1"/>
  </cols>
  <sheetData>
    <row r="1" spans="1:12" s="51" customFormat="1" ht="45" customHeight="1" x14ac:dyDescent="0.35">
      <c r="A1" s="5" t="str">
        <f>Welcome!A2</f>
        <v xml:space="preserve">Case In Point - Samsonite Acquiring Tumi </v>
      </c>
      <c r="B1" s="10"/>
      <c r="C1" s="12"/>
      <c r="D1" s="12"/>
      <c r="E1" s="12"/>
      <c r="F1" s="12"/>
      <c r="G1" s="12"/>
      <c r="H1" s="12"/>
      <c r="I1" s="12"/>
      <c r="J1" s="12"/>
      <c r="K1" s="12"/>
      <c r="L1" s="12"/>
    </row>
    <row r="2" spans="1:12" s="37" customFormat="1" ht="30" customHeight="1" x14ac:dyDescent="0.25">
      <c r="A2" s="14" t="s">
        <v>191</v>
      </c>
      <c r="B2" s="7"/>
      <c r="C2" s="11"/>
      <c r="D2" s="11"/>
      <c r="E2" s="11"/>
      <c r="F2" s="11"/>
      <c r="G2" s="11"/>
      <c r="H2" s="11"/>
      <c r="I2" s="11"/>
      <c r="J2" s="11"/>
      <c r="K2" s="11"/>
      <c r="L2" s="11"/>
    </row>
    <row r="4" spans="1:12" ht="15" customHeight="1" x14ac:dyDescent="0.2">
      <c r="B4" s="66" t="s">
        <v>19</v>
      </c>
      <c r="C4" s="67" t="s">
        <v>193</v>
      </c>
      <c r="E4" s="66" t="s">
        <v>21</v>
      </c>
      <c r="F4" s="68" t="s">
        <v>227</v>
      </c>
    </row>
    <row r="5" spans="1:12" ht="15" customHeight="1" x14ac:dyDescent="0.2">
      <c r="B5" s="66" t="s">
        <v>92</v>
      </c>
      <c r="E5" s="66" t="s">
        <v>3</v>
      </c>
      <c r="F5" s="74">
        <f>Info!N7</f>
        <v>42496</v>
      </c>
    </row>
    <row r="7" spans="1:12" ht="15" customHeight="1" x14ac:dyDescent="0.2">
      <c r="A7" s="72" t="s">
        <v>22</v>
      </c>
      <c r="B7" s="12"/>
      <c r="C7" s="12"/>
      <c r="D7" s="89"/>
      <c r="E7" s="88" t="str">
        <f>"Enterprise value calculation in "&amp;C16</f>
        <v>Enterprise value calculation in USD</v>
      </c>
      <c r="F7" s="88"/>
      <c r="G7" s="88"/>
      <c r="H7" s="88"/>
      <c r="I7" s="88"/>
      <c r="J7" s="88"/>
      <c r="K7" s="88"/>
      <c r="L7" s="80"/>
    </row>
    <row r="8" spans="1:12" ht="15" customHeight="1" x14ac:dyDescent="0.2">
      <c r="B8" s="16" t="s">
        <v>23</v>
      </c>
      <c r="C8" s="123" t="s">
        <v>218</v>
      </c>
      <c r="D8" s="89"/>
      <c r="E8" t="s">
        <v>40</v>
      </c>
      <c r="G8">
        <f>J32/FX</f>
        <v>4098.0615735461797</v>
      </c>
      <c r="I8" t="s">
        <v>42</v>
      </c>
      <c r="K8">
        <f>G32/FX</f>
        <v>9441.2770809578105</v>
      </c>
      <c r="L8" s="80"/>
    </row>
    <row r="9" spans="1:12" ht="15" customHeight="1" x14ac:dyDescent="0.2">
      <c r="B9" s="16" t="s">
        <v>25</v>
      </c>
      <c r="C9" s="75" t="s">
        <v>217</v>
      </c>
      <c r="D9" s="89"/>
      <c r="E9" t="s">
        <v>41</v>
      </c>
      <c r="G9">
        <f>J33/FX</f>
        <v>654.50399087799315</v>
      </c>
      <c r="I9" t="s">
        <v>44</v>
      </c>
      <c r="K9">
        <f>G36/FX</f>
        <v>0</v>
      </c>
      <c r="L9" s="80"/>
    </row>
    <row r="10" spans="1:12" ht="15" customHeight="1" x14ac:dyDescent="0.2">
      <c r="B10" s="16" t="s">
        <v>27</v>
      </c>
      <c r="C10" s="74">
        <f>F5</f>
        <v>42496</v>
      </c>
      <c r="D10" s="89"/>
      <c r="E10" t="s">
        <v>43</v>
      </c>
      <c r="G10">
        <f>J34/FX</f>
        <v>831.24287343215508</v>
      </c>
      <c r="I10" t="s">
        <v>46</v>
      </c>
      <c r="K10">
        <f>G38/FX</f>
        <v>9848.3922462941828</v>
      </c>
      <c r="L10" s="80"/>
    </row>
    <row r="11" spans="1:12" ht="15" customHeight="1" x14ac:dyDescent="0.2">
      <c r="B11" s="16" t="s">
        <v>28</v>
      </c>
      <c r="C11" s="76">
        <v>42369</v>
      </c>
      <c r="D11" s="154">
        <v>7.77</v>
      </c>
      <c r="E11" t="s">
        <v>45</v>
      </c>
      <c r="G11">
        <f>J35/FX</f>
        <v>0</v>
      </c>
      <c r="I11" t="s">
        <v>133</v>
      </c>
      <c r="K11">
        <f>SUM(G33:G35,G37)/FX</f>
        <v>8461.8015963511971</v>
      </c>
      <c r="L11" s="80"/>
    </row>
    <row r="12" spans="1:12" ht="15" customHeight="1" x14ac:dyDescent="0.2">
      <c r="B12" s="16" t="s">
        <v>29</v>
      </c>
      <c r="C12" s="76">
        <f>C11</f>
        <v>42369</v>
      </c>
      <c r="D12" s="89"/>
      <c r="E12" t="s">
        <v>47</v>
      </c>
      <c r="G12">
        <f>SUM(K8:K12)-SUM(G8:G11)</f>
        <v>104721.18245667047</v>
      </c>
      <c r="I12" t="s">
        <v>48</v>
      </c>
      <c r="K12">
        <f>D38/FX</f>
        <v>82553.519970923604</v>
      </c>
      <c r="L12" s="80"/>
    </row>
    <row r="13" spans="1:12" ht="15" customHeight="1" x14ac:dyDescent="0.2">
      <c r="C13" s="76"/>
      <c r="D13" s="80"/>
      <c r="E13" s="86"/>
      <c r="F13" s="86"/>
      <c r="G13" s="86"/>
      <c r="H13" s="86"/>
      <c r="I13" s="86"/>
      <c r="J13" s="86"/>
      <c r="K13" s="86"/>
      <c r="L13" s="87"/>
    </row>
    <row r="14" spans="1:12" ht="15" customHeight="1" x14ac:dyDescent="0.2">
      <c r="B14" s="16" t="s">
        <v>30</v>
      </c>
      <c r="C14" s="74">
        <f>Info!N8</f>
        <v>42369</v>
      </c>
      <c r="D14" s="80"/>
      <c r="E14" s="88" t="str">
        <f>"Calendarized numbers summary in "&amp;C16</f>
        <v>Calendarized numbers summary in USD</v>
      </c>
      <c r="F14" s="88"/>
      <c r="G14" s="88"/>
      <c r="H14" s="88"/>
      <c r="I14" s="88"/>
      <c r="J14" s="88"/>
      <c r="K14" s="88"/>
    </row>
    <row r="15" spans="1:12" ht="15" customHeight="1" x14ac:dyDescent="0.2">
      <c r="B15" s="16" t="s">
        <v>31</v>
      </c>
      <c r="C15" s="75" t="s">
        <v>216</v>
      </c>
      <c r="D15" s="89"/>
      <c r="G15" s="90" t="s">
        <v>49</v>
      </c>
      <c r="H15" s="90" t="str">
        <f>YEAR($C$14)+1&amp;"e"</f>
        <v>2016e</v>
      </c>
      <c r="I15" s="90" t="str">
        <f>YEAR($C$14)+2&amp;"e"</f>
        <v>2017e</v>
      </c>
      <c r="J15" s="90" t="str">
        <f>YEAR($C$14)+3&amp;"e"</f>
        <v>2018e</v>
      </c>
      <c r="K15" s="90" t="str">
        <f>YEAR($C$14)+4&amp;"e"</f>
        <v>2019e</v>
      </c>
      <c r="L15" s="80"/>
    </row>
    <row r="16" spans="1:12" ht="15" customHeight="1" x14ac:dyDescent="0.2">
      <c r="B16" s="16" t="s">
        <v>147</v>
      </c>
      <c r="C16" s="90" t="str">
        <f>Info!N9</f>
        <v>USD</v>
      </c>
      <c r="D16" s="89"/>
      <c r="E16" t="s">
        <v>54</v>
      </c>
      <c r="G16">
        <f>G67/FX</f>
        <v>40665.906499429875</v>
      </c>
      <c r="H16">
        <f>SUMPRODUCT(I67:K67,calendar)/FX</f>
        <v>42237.172177879133</v>
      </c>
      <c r="I16">
        <f>SUMPRODUCT(J67:L67,calendar)/FX</f>
        <v>44713.797035347779</v>
      </c>
      <c r="J16">
        <f>SUMPRODUCT(K67:M67,calendar)/FX</f>
        <v>47173.318129988598</v>
      </c>
      <c r="K16">
        <f>SUMPRODUCT(L67:N67,calendar)/FX</f>
        <v>0</v>
      </c>
      <c r="L16" s="80"/>
    </row>
    <row r="17" spans="1:12" ht="15" customHeight="1" x14ac:dyDescent="0.2">
      <c r="B17" s="16" t="s">
        <v>32</v>
      </c>
      <c r="C17" s="122">
        <v>0.877</v>
      </c>
      <c r="D17" s="89"/>
      <c r="E17" t="s">
        <v>55</v>
      </c>
      <c r="G17">
        <f>G69/FX</f>
        <v>9345.4960091220073</v>
      </c>
      <c r="H17">
        <f>SUMPRODUCT(I69:K69,calendar)/FX</f>
        <v>9905.3591790193841</v>
      </c>
      <c r="I17">
        <f>SUMPRODUCT(J69:L69,calendar)/FX</f>
        <v>10507.411630558723</v>
      </c>
      <c r="J17">
        <f>SUMPRODUCT(K69:M69,calendar)/FX</f>
        <v>11322.690992018244</v>
      </c>
      <c r="K17">
        <f>SUMPRODUCT(L69:N69,calendar)/FX</f>
        <v>0</v>
      </c>
      <c r="L17" s="80"/>
    </row>
    <row r="18" spans="1:12" ht="15" customHeight="1" x14ac:dyDescent="0.2">
      <c r="B18" s="16" t="str">
        <f>"Closing price as at "&amp;TEXT($C$10,"dd-mmm-yy")</f>
        <v>Closing price as at 06-May-16</v>
      </c>
      <c r="C18" s="78">
        <v>143.5</v>
      </c>
      <c r="D18" s="89"/>
      <c r="E18" t="s">
        <v>56</v>
      </c>
      <c r="G18">
        <f>G68/FX</f>
        <v>7563.2839224629415</v>
      </c>
      <c r="H18">
        <f>SUMPRODUCT(I68:K68,calendar)/FX</f>
        <v>7885.9749144811858</v>
      </c>
      <c r="I18">
        <f>SUMPRODUCT(J68:L68,calendar)/FX</f>
        <v>8507.4116305587231</v>
      </c>
      <c r="J18">
        <f>SUMPRODUCT(K68:M68,calendar)/FX</f>
        <v>9172.1778791334091</v>
      </c>
      <c r="K18">
        <f>SUMPRODUCT(L68:N68,calendar)/FX</f>
        <v>0</v>
      </c>
      <c r="L18" s="80"/>
    </row>
    <row r="19" spans="1:12" ht="15" customHeight="1" x14ac:dyDescent="0.2">
      <c r="B19" s="16" t="str">
        <f>"Closing price as at "&amp;TEXT($C$10,"dd-mmm-yy")&amp;" in USD"</f>
        <v>Closing price as at 06-May-16 in USD</v>
      </c>
      <c r="C19" s="107">
        <f>C18/FX</f>
        <v>163.62599771949829</v>
      </c>
      <c r="D19" s="89"/>
      <c r="E19" t="s">
        <v>223</v>
      </c>
      <c r="H19">
        <f>SUMPRODUCT(I70:K70,calendar)/FX</f>
        <v>9.2360319270239444</v>
      </c>
      <c r="I19">
        <f>SUMPRODUCT(J70:L70,calendar)/FX</f>
        <v>10.057012542759407</v>
      </c>
      <c r="J19">
        <f>SUMPRODUCT(K70:M70,calendar)/FX</f>
        <v>10.900798175598633</v>
      </c>
      <c r="K19">
        <f>SUMPRODUCT(L70:N70,calendar)/FX</f>
        <v>0</v>
      </c>
      <c r="L19" s="80"/>
    </row>
    <row r="20" spans="1:12" ht="15" customHeight="1" x14ac:dyDescent="0.2">
      <c r="B20" s="16" t="s">
        <v>33</v>
      </c>
      <c r="C20" s="78">
        <v>130.75</v>
      </c>
      <c r="D20" s="80"/>
      <c r="E20" s="86"/>
      <c r="F20" s="86"/>
      <c r="G20" s="86"/>
      <c r="H20" s="86"/>
      <c r="I20" s="86"/>
      <c r="J20" s="86"/>
      <c r="K20" s="86"/>
    </row>
    <row r="21" spans="1:12" ht="15" customHeight="1" x14ac:dyDescent="0.2">
      <c r="B21" s="16" t="s">
        <v>34</v>
      </c>
      <c r="C21" s="78">
        <v>176.6</v>
      </c>
      <c r="D21" s="80"/>
      <c r="E21" s="88" t="s">
        <v>61</v>
      </c>
      <c r="F21" s="88"/>
      <c r="G21" s="88"/>
      <c r="H21" s="88"/>
      <c r="I21" s="88"/>
      <c r="J21" s="88"/>
      <c r="K21" s="88"/>
    </row>
    <row r="22" spans="1:12" ht="15" customHeight="1" x14ac:dyDescent="0.2">
      <c r="B22" s="16" t="s">
        <v>197</v>
      </c>
      <c r="C22" s="95">
        <f>C18/C21</f>
        <v>0.8125707814269536</v>
      </c>
      <c r="D22" s="89"/>
      <c r="G22" s="90" t="s">
        <v>49</v>
      </c>
      <c r="H22" s="90" t="s">
        <v>50</v>
      </c>
      <c r="I22" s="90" t="s">
        <v>51</v>
      </c>
      <c r="J22" s="90" t="s">
        <v>52</v>
      </c>
      <c r="K22" s="90" t="s">
        <v>53</v>
      </c>
      <c r="L22" s="80"/>
    </row>
    <row r="23" spans="1:12" ht="15" customHeight="1" x14ac:dyDescent="0.2">
      <c r="B23" s="16" t="s">
        <v>35</v>
      </c>
      <c r="C23" s="104">
        <f>3.93/C18</f>
        <v>2.7386759581881533E-2</v>
      </c>
      <c r="D23" s="106"/>
      <c r="E23" t="s">
        <v>62</v>
      </c>
      <c r="G23" s="69">
        <f t="shared" ref="G23:K25" si="0">IFERROR($G$12/G16,"NA")</f>
        <v>2.5751591805321894</v>
      </c>
      <c r="H23" s="69">
        <f t="shared" si="0"/>
        <v>2.4793606450650616</v>
      </c>
      <c r="I23" s="69">
        <f t="shared" si="0"/>
        <v>2.342032871283215</v>
      </c>
      <c r="J23" s="69">
        <f t="shared" si="0"/>
        <v>2.2199240292596265</v>
      </c>
      <c r="K23" s="114" t="str">
        <f t="shared" si="0"/>
        <v>NA</v>
      </c>
      <c r="L23" s="80"/>
    </row>
    <row r="24" spans="1:12" ht="15" customHeight="1" x14ac:dyDescent="0.2">
      <c r="B24" s="16" t="s">
        <v>37</v>
      </c>
      <c r="C24" s="78">
        <v>1.05</v>
      </c>
      <c r="D24" s="89"/>
      <c r="E24" t="s">
        <v>57</v>
      </c>
      <c r="G24" s="69">
        <f t="shared" si="0"/>
        <v>11.205524281905808</v>
      </c>
      <c r="H24" s="69">
        <f t="shared" si="0"/>
        <v>10.572174169966617</v>
      </c>
      <c r="I24" s="69">
        <f t="shared" si="0"/>
        <v>9.9664109619641899</v>
      </c>
      <c r="J24" s="69">
        <f t="shared" si="0"/>
        <v>9.2487892260322262</v>
      </c>
      <c r="K24" s="114" t="str">
        <f t="shared" si="0"/>
        <v>NA</v>
      </c>
      <c r="L24" s="80"/>
    </row>
    <row r="25" spans="1:12" ht="15" customHeight="1" x14ac:dyDescent="0.2">
      <c r="D25" s="89"/>
      <c r="E25" t="s">
        <v>58</v>
      </c>
      <c r="G25" s="69">
        <f t="shared" si="0"/>
        <v>13.845993820970904</v>
      </c>
      <c r="H25" s="69">
        <f t="shared" si="0"/>
        <v>13.279421199320417</v>
      </c>
      <c r="I25" s="69">
        <f t="shared" si="0"/>
        <v>12.30940584566412</v>
      </c>
      <c r="J25" s="69">
        <f t="shared" si="0"/>
        <v>11.417264671121334</v>
      </c>
      <c r="K25" s="114" t="str">
        <f t="shared" si="0"/>
        <v>NA</v>
      </c>
      <c r="L25" s="80"/>
    </row>
    <row r="26" spans="1:12" ht="15" customHeight="1" x14ac:dyDescent="0.2">
      <c r="B26" s="16" t="s">
        <v>38</v>
      </c>
      <c r="C26" s="144" t="s">
        <v>253</v>
      </c>
      <c r="D26" s="106"/>
      <c r="E26" t="s">
        <v>59</v>
      </c>
      <c r="H26" s="69">
        <f>$C$19/H19</f>
        <v>17.716049382716051</v>
      </c>
      <c r="I26" s="69">
        <f>$C$19/I19</f>
        <v>16.269841269841269</v>
      </c>
      <c r="J26" s="69">
        <f>$C$19/J19</f>
        <v>15.010460251046023</v>
      </c>
      <c r="K26" s="114" t="str">
        <f>IFERROR($C$19/K19,"NA")</f>
        <v>NA</v>
      </c>
      <c r="L26" s="80"/>
    </row>
    <row r="27" spans="1:12" ht="15" customHeight="1" x14ac:dyDescent="0.2">
      <c r="B27" s="16" t="s">
        <v>39</v>
      </c>
      <c r="C27" s="83">
        <v>9.5000000000000001E-2</v>
      </c>
      <c r="D27" s="89"/>
      <c r="E27" t="s">
        <v>60</v>
      </c>
      <c r="G27" s="69">
        <f>G32/G69</f>
        <v>1.0102489019033676</v>
      </c>
      <c r="K27" s="137"/>
      <c r="L27" s="80"/>
    </row>
    <row r="28" spans="1:12" ht="15" customHeight="1" x14ac:dyDescent="0.2">
      <c r="A28" s="84"/>
      <c r="B28" s="85"/>
      <c r="C28" s="86"/>
      <c r="D28" s="87"/>
      <c r="E28" s="86"/>
      <c r="F28" s="86"/>
      <c r="G28" s="86"/>
      <c r="H28" s="86"/>
      <c r="I28" s="86"/>
      <c r="J28" s="86"/>
      <c r="K28" s="86"/>
      <c r="L28" s="87"/>
    </row>
    <row r="29" spans="1:12" ht="15" customHeight="1" x14ac:dyDescent="0.2">
      <c r="A29" s="72" t="s">
        <v>22</v>
      </c>
      <c r="B29" s="12"/>
      <c r="C29" s="12"/>
      <c r="D29" s="12"/>
      <c r="E29" s="12"/>
      <c r="F29" s="12"/>
      <c r="G29" s="12"/>
      <c r="H29" s="12"/>
      <c r="I29" s="12"/>
      <c r="J29" s="12"/>
      <c r="K29" s="12"/>
      <c r="L29" s="80"/>
    </row>
    <row r="30" spans="1:12" ht="15" customHeight="1" x14ac:dyDescent="0.2">
      <c r="B30" s="16" t="s">
        <v>63</v>
      </c>
      <c r="E30" s="16" t="s">
        <v>78</v>
      </c>
      <c r="H30" s="16" t="s">
        <v>80</v>
      </c>
      <c r="L30" s="80"/>
    </row>
    <row r="31" spans="1:12" ht="15" customHeight="1" x14ac:dyDescent="0.2">
      <c r="E31" s="16"/>
      <c r="H31" s="16"/>
      <c r="L31" s="80"/>
    </row>
    <row r="32" spans="1:12" ht="15" customHeight="1" x14ac:dyDescent="0.2">
      <c r="B32" s="16" t="s">
        <v>64</v>
      </c>
      <c r="D32" s="74">
        <f>C10</f>
        <v>42496</v>
      </c>
      <c r="E32" s="16" t="s">
        <v>77</v>
      </c>
      <c r="G32" s="73">
        <f>4511+3769</f>
        <v>8280</v>
      </c>
      <c r="H32" s="16" t="s">
        <v>66</v>
      </c>
      <c r="J32" s="73">
        <v>3594</v>
      </c>
      <c r="L32" s="80"/>
    </row>
    <row r="33" spans="1:13" ht="15" customHeight="1" x14ac:dyDescent="0.2">
      <c r="B33" s="16" t="s">
        <v>65</v>
      </c>
      <c r="D33" s="73">
        <f>507.13911-4.339921</f>
        <v>502.79918900000001</v>
      </c>
      <c r="E33" s="16" t="s">
        <v>71</v>
      </c>
      <c r="G33" s="73">
        <v>0</v>
      </c>
      <c r="H33" s="16" t="s">
        <v>68</v>
      </c>
      <c r="J33" s="73">
        <v>574</v>
      </c>
      <c r="L33" s="80"/>
    </row>
    <row r="34" spans="1:13" ht="15" customHeight="1" x14ac:dyDescent="0.2">
      <c r="B34" s="16" t="s">
        <v>67</v>
      </c>
      <c r="D34" s="73">
        <v>0</v>
      </c>
      <c r="E34" s="16" t="s">
        <v>74</v>
      </c>
      <c r="G34" s="73">
        <v>0</v>
      </c>
      <c r="H34" s="16" t="s">
        <v>43</v>
      </c>
      <c r="J34" s="73">
        <f>729</f>
        <v>729</v>
      </c>
      <c r="K34" t="s">
        <v>281</v>
      </c>
      <c r="L34" s="80"/>
    </row>
    <row r="35" spans="1:13" ht="15" customHeight="1" x14ac:dyDescent="0.2">
      <c r="B35" s="16" t="s">
        <v>69</v>
      </c>
      <c r="D35">
        <f>E123</f>
        <v>1.7265044808362366</v>
      </c>
      <c r="E35" s="16" t="s">
        <v>70</v>
      </c>
      <c r="G35" s="73">
        <v>0</v>
      </c>
      <c r="H35" s="16" t="s">
        <v>70</v>
      </c>
      <c r="J35" s="73">
        <v>0</v>
      </c>
      <c r="L35" s="80"/>
    </row>
    <row r="36" spans="1:13" ht="15" customHeight="1" x14ac:dyDescent="0.2">
      <c r="B36" s="16" t="s">
        <v>70</v>
      </c>
      <c r="D36" s="73">
        <v>0</v>
      </c>
      <c r="E36" s="16" t="s">
        <v>73</v>
      </c>
      <c r="G36" s="73">
        <v>0</v>
      </c>
      <c r="H36" s="16"/>
      <c r="L36" s="80"/>
    </row>
    <row r="37" spans="1:13" ht="15" customHeight="1" x14ac:dyDescent="0.2">
      <c r="B37" s="16" t="s">
        <v>72</v>
      </c>
      <c r="D37">
        <f>SUM(D33:D36)</f>
        <v>504.52569348083625</v>
      </c>
      <c r="E37" s="16" t="s">
        <v>133</v>
      </c>
      <c r="G37" s="73">
        <v>7421</v>
      </c>
      <c r="H37" s="16"/>
      <c r="L37" s="80"/>
      <c r="M37" s="16"/>
    </row>
    <row r="38" spans="1:13" ht="15" customHeight="1" x14ac:dyDescent="0.2">
      <c r="B38" s="16" t="s">
        <v>48</v>
      </c>
      <c r="D38">
        <f>D37*C18</f>
        <v>72399.437014499999</v>
      </c>
      <c r="E38" s="16" t="s">
        <v>171</v>
      </c>
      <c r="G38" s="73">
        <f>428*20.18</f>
        <v>8637.0399999999991</v>
      </c>
      <c r="H38" s="16"/>
      <c r="L38" s="80"/>
      <c r="M38" s="16"/>
    </row>
    <row r="39" spans="1:13" ht="15" customHeight="1" x14ac:dyDescent="0.2">
      <c r="A39" s="81"/>
      <c r="E39" s="16" t="s">
        <v>79</v>
      </c>
      <c r="G39">
        <f>SUM(G32:G38)</f>
        <v>24338.04</v>
      </c>
      <c r="H39" s="16" t="s">
        <v>80</v>
      </c>
      <c r="J39">
        <f>SUM(J32:J35)</f>
        <v>4897</v>
      </c>
      <c r="L39" s="80"/>
      <c r="M39" s="16"/>
    </row>
    <row r="40" spans="1:13" ht="15" customHeight="1" x14ac:dyDescent="0.2">
      <c r="A40" s="84"/>
      <c r="B40" s="85"/>
      <c r="C40" s="86"/>
      <c r="D40" s="86"/>
      <c r="E40" s="86"/>
      <c r="F40" s="86"/>
      <c r="G40" s="86"/>
      <c r="H40" s="86"/>
      <c r="I40" s="86"/>
      <c r="J40" s="86"/>
      <c r="K40" s="86"/>
    </row>
    <row r="41" spans="1:13" ht="15" customHeight="1" x14ac:dyDescent="0.2">
      <c r="A41" s="72" t="s">
        <v>222</v>
      </c>
      <c r="B41" s="12"/>
      <c r="C41" s="12"/>
      <c r="D41" s="12"/>
      <c r="E41" s="12"/>
      <c r="F41" s="12"/>
      <c r="G41" s="12"/>
      <c r="H41" s="89"/>
      <c r="I41" s="71" t="s">
        <v>93</v>
      </c>
      <c r="J41" s="12"/>
      <c r="K41" s="12"/>
      <c r="L41" s="80"/>
    </row>
    <row r="42" spans="1:13" ht="15" customHeight="1" x14ac:dyDescent="0.2">
      <c r="A42" s="93"/>
      <c r="B42" s="16" t="s">
        <v>81</v>
      </c>
      <c r="D42">
        <f>J32</f>
        <v>3594</v>
      </c>
      <c r="E42" s="16" t="s">
        <v>90</v>
      </c>
      <c r="G42">
        <f>G32+G37</f>
        <v>15701</v>
      </c>
      <c r="H42" s="89"/>
      <c r="I42" s="16" t="s">
        <v>149</v>
      </c>
      <c r="K42" s="95">
        <f>(D43-G43)/G67</f>
        <v>0.18018169582772545</v>
      </c>
      <c r="L42" s="80"/>
    </row>
    <row r="43" spans="1:13" ht="15" customHeight="1" x14ac:dyDescent="0.2">
      <c r="A43" s="93"/>
      <c r="B43" s="16" t="s">
        <v>84</v>
      </c>
      <c r="D43" s="73">
        <f>18950-D42</f>
        <v>15356</v>
      </c>
      <c r="E43" s="94" t="s">
        <v>148</v>
      </c>
      <c r="G43" s="77">
        <f>3960+640+421+3909</f>
        <v>8930</v>
      </c>
      <c r="H43" s="89"/>
      <c r="I43" s="16" t="s">
        <v>152</v>
      </c>
      <c r="K43" s="121">
        <f>G67/G50</f>
        <v>0.80407557011717534</v>
      </c>
      <c r="L43" s="80"/>
    </row>
    <row r="44" spans="1:13" ht="15" customHeight="1" x14ac:dyDescent="0.2">
      <c r="A44" s="93"/>
      <c r="B44" s="16" t="s">
        <v>82</v>
      </c>
      <c r="D44" s="73">
        <f>13572+11157+552+1945</f>
        <v>27226</v>
      </c>
      <c r="E44" s="94" t="s">
        <v>87</v>
      </c>
      <c r="G44" s="77">
        <f>1950+4685+7957-G37</f>
        <v>7171</v>
      </c>
      <c r="H44" s="89"/>
      <c r="I44" s="16" t="s">
        <v>150</v>
      </c>
      <c r="K44" s="95">
        <f>G68/G67</f>
        <v>0.18598586810228801</v>
      </c>
      <c r="L44" s="80"/>
      <c r="M44" s="95"/>
    </row>
    <row r="45" spans="1:13" ht="15" customHeight="1" x14ac:dyDescent="0.2">
      <c r="A45" s="93"/>
      <c r="B45" s="16" t="s">
        <v>83</v>
      </c>
      <c r="D45" s="73">
        <v>10122</v>
      </c>
      <c r="E45" s="16" t="s">
        <v>88</v>
      </c>
      <c r="G45">
        <f>G36</f>
        <v>0</v>
      </c>
      <c r="H45" s="89"/>
      <c r="I45" s="16" t="s">
        <v>94</v>
      </c>
      <c r="K45" s="95">
        <f>K44*K43</f>
        <v>0.14954669292808501</v>
      </c>
      <c r="L45" s="80"/>
    </row>
    <row r="46" spans="1:13" ht="15" customHeight="1" x14ac:dyDescent="0.2">
      <c r="A46" s="93"/>
      <c r="B46" s="16" t="s">
        <v>214</v>
      </c>
      <c r="D46">
        <f>J34</f>
        <v>729</v>
      </c>
      <c r="E46" s="94" t="s">
        <v>89</v>
      </c>
      <c r="G46" s="77">
        <v>24339</v>
      </c>
      <c r="H46" s="89"/>
      <c r="I46" s="16" t="s">
        <v>95</v>
      </c>
      <c r="K46" s="95">
        <f>C76</f>
        <v>0.32981574539363484</v>
      </c>
      <c r="L46" s="80"/>
    </row>
    <row r="47" spans="1:13" ht="15" customHeight="1" x14ac:dyDescent="0.2">
      <c r="E47" s="16" t="s">
        <v>75</v>
      </c>
      <c r="G47">
        <f>G38</f>
        <v>8637.0399999999991</v>
      </c>
      <c r="H47" s="89"/>
      <c r="I47" s="94" t="s">
        <v>96</v>
      </c>
      <c r="K47" s="95">
        <f>K45*(1-K46)</f>
        <v>0.10022383892885564</v>
      </c>
      <c r="L47" s="80"/>
    </row>
    <row r="48" spans="1:13" ht="15" customHeight="1" x14ac:dyDescent="0.2">
      <c r="B48" s="16" t="s">
        <v>85</v>
      </c>
      <c r="D48">
        <f>SUM(D42:D46)</f>
        <v>57027</v>
      </c>
      <c r="E48" s="94" t="s">
        <v>91</v>
      </c>
      <c r="G48">
        <f>SUM(G42:G47)</f>
        <v>64778.04</v>
      </c>
      <c r="H48" s="80"/>
      <c r="I48" s="86"/>
      <c r="J48" s="86"/>
      <c r="K48" s="86"/>
    </row>
    <row r="49" spans="1:14" ht="15" customHeight="1" x14ac:dyDescent="0.2">
      <c r="H49" s="80"/>
    </row>
    <row r="50" spans="1:14" ht="15" customHeight="1" x14ac:dyDescent="0.2">
      <c r="B50" s="16" t="s">
        <v>86</v>
      </c>
      <c r="D50">
        <f>D43+D44+D45-G43-G44</f>
        <v>36603</v>
      </c>
      <c r="E50" s="94" t="s">
        <v>76</v>
      </c>
      <c r="G50">
        <f>SUM(G42,G45:G47)-D42-D46</f>
        <v>44354.04</v>
      </c>
      <c r="H50" s="80"/>
    </row>
    <row r="51" spans="1:14" ht="15" customHeight="1" x14ac:dyDescent="0.2">
      <c r="A51" s="96"/>
      <c r="B51" s="97"/>
      <c r="C51" s="98"/>
      <c r="D51" s="98"/>
      <c r="E51" s="98"/>
      <c r="F51" s="98"/>
      <c r="G51" s="98"/>
    </row>
    <row r="52" spans="1:14" ht="15" customHeight="1" x14ac:dyDescent="0.2">
      <c r="A52" s="126" t="str">
        <f>"Balance sheet data ("&amp;C16&amp;")"</f>
        <v>Balance sheet data (USD)</v>
      </c>
      <c r="B52" s="127"/>
      <c r="C52" s="127"/>
      <c r="D52" s="127"/>
      <c r="E52" s="127"/>
      <c r="F52" s="127"/>
      <c r="G52" s="128"/>
    </row>
    <row r="53" spans="1:14" ht="15" customHeight="1" x14ac:dyDescent="0.2">
      <c r="A53" s="93"/>
      <c r="B53" s="125" t="s">
        <v>81</v>
      </c>
      <c r="C53" s="87"/>
      <c r="D53" s="87">
        <f>D42/FX</f>
        <v>4098.0615735461797</v>
      </c>
      <c r="E53" s="125" t="s">
        <v>90</v>
      </c>
      <c r="F53" s="87"/>
      <c r="G53" s="129">
        <f t="shared" ref="G53:G58" si="1">G42/FX</f>
        <v>17903.078677309008</v>
      </c>
    </row>
    <row r="54" spans="1:14" ht="15" customHeight="1" x14ac:dyDescent="0.2">
      <c r="A54" s="93"/>
      <c r="B54" s="125" t="s">
        <v>84</v>
      </c>
      <c r="C54" s="87"/>
      <c r="D54" s="87">
        <f>D43/FX</f>
        <v>17509.692132269098</v>
      </c>
      <c r="E54" s="94" t="s">
        <v>148</v>
      </c>
      <c r="F54" s="87"/>
      <c r="G54" s="129">
        <f t="shared" si="1"/>
        <v>10182.440136830102</v>
      </c>
    </row>
    <row r="55" spans="1:14" ht="15" customHeight="1" x14ac:dyDescent="0.2">
      <c r="A55" s="93"/>
      <c r="B55" s="125" t="s">
        <v>82</v>
      </c>
      <c r="C55" s="87"/>
      <c r="D55" s="87">
        <f>D44/FX</f>
        <v>31044.469783352339</v>
      </c>
      <c r="E55" s="94" t="s">
        <v>87</v>
      </c>
      <c r="F55" s="87"/>
      <c r="G55" s="129">
        <f t="shared" si="1"/>
        <v>8176.738882554162</v>
      </c>
    </row>
    <row r="56" spans="1:14" ht="15" customHeight="1" x14ac:dyDescent="0.2">
      <c r="A56" s="93"/>
      <c r="B56" s="125" t="s">
        <v>83</v>
      </c>
      <c r="C56" s="87"/>
      <c r="D56" s="87">
        <f>D45/FX</f>
        <v>11541.619156214367</v>
      </c>
      <c r="E56" s="125" t="s">
        <v>88</v>
      </c>
      <c r="F56" s="87"/>
      <c r="G56" s="129">
        <f t="shared" si="1"/>
        <v>0</v>
      </c>
    </row>
    <row r="57" spans="1:14" ht="15" customHeight="1" x14ac:dyDescent="0.2">
      <c r="A57" s="93"/>
      <c r="B57" s="125" t="s">
        <v>214</v>
      </c>
      <c r="C57" s="87"/>
      <c r="D57" s="87">
        <f>D46/FX</f>
        <v>831.24287343215508</v>
      </c>
      <c r="E57" s="94" t="s">
        <v>89</v>
      </c>
      <c r="F57" s="87"/>
      <c r="G57" s="129">
        <f t="shared" si="1"/>
        <v>27752.565564424174</v>
      </c>
    </row>
    <row r="58" spans="1:14" ht="15" customHeight="1" x14ac:dyDescent="0.2">
      <c r="A58" s="130"/>
      <c r="B58" s="125"/>
      <c r="C58" s="87"/>
      <c r="D58" s="87"/>
      <c r="E58" s="125" t="s">
        <v>75</v>
      </c>
      <c r="F58" s="87"/>
      <c r="G58" s="129">
        <f t="shared" si="1"/>
        <v>9848.3922462941828</v>
      </c>
    </row>
    <row r="59" spans="1:14" ht="15" customHeight="1" x14ac:dyDescent="0.2">
      <c r="A59" s="130"/>
      <c r="B59" s="125" t="s">
        <v>85</v>
      </c>
      <c r="C59" s="87"/>
      <c r="D59" s="87">
        <f>SUM(D53:D57)</f>
        <v>65025.085518814143</v>
      </c>
      <c r="E59" s="94" t="s">
        <v>91</v>
      </c>
      <c r="F59" s="87"/>
      <c r="G59" s="129">
        <f>SUM(G53:G58)</f>
        <v>73863.215507411631</v>
      </c>
    </row>
    <row r="60" spans="1:14" ht="15" customHeight="1" x14ac:dyDescent="0.2">
      <c r="A60" s="130"/>
      <c r="B60" s="125"/>
      <c r="C60" s="87"/>
      <c r="D60" s="87"/>
      <c r="E60" s="87"/>
      <c r="F60" s="87"/>
      <c r="G60" s="129"/>
    </row>
    <row r="61" spans="1:14" ht="15" customHeight="1" x14ac:dyDescent="0.2">
      <c r="A61" s="131"/>
      <c r="B61" s="132" t="s">
        <v>86</v>
      </c>
      <c r="C61" s="82"/>
      <c r="D61" s="82">
        <f>D54+D55+D56-G54-G55</f>
        <v>41736.602052451533</v>
      </c>
      <c r="E61" s="133" t="s">
        <v>76</v>
      </c>
      <c r="F61" s="82"/>
      <c r="G61" s="120">
        <f>SUM(G53,G56:G58)-D53-D57</f>
        <v>50574.732041049036</v>
      </c>
    </row>
    <row r="62" spans="1:14" ht="15" customHeight="1" x14ac:dyDescent="0.2">
      <c r="A62" s="124"/>
      <c r="B62" s="125"/>
      <c r="C62" s="87"/>
      <c r="D62" s="87"/>
      <c r="E62" s="87"/>
      <c r="F62" s="87"/>
      <c r="G62" s="87"/>
    </row>
    <row r="63" spans="1:14" ht="15" customHeight="1" x14ac:dyDescent="0.2">
      <c r="A63" s="71" t="s">
        <v>97</v>
      </c>
      <c r="B63" s="12"/>
      <c r="C63" s="12"/>
      <c r="D63" s="12"/>
      <c r="E63" s="12"/>
      <c r="F63" s="12"/>
      <c r="G63" s="12"/>
      <c r="H63" s="89"/>
      <c r="I63" s="71" t="s">
        <v>98</v>
      </c>
      <c r="J63" s="12"/>
      <c r="K63" s="12"/>
      <c r="L63" s="12"/>
      <c r="M63" s="12"/>
    </row>
    <row r="64" spans="1:14" ht="15" customHeight="1" x14ac:dyDescent="0.2">
      <c r="C64" s="146"/>
      <c r="D64" s="146" t="s">
        <v>99</v>
      </c>
      <c r="E64" s="146" t="s">
        <v>100</v>
      </c>
      <c r="F64" s="146"/>
      <c r="G64" s="146"/>
      <c r="H64" s="89"/>
      <c r="N64" s="80"/>
    </row>
    <row r="65" spans="1:14" ht="15" customHeight="1" x14ac:dyDescent="0.2">
      <c r="C65" s="146" t="s">
        <v>101</v>
      </c>
      <c r="D65" s="146" t="s">
        <v>102</v>
      </c>
      <c r="E65" s="146" t="s">
        <v>102</v>
      </c>
      <c r="F65" s="146" t="s">
        <v>103</v>
      </c>
      <c r="G65" s="146" t="s">
        <v>104</v>
      </c>
      <c r="H65" s="89"/>
      <c r="I65" s="147" t="s">
        <v>105</v>
      </c>
      <c r="J65" s="147" t="s">
        <v>106</v>
      </c>
      <c r="K65" s="147" t="s">
        <v>107</v>
      </c>
      <c r="L65" s="147" t="s">
        <v>108</v>
      </c>
      <c r="M65" s="147" t="s">
        <v>109</v>
      </c>
      <c r="N65" s="80"/>
    </row>
    <row r="66" spans="1:14" ht="15" customHeight="1" x14ac:dyDescent="0.2">
      <c r="B66" s="16" t="s">
        <v>3</v>
      </c>
      <c r="C66" s="145">
        <f>C11</f>
        <v>42369</v>
      </c>
      <c r="D66" s="145">
        <f>DATE(YEAR(E66)-1,MONTH(E66),DAY(E66))</f>
        <v>42004</v>
      </c>
      <c r="E66" s="145">
        <f>C12</f>
        <v>42369</v>
      </c>
      <c r="F66" s="125"/>
      <c r="G66" s="125"/>
      <c r="H66" s="89"/>
      <c r="I66" s="145">
        <v>42369</v>
      </c>
      <c r="J66" s="145">
        <v>42735</v>
      </c>
      <c r="K66" s="145">
        <v>43100</v>
      </c>
      <c r="L66" s="145">
        <v>43465</v>
      </c>
      <c r="M66" s="145">
        <v>43830</v>
      </c>
      <c r="N66" s="80"/>
    </row>
    <row r="67" spans="1:14" ht="15" customHeight="1" x14ac:dyDescent="0.2">
      <c r="B67" s="16" t="s">
        <v>110</v>
      </c>
      <c r="C67" s="100">
        <v>35664</v>
      </c>
      <c r="D67" s="91">
        <v>0</v>
      </c>
      <c r="E67" s="91">
        <v>0</v>
      </c>
      <c r="F67" s="91">
        <v>0</v>
      </c>
      <c r="G67">
        <f>C67-D67+E67+F67</f>
        <v>35664</v>
      </c>
      <c r="H67" s="89"/>
      <c r="I67">
        <f>C67</f>
        <v>35664</v>
      </c>
      <c r="J67" s="91">
        <v>37042</v>
      </c>
      <c r="K67" s="91">
        <v>39214</v>
      </c>
      <c r="L67" s="91">
        <v>41371</v>
      </c>
      <c r="M67" s="101"/>
      <c r="N67" s="103"/>
    </row>
    <row r="68" spans="1:14" ht="15" customHeight="1" x14ac:dyDescent="0.2">
      <c r="B68" s="16" t="s">
        <v>56</v>
      </c>
      <c r="C68">
        <f>C88</f>
        <v>6633</v>
      </c>
      <c r="D68">
        <f>D88</f>
        <v>0</v>
      </c>
      <c r="E68">
        <f>E88</f>
        <v>0</v>
      </c>
      <c r="F68" s="91">
        <v>0</v>
      </c>
      <c r="G68">
        <f>C68-D68+E68+F68</f>
        <v>6633</v>
      </c>
      <c r="H68" s="89"/>
      <c r="I68">
        <f>C68</f>
        <v>6633</v>
      </c>
      <c r="J68" s="91">
        <v>6916</v>
      </c>
      <c r="K68" s="91">
        <v>7461</v>
      </c>
      <c r="L68" s="91">
        <v>8044</v>
      </c>
      <c r="M68" s="101"/>
      <c r="N68" s="103"/>
    </row>
    <row r="69" spans="1:14" ht="15" customHeight="1" x14ac:dyDescent="0.2">
      <c r="B69" s="16" t="s">
        <v>55</v>
      </c>
      <c r="C69">
        <f>SUM(C72:C73)+C68</f>
        <v>8196</v>
      </c>
      <c r="D69">
        <f>SUM(D72:D73)+D68</f>
        <v>0</v>
      </c>
      <c r="E69">
        <f>SUM(E72:E73)+E68</f>
        <v>0</v>
      </c>
      <c r="F69" s="91">
        <v>0</v>
      </c>
      <c r="G69">
        <f>SUM(G72:G73)+G68</f>
        <v>8196</v>
      </c>
      <c r="H69" s="89"/>
      <c r="I69">
        <f>C69</f>
        <v>8196</v>
      </c>
      <c r="J69" s="91">
        <v>8687</v>
      </c>
      <c r="K69" s="91">
        <v>9215</v>
      </c>
      <c r="L69" s="91">
        <v>9930</v>
      </c>
      <c r="M69" s="101"/>
      <c r="N69" s="103"/>
    </row>
    <row r="70" spans="1:14" ht="15" customHeight="1" x14ac:dyDescent="0.2">
      <c r="B70" s="16" t="s">
        <v>111</v>
      </c>
      <c r="H70" s="89"/>
      <c r="I70" s="107">
        <f>C106</f>
        <v>8.0712394375997576</v>
      </c>
      <c r="J70" s="99">
        <v>8.1</v>
      </c>
      <c r="K70" s="99">
        <v>8.82</v>
      </c>
      <c r="L70" s="99">
        <v>9.56</v>
      </c>
      <c r="M70" s="101"/>
      <c r="N70" s="103"/>
    </row>
    <row r="71" spans="1:14" ht="15" customHeight="1" x14ac:dyDescent="0.2">
      <c r="H71" s="80"/>
      <c r="I71" s="86"/>
      <c r="J71" s="86"/>
      <c r="K71" s="86"/>
      <c r="L71" s="86"/>
      <c r="M71" s="86"/>
      <c r="N71" s="105"/>
    </row>
    <row r="72" spans="1:14" ht="15" customHeight="1" x14ac:dyDescent="0.2">
      <c r="B72" s="16" t="s">
        <v>134</v>
      </c>
      <c r="C72" s="91">
        <v>1266</v>
      </c>
      <c r="D72" s="91">
        <v>0</v>
      </c>
      <c r="E72" s="91">
        <v>0</v>
      </c>
      <c r="F72" s="91">
        <v>0</v>
      </c>
      <c r="G72">
        <f>C72-D72+E72+F72</f>
        <v>1266</v>
      </c>
      <c r="H72" s="80"/>
      <c r="N72" s="87"/>
    </row>
    <row r="73" spans="1:14" ht="15" customHeight="1" x14ac:dyDescent="0.2">
      <c r="B73" s="16" t="s">
        <v>135</v>
      </c>
      <c r="C73" s="100">
        <v>297</v>
      </c>
      <c r="D73" s="91">
        <v>0</v>
      </c>
      <c r="E73" s="91">
        <v>0</v>
      </c>
      <c r="F73" s="91">
        <v>0</v>
      </c>
      <c r="G73">
        <f>C73-D73+E73+F73</f>
        <v>297</v>
      </c>
      <c r="H73" s="80"/>
      <c r="N73" s="87"/>
    </row>
    <row r="74" spans="1:14" ht="15" customHeight="1" x14ac:dyDescent="0.2">
      <c r="B74" s="16" t="s">
        <v>145</v>
      </c>
      <c r="C74" s="100">
        <v>78</v>
      </c>
      <c r="D74" s="91">
        <v>1.4E-2</v>
      </c>
      <c r="E74" s="91">
        <v>3.6999999999999998E-2</v>
      </c>
      <c r="F74" s="91">
        <v>3.6999999999999998E-2</v>
      </c>
      <c r="G74">
        <f>SUM(G73:G73)+G72</f>
        <v>1563</v>
      </c>
      <c r="H74" s="80"/>
      <c r="N74" s="87"/>
    </row>
    <row r="75" spans="1:14" ht="15" customHeight="1" x14ac:dyDescent="0.2">
      <c r="B75" s="16" t="s">
        <v>151</v>
      </c>
      <c r="C75" s="104">
        <v>0.34399999999999997</v>
      </c>
      <c r="D75" s="91" t="s">
        <v>282</v>
      </c>
      <c r="E75" s="91"/>
      <c r="H75" s="80"/>
      <c r="N75" s="87"/>
    </row>
    <row r="76" spans="1:14" ht="15" customHeight="1" x14ac:dyDescent="0.2">
      <c r="B76" s="16" t="s">
        <v>95</v>
      </c>
      <c r="C76" s="104">
        <f>1969/(6384-414)</f>
        <v>0.32981574539363484</v>
      </c>
      <c r="D76" s="91"/>
      <c r="E76" s="91"/>
      <c r="H76" s="80"/>
      <c r="N76" s="87"/>
    </row>
    <row r="77" spans="1:14" ht="15" customHeight="1" x14ac:dyDescent="0.2">
      <c r="A77" s="84"/>
      <c r="B77" s="85"/>
      <c r="C77" s="86"/>
      <c r="D77" s="86"/>
      <c r="E77" s="86"/>
      <c r="F77" s="86"/>
      <c r="G77" s="86"/>
      <c r="H77" s="80"/>
      <c r="J77" s="91"/>
    </row>
    <row r="78" spans="1:14" ht="15" customHeight="1" x14ac:dyDescent="0.2">
      <c r="A78" s="71" t="s">
        <v>228</v>
      </c>
      <c r="B78" s="12"/>
      <c r="C78" s="12"/>
      <c r="D78" s="12"/>
      <c r="E78" s="12"/>
      <c r="F78" s="12"/>
      <c r="G78" s="12"/>
      <c r="H78" s="80"/>
    </row>
    <row r="79" spans="1:14" ht="15" customHeight="1" x14ac:dyDescent="0.2">
      <c r="B79" s="16" t="s">
        <v>112</v>
      </c>
      <c r="C79" s="91">
        <v>6384</v>
      </c>
      <c r="D79" s="91">
        <v>0</v>
      </c>
      <c r="E79" s="91">
        <v>0</v>
      </c>
      <c r="F79" s="91">
        <v>0</v>
      </c>
      <c r="G79">
        <f t="shared" ref="G79:G88" si="2">C79-D79+E79+F79</f>
        <v>6384</v>
      </c>
      <c r="H79" s="80"/>
    </row>
    <row r="80" spans="1:14" ht="15" customHeight="1" x14ac:dyDescent="0.2">
      <c r="B80" s="16" t="s">
        <v>283</v>
      </c>
      <c r="C80" s="100">
        <v>13</v>
      </c>
      <c r="D80" s="91">
        <v>0</v>
      </c>
      <c r="E80" s="91">
        <v>0</v>
      </c>
      <c r="F80" s="91">
        <v>0</v>
      </c>
      <c r="G80">
        <f t="shared" si="2"/>
        <v>13</v>
      </c>
      <c r="H80" s="80"/>
    </row>
    <row r="81" spans="1:8" ht="15" customHeight="1" x14ac:dyDescent="0.2">
      <c r="B81" s="16" t="s">
        <v>219</v>
      </c>
      <c r="C81" s="100">
        <v>98</v>
      </c>
      <c r="D81" s="91">
        <v>0</v>
      </c>
      <c r="E81" s="91">
        <v>0</v>
      </c>
      <c r="F81" s="91">
        <v>0</v>
      </c>
      <c r="G81">
        <f t="shared" si="2"/>
        <v>98</v>
      </c>
      <c r="H81" s="80"/>
    </row>
    <row r="82" spans="1:8" ht="15" customHeight="1" x14ac:dyDescent="0.2">
      <c r="B82" s="16" t="s">
        <v>220</v>
      </c>
      <c r="C82" s="91">
        <v>2</v>
      </c>
      <c r="D82" s="91">
        <v>0</v>
      </c>
      <c r="E82" s="91">
        <v>0</v>
      </c>
      <c r="F82" s="91">
        <v>0</v>
      </c>
      <c r="G82">
        <f t="shared" si="2"/>
        <v>2</v>
      </c>
      <c r="H82" s="80"/>
    </row>
    <row r="83" spans="1:8" ht="15" customHeight="1" x14ac:dyDescent="0.2">
      <c r="B83" s="16" t="s">
        <v>221</v>
      </c>
      <c r="C83" s="91">
        <v>136</v>
      </c>
      <c r="D83" s="91">
        <v>0</v>
      </c>
      <c r="E83" s="91">
        <v>0</v>
      </c>
      <c r="F83" s="91">
        <v>0</v>
      </c>
      <c r="G83">
        <f t="shared" si="2"/>
        <v>136</v>
      </c>
      <c r="H83" s="80"/>
    </row>
    <row r="84" spans="1:8" ht="15" customHeight="1" x14ac:dyDescent="0.2">
      <c r="B84" s="16" t="s">
        <v>117</v>
      </c>
      <c r="C84" s="91">
        <v>0</v>
      </c>
      <c r="D84" s="91">
        <v>0</v>
      </c>
      <c r="E84" s="91">
        <v>0</v>
      </c>
      <c r="F84" s="91">
        <v>0</v>
      </c>
      <c r="G84">
        <f t="shared" si="2"/>
        <v>0</v>
      </c>
      <c r="H84" s="80"/>
    </row>
    <row r="85" spans="1:8" ht="15" customHeight="1" x14ac:dyDescent="0.2">
      <c r="B85" s="16" t="s">
        <v>118</v>
      </c>
      <c r="C85" s="91">
        <v>0</v>
      </c>
      <c r="D85" s="91">
        <v>0</v>
      </c>
      <c r="E85" s="91">
        <v>0</v>
      </c>
      <c r="F85" s="91">
        <v>0</v>
      </c>
      <c r="G85">
        <f t="shared" si="2"/>
        <v>0</v>
      </c>
      <c r="H85" s="80"/>
    </row>
    <row r="86" spans="1:8" ht="15" customHeight="1" x14ac:dyDescent="0.2">
      <c r="B86" s="16" t="s">
        <v>119</v>
      </c>
      <c r="C86" s="91">
        <v>0</v>
      </c>
      <c r="D86" s="91">
        <v>0</v>
      </c>
      <c r="E86" s="91">
        <v>0</v>
      </c>
      <c r="F86" s="91">
        <v>0</v>
      </c>
      <c r="G86">
        <f t="shared" si="2"/>
        <v>0</v>
      </c>
      <c r="H86" s="80"/>
    </row>
    <row r="87" spans="1:8" ht="15" customHeight="1" x14ac:dyDescent="0.2">
      <c r="B87" s="16" t="s">
        <v>120</v>
      </c>
      <c r="C87" s="91">
        <v>0</v>
      </c>
      <c r="D87" s="91">
        <v>0</v>
      </c>
      <c r="E87" s="91">
        <v>0</v>
      </c>
      <c r="F87" s="91">
        <v>0</v>
      </c>
      <c r="G87">
        <f t="shared" si="2"/>
        <v>0</v>
      </c>
      <c r="H87" s="80"/>
    </row>
    <row r="88" spans="1:8" ht="15" customHeight="1" x14ac:dyDescent="0.2">
      <c r="B88" s="16" t="s">
        <v>56</v>
      </c>
      <c r="C88">
        <f>SUM(C79:C87)</f>
        <v>6633</v>
      </c>
      <c r="D88">
        <f>SUM(D79:D87)</f>
        <v>0</v>
      </c>
      <c r="E88">
        <f>SUM(E79:E87)</f>
        <v>0</v>
      </c>
      <c r="F88">
        <f>SUM(F79:F87)</f>
        <v>0</v>
      </c>
      <c r="G88">
        <f t="shared" si="2"/>
        <v>6633</v>
      </c>
      <c r="H88" s="80"/>
    </row>
    <row r="89" spans="1:8" ht="15" customHeight="1" x14ac:dyDescent="0.2">
      <c r="A89" s="84"/>
      <c r="B89" s="85"/>
      <c r="C89" s="86"/>
      <c r="D89" s="86"/>
      <c r="E89" s="86"/>
      <c r="F89" s="86"/>
      <c r="G89" s="86"/>
    </row>
    <row r="90" spans="1:8" ht="15" customHeight="1" x14ac:dyDescent="0.2">
      <c r="A90" s="71" t="s">
        <v>229</v>
      </c>
      <c r="B90" s="12"/>
      <c r="C90" s="12"/>
      <c r="D90" s="80"/>
    </row>
    <row r="91" spans="1:8" ht="15" customHeight="1" x14ac:dyDescent="0.2">
      <c r="B91" s="16" t="s">
        <v>230</v>
      </c>
      <c r="C91" s="91">
        <v>4001</v>
      </c>
      <c r="D91" s="80"/>
    </row>
    <row r="92" spans="1:8" ht="15" customHeight="1" x14ac:dyDescent="0.2">
      <c r="B92" s="16" t="str">
        <f>B80</f>
        <v>Equity income (loss)</v>
      </c>
      <c r="C92" s="91">
        <f>C80*(1-$C$75)</f>
        <v>8.5280000000000005</v>
      </c>
      <c r="D92" s="80"/>
    </row>
    <row r="93" spans="1:8" ht="15" customHeight="1" x14ac:dyDescent="0.2">
      <c r="B93" s="16" t="str">
        <f>B81</f>
        <v>Restructuring</v>
      </c>
      <c r="C93" s="91">
        <f>C81*(1-$C$75)</f>
        <v>64.287999999999997</v>
      </c>
      <c r="D93" s="80"/>
    </row>
    <row r="94" spans="1:8" ht="15" customHeight="1" x14ac:dyDescent="0.2">
      <c r="B94" s="16" t="str">
        <f>B82</f>
        <v>Acquisition related costs</v>
      </c>
      <c r="C94" s="91">
        <f>C82*(1-$C$75)</f>
        <v>1.3120000000000001</v>
      </c>
      <c r="D94" s="80"/>
    </row>
    <row r="95" spans="1:8" ht="15" customHeight="1" x14ac:dyDescent="0.2">
      <c r="B95" s="16" t="s">
        <v>116</v>
      </c>
      <c r="C95" s="91">
        <v>0</v>
      </c>
      <c r="D95" s="80"/>
    </row>
    <row r="96" spans="1:8" ht="15" customHeight="1" x14ac:dyDescent="0.2">
      <c r="B96" s="16" t="s">
        <v>117</v>
      </c>
      <c r="C96" s="91">
        <v>0</v>
      </c>
      <c r="D96" s="80"/>
    </row>
    <row r="97" spans="1:7" ht="15" customHeight="1" x14ac:dyDescent="0.2">
      <c r="B97" s="16" t="s">
        <v>118</v>
      </c>
      <c r="C97" s="91">
        <v>0</v>
      </c>
      <c r="D97" s="80"/>
    </row>
    <row r="98" spans="1:7" ht="15" customHeight="1" x14ac:dyDescent="0.2">
      <c r="B98" s="16" t="s">
        <v>119</v>
      </c>
      <c r="C98" s="91">
        <v>0</v>
      </c>
      <c r="D98" s="80"/>
    </row>
    <row r="99" spans="1:7" ht="15" customHeight="1" x14ac:dyDescent="0.2">
      <c r="B99" s="16" t="s">
        <v>120</v>
      </c>
      <c r="C99" s="91">
        <v>0</v>
      </c>
      <c r="D99" s="80"/>
    </row>
    <row r="100" spans="1:7" ht="15" customHeight="1" x14ac:dyDescent="0.2">
      <c r="B100" s="16" t="s">
        <v>233</v>
      </c>
      <c r="C100" s="91">
        <v>0</v>
      </c>
      <c r="D100" s="80"/>
    </row>
    <row r="101" spans="1:7" ht="15" customHeight="1" x14ac:dyDescent="0.2">
      <c r="A101" s="124"/>
      <c r="B101" s="16" t="s">
        <v>234</v>
      </c>
      <c r="C101" s="91">
        <v>0</v>
      </c>
      <c r="D101" s="80"/>
    </row>
    <row r="102" spans="1:7" ht="15" customHeight="1" x14ac:dyDescent="0.2">
      <c r="A102" s="124"/>
      <c r="B102" s="16" t="s">
        <v>235</v>
      </c>
      <c r="C102" s="91">
        <v>0</v>
      </c>
      <c r="D102" s="80"/>
      <c r="E102" s="87"/>
      <c r="F102" s="87"/>
      <c r="G102" s="87"/>
    </row>
    <row r="103" spans="1:7" ht="15" customHeight="1" x14ac:dyDescent="0.2">
      <c r="A103" s="124"/>
      <c r="B103" s="16" t="s">
        <v>236</v>
      </c>
      <c r="C103" s="91">
        <v>0</v>
      </c>
      <c r="D103" s="80"/>
      <c r="E103" s="87"/>
      <c r="F103" s="87"/>
      <c r="G103" s="87"/>
    </row>
    <row r="104" spans="1:7" ht="15" customHeight="1" x14ac:dyDescent="0.2">
      <c r="A104" s="124"/>
      <c r="B104" s="16" t="s">
        <v>231</v>
      </c>
      <c r="C104" s="87">
        <f>SUM(C91:C103)</f>
        <v>4075.1279999999997</v>
      </c>
      <c r="D104" s="80"/>
      <c r="E104" s="87"/>
      <c r="F104" s="87"/>
      <c r="G104" s="87"/>
    </row>
    <row r="105" spans="1:7" ht="15" customHeight="1" x14ac:dyDescent="0.2">
      <c r="A105" s="124"/>
      <c r="B105" s="125" t="s">
        <v>189</v>
      </c>
      <c r="C105" s="91">
        <v>504.894946</v>
      </c>
      <c r="D105" s="80"/>
      <c r="E105" s="87"/>
      <c r="F105" s="87"/>
      <c r="G105" s="87"/>
    </row>
    <row r="106" spans="1:7" ht="15" customHeight="1" x14ac:dyDescent="0.2">
      <c r="A106" s="124"/>
      <c r="B106" s="125" t="s">
        <v>232</v>
      </c>
      <c r="C106" s="135">
        <f>C104/C105</f>
        <v>8.0712394375997576</v>
      </c>
      <c r="D106" s="80"/>
      <c r="E106" s="87"/>
      <c r="F106" s="87"/>
      <c r="G106" s="87"/>
    </row>
    <row r="107" spans="1:7" ht="15" customHeight="1" x14ac:dyDescent="0.2">
      <c r="A107" s="84"/>
      <c r="B107" s="85"/>
      <c r="C107" s="86"/>
      <c r="D107" s="87"/>
      <c r="E107" s="87"/>
      <c r="F107" s="87"/>
      <c r="G107" s="87"/>
    </row>
    <row r="108" spans="1:7" ht="15" customHeight="1" x14ac:dyDescent="0.2">
      <c r="A108" s="71" t="s">
        <v>121</v>
      </c>
      <c r="B108" s="12"/>
      <c r="C108" s="12"/>
      <c r="D108" s="12"/>
      <c r="E108" s="12"/>
      <c r="F108" s="80"/>
    </row>
    <row r="109" spans="1:7" ht="15" customHeight="1" x14ac:dyDescent="0.2">
      <c r="B109" s="70" t="s">
        <v>122</v>
      </c>
      <c r="C109" s="70" t="s">
        <v>123</v>
      </c>
      <c r="D109" s="70" t="s">
        <v>124</v>
      </c>
      <c r="E109" s="70" t="s">
        <v>125</v>
      </c>
      <c r="F109" s="80"/>
    </row>
    <row r="110" spans="1:7" ht="15" customHeight="1" x14ac:dyDescent="0.2">
      <c r="B110" s="16" t="s">
        <v>137</v>
      </c>
      <c r="C110" s="99">
        <v>2.8211499999999998</v>
      </c>
      <c r="D110" s="99">
        <v>55.68</v>
      </c>
      <c r="E110">
        <f>MAX(($C$18-D110)/$C$18*C110,0)</f>
        <v>1.7265044808362366</v>
      </c>
      <c r="F110" s="80"/>
    </row>
    <row r="111" spans="1:7" ht="15" customHeight="1" x14ac:dyDescent="0.2">
      <c r="B111" s="16" t="s">
        <v>159</v>
      </c>
      <c r="C111" s="99">
        <v>0</v>
      </c>
      <c r="D111" s="99">
        <v>0</v>
      </c>
      <c r="E111">
        <f t="shared" ref="E111:E122" si="3">MAX(($C$18-D111)/$C$18*C111,0)</f>
        <v>0</v>
      </c>
      <c r="F111" s="80"/>
    </row>
    <row r="112" spans="1:7" ht="15" customHeight="1" x14ac:dyDescent="0.2">
      <c r="B112" s="16" t="s">
        <v>138</v>
      </c>
      <c r="C112" s="99">
        <v>0</v>
      </c>
      <c r="D112" s="99">
        <v>0</v>
      </c>
      <c r="E112">
        <f t="shared" si="3"/>
        <v>0</v>
      </c>
      <c r="F112" s="80"/>
    </row>
    <row r="113" spans="1:8" ht="15" customHeight="1" x14ac:dyDescent="0.2">
      <c r="B113" s="16" t="s">
        <v>139</v>
      </c>
      <c r="C113" s="99">
        <v>0</v>
      </c>
      <c r="D113" s="99">
        <v>0</v>
      </c>
      <c r="E113">
        <f t="shared" si="3"/>
        <v>0</v>
      </c>
      <c r="F113" s="80"/>
    </row>
    <row r="114" spans="1:8" ht="15" customHeight="1" x14ac:dyDescent="0.2">
      <c r="B114" s="16" t="s">
        <v>140</v>
      </c>
      <c r="C114" s="99">
        <v>0</v>
      </c>
      <c r="D114" s="99">
        <v>0</v>
      </c>
      <c r="E114">
        <f t="shared" si="3"/>
        <v>0</v>
      </c>
      <c r="F114" s="80"/>
    </row>
    <row r="115" spans="1:8" ht="15" customHeight="1" x14ac:dyDescent="0.2">
      <c r="B115" s="16" t="s">
        <v>141</v>
      </c>
      <c r="C115" s="99">
        <v>0</v>
      </c>
      <c r="D115" s="99">
        <v>0</v>
      </c>
      <c r="E115">
        <f t="shared" si="3"/>
        <v>0</v>
      </c>
      <c r="F115" s="80"/>
    </row>
    <row r="116" spans="1:8" ht="15" customHeight="1" x14ac:dyDescent="0.2">
      <c r="B116" s="16" t="s">
        <v>142</v>
      </c>
      <c r="C116" s="99">
        <v>0</v>
      </c>
      <c r="D116" s="99">
        <v>0</v>
      </c>
      <c r="E116">
        <f t="shared" si="3"/>
        <v>0</v>
      </c>
      <c r="F116" s="80"/>
    </row>
    <row r="117" spans="1:8" ht="15" customHeight="1" x14ac:dyDescent="0.2">
      <c r="B117" s="16" t="s">
        <v>143</v>
      </c>
      <c r="C117" s="99">
        <v>0</v>
      </c>
      <c r="D117" s="99">
        <v>0</v>
      </c>
      <c r="E117">
        <f t="shared" si="3"/>
        <v>0</v>
      </c>
      <c r="F117" s="80"/>
    </row>
    <row r="118" spans="1:8" ht="15" customHeight="1" x14ac:dyDescent="0.2">
      <c r="B118" s="16" t="s">
        <v>205</v>
      </c>
      <c r="C118" s="99">
        <v>0</v>
      </c>
      <c r="D118" s="99">
        <v>0</v>
      </c>
      <c r="E118">
        <f t="shared" si="3"/>
        <v>0</v>
      </c>
      <c r="F118" s="80"/>
    </row>
    <row r="119" spans="1:8" ht="15" customHeight="1" x14ac:dyDescent="0.2">
      <c r="B119" s="16" t="s">
        <v>206</v>
      </c>
      <c r="C119" s="99">
        <v>0</v>
      </c>
      <c r="D119" s="99">
        <v>0</v>
      </c>
      <c r="E119">
        <f t="shared" si="3"/>
        <v>0</v>
      </c>
      <c r="F119" s="80"/>
    </row>
    <row r="120" spans="1:8" ht="15" customHeight="1" x14ac:dyDescent="0.2">
      <c r="B120" s="16" t="s">
        <v>207</v>
      </c>
      <c r="C120" s="99">
        <v>0</v>
      </c>
      <c r="D120" s="99">
        <v>0</v>
      </c>
      <c r="E120">
        <f t="shared" si="3"/>
        <v>0</v>
      </c>
      <c r="F120" s="80"/>
    </row>
    <row r="121" spans="1:8" ht="15" customHeight="1" x14ac:dyDescent="0.2">
      <c r="B121" s="16" t="s">
        <v>208</v>
      </c>
      <c r="C121" s="99">
        <v>0</v>
      </c>
      <c r="D121" s="99">
        <v>0</v>
      </c>
      <c r="E121">
        <f t="shared" si="3"/>
        <v>0</v>
      </c>
      <c r="F121" s="80"/>
    </row>
    <row r="122" spans="1:8" ht="15" customHeight="1" x14ac:dyDescent="0.2">
      <c r="B122" s="16" t="s">
        <v>212</v>
      </c>
      <c r="C122" s="99">
        <v>0</v>
      </c>
      <c r="D122" s="99">
        <v>0</v>
      </c>
      <c r="E122">
        <f t="shared" si="3"/>
        <v>0</v>
      </c>
      <c r="F122" s="80"/>
    </row>
    <row r="123" spans="1:8" ht="15" customHeight="1" x14ac:dyDescent="0.2">
      <c r="B123" s="16" t="s">
        <v>126</v>
      </c>
      <c r="E123">
        <f>SUM(E110:E122)</f>
        <v>1.7265044808362366</v>
      </c>
      <c r="F123" s="80"/>
    </row>
    <row r="124" spans="1:8" ht="15" customHeight="1" x14ac:dyDescent="0.2">
      <c r="A124" s="84"/>
      <c r="B124" s="85"/>
      <c r="C124" s="86"/>
      <c r="D124" s="86"/>
      <c r="E124" s="86"/>
    </row>
    <row r="126" spans="1:8" ht="15" customHeight="1" x14ac:dyDescent="0.2">
      <c r="A126" s="71" t="s">
        <v>127</v>
      </c>
      <c r="B126" s="12"/>
      <c r="C126" s="12"/>
      <c r="D126" s="12"/>
      <c r="E126" s="12"/>
      <c r="F126" s="12"/>
      <c r="G126" s="12"/>
      <c r="H126" s="80"/>
    </row>
    <row r="127" spans="1:8" ht="15" customHeight="1" x14ac:dyDescent="0.2">
      <c r="B127" s="16" t="s">
        <v>128</v>
      </c>
      <c r="C127" s="74">
        <f>C11</f>
        <v>42369</v>
      </c>
      <c r="E127" s="70" t="s">
        <v>129</v>
      </c>
      <c r="F127" s="70" t="s">
        <v>130</v>
      </c>
      <c r="G127" s="70" t="s">
        <v>131</v>
      </c>
      <c r="H127" s="80"/>
    </row>
    <row r="128" spans="1:8" ht="15" customHeight="1" x14ac:dyDescent="0.2">
      <c r="B128" s="16" t="s">
        <v>30</v>
      </c>
      <c r="C128" s="74">
        <f>C14</f>
        <v>42369</v>
      </c>
      <c r="E128" s="95">
        <f>MAX(-C129/365,0)</f>
        <v>0</v>
      </c>
      <c r="F128" s="95">
        <f>1-E128-G128</f>
        <v>1</v>
      </c>
      <c r="G128" s="95">
        <f>MAX(0,C129/365)</f>
        <v>0</v>
      </c>
      <c r="H128" s="80"/>
    </row>
    <row r="129" spans="1:8" ht="15" customHeight="1" x14ac:dyDescent="0.2">
      <c r="B129" s="16" t="s">
        <v>146</v>
      </c>
      <c r="C129">
        <f>C127-C128</f>
        <v>0</v>
      </c>
      <c r="H129" s="80"/>
    </row>
    <row r="130" spans="1:8" ht="15" customHeight="1" x14ac:dyDescent="0.2">
      <c r="B130" s="16" t="s">
        <v>132</v>
      </c>
      <c r="C130" s="16"/>
      <c r="D130">
        <f>IF(E128&gt;0,0,1)</f>
        <v>1</v>
      </c>
      <c r="E130" s="91">
        <v>1</v>
      </c>
      <c r="F130" s="91">
        <v>1</v>
      </c>
      <c r="G130">
        <f>IF(G128&gt;0,0,1)</f>
        <v>1</v>
      </c>
      <c r="H130" s="80"/>
    </row>
    <row r="131" spans="1:8" ht="15" customHeight="1" x14ac:dyDescent="0.2">
      <c r="A131" s="84"/>
      <c r="B131" s="85"/>
      <c r="C131" s="86"/>
      <c r="D131" s="86"/>
      <c r="E131" s="86"/>
      <c r="F131" s="86"/>
      <c r="G131" s="86"/>
    </row>
    <row r="132" spans="1:8" ht="15" customHeight="1" x14ac:dyDescent="0.2">
      <c r="A132" s="15" t="s">
        <v>259</v>
      </c>
      <c r="C132" s="137" t="str">
        <f>Burberry!C65</f>
        <v>Annual</v>
      </c>
      <c r="D132" s="137" t="str">
        <f>Burberry!D65</f>
        <v>interim</v>
      </c>
      <c r="E132" s="137" t="str">
        <f>Burberry!E65</f>
        <v>interim</v>
      </c>
      <c r="F132" s="137"/>
      <c r="G132" s="137" t="str">
        <f>Burberry!G65</f>
        <v>Adj. LTM</v>
      </c>
    </row>
    <row r="133" spans="1:8" ht="15" customHeight="1" x14ac:dyDescent="0.2">
      <c r="A133" s="150" t="s">
        <v>267</v>
      </c>
      <c r="C133" s="148">
        <f>Burberry!C66</f>
        <v>42094</v>
      </c>
      <c r="D133" s="148">
        <f>Burberry!D66</f>
        <v>41912</v>
      </c>
      <c r="E133" s="148">
        <f>Burberry!E66</f>
        <v>42277</v>
      </c>
      <c r="F133" s="148"/>
      <c r="G133" s="148"/>
    </row>
    <row r="134" spans="1:8" ht="15" customHeight="1" x14ac:dyDescent="0.2">
      <c r="B134" s="16" t="s">
        <v>260</v>
      </c>
      <c r="C134" s="149">
        <v>3388</v>
      </c>
      <c r="D134" s="149">
        <v>0</v>
      </c>
      <c r="E134" s="149">
        <v>0</v>
      </c>
    </row>
    <row r="135" spans="1:8" ht="15" customHeight="1" x14ac:dyDescent="0.2">
      <c r="B135" s="16" t="s">
        <v>55</v>
      </c>
      <c r="C135">
        <f>C69</f>
        <v>8196</v>
      </c>
      <c r="D135">
        <f t="shared" ref="D135:E135" si="4">D69</f>
        <v>0</v>
      </c>
      <c r="E135">
        <f t="shared" si="4"/>
        <v>0</v>
      </c>
    </row>
    <row r="136" spans="1:8" ht="15" customHeight="1" x14ac:dyDescent="0.2">
      <c r="B136" s="16" t="s">
        <v>258</v>
      </c>
      <c r="C136">
        <f>C134+C135</f>
        <v>11584</v>
      </c>
      <c r="D136">
        <f>D134+D135</f>
        <v>0</v>
      </c>
      <c r="E136">
        <f>E134+E135</f>
        <v>0</v>
      </c>
      <c r="G136">
        <f>C136-D136+E136</f>
        <v>11584</v>
      </c>
    </row>
    <row r="138" spans="1:8" ht="15" customHeight="1" x14ac:dyDescent="0.2">
      <c r="B138" s="16" t="s">
        <v>261</v>
      </c>
      <c r="G138">
        <f>G12</f>
        <v>104721.18245667047</v>
      </c>
    </row>
    <row r="139" spans="1:8" ht="15" customHeight="1" x14ac:dyDescent="0.2">
      <c r="B139" s="16" t="s">
        <v>262</v>
      </c>
      <c r="G139">
        <f>C134</f>
        <v>3388</v>
      </c>
    </row>
    <row r="140" spans="1:8" ht="15" customHeight="1" x14ac:dyDescent="0.2">
      <c r="B140" s="16" t="s">
        <v>263</v>
      </c>
      <c r="G140" s="149">
        <v>8</v>
      </c>
    </row>
    <row r="141" spans="1:8" ht="15" customHeight="1" x14ac:dyDescent="0.2">
      <c r="B141" s="16" t="s">
        <v>264</v>
      </c>
      <c r="G141">
        <f>G139*G140</f>
        <v>27104</v>
      </c>
    </row>
    <row r="142" spans="1:8" ht="15" customHeight="1" x14ac:dyDescent="0.2">
      <c r="B142" s="16" t="s">
        <v>265</v>
      </c>
      <c r="G142">
        <f>G138+G141</f>
        <v>131825.18245667047</v>
      </c>
    </row>
    <row r="144" spans="1:8" ht="15" customHeight="1" x14ac:dyDescent="0.2">
      <c r="B144" s="16" t="s">
        <v>266</v>
      </c>
      <c r="G144" s="69">
        <f>G142/G136</f>
        <v>11.379936330858984</v>
      </c>
    </row>
    <row r="146" spans="2:7" ht="15" customHeight="1" x14ac:dyDescent="0.2">
      <c r="B146" s="151" t="s">
        <v>268</v>
      </c>
    </row>
    <row r="147" spans="2:7" ht="15" customHeight="1" x14ac:dyDescent="0.2">
      <c r="B147" s="16" t="s">
        <v>258</v>
      </c>
      <c r="C147">
        <f>C136</f>
        <v>11584</v>
      </c>
      <c r="D147">
        <f t="shared" ref="D147:E147" si="5">D136</f>
        <v>0</v>
      </c>
      <c r="E147">
        <f t="shared" si="5"/>
        <v>0</v>
      </c>
      <c r="G147">
        <f>C147-D147+E147</f>
        <v>11584</v>
      </c>
    </row>
    <row r="148" spans="2:7" ht="15" customHeight="1" x14ac:dyDescent="0.2">
      <c r="B148" s="16" t="s">
        <v>273</v>
      </c>
      <c r="C148" s="149">
        <v>96</v>
      </c>
      <c r="D148" s="149">
        <v>0</v>
      </c>
      <c r="E148" s="149">
        <v>0</v>
      </c>
      <c r="G148">
        <f t="shared" ref="G148:G149" si="6">C148-D148+E148</f>
        <v>96</v>
      </c>
    </row>
    <row r="149" spans="2:7" ht="15" customHeight="1" x14ac:dyDescent="0.2">
      <c r="B149" s="16" t="s">
        <v>274</v>
      </c>
      <c r="C149" s="149">
        <v>-98</v>
      </c>
      <c r="D149" s="149">
        <v>0</v>
      </c>
      <c r="E149" s="149">
        <v>0</v>
      </c>
      <c r="G149">
        <f t="shared" si="6"/>
        <v>-98</v>
      </c>
    </row>
    <row r="150" spans="2:7" ht="15" customHeight="1" x14ac:dyDescent="0.2">
      <c r="B150" s="16" t="s">
        <v>275</v>
      </c>
      <c r="C150">
        <f>SUM(C147:C149)</f>
        <v>11582</v>
      </c>
      <c r="G150">
        <f>SUM(G147:G149)</f>
        <v>11582</v>
      </c>
    </row>
    <row r="152" spans="2:7" ht="15" customHeight="1" x14ac:dyDescent="0.2">
      <c r="B152" s="16" t="s">
        <v>269</v>
      </c>
      <c r="G152" s="149">
        <v>1545</v>
      </c>
    </row>
    <row r="153" spans="2:7" ht="15" customHeight="1" x14ac:dyDescent="0.2">
      <c r="B153" s="16" t="s">
        <v>270</v>
      </c>
      <c r="G153" s="149">
        <v>940</v>
      </c>
    </row>
    <row r="154" spans="2:7" ht="15" customHeight="1" x14ac:dyDescent="0.2">
      <c r="B154" s="16" t="s">
        <v>271</v>
      </c>
      <c r="G154">
        <f>G152-G153</f>
        <v>605</v>
      </c>
    </row>
    <row r="155" spans="2:7" ht="15" customHeight="1" x14ac:dyDescent="0.2">
      <c r="B155" s="16" t="s">
        <v>272</v>
      </c>
      <c r="G155">
        <f>G154*(1-C75)</f>
        <v>396.88</v>
      </c>
    </row>
    <row r="156" spans="2:7" ht="15" customHeight="1" x14ac:dyDescent="0.2">
      <c r="B156" s="16" t="s">
        <v>265</v>
      </c>
      <c r="G156">
        <f>G155+G142</f>
        <v>132222.06245667048</v>
      </c>
    </row>
    <row r="158" spans="2:7" ht="15" customHeight="1" x14ac:dyDescent="0.2">
      <c r="B158" s="16" t="s">
        <v>276</v>
      </c>
      <c r="G158" s="69">
        <f>G156/G150</f>
        <v>11.416168404133179</v>
      </c>
    </row>
  </sheetData>
  <printOptions headings="1" gridLines="1"/>
  <pageMargins left="0.70866141732283472" right="0.70866141732283472" top="0.74803149606299213" bottom="0.74803149606299213" header="0.31496062992125984" footer="0.31496062992125984"/>
  <pageSetup paperSize="9" scale="52" fitToHeight="4" orientation="portrait" cellComments="asDisplayed" r:id="rId1"/>
  <headerFooter>
    <oddHeader xml:space="preserve">&amp;R&amp;10&amp;F 
&amp;A
</oddHeader>
    <oddFooter>&amp;L&amp;10© 2016&amp;C&amp;10Page &amp;P of &amp;N&amp;R&amp;G</oddFooter>
  </headerFooter>
  <legacyDrawing r:id="rId2"/>
  <legacyDrawingHF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N158"/>
  <sheetViews>
    <sheetView zoomScaleNormal="100" workbookViewId="0"/>
  </sheetViews>
  <sheetFormatPr baseColWidth="10" defaultColWidth="9.1640625" defaultRowHeight="15" customHeight="1" x14ac:dyDescent="0.2"/>
  <cols>
    <col min="1" max="1" width="1.5" style="15" customWidth="1"/>
    <col min="2" max="2" width="35.6640625" style="16" customWidth="1"/>
    <col min="3" max="10" width="11" customWidth="1"/>
    <col min="11" max="13" width="9.6640625" customWidth="1"/>
  </cols>
  <sheetData>
    <row r="1" spans="1:12" s="51" customFormat="1" ht="45" customHeight="1" x14ac:dyDescent="0.35">
      <c r="A1" s="5" t="str">
        <f>Welcome!A2</f>
        <v xml:space="preserve">Case In Point - Samsonite Acquiring Tumi </v>
      </c>
      <c r="B1" s="10"/>
      <c r="C1" s="12"/>
      <c r="D1" s="12"/>
      <c r="E1" s="12"/>
      <c r="F1" s="12"/>
      <c r="G1" s="12"/>
      <c r="H1" s="12"/>
      <c r="I1" s="12"/>
      <c r="J1" s="12"/>
      <c r="K1" s="12"/>
      <c r="L1" s="12"/>
    </row>
    <row r="2" spans="1:12" s="37" customFormat="1" ht="30" customHeight="1" x14ac:dyDescent="0.25">
      <c r="A2" s="14" t="s">
        <v>191</v>
      </c>
      <c r="B2" s="7"/>
      <c r="C2" s="11"/>
      <c r="D2" s="11"/>
      <c r="E2" s="11"/>
      <c r="F2" s="11"/>
      <c r="G2" s="11"/>
      <c r="H2" s="11"/>
      <c r="I2" s="11"/>
      <c r="J2" s="11"/>
      <c r="K2" s="11"/>
      <c r="L2" s="11"/>
    </row>
    <row r="4" spans="1:12" ht="15" customHeight="1" x14ac:dyDescent="0.2">
      <c r="B4" s="66" t="s">
        <v>19</v>
      </c>
      <c r="C4" s="67" t="s">
        <v>194</v>
      </c>
      <c r="E4" s="66" t="s">
        <v>21</v>
      </c>
      <c r="F4" s="68" t="s">
        <v>227</v>
      </c>
    </row>
    <row r="5" spans="1:12" ht="15" customHeight="1" x14ac:dyDescent="0.2">
      <c r="B5" s="66" t="s">
        <v>92</v>
      </c>
      <c r="E5" s="66" t="s">
        <v>3</v>
      </c>
      <c r="F5" s="74">
        <f>Info!N7</f>
        <v>42496</v>
      </c>
    </row>
    <row r="7" spans="1:12" ht="15" customHeight="1" x14ac:dyDescent="0.2">
      <c r="A7" s="72" t="s">
        <v>22</v>
      </c>
      <c r="B7" s="12"/>
      <c r="C7" s="12"/>
      <c r="D7" s="89"/>
      <c r="E7" s="88" t="str">
        <f>"Enterprise value calculation in "&amp;C16</f>
        <v>Enterprise value calculation in USD</v>
      </c>
      <c r="F7" s="88"/>
      <c r="G7" s="88"/>
      <c r="H7" s="88"/>
      <c r="I7" s="88"/>
      <c r="J7" s="88"/>
      <c r="K7" s="88"/>
      <c r="L7" s="80"/>
    </row>
    <row r="8" spans="1:12" ht="15" customHeight="1" x14ac:dyDescent="0.2">
      <c r="B8" s="16" t="s">
        <v>23</v>
      </c>
      <c r="C8" s="75" t="s">
        <v>202</v>
      </c>
      <c r="D8" s="89"/>
      <c r="E8" t="s">
        <v>40</v>
      </c>
      <c r="G8">
        <f>J32/FX</f>
        <v>751.22655122655135</v>
      </c>
      <c r="I8" t="s">
        <v>42</v>
      </c>
      <c r="K8">
        <f>G32/FX</f>
        <v>89.177489177489178</v>
      </c>
      <c r="L8" s="80"/>
    </row>
    <row r="9" spans="1:12" ht="15" customHeight="1" x14ac:dyDescent="0.2">
      <c r="B9" s="16" t="s">
        <v>25</v>
      </c>
      <c r="C9" s="75" t="s">
        <v>203</v>
      </c>
      <c r="D9" s="89"/>
      <c r="E9" t="s">
        <v>41</v>
      </c>
      <c r="G9">
        <f>J33/FX</f>
        <v>0</v>
      </c>
      <c r="I9" t="s">
        <v>44</v>
      </c>
      <c r="K9">
        <f>G36/FX</f>
        <v>0</v>
      </c>
      <c r="L9" s="80"/>
    </row>
    <row r="10" spans="1:12" ht="15" customHeight="1" x14ac:dyDescent="0.2">
      <c r="B10" s="16" t="s">
        <v>27</v>
      </c>
      <c r="C10" s="74">
        <f>F5</f>
        <v>42496</v>
      </c>
      <c r="D10" s="89"/>
      <c r="E10" t="s">
        <v>43</v>
      </c>
      <c r="G10">
        <f>J34/FX</f>
        <v>6.9264069264069263</v>
      </c>
      <c r="I10" t="s">
        <v>46</v>
      </c>
      <c r="K10">
        <f>G38/FX</f>
        <v>73.160173160173173</v>
      </c>
      <c r="L10" s="80"/>
    </row>
    <row r="11" spans="1:12" ht="15" customHeight="1" x14ac:dyDescent="0.2">
      <c r="B11" s="16" t="s">
        <v>28</v>
      </c>
      <c r="C11" s="76">
        <v>42094</v>
      </c>
      <c r="D11" s="154">
        <v>7.77</v>
      </c>
      <c r="E11" t="s">
        <v>45</v>
      </c>
      <c r="G11">
        <f>J35/FX</f>
        <v>0</v>
      </c>
      <c r="I11" t="s">
        <v>133</v>
      </c>
      <c r="K11">
        <f>SUM(G33:G35,G37)/FX</f>
        <v>4.4733044733044736</v>
      </c>
      <c r="L11" s="80"/>
    </row>
    <row r="12" spans="1:12" ht="15" customHeight="1" x14ac:dyDescent="0.2">
      <c r="B12" s="16" t="s">
        <v>29</v>
      </c>
      <c r="C12" s="76">
        <v>42277</v>
      </c>
      <c r="D12" s="89"/>
      <c r="E12" t="s">
        <v>47</v>
      </c>
      <c r="G12">
        <f>SUM(K8:K12)-SUM(G8:G11)</f>
        <v>7046.5874754834049</v>
      </c>
      <c r="I12" t="s">
        <v>48</v>
      </c>
      <c r="K12">
        <f>D38/FX</f>
        <v>7637.929466825397</v>
      </c>
      <c r="L12" s="80"/>
    </row>
    <row r="13" spans="1:12" ht="15" customHeight="1" x14ac:dyDescent="0.2">
      <c r="D13" s="80"/>
      <c r="E13" s="86"/>
      <c r="F13" s="86" t="s">
        <v>257</v>
      </c>
      <c r="G13" s="86"/>
      <c r="H13" s="86"/>
      <c r="I13" s="86"/>
      <c r="J13" s="86"/>
      <c r="K13" s="86"/>
      <c r="L13" s="87"/>
    </row>
    <row r="14" spans="1:12" ht="15" customHeight="1" x14ac:dyDescent="0.2">
      <c r="B14" s="16" t="s">
        <v>30</v>
      </c>
      <c r="C14" s="74">
        <f>Info!N8</f>
        <v>42369</v>
      </c>
      <c r="D14" s="80"/>
      <c r="E14" s="88" t="str">
        <f>"Calendarized numbers summary in "&amp;C16</f>
        <v>Calendarized numbers summary in USD</v>
      </c>
      <c r="F14" s="88"/>
      <c r="G14" s="88"/>
      <c r="H14" s="88"/>
      <c r="I14" s="88"/>
      <c r="J14" s="88"/>
      <c r="K14" s="88"/>
    </row>
    <row r="15" spans="1:12" ht="15" customHeight="1" x14ac:dyDescent="0.2">
      <c r="B15" s="16" t="s">
        <v>31</v>
      </c>
      <c r="C15" s="75" t="s">
        <v>195</v>
      </c>
      <c r="D15" s="89"/>
      <c r="G15" s="90" t="s">
        <v>49</v>
      </c>
      <c r="H15" s="90" t="str">
        <f>YEAR($C$14)+1&amp;"e"</f>
        <v>2016e</v>
      </c>
      <c r="I15" s="90" t="str">
        <f>YEAR($C$14)+2&amp;"e"</f>
        <v>2017e</v>
      </c>
      <c r="J15" s="90" t="str">
        <f>YEAR($C$14)+3&amp;"e"</f>
        <v>2018e</v>
      </c>
      <c r="K15" s="90" t="str">
        <f>YEAR($C$14)+4&amp;"e"</f>
        <v>2019e</v>
      </c>
      <c r="L15" s="80"/>
    </row>
    <row r="16" spans="1:12" ht="15" customHeight="1" x14ac:dyDescent="0.2">
      <c r="B16" s="16" t="s">
        <v>147</v>
      </c>
      <c r="C16" s="90" t="str">
        <f>Info!N9</f>
        <v>USD</v>
      </c>
      <c r="D16" s="89"/>
      <c r="E16" t="s">
        <v>54</v>
      </c>
      <c r="G16">
        <f>G67/FX</f>
        <v>3647.4747474747473</v>
      </c>
      <c r="H16">
        <f>SUMPRODUCT(I67:K67,calendar)/FX</f>
        <v>3683.2512996896562</v>
      </c>
      <c r="I16">
        <f>SUMPRODUCT(J67:L67,calendar)/FX</f>
        <v>3855.1068414082115</v>
      </c>
      <c r="J16">
        <f>SUMPRODUCT(K67:M67,calendar)/FX</f>
        <v>3985.5699855699859</v>
      </c>
      <c r="K16">
        <f>SUMPRODUCT(L67:N67,calendar)/FX</f>
        <v>3002.8267014568387</v>
      </c>
      <c r="L16" s="80"/>
    </row>
    <row r="17" spans="1:12" ht="15" customHeight="1" x14ac:dyDescent="0.2">
      <c r="B17" s="16" t="s">
        <v>32</v>
      </c>
      <c r="C17" s="122">
        <v>0.69299999999999995</v>
      </c>
      <c r="D17" s="89"/>
      <c r="E17" t="s">
        <v>55</v>
      </c>
      <c r="G17">
        <f>G69/FX</f>
        <v>846.89754689754704</v>
      </c>
      <c r="H17">
        <f>SUMPRODUCT(I69:K69,calendar)/FX</f>
        <v>832.73043547016152</v>
      </c>
      <c r="I17">
        <f>SUMPRODUCT(J69:L69,calendar)/FX</f>
        <v>818.02368103737979</v>
      </c>
      <c r="J17">
        <f>SUMPRODUCT(K69:M69,calendar)/FX</f>
        <v>870.60428156318574</v>
      </c>
      <c r="K17">
        <f>SUMPRODUCT(L69:N69,calendar)/FX</f>
        <v>696.89062839747771</v>
      </c>
      <c r="L17" s="80"/>
    </row>
    <row r="18" spans="1:12" ht="15" customHeight="1" x14ac:dyDescent="0.2">
      <c r="B18" s="16" t="str">
        <f>"Closing price as at "&amp;TEXT($C$10,"dd-mmm-yy")</f>
        <v>Closing price as at 06-May-16</v>
      </c>
      <c r="C18" s="78">
        <v>11.77</v>
      </c>
      <c r="D18" s="89"/>
      <c r="E18" t="s">
        <v>56</v>
      </c>
      <c r="G18">
        <f>G68/FX</f>
        <v>640.54834054834066</v>
      </c>
      <c r="H18">
        <f>SUMPRODUCT(I68:K68,calendar)/FX</f>
        <v>630.45326059024694</v>
      </c>
      <c r="I18">
        <f>SUMPRODUCT(J68:L68,calendar)/FX</f>
        <v>607.36523750222386</v>
      </c>
      <c r="J18">
        <f>SUMPRODUCT(K68:M68,calendar)/FX</f>
        <v>653.46221510605085</v>
      </c>
      <c r="K18">
        <f>SUMPRODUCT(L68:N68,calendar)/FX</f>
        <v>528.3757338551859</v>
      </c>
      <c r="L18" s="80"/>
    </row>
    <row r="19" spans="1:12" ht="15" customHeight="1" x14ac:dyDescent="0.2">
      <c r="B19" s="16" t="str">
        <f>"Closing price as at "&amp;TEXT($C$10,"dd-mmm-yy")&amp;" in USD"</f>
        <v>Closing price as at 06-May-16 in USD</v>
      </c>
      <c r="C19" s="107">
        <f>C18/FX</f>
        <v>16.984126984126984</v>
      </c>
      <c r="D19" s="89"/>
      <c r="E19" t="s">
        <v>223</v>
      </c>
      <c r="H19" s="107">
        <f>SUMPRODUCT(I70:K70,calendar)/FX</f>
        <v>1.0886287889536637</v>
      </c>
      <c r="I19" s="107">
        <f>SUMPRODUCT(J70:L70,calendar)/FX</f>
        <v>1.0387633675304908</v>
      </c>
      <c r="J19" s="107">
        <f>SUMPRODUCT(K70:M70,calendar)/FX</f>
        <v>1.1035995967502819</v>
      </c>
      <c r="K19" s="107">
        <f>SUMPRODUCT(L70:N70,calendar)/FX</f>
        <v>0.88062622309197658</v>
      </c>
      <c r="L19" s="80"/>
    </row>
    <row r="20" spans="1:12" ht="15" customHeight="1" x14ac:dyDescent="0.2">
      <c r="B20" s="16" t="s">
        <v>33</v>
      </c>
      <c r="C20" s="78">
        <v>10.47</v>
      </c>
      <c r="D20" s="80"/>
      <c r="E20" s="86"/>
      <c r="F20" s="86"/>
      <c r="G20" s="86"/>
      <c r="H20" s="86"/>
      <c r="I20" s="86"/>
      <c r="J20" s="86"/>
      <c r="K20" s="86"/>
    </row>
    <row r="21" spans="1:12" ht="15" customHeight="1" x14ac:dyDescent="0.2">
      <c r="B21" s="16" t="s">
        <v>34</v>
      </c>
      <c r="C21" s="78">
        <v>18.420000000000002</v>
      </c>
      <c r="D21" s="80"/>
      <c r="E21" s="88" t="s">
        <v>61</v>
      </c>
      <c r="F21" s="88"/>
      <c r="G21" s="88"/>
      <c r="H21" s="88"/>
      <c r="I21" s="88"/>
      <c r="J21" s="88"/>
      <c r="K21" s="88"/>
    </row>
    <row r="22" spans="1:12" ht="15" customHeight="1" x14ac:dyDescent="0.2">
      <c r="B22" s="16" t="s">
        <v>197</v>
      </c>
      <c r="C22" s="95">
        <f>C18/C21</f>
        <v>0.63897937024972851</v>
      </c>
      <c r="D22" s="89"/>
      <c r="G22" s="90" t="s">
        <v>49</v>
      </c>
      <c r="H22" s="90" t="s">
        <v>50</v>
      </c>
      <c r="I22" s="90" t="s">
        <v>51</v>
      </c>
      <c r="J22" s="90" t="s">
        <v>52</v>
      </c>
      <c r="K22" s="90" t="s">
        <v>53</v>
      </c>
      <c r="L22" s="80"/>
    </row>
    <row r="23" spans="1:12" ht="15" customHeight="1" x14ac:dyDescent="0.2">
      <c r="B23" s="16" t="s">
        <v>35</v>
      </c>
      <c r="C23" s="104">
        <f>0.37/C18</f>
        <v>3.1435853865760408E-2</v>
      </c>
      <c r="D23" s="106"/>
      <c r="E23" t="s">
        <v>62</v>
      </c>
      <c r="G23" s="69">
        <f t="shared" ref="G23:K25" si="0">IFERROR($G$12/G16,"NA")</f>
        <v>1.9319085020018198</v>
      </c>
      <c r="H23" s="69">
        <f t="shared" si="0"/>
        <v>1.9131432807957298</v>
      </c>
      <c r="I23" s="69">
        <f t="shared" si="0"/>
        <v>1.8278578948305864</v>
      </c>
      <c r="J23" s="69">
        <f t="shared" si="0"/>
        <v>1.7680250255286021</v>
      </c>
      <c r="K23" s="69">
        <f t="shared" si="0"/>
        <v>2.3466513975197811</v>
      </c>
      <c r="L23" s="80"/>
    </row>
    <row r="24" spans="1:12" ht="15" customHeight="1" x14ac:dyDescent="0.2">
      <c r="B24" s="16" t="s">
        <v>37</v>
      </c>
      <c r="C24" s="78">
        <v>1.35</v>
      </c>
      <c r="D24" s="89"/>
      <c r="E24" t="s">
        <v>57</v>
      </c>
      <c r="G24" s="69">
        <f t="shared" si="0"/>
        <v>8.320472176708126</v>
      </c>
      <c r="H24" s="69">
        <f t="shared" si="0"/>
        <v>8.4620270562164404</v>
      </c>
      <c r="I24" s="69">
        <f t="shared" si="0"/>
        <v>8.6141607374339682</v>
      </c>
      <c r="J24" s="69">
        <f t="shared" si="0"/>
        <v>8.0939039983023395</v>
      </c>
      <c r="K24" s="69">
        <f t="shared" si="0"/>
        <v>10.111468268252162</v>
      </c>
      <c r="L24" s="80"/>
    </row>
    <row r="25" spans="1:12" ht="15" customHeight="1" x14ac:dyDescent="0.2">
      <c r="D25" s="89"/>
      <c r="E25" t="s">
        <v>58</v>
      </c>
      <c r="G25" s="69">
        <f t="shared" si="0"/>
        <v>11.00086758393782</v>
      </c>
      <c r="H25" s="69">
        <f t="shared" si="0"/>
        <v>11.17701805346554</v>
      </c>
      <c r="I25" s="69">
        <f t="shared" si="0"/>
        <v>11.601894610337498</v>
      </c>
      <c r="J25" s="69">
        <f t="shared" si="0"/>
        <v>10.783465841769917</v>
      </c>
      <c r="K25" s="69">
        <f t="shared" si="0"/>
        <v>13.33631925915563</v>
      </c>
      <c r="L25" s="80"/>
    </row>
    <row r="26" spans="1:12" ht="15" customHeight="1" x14ac:dyDescent="0.2">
      <c r="B26" s="16" t="s">
        <v>38</v>
      </c>
      <c r="C26" s="139" t="s">
        <v>36</v>
      </c>
      <c r="D26" s="89"/>
      <c r="E26" t="s">
        <v>59</v>
      </c>
      <c r="H26" s="69">
        <f>$C$19/H19</f>
        <v>15.601394301221163</v>
      </c>
      <c r="I26" s="69">
        <f>$C$19/I19</f>
        <v>16.350333016175071</v>
      </c>
      <c r="J26" s="69">
        <f>$C$19/J19</f>
        <v>15.389754612215652</v>
      </c>
      <c r="K26" s="114">
        <f>IFERROR($C$19/K19,"NA")</f>
        <v>19.286419753086417</v>
      </c>
      <c r="L26" s="80"/>
    </row>
    <row r="27" spans="1:12" ht="15" customHeight="1" x14ac:dyDescent="0.2">
      <c r="B27" s="16" t="s">
        <v>39</v>
      </c>
      <c r="C27" s="83">
        <v>-6.6268819999999997E-3</v>
      </c>
      <c r="D27" s="89"/>
      <c r="E27" t="s">
        <v>60</v>
      </c>
      <c r="G27" s="69">
        <f>G32/G69</f>
        <v>0.10529902879536546</v>
      </c>
      <c r="L27" s="103"/>
    </row>
    <row r="28" spans="1:12" ht="15" customHeight="1" x14ac:dyDescent="0.2">
      <c r="A28" s="84"/>
      <c r="B28" s="85"/>
      <c r="C28" s="86"/>
      <c r="D28" s="87"/>
      <c r="E28" s="86"/>
      <c r="F28" s="86"/>
      <c r="G28" s="86"/>
      <c r="H28" s="86"/>
      <c r="I28" s="86"/>
      <c r="J28" s="86"/>
      <c r="K28" s="86"/>
      <c r="L28" s="87"/>
    </row>
    <row r="29" spans="1:12" ht="15" customHeight="1" x14ac:dyDescent="0.2">
      <c r="A29" s="72" t="s">
        <v>22</v>
      </c>
      <c r="B29" s="12"/>
      <c r="C29" s="12"/>
      <c r="D29" s="12"/>
      <c r="E29" s="12"/>
      <c r="F29" s="12"/>
      <c r="G29" s="12"/>
      <c r="H29" s="12"/>
      <c r="I29" s="12"/>
      <c r="J29" s="12"/>
      <c r="K29" s="12"/>
      <c r="L29" s="80"/>
    </row>
    <row r="30" spans="1:12" ht="15" customHeight="1" x14ac:dyDescent="0.2">
      <c r="B30" s="16" t="s">
        <v>63</v>
      </c>
      <c r="E30" s="16" t="s">
        <v>78</v>
      </c>
      <c r="H30" s="16" t="s">
        <v>80</v>
      </c>
      <c r="L30" s="80"/>
    </row>
    <row r="31" spans="1:12" ht="15" customHeight="1" x14ac:dyDescent="0.2">
      <c r="E31" s="16"/>
      <c r="H31" s="16"/>
      <c r="L31" s="80"/>
    </row>
    <row r="32" spans="1:12" ht="15" customHeight="1" x14ac:dyDescent="0.2">
      <c r="B32" s="16" t="s">
        <v>64</v>
      </c>
      <c r="D32" s="74">
        <f>C10</f>
        <v>42496</v>
      </c>
      <c r="E32" s="16" t="s">
        <v>77</v>
      </c>
      <c r="G32" s="73">
        <v>61.8</v>
      </c>
      <c r="H32" s="16" t="s">
        <v>66</v>
      </c>
      <c r="J32" s="73">
        <v>520.6</v>
      </c>
      <c r="L32" s="80"/>
    </row>
    <row r="33" spans="1:13" ht="15" customHeight="1" x14ac:dyDescent="0.2">
      <c r="B33" s="16" t="s">
        <v>65</v>
      </c>
      <c r="D33" s="73">
        <v>444.9</v>
      </c>
      <c r="E33" s="16" t="s">
        <v>71</v>
      </c>
      <c r="G33" s="73">
        <v>0</v>
      </c>
      <c r="H33" s="16" t="s">
        <v>68</v>
      </c>
      <c r="J33" s="73">
        <v>0</v>
      </c>
      <c r="L33" s="80"/>
    </row>
    <row r="34" spans="1:13" ht="15" customHeight="1" x14ac:dyDescent="0.2">
      <c r="B34" s="16" t="s">
        <v>67</v>
      </c>
      <c r="D34" s="73">
        <v>0</v>
      </c>
      <c r="E34" s="16" t="s">
        <v>74</v>
      </c>
      <c r="G34" s="73">
        <v>0</v>
      </c>
      <c r="H34" s="16" t="s">
        <v>43</v>
      </c>
      <c r="J34" s="73">
        <f>2.3+0.3+2.2</f>
        <v>4.8</v>
      </c>
      <c r="L34" s="80"/>
    </row>
    <row r="35" spans="1:13" ht="15" customHeight="1" x14ac:dyDescent="0.2">
      <c r="B35" s="16" t="s">
        <v>69</v>
      </c>
      <c r="D35">
        <f>E123</f>
        <v>4.8098658037383171</v>
      </c>
      <c r="E35" s="16" t="s">
        <v>70</v>
      </c>
      <c r="G35" s="73">
        <v>0</v>
      </c>
      <c r="H35" s="16" t="s">
        <v>70</v>
      </c>
      <c r="J35" s="73">
        <v>0</v>
      </c>
      <c r="L35" s="80"/>
    </row>
    <row r="36" spans="1:13" ht="15" customHeight="1" x14ac:dyDescent="0.2">
      <c r="B36" s="16" t="s">
        <v>70</v>
      </c>
      <c r="D36" s="73">
        <v>0</v>
      </c>
      <c r="E36" s="16" t="s">
        <v>73</v>
      </c>
      <c r="G36" s="73">
        <v>0</v>
      </c>
      <c r="H36" s="16"/>
      <c r="L36" s="80"/>
    </row>
    <row r="37" spans="1:13" ht="15" customHeight="1" x14ac:dyDescent="0.2">
      <c r="B37" s="16" t="s">
        <v>72</v>
      </c>
      <c r="D37">
        <f>SUM(D33:D36)</f>
        <v>449.7098658037383</v>
      </c>
      <c r="E37" s="16" t="s">
        <v>133</v>
      </c>
      <c r="G37" s="73">
        <f>3+0.1</f>
        <v>3.1</v>
      </c>
      <c r="H37" s="16"/>
      <c r="L37" s="80"/>
      <c r="M37" s="16"/>
    </row>
    <row r="38" spans="1:13" ht="15" customHeight="1" x14ac:dyDescent="0.2">
      <c r="B38" s="16" t="s">
        <v>48</v>
      </c>
      <c r="D38">
        <f>D37*C18</f>
        <v>5293.0851205099998</v>
      </c>
      <c r="E38" s="16" t="s">
        <v>171</v>
      </c>
      <c r="G38" s="73">
        <v>50.7</v>
      </c>
      <c r="H38" s="16"/>
      <c r="L38" s="80"/>
      <c r="M38" s="16"/>
    </row>
    <row r="39" spans="1:13" ht="15" customHeight="1" x14ac:dyDescent="0.2">
      <c r="A39" s="81"/>
      <c r="E39" s="16" t="s">
        <v>79</v>
      </c>
      <c r="G39">
        <f>SUM(G32:G38)</f>
        <v>115.6</v>
      </c>
      <c r="H39" s="16" t="s">
        <v>80</v>
      </c>
      <c r="J39">
        <f>SUM(J32:J35)</f>
        <v>525.4</v>
      </c>
      <c r="L39" s="80"/>
      <c r="M39" s="16"/>
    </row>
    <row r="40" spans="1:13" ht="15" customHeight="1" x14ac:dyDescent="0.2">
      <c r="A40" s="84"/>
      <c r="B40" s="85"/>
      <c r="C40" s="86"/>
      <c r="D40" s="86"/>
      <c r="E40" s="86"/>
      <c r="F40" s="86"/>
      <c r="G40" s="86"/>
      <c r="H40" s="86"/>
      <c r="I40" s="86"/>
      <c r="J40" s="86"/>
      <c r="K40" s="86"/>
    </row>
    <row r="41" spans="1:13" ht="15" customHeight="1" x14ac:dyDescent="0.2">
      <c r="A41" s="72" t="s">
        <v>222</v>
      </c>
      <c r="B41" s="12"/>
      <c r="C41" s="12"/>
      <c r="D41" s="12"/>
      <c r="E41" s="12"/>
      <c r="F41" s="12"/>
      <c r="G41" s="12"/>
      <c r="H41" s="89"/>
      <c r="I41" s="71" t="s">
        <v>93</v>
      </c>
      <c r="J41" s="12"/>
      <c r="K41" s="12"/>
      <c r="L41" s="80"/>
    </row>
    <row r="42" spans="1:13" ht="15" customHeight="1" x14ac:dyDescent="0.2">
      <c r="A42" s="93"/>
      <c r="B42" s="16" t="s">
        <v>81</v>
      </c>
      <c r="D42">
        <f>J32</f>
        <v>520.6</v>
      </c>
      <c r="E42" s="16" t="s">
        <v>90</v>
      </c>
      <c r="G42">
        <f>G32+G37</f>
        <v>64.899999999999991</v>
      </c>
      <c r="H42" s="89"/>
      <c r="I42" s="16" t="s">
        <v>149</v>
      </c>
      <c r="K42" s="95">
        <f>(D43-G43)/G67</f>
        <v>0.10084266329073861</v>
      </c>
      <c r="L42" s="80"/>
    </row>
    <row r="43" spans="1:13" ht="15" customHeight="1" x14ac:dyDescent="0.2">
      <c r="A43" s="93"/>
      <c r="B43" s="16" t="s">
        <v>84</v>
      </c>
      <c r="D43" s="73">
        <f>478.4+256.1+8.8</f>
        <v>743.3</v>
      </c>
      <c r="E43" s="94" t="s">
        <v>148</v>
      </c>
      <c r="G43" s="77">
        <f>407.9+9.7+70.8</f>
        <v>488.4</v>
      </c>
      <c r="H43" s="89"/>
      <c r="I43" s="16" t="s">
        <v>152</v>
      </c>
      <c r="K43" s="121">
        <f>G67/G50</f>
        <v>2.6074891685578701</v>
      </c>
      <c r="L43" s="80"/>
    </row>
    <row r="44" spans="1:13" ht="15" customHeight="1" x14ac:dyDescent="0.2">
      <c r="A44" s="93"/>
      <c r="B44" s="16" t="s">
        <v>82</v>
      </c>
      <c r="D44" s="73">
        <f>451.8+146.5+65.7+186.3-84.1</f>
        <v>766.19999999999993</v>
      </c>
      <c r="E44" s="94" t="s">
        <v>87</v>
      </c>
      <c r="G44" s="77">
        <f>135.9-0.1</f>
        <v>135.80000000000001</v>
      </c>
      <c r="H44" s="89"/>
      <c r="I44" s="16" t="s">
        <v>150</v>
      </c>
      <c r="K44" s="95">
        <f>G68/G67</f>
        <v>0.175614194722475</v>
      </c>
      <c r="L44" s="80"/>
      <c r="M44" s="95"/>
    </row>
    <row r="45" spans="1:13" ht="15" customHeight="1" x14ac:dyDescent="0.2">
      <c r="A45" s="93"/>
      <c r="B45" s="16" t="s">
        <v>83</v>
      </c>
      <c r="D45" s="73">
        <v>84.1</v>
      </c>
      <c r="E45" s="16" t="s">
        <v>88</v>
      </c>
      <c r="G45">
        <f>G36</f>
        <v>0</v>
      </c>
      <c r="H45" s="89"/>
      <c r="I45" s="16" t="s">
        <v>94</v>
      </c>
      <c r="K45" s="95">
        <f>K44*K43</f>
        <v>0.45791211058386622</v>
      </c>
      <c r="L45" s="80"/>
    </row>
    <row r="46" spans="1:13" ht="15" customHeight="1" x14ac:dyDescent="0.2">
      <c r="A46" s="93"/>
      <c r="B46" s="16" t="s">
        <v>214</v>
      </c>
      <c r="D46">
        <f>J34</f>
        <v>4.8</v>
      </c>
      <c r="E46" s="94" t="s">
        <v>89</v>
      </c>
      <c r="G46" s="77">
        <v>1379.2</v>
      </c>
      <c r="H46" s="89"/>
      <c r="I46" s="16" t="s">
        <v>95</v>
      </c>
      <c r="K46" s="95">
        <f>C76</f>
        <v>0.23279352226720645</v>
      </c>
      <c r="L46" s="80"/>
    </row>
    <row r="47" spans="1:13" ht="15" customHeight="1" x14ac:dyDescent="0.2">
      <c r="E47" s="16" t="s">
        <v>75</v>
      </c>
      <c r="G47">
        <f>G38</f>
        <v>50.7</v>
      </c>
      <c r="H47" s="89"/>
      <c r="I47" s="94" t="s">
        <v>96</v>
      </c>
      <c r="K47" s="95">
        <f>K45*(1-K46)</f>
        <v>0.35131313747223747</v>
      </c>
      <c r="L47" s="80"/>
    </row>
    <row r="48" spans="1:13" ht="15" customHeight="1" x14ac:dyDescent="0.2">
      <c r="B48" s="16" t="s">
        <v>85</v>
      </c>
      <c r="D48">
        <f>SUM(D42:D46)</f>
        <v>2119</v>
      </c>
      <c r="E48" s="94" t="s">
        <v>91</v>
      </c>
      <c r="G48">
        <f>SUM(G42:G47)</f>
        <v>2119</v>
      </c>
      <c r="H48" s="80"/>
      <c r="I48" s="86"/>
      <c r="J48" s="86"/>
      <c r="K48" s="86"/>
    </row>
    <row r="49" spans="1:14" ht="15" customHeight="1" x14ac:dyDescent="0.2">
      <c r="H49" s="80"/>
    </row>
    <row r="50" spans="1:14" ht="15" customHeight="1" x14ac:dyDescent="0.2">
      <c r="B50" s="16" t="s">
        <v>86</v>
      </c>
      <c r="D50">
        <f>D43+D44+D45-G43-G44</f>
        <v>969.39999999999986</v>
      </c>
      <c r="E50" s="94" t="s">
        <v>76</v>
      </c>
      <c r="G50">
        <f>SUM(G42,G45:G47)-D42-D46</f>
        <v>969.4000000000002</v>
      </c>
      <c r="H50" s="80"/>
    </row>
    <row r="51" spans="1:14" ht="15" customHeight="1" x14ac:dyDescent="0.2">
      <c r="A51" s="96"/>
      <c r="B51" s="97"/>
      <c r="C51" s="98"/>
      <c r="D51" s="98"/>
      <c r="E51" s="98"/>
      <c r="F51" s="98"/>
      <c r="G51" s="98"/>
    </row>
    <row r="52" spans="1:14" ht="15" customHeight="1" x14ac:dyDescent="0.2">
      <c r="A52" s="126" t="str">
        <f>"Balance sheet data ("&amp;C16&amp;")"</f>
        <v>Balance sheet data (USD)</v>
      </c>
      <c r="B52" s="127"/>
      <c r="C52" s="127"/>
      <c r="D52" s="127"/>
      <c r="E52" s="127"/>
      <c r="F52" s="127"/>
      <c r="G52" s="128"/>
    </row>
    <row r="53" spans="1:14" ht="15" customHeight="1" x14ac:dyDescent="0.2">
      <c r="A53" s="93"/>
      <c r="B53" s="125" t="s">
        <v>81</v>
      </c>
      <c r="C53" s="87"/>
      <c r="D53" s="87">
        <f>D42/FX</f>
        <v>751.22655122655135</v>
      </c>
      <c r="E53" s="125" t="s">
        <v>90</v>
      </c>
      <c r="F53" s="87"/>
      <c r="G53" s="129">
        <f>G42/FX</f>
        <v>93.650793650793645</v>
      </c>
    </row>
    <row r="54" spans="1:14" ht="15" customHeight="1" x14ac:dyDescent="0.2">
      <c r="A54" s="93"/>
      <c r="B54" s="125" t="s">
        <v>84</v>
      </c>
      <c r="C54" s="87"/>
      <c r="D54" s="87">
        <f>D43/FX</f>
        <v>1072.5829725829726</v>
      </c>
      <c r="E54" s="94" t="s">
        <v>148</v>
      </c>
      <c r="F54" s="87"/>
      <c r="G54">
        <f t="shared" ref="G54:G58" si="1">G43/FX</f>
        <v>704.76190476190482</v>
      </c>
      <c r="H54" s="80"/>
    </row>
    <row r="55" spans="1:14" ht="15" customHeight="1" x14ac:dyDescent="0.2">
      <c r="A55" s="93"/>
      <c r="B55" s="125" t="s">
        <v>82</v>
      </c>
      <c r="C55" s="87"/>
      <c r="D55" s="87">
        <f>D44/FX</f>
        <v>1105.6277056277056</v>
      </c>
      <c r="E55" s="94" t="s">
        <v>87</v>
      </c>
      <c r="F55" s="87"/>
      <c r="G55">
        <f t="shared" si="1"/>
        <v>195.95959595959599</v>
      </c>
      <c r="H55" s="80"/>
    </row>
    <row r="56" spans="1:14" ht="15" customHeight="1" x14ac:dyDescent="0.2">
      <c r="A56" s="93"/>
      <c r="B56" s="125" t="s">
        <v>83</v>
      </c>
      <c r="C56" s="87"/>
      <c r="D56" s="87">
        <f>D45/FX</f>
        <v>121.35642135642135</v>
      </c>
      <c r="E56" s="125" t="s">
        <v>88</v>
      </c>
      <c r="F56" s="87"/>
      <c r="G56">
        <f t="shared" si="1"/>
        <v>0</v>
      </c>
      <c r="H56" s="80"/>
    </row>
    <row r="57" spans="1:14" ht="15" customHeight="1" x14ac:dyDescent="0.2">
      <c r="A57" s="93"/>
      <c r="B57" s="125" t="s">
        <v>214</v>
      </c>
      <c r="C57" s="87"/>
      <c r="D57" s="87">
        <f>D46/FX</f>
        <v>6.9264069264069263</v>
      </c>
      <c r="E57" s="94" t="s">
        <v>89</v>
      </c>
      <c r="F57" s="87"/>
      <c r="G57">
        <f t="shared" si="1"/>
        <v>1990.1875901875903</v>
      </c>
      <c r="H57" s="80"/>
    </row>
    <row r="58" spans="1:14" ht="15" customHeight="1" x14ac:dyDescent="0.2">
      <c r="A58" s="130"/>
      <c r="B58" s="125"/>
      <c r="C58" s="87"/>
      <c r="D58" s="87"/>
      <c r="E58" s="125" t="s">
        <v>75</v>
      </c>
      <c r="F58" s="87"/>
      <c r="G58" s="129">
        <f t="shared" si="1"/>
        <v>73.160173160173173</v>
      </c>
    </row>
    <row r="59" spans="1:14" ht="15" customHeight="1" x14ac:dyDescent="0.2">
      <c r="A59" s="130"/>
      <c r="B59" s="125" t="s">
        <v>85</v>
      </c>
      <c r="C59" s="87"/>
      <c r="D59" s="87">
        <f>SUM(D53:D57)</f>
        <v>3057.7200577200579</v>
      </c>
      <c r="E59" s="94" t="s">
        <v>91</v>
      </c>
      <c r="F59" s="87"/>
      <c r="G59" s="129">
        <f>SUM(G53:G58)</f>
        <v>3057.7200577200579</v>
      </c>
    </row>
    <row r="60" spans="1:14" ht="15" customHeight="1" x14ac:dyDescent="0.2">
      <c r="A60" s="130"/>
      <c r="B60" s="125"/>
      <c r="C60" s="87"/>
      <c r="D60" s="87"/>
      <c r="E60" s="87"/>
      <c r="F60" s="87"/>
      <c r="G60" s="129"/>
    </row>
    <row r="61" spans="1:14" ht="15" customHeight="1" x14ac:dyDescent="0.2">
      <c r="A61" s="131"/>
      <c r="B61" s="132" t="s">
        <v>86</v>
      </c>
      <c r="C61" s="82"/>
      <c r="D61" s="82">
        <f>D54+D55+D56-G54-G55</f>
        <v>1398.8455988455989</v>
      </c>
      <c r="E61" s="133" t="s">
        <v>76</v>
      </c>
      <c r="F61" s="82"/>
      <c r="G61" s="120">
        <f>SUM(G53,G56:G58)-D53-D57</f>
        <v>1398.8455988455987</v>
      </c>
    </row>
    <row r="62" spans="1:14" ht="15" customHeight="1" x14ac:dyDescent="0.2">
      <c r="A62" s="124"/>
      <c r="B62" s="125"/>
      <c r="C62" s="87"/>
      <c r="D62" s="87"/>
      <c r="E62" s="87"/>
      <c r="F62" s="87"/>
      <c r="G62" s="87"/>
    </row>
    <row r="63" spans="1:14" ht="15" customHeight="1" x14ac:dyDescent="0.2">
      <c r="A63" s="71" t="s">
        <v>97</v>
      </c>
      <c r="B63" s="12"/>
      <c r="C63" s="12"/>
      <c r="D63" s="12"/>
      <c r="E63" s="12"/>
      <c r="F63" s="12"/>
      <c r="G63" s="12"/>
      <c r="H63" s="89"/>
      <c r="I63" s="71" t="s">
        <v>98</v>
      </c>
      <c r="J63" s="12"/>
      <c r="K63" s="12"/>
      <c r="L63" s="12"/>
      <c r="M63" s="12"/>
    </row>
    <row r="64" spans="1:14" ht="15" customHeight="1" x14ac:dyDescent="0.2">
      <c r="C64" s="146"/>
      <c r="D64" s="146" t="s">
        <v>99</v>
      </c>
      <c r="E64" s="146" t="s">
        <v>100</v>
      </c>
      <c r="F64" s="146"/>
      <c r="G64" s="146"/>
      <c r="H64" s="89"/>
      <c r="N64" s="80"/>
    </row>
    <row r="65" spans="1:14" ht="15" customHeight="1" x14ac:dyDescent="0.2">
      <c r="C65" s="146" t="s">
        <v>101</v>
      </c>
      <c r="D65" s="146" t="s">
        <v>102</v>
      </c>
      <c r="E65" s="146" t="s">
        <v>102</v>
      </c>
      <c r="F65" s="146" t="s">
        <v>103</v>
      </c>
      <c r="G65" s="146" t="s">
        <v>104</v>
      </c>
      <c r="H65" s="89"/>
      <c r="I65" s="147" t="s">
        <v>105</v>
      </c>
      <c r="J65" s="147" t="s">
        <v>106</v>
      </c>
      <c r="K65" s="147" t="s">
        <v>107</v>
      </c>
      <c r="L65" s="147" t="s">
        <v>108</v>
      </c>
      <c r="M65" s="147" t="s">
        <v>109</v>
      </c>
      <c r="N65" s="80"/>
    </row>
    <row r="66" spans="1:14" ht="15" customHeight="1" x14ac:dyDescent="0.2">
      <c r="B66" s="16" t="s">
        <v>3</v>
      </c>
      <c r="C66" s="145">
        <f>C11</f>
        <v>42094</v>
      </c>
      <c r="D66" s="145">
        <f>DATE(YEAR(E66)-1,MONTH(E66),DAY(E66))</f>
        <v>41912</v>
      </c>
      <c r="E66" s="145">
        <f>C12</f>
        <v>42277</v>
      </c>
      <c r="F66" s="125"/>
      <c r="G66" s="125"/>
      <c r="H66" s="89"/>
      <c r="I66" s="145">
        <v>42369</v>
      </c>
      <c r="J66" s="145">
        <v>42735</v>
      </c>
      <c r="K66" s="145">
        <v>43100</v>
      </c>
      <c r="L66" s="145">
        <v>43465</v>
      </c>
      <c r="M66" s="145">
        <v>43830</v>
      </c>
      <c r="N66" s="80"/>
    </row>
    <row r="67" spans="1:14" ht="15" customHeight="1" x14ac:dyDescent="0.2">
      <c r="B67" s="16" t="s">
        <v>110</v>
      </c>
      <c r="C67" s="100">
        <v>2523.1999999999998</v>
      </c>
      <c r="D67" s="91">
        <v>1100</v>
      </c>
      <c r="E67" s="91">
        <v>1104.5</v>
      </c>
      <c r="F67" s="91">
        <v>0</v>
      </c>
      <c r="G67">
        <f>C67-D67+E67+F67</f>
        <v>2527.6999999999998</v>
      </c>
      <c r="H67" s="89"/>
      <c r="I67">
        <f>C67</f>
        <v>2523.1999999999998</v>
      </c>
      <c r="J67" s="91">
        <v>2642</v>
      </c>
      <c r="K67" s="91">
        <v>2762</v>
      </c>
      <c r="L67" s="91">
        <v>2762</v>
      </c>
      <c r="M67" s="91"/>
      <c r="N67" s="103"/>
    </row>
    <row r="68" spans="1:14" ht="15" customHeight="1" x14ac:dyDescent="0.2">
      <c r="B68" s="16" t="s">
        <v>56</v>
      </c>
      <c r="C68">
        <f>C88</f>
        <v>444.40000000000003</v>
      </c>
      <c r="D68">
        <f>D88</f>
        <v>144.69999999999999</v>
      </c>
      <c r="E68">
        <f>E88</f>
        <v>144.19999999999999</v>
      </c>
      <c r="F68" s="91">
        <v>0</v>
      </c>
      <c r="G68">
        <f>C68-D68+E68+F68</f>
        <v>443.90000000000003</v>
      </c>
      <c r="H68" s="89"/>
      <c r="I68">
        <f>C68</f>
        <v>444.40000000000003</v>
      </c>
      <c r="J68" s="91">
        <v>414</v>
      </c>
      <c r="K68" s="91">
        <v>442</v>
      </c>
      <c r="L68" s="91">
        <v>486</v>
      </c>
      <c r="M68" s="91"/>
      <c r="N68" s="103"/>
    </row>
    <row r="69" spans="1:14" ht="15" customHeight="1" x14ac:dyDescent="0.2">
      <c r="B69" s="16" t="s">
        <v>55</v>
      </c>
      <c r="C69">
        <f>SUM(C72:C73)+C68</f>
        <v>583</v>
      </c>
      <c r="D69">
        <f>SUM(D72:D73)+D68</f>
        <v>210.89999999999998</v>
      </c>
      <c r="E69">
        <f>SUM(E72:E73)+E68</f>
        <v>214.79999999999998</v>
      </c>
      <c r="F69" s="91">
        <v>0</v>
      </c>
      <c r="G69">
        <f>SUM(G72:G73)+G68</f>
        <v>586.90000000000009</v>
      </c>
      <c r="H69" s="89"/>
      <c r="I69">
        <f>C69</f>
        <v>583</v>
      </c>
      <c r="J69" s="91">
        <v>559</v>
      </c>
      <c r="K69" s="91">
        <v>591</v>
      </c>
      <c r="L69" s="91">
        <v>641</v>
      </c>
      <c r="M69" s="91"/>
      <c r="N69" s="103"/>
    </row>
    <row r="70" spans="1:14" ht="15" customHeight="1" x14ac:dyDescent="0.2">
      <c r="B70" s="16" t="s">
        <v>111</v>
      </c>
      <c r="H70" s="89"/>
      <c r="I70" s="107">
        <f>C106</f>
        <v>0.76895712371594349</v>
      </c>
      <c r="J70" s="99">
        <v>0.71</v>
      </c>
      <c r="K70" s="99">
        <v>0.75</v>
      </c>
      <c r="L70" s="99">
        <v>0.81</v>
      </c>
      <c r="M70" s="99"/>
      <c r="N70" s="103"/>
    </row>
    <row r="71" spans="1:14" ht="15" customHeight="1" x14ac:dyDescent="0.2">
      <c r="H71" s="80"/>
      <c r="I71" s="86"/>
      <c r="J71" s="86"/>
      <c r="K71" s="86"/>
      <c r="L71" s="86"/>
      <c r="M71" s="86"/>
      <c r="N71" s="105"/>
    </row>
    <row r="72" spans="1:14" ht="15" customHeight="1" x14ac:dyDescent="0.2">
      <c r="B72" s="16" t="s">
        <v>134</v>
      </c>
      <c r="C72" s="91">
        <v>104</v>
      </c>
      <c r="D72" s="91">
        <v>50</v>
      </c>
      <c r="E72" s="91">
        <v>53.5</v>
      </c>
      <c r="F72" s="91">
        <v>0</v>
      </c>
      <c r="G72">
        <f>C72-D72+E72+F72</f>
        <v>107.5</v>
      </c>
      <c r="H72" s="80"/>
      <c r="N72" s="87"/>
    </row>
    <row r="73" spans="1:14" ht="15" customHeight="1" x14ac:dyDescent="0.2">
      <c r="B73" s="16" t="s">
        <v>135</v>
      </c>
      <c r="C73" s="100">
        <v>34.6</v>
      </c>
      <c r="D73" s="91">
        <v>16.2</v>
      </c>
      <c r="E73" s="91">
        <v>17.100000000000001</v>
      </c>
      <c r="F73" s="91">
        <v>0</v>
      </c>
      <c r="G73">
        <f>C73-D73+E73+F73</f>
        <v>35.5</v>
      </c>
      <c r="H73" s="80"/>
      <c r="N73" s="87"/>
    </row>
    <row r="74" spans="1:14" ht="15" customHeight="1" x14ac:dyDescent="0.2">
      <c r="B74" s="16" t="s">
        <v>145</v>
      </c>
      <c r="C74" s="100">
        <v>3.8</v>
      </c>
      <c r="D74" s="91">
        <v>1.8</v>
      </c>
      <c r="E74" s="91">
        <v>1.4</v>
      </c>
      <c r="F74" s="91">
        <v>3.6999999999999998E-2</v>
      </c>
      <c r="G74">
        <f>SUM(G73:G73)+G72</f>
        <v>143</v>
      </c>
      <c r="H74" s="80"/>
      <c r="N74" s="87"/>
    </row>
    <row r="75" spans="1:14" ht="15" customHeight="1" x14ac:dyDescent="0.2">
      <c r="B75" s="16" t="s">
        <v>151</v>
      </c>
      <c r="C75" s="104">
        <v>0.21</v>
      </c>
      <c r="D75" s="91"/>
      <c r="E75" s="91"/>
      <c r="H75" s="80"/>
      <c r="N75" s="87"/>
    </row>
    <row r="76" spans="1:14" ht="15" customHeight="1" x14ac:dyDescent="0.2">
      <c r="B76" s="16" t="s">
        <v>95</v>
      </c>
      <c r="C76" s="104">
        <f>103.5/444.6</f>
        <v>0.23279352226720645</v>
      </c>
      <c r="D76" s="91"/>
      <c r="E76" s="91"/>
      <c r="H76" s="80"/>
      <c r="N76" s="87"/>
    </row>
    <row r="77" spans="1:14" ht="15" customHeight="1" x14ac:dyDescent="0.2">
      <c r="A77" s="84"/>
      <c r="B77" s="85"/>
      <c r="C77" s="86"/>
      <c r="D77" s="86"/>
      <c r="E77" s="86"/>
      <c r="F77" s="86"/>
      <c r="G77" s="86"/>
      <c r="H77" s="80"/>
      <c r="J77" s="91"/>
    </row>
    <row r="78" spans="1:14" ht="15" customHeight="1" x14ac:dyDescent="0.2">
      <c r="A78" s="71" t="s">
        <v>228</v>
      </c>
      <c r="B78" s="12"/>
      <c r="C78" s="12"/>
      <c r="D78" s="12"/>
      <c r="E78" s="12"/>
      <c r="F78" s="12"/>
      <c r="G78" s="12"/>
      <c r="H78" s="80"/>
    </row>
    <row r="79" spans="1:14" ht="15" customHeight="1" x14ac:dyDescent="0.2">
      <c r="B79" s="16" t="s">
        <v>112</v>
      </c>
      <c r="C79" s="91">
        <v>440.3</v>
      </c>
      <c r="D79" s="91">
        <v>144.69999999999999</v>
      </c>
      <c r="E79" s="91">
        <v>144.19999999999999</v>
      </c>
      <c r="F79" s="91">
        <v>0</v>
      </c>
      <c r="G79">
        <f t="shared" ref="G79:G88" si="2">C79-D79+E79+F79</f>
        <v>439.8</v>
      </c>
      <c r="H79" s="80"/>
    </row>
    <row r="80" spans="1:14" ht="15" customHeight="1" x14ac:dyDescent="0.2">
      <c r="B80" s="16" t="s">
        <v>204</v>
      </c>
      <c r="C80" s="100">
        <v>4.0999999999999996</v>
      </c>
      <c r="D80" s="91">
        <v>0</v>
      </c>
      <c r="E80" s="91">
        <v>0</v>
      </c>
      <c r="F80" s="91">
        <v>0</v>
      </c>
      <c r="G80">
        <f t="shared" si="2"/>
        <v>4.0999999999999996</v>
      </c>
      <c r="H80" s="80"/>
    </row>
    <row r="81" spans="1:8" ht="15" customHeight="1" x14ac:dyDescent="0.2">
      <c r="B81" s="16" t="s">
        <v>114</v>
      </c>
      <c r="C81" s="91">
        <v>0</v>
      </c>
      <c r="D81" s="91">
        <v>0</v>
      </c>
      <c r="E81" s="91">
        <v>0</v>
      </c>
      <c r="F81" s="91">
        <v>0</v>
      </c>
      <c r="G81">
        <f t="shared" si="2"/>
        <v>0</v>
      </c>
      <c r="H81" s="80"/>
    </row>
    <row r="82" spans="1:8" ht="15" customHeight="1" x14ac:dyDescent="0.2">
      <c r="B82" s="16" t="s">
        <v>115</v>
      </c>
      <c r="C82" s="91">
        <v>0</v>
      </c>
      <c r="D82" s="91">
        <v>0</v>
      </c>
      <c r="E82" s="91">
        <v>0</v>
      </c>
      <c r="F82" s="91">
        <v>0</v>
      </c>
      <c r="G82">
        <f t="shared" si="2"/>
        <v>0</v>
      </c>
      <c r="H82" s="80"/>
    </row>
    <row r="83" spans="1:8" ht="15" customHeight="1" x14ac:dyDescent="0.2">
      <c r="B83" s="16" t="s">
        <v>116</v>
      </c>
      <c r="C83" s="91">
        <v>0</v>
      </c>
      <c r="D83" s="91">
        <v>0</v>
      </c>
      <c r="E83" s="91">
        <v>0</v>
      </c>
      <c r="F83" s="91">
        <v>0</v>
      </c>
      <c r="G83">
        <f t="shared" si="2"/>
        <v>0</v>
      </c>
      <c r="H83" s="80"/>
    </row>
    <row r="84" spans="1:8" ht="15" customHeight="1" x14ac:dyDescent="0.2">
      <c r="B84" s="16" t="s">
        <v>117</v>
      </c>
      <c r="C84" s="91">
        <v>0</v>
      </c>
      <c r="D84" s="91">
        <v>0</v>
      </c>
      <c r="E84" s="91">
        <v>0</v>
      </c>
      <c r="F84" s="91">
        <v>0</v>
      </c>
      <c r="G84">
        <f t="shared" si="2"/>
        <v>0</v>
      </c>
      <c r="H84" s="80"/>
    </row>
    <row r="85" spans="1:8" ht="15" customHeight="1" x14ac:dyDescent="0.2">
      <c r="B85" s="16" t="s">
        <v>118</v>
      </c>
      <c r="C85" s="91">
        <v>0</v>
      </c>
      <c r="D85" s="91">
        <v>0</v>
      </c>
      <c r="E85" s="91">
        <v>0</v>
      </c>
      <c r="F85" s="91">
        <v>0</v>
      </c>
      <c r="G85">
        <f t="shared" si="2"/>
        <v>0</v>
      </c>
      <c r="H85" s="80"/>
    </row>
    <row r="86" spans="1:8" ht="15" customHeight="1" x14ac:dyDescent="0.2">
      <c r="B86" s="16" t="s">
        <v>119</v>
      </c>
      <c r="C86" s="91">
        <v>0</v>
      </c>
      <c r="D86" s="91">
        <v>0</v>
      </c>
      <c r="E86" s="91">
        <v>0</v>
      </c>
      <c r="F86" s="91">
        <v>0</v>
      </c>
      <c r="G86">
        <f t="shared" si="2"/>
        <v>0</v>
      </c>
      <c r="H86" s="80"/>
    </row>
    <row r="87" spans="1:8" ht="15" customHeight="1" x14ac:dyDescent="0.2">
      <c r="B87" s="16" t="s">
        <v>120</v>
      </c>
      <c r="C87" s="91">
        <v>0</v>
      </c>
      <c r="D87" s="91">
        <v>0</v>
      </c>
      <c r="E87" s="91">
        <v>0</v>
      </c>
      <c r="F87" s="91">
        <v>0</v>
      </c>
      <c r="G87">
        <f t="shared" si="2"/>
        <v>0</v>
      </c>
      <c r="H87" s="80"/>
    </row>
    <row r="88" spans="1:8" ht="15" customHeight="1" x14ac:dyDescent="0.2">
      <c r="B88" s="16" t="s">
        <v>56</v>
      </c>
      <c r="C88">
        <f>SUM(C79:C87)</f>
        <v>444.40000000000003</v>
      </c>
      <c r="D88">
        <f>SUM(D79:D87)</f>
        <v>144.69999999999999</v>
      </c>
      <c r="E88">
        <f>SUM(E79:E87)</f>
        <v>144.19999999999999</v>
      </c>
      <c r="F88">
        <f>SUM(F79:F87)</f>
        <v>0</v>
      </c>
      <c r="G88">
        <f t="shared" si="2"/>
        <v>443.90000000000003</v>
      </c>
      <c r="H88" s="80"/>
    </row>
    <row r="89" spans="1:8" ht="15" customHeight="1" x14ac:dyDescent="0.2">
      <c r="A89" s="84"/>
      <c r="B89" s="85"/>
      <c r="C89" s="86"/>
      <c r="D89" s="86"/>
      <c r="E89" s="86"/>
      <c r="F89" s="86"/>
      <c r="G89" s="86"/>
    </row>
    <row r="90" spans="1:8" ht="15" customHeight="1" x14ac:dyDescent="0.2">
      <c r="A90" s="71" t="s">
        <v>229</v>
      </c>
      <c r="B90" s="12"/>
      <c r="C90" s="12"/>
      <c r="D90" s="80"/>
    </row>
    <row r="91" spans="1:8" ht="15" customHeight="1" x14ac:dyDescent="0.2">
      <c r="B91" s="16" t="s">
        <v>230</v>
      </c>
      <c r="C91" s="91">
        <v>341.09999999999951</v>
      </c>
      <c r="D91" s="80"/>
    </row>
    <row r="92" spans="1:8" ht="15" customHeight="1" x14ac:dyDescent="0.2">
      <c r="B92" s="16" t="str">
        <f>B80</f>
        <v>Asset impairment</v>
      </c>
      <c r="C92">
        <f>(1-C75)*C80</f>
        <v>3.2389999999999999</v>
      </c>
      <c r="D92" s="80"/>
    </row>
    <row r="93" spans="1:8" ht="15" customHeight="1" x14ac:dyDescent="0.2">
      <c r="B93" s="16" t="s">
        <v>114</v>
      </c>
      <c r="C93" s="91">
        <v>0</v>
      </c>
      <c r="D93" s="80"/>
    </row>
    <row r="94" spans="1:8" ht="15" customHeight="1" x14ac:dyDescent="0.2">
      <c r="B94" s="16" t="s">
        <v>115</v>
      </c>
      <c r="C94" s="91">
        <v>0</v>
      </c>
      <c r="D94" s="80"/>
    </row>
    <row r="95" spans="1:8" ht="15" customHeight="1" x14ac:dyDescent="0.2">
      <c r="B95" s="16" t="s">
        <v>116</v>
      </c>
      <c r="C95" s="91">
        <v>0</v>
      </c>
      <c r="D95" s="80"/>
    </row>
    <row r="96" spans="1:8" ht="15" customHeight="1" x14ac:dyDescent="0.2">
      <c r="B96" s="16" t="s">
        <v>117</v>
      </c>
      <c r="C96" s="91">
        <v>0</v>
      </c>
      <c r="D96" s="80"/>
    </row>
    <row r="97" spans="1:7" ht="15" customHeight="1" x14ac:dyDescent="0.2">
      <c r="B97" s="16" t="s">
        <v>118</v>
      </c>
      <c r="C97" s="91">
        <v>0</v>
      </c>
      <c r="D97" s="80"/>
    </row>
    <row r="98" spans="1:7" ht="15" customHeight="1" x14ac:dyDescent="0.2">
      <c r="B98" s="16" t="s">
        <v>119</v>
      </c>
      <c r="C98" s="91">
        <v>0</v>
      </c>
      <c r="D98" s="80"/>
    </row>
    <row r="99" spans="1:7" ht="15" customHeight="1" x14ac:dyDescent="0.2">
      <c r="B99" s="16" t="s">
        <v>120</v>
      </c>
      <c r="C99" s="91">
        <v>0</v>
      </c>
      <c r="D99" s="80"/>
    </row>
    <row r="100" spans="1:7" ht="15" customHeight="1" x14ac:dyDescent="0.2">
      <c r="B100" s="16" t="s">
        <v>233</v>
      </c>
      <c r="C100" s="91">
        <v>0</v>
      </c>
      <c r="D100" s="80"/>
    </row>
    <row r="101" spans="1:7" ht="15" customHeight="1" x14ac:dyDescent="0.2">
      <c r="A101" s="124"/>
      <c r="B101" s="16" t="s">
        <v>234</v>
      </c>
      <c r="C101" s="91">
        <v>0</v>
      </c>
      <c r="D101" s="80"/>
    </row>
    <row r="102" spans="1:7" ht="15" customHeight="1" x14ac:dyDescent="0.2">
      <c r="A102" s="124"/>
      <c r="B102" s="16" t="s">
        <v>235</v>
      </c>
      <c r="C102" s="91">
        <v>0</v>
      </c>
      <c r="D102" s="80"/>
      <c r="E102" s="87"/>
      <c r="F102" s="87"/>
      <c r="G102" s="87"/>
    </row>
    <row r="103" spans="1:7" ht="15" customHeight="1" x14ac:dyDescent="0.2">
      <c r="A103" s="124"/>
      <c r="B103" s="16" t="s">
        <v>236</v>
      </c>
      <c r="C103" s="91">
        <v>0</v>
      </c>
      <c r="D103" s="80"/>
      <c r="E103" s="87"/>
      <c r="F103" s="87"/>
      <c r="G103" s="87"/>
    </row>
    <row r="104" spans="1:7" ht="15" customHeight="1" x14ac:dyDescent="0.2">
      <c r="A104" s="124"/>
      <c r="B104" s="16" t="s">
        <v>231</v>
      </c>
      <c r="C104" s="87">
        <f>SUM(C91:C103)</f>
        <v>344.33899999999949</v>
      </c>
      <c r="D104" s="80"/>
      <c r="E104" s="87"/>
      <c r="F104" s="87"/>
      <c r="G104" s="87"/>
    </row>
    <row r="105" spans="1:7" ht="15" customHeight="1" x14ac:dyDescent="0.2">
      <c r="A105" s="124"/>
      <c r="B105" s="125" t="s">
        <v>189</v>
      </c>
      <c r="C105" s="91">
        <v>447.8</v>
      </c>
      <c r="D105" s="80"/>
      <c r="E105" s="87"/>
      <c r="F105" s="87"/>
      <c r="G105" s="87"/>
    </row>
    <row r="106" spans="1:7" ht="15" customHeight="1" x14ac:dyDescent="0.2">
      <c r="A106" s="124"/>
      <c r="B106" s="125" t="s">
        <v>232</v>
      </c>
      <c r="C106" s="135">
        <f>C104/C105</f>
        <v>0.76895712371594349</v>
      </c>
      <c r="D106" s="80"/>
      <c r="E106" s="87"/>
      <c r="F106" s="87"/>
      <c r="G106" s="87"/>
    </row>
    <row r="107" spans="1:7" ht="15" customHeight="1" x14ac:dyDescent="0.2">
      <c r="A107" s="84"/>
      <c r="B107" s="85"/>
      <c r="C107" s="86"/>
      <c r="D107" s="87"/>
      <c r="E107" s="87"/>
      <c r="F107" s="87"/>
      <c r="G107" s="87"/>
    </row>
    <row r="108" spans="1:7" ht="15" customHeight="1" x14ac:dyDescent="0.2">
      <c r="A108" s="71" t="s">
        <v>121</v>
      </c>
      <c r="B108" s="12"/>
      <c r="C108" s="12"/>
      <c r="D108" s="12"/>
      <c r="E108" s="12"/>
      <c r="F108" s="80"/>
    </row>
    <row r="109" spans="1:7" ht="15" customHeight="1" x14ac:dyDescent="0.2">
      <c r="B109" s="70" t="s">
        <v>122</v>
      </c>
      <c r="C109" s="70" t="s">
        <v>123</v>
      </c>
      <c r="D109" s="70" t="s">
        <v>124</v>
      </c>
      <c r="E109" s="70" t="s">
        <v>125</v>
      </c>
      <c r="F109" s="80"/>
    </row>
    <row r="110" spans="1:7" ht="15" customHeight="1" x14ac:dyDescent="0.2">
      <c r="B110" s="16" t="s">
        <v>137</v>
      </c>
      <c r="C110" s="99">
        <v>2.6124000000000001E-2</v>
      </c>
      <c r="D110" s="99">
        <v>5.57</v>
      </c>
      <c r="E110">
        <f t="shared" ref="E110:E122" si="3">MAX(($C$18-D110)/$C$18*C110,0)</f>
        <v>1.3761155480033984E-2</v>
      </c>
      <c r="F110" s="80"/>
    </row>
    <row r="111" spans="1:7" ht="15" customHeight="1" x14ac:dyDescent="0.2">
      <c r="B111" s="16" t="s">
        <v>159</v>
      </c>
      <c r="C111" s="99">
        <v>1.6670000000000001E-3</v>
      </c>
      <c r="D111" s="99">
        <v>10.49</v>
      </c>
      <c r="E111">
        <f t="shared" si="3"/>
        <v>1.8128802039082406E-4</v>
      </c>
      <c r="F111" s="80"/>
    </row>
    <row r="112" spans="1:7" ht="15" customHeight="1" x14ac:dyDescent="0.2">
      <c r="B112" s="16" t="s">
        <v>138</v>
      </c>
      <c r="C112" s="99">
        <v>3.6033000000000003E-2</v>
      </c>
      <c r="D112" s="99">
        <v>10.49</v>
      </c>
      <c r="E112">
        <f t="shared" si="3"/>
        <v>3.9186270178419693E-3</v>
      </c>
      <c r="F112" s="80"/>
    </row>
    <row r="113" spans="1:8" ht="15" customHeight="1" x14ac:dyDescent="0.2">
      <c r="B113" s="16" t="s">
        <v>139</v>
      </c>
      <c r="C113" s="99">
        <v>0.20968700000000001</v>
      </c>
      <c r="D113" s="99">
        <v>11.04</v>
      </c>
      <c r="E113">
        <f t="shared" si="3"/>
        <v>1.3005225998300774E-2</v>
      </c>
      <c r="F113" s="80"/>
    </row>
    <row r="114" spans="1:8" ht="15" customHeight="1" x14ac:dyDescent="0.2">
      <c r="B114" s="16" t="s">
        <v>140</v>
      </c>
      <c r="C114" s="99">
        <v>1.3455E-2</v>
      </c>
      <c r="D114" s="99">
        <v>11.04</v>
      </c>
      <c r="E114">
        <f t="shared" si="3"/>
        <v>8.3450722175021288E-4</v>
      </c>
      <c r="F114" s="80"/>
    </row>
    <row r="115" spans="1:8" ht="15" customHeight="1" x14ac:dyDescent="0.2">
      <c r="B115" s="16" t="s">
        <v>141</v>
      </c>
      <c r="C115" s="99">
        <v>0.22029599999999999</v>
      </c>
      <c r="D115" s="99">
        <v>12.2</v>
      </c>
      <c r="E115">
        <f t="shared" si="3"/>
        <v>0</v>
      </c>
      <c r="F115" s="80"/>
    </row>
    <row r="116" spans="1:8" ht="15" customHeight="1" x14ac:dyDescent="0.2">
      <c r="B116" s="16" t="s">
        <v>142</v>
      </c>
      <c r="C116" s="99">
        <v>1.5166000000000001E-2</v>
      </c>
      <c r="D116" s="99">
        <v>12.2</v>
      </c>
      <c r="E116">
        <f t="shared" si="3"/>
        <v>0</v>
      </c>
      <c r="F116" s="80"/>
    </row>
    <row r="117" spans="1:8" ht="15" customHeight="1" x14ac:dyDescent="0.2">
      <c r="B117" s="16" t="s">
        <v>143</v>
      </c>
      <c r="C117" s="99">
        <v>0.60364200000000001</v>
      </c>
      <c r="D117" s="99">
        <v>12.16</v>
      </c>
      <c r="E117">
        <f t="shared" si="3"/>
        <v>0</v>
      </c>
      <c r="F117" s="80"/>
    </row>
    <row r="118" spans="1:8" ht="15" customHeight="1" x14ac:dyDescent="0.2">
      <c r="B118" s="16" t="s">
        <v>205</v>
      </c>
      <c r="C118" s="99">
        <v>3.5418999999999999E-2</v>
      </c>
      <c r="D118" s="99">
        <v>12.16</v>
      </c>
      <c r="E118">
        <f t="shared" si="3"/>
        <v>0</v>
      </c>
      <c r="F118" s="80"/>
    </row>
    <row r="119" spans="1:8" ht="15" customHeight="1" x14ac:dyDescent="0.2">
      <c r="B119" s="16" t="s">
        <v>209</v>
      </c>
      <c r="C119" s="99">
        <v>0.50104000000000004</v>
      </c>
      <c r="D119" s="99">
        <v>0</v>
      </c>
      <c r="E119">
        <f t="shared" si="3"/>
        <v>0.50104000000000004</v>
      </c>
      <c r="F119" s="80"/>
    </row>
    <row r="120" spans="1:8" ht="15" customHeight="1" x14ac:dyDescent="0.2">
      <c r="B120" s="16" t="s">
        <v>210</v>
      </c>
      <c r="C120" s="99">
        <v>2.7771249999999998</v>
      </c>
      <c r="D120" s="99">
        <v>0</v>
      </c>
      <c r="E120">
        <f t="shared" si="3"/>
        <v>2.7771249999999998</v>
      </c>
      <c r="F120" s="80"/>
    </row>
    <row r="121" spans="1:8" ht="15" customHeight="1" x14ac:dyDescent="0.2">
      <c r="B121" s="16" t="s">
        <v>211</v>
      </c>
      <c r="C121" s="99">
        <v>1</v>
      </c>
      <c r="D121" s="99">
        <v>0</v>
      </c>
      <c r="E121">
        <f t="shared" si="3"/>
        <v>1</v>
      </c>
      <c r="F121" s="80"/>
    </row>
    <row r="122" spans="1:8" ht="15" customHeight="1" x14ac:dyDescent="0.2">
      <c r="B122" s="16" t="s">
        <v>213</v>
      </c>
      <c r="C122" s="99">
        <v>0.5</v>
      </c>
      <c r="D122" s="99">
        <v>0</v>
      </c>
      <c r="E122">
        <f t="shared" si="3"/>
        <v>0.5</v>
      </c>
      <c r="F122" s="80"/>
    </row>
    <row r="123" spans="1:8" ht="15" customHeight="1" x14ac:dyDescent="0.2">
      <c r="B123" s="16" t="s">
        <v>126</v>
      </c>
      <c r="E123">
        <f>SUM(E110:E122)</f>
        <v>4.8098658037383171</v>
      </c>
      <c r="F123" s="80"/>
    </row>
    <row r="124" spans="1:8" ht="15" customHeight="1" x14ac:dyDescent="0.2">
      <c r="A124" s="84"/>
      <c r="B124" s="85"/>
      <c r="C124" s="86"/>
      <c r="D124" s="86"/>
      <c r="E124" s="86"/>
    </row>
    <row r="126" spans="1:8" ht="15" customHeight="1" x14ac:dyDescent="0.2">
      <c r="A126" s="71" t="s">
        <v>127</v>
      </c>
      <c r="B126" s="12"/>
      <c r="C126" s="12"/>
      <c r="D126" s="12"/>
      <c r="E126" s="12"/>
      <c r="F126" s="12"/>
      <c r="G126" s="12"/>
      <c r="H126" s="80"/>
    </row>
    <row r="127" spans="1:8" ht="15" customHeight="1" x14ac:dyDescent="0.2">
      <c r="B127" s="16" t="s">
        <v>128</v>
      </c>
      <c r="C127" s="74">
        <f>C11</f>
        <v>42094</v>
      </c>
      <c r="E127" s="70" t="s">
        <v>129</v>
      </c>
      <c r="F127" s="70" t="s">
        <v>130</v>
      </c>
      <c r="G127" s="70" t="s">
        <v>131</v>
      </c>
      <c r="H127" s="80"/>
    </row>
    <row r="128" spans="1:8" ht="15" customHeight="1" x14ac:dyDescent="0.2">
      <c r="B128" s="16" t="s">
        <v>30</v>
      </c>
      <c r="C128" s="74">
        <f>C14</f>
        <v>42369</v>
      </c>
      <c r="E128" s="95">
        <f>MAX(-C129/365,0)</f>
        <v>0.75342465753424659</v>
      </c>
      <c r="F128" s="95">
        <f>1-E128-G128</f>
        <v>0.24657534246575341</v>
      </c>
      <c r="G128" s="95">
        <f>MAX(0,C129/365)</f>
        <v>0</v>
      </c>
      <c r="H128" s="80"/>
    </row>
    <row r="129" spans="1:8" ht="15" customHeight="1" x14ac:dyDescent="0.2">
      <c r="B129" s="16" t="s">
        <v>146</v>
      </c>
      <c r="C129">
        <f>C127-C128</f>
        <v>-275</v>
      </c>
      <c r="H129" s="80"/>
    </row>
    <row r="130" spans="1:8" ht="15" customHeight="1" x14ac:dyDescent="0.2">
      <c r="B130" s="16" t="s">
        <v>132</v>
      </c>
      <c r="C130" s="16"/>
      <c r="D130">
        <f>IF(E128&gt;0,0,1)</f>
        <v>0</v>
      </c>
      <c r="E130" s="91">
        <v>1</v>
      </c>
      <c r="F130" s="91">
        <v>1</v>
      </c>
      <c r="G130">
        <f>IF(G128&gt;0,0,1)</f>
        <v>1</v>
      </c>
      <c r="H130" s="80"/>
    </row>
    <row r="131" spans="1:8" ht="15" customHeight="1" x14ac:dyDescent="0.2">
      <c r="A131" s="84"/>
      <c r="B131" s="85"/>
      <c r="C131" s="86"/>
      <c r="D131" s="86"/>
      <c r="E131" s="86"/>
      <c r="F131" s="86"/>
      <c r="G131" s="86"/>
    </row>
    <row r="132" spans="1:8" ht="15" customHeight="1" x14ac:dyDescent="0.2">
      <c r="A132" s="15" t="s">
        <v>259</v>
      </c>
      <c r="C132" s="137" t="str">
        <f>Burberry!C65</f>
        <v>Annual</v>
      </c>
      <c r="D132" s="137" t="str">
        <f>Burberry!D65</f>
        <v>interim</v>
      </c>
      <c r="E132" s="137" t="str">
        <f>Burberry!E65</f>
        <v>interim</v>
      </c>
      <c r="F132" s="137"/>
      <c r="G132" s="137" t="str">
        <f>Burberry!G65</f>
        <v>Adj. LTM</v>
      </c>
    </row>
    <row r="133" spans="1:8" ht="15" customHeight="1" x14ac:dyDescent="0.2">
      <c r="A133" s="150" t="s">
        <v>267</v>
      </c>
      <c r="C133" s="148">
        <f>Burberry!C66</f>
        <v>42094</v>
      </c>
      <c r="D133" s="148">
        <f>Burberry!D66</f>
        <v>41912</v>
      </c>
      <c r="E133" s="148">
        <f>Burberry!E66</f>
        <v>42277</v>
      </c>
      <c r="F133" s="148"/>
      <c r="G133" s="148"/>
    </row>
    <row r="134" spans="1:8" ht="15" customHeight="1" x14ac:dyDescent="0.2">
      <c r="B134" s="16" t="s">
        <v>260</v>
      </c>
      <c r="C134" s="149">
        <f>190.9+87.5</f>
        <v>278.39999999999998</v>
      </c>
      <c r="D134" s="149">
        <v>0</v>
      </c>
      <c r="E134" s="149">
        <v>0</v>
      </c>
    </row>
    <row r="135" spans="1:8" ht="15" customHeight="1" x14ac:dyDescent="0.2">
      <c r="B135" s="16" t="s">
        <v>55</v>
      </c>
      <c r="C135">
        <f>C69</f>
        <v>583</v>
      </c>
      <c r="D135">
        <f t="shared" ref="D135:E135" si="4">D69</f>
        <v>210.89999999999998</v>
      </c>
      <c r="E135">
        <f t="shared" si="4"/>
        <v>214.79999999999998</v>
      </c>
    </row>
    <row r="136" spans="1:8" ht="15" customHeight="1" x14ac:dyDescent="0.2">
      <c r="B136" s="16" t="s">
        <v>258</v>
      </c>
      <c r="C136">
        <f>C134+C135</f>
        <v>861.4</v>
      </c>
      <c r="D136">
        <f>D134+D135</f>
        <v>210.89999999999998</v>
      </c>
      <c r="E136">
        <f>E134+E135</f>
        <v>214.79999999999998</v>
      </c>
      <c r="G136">
        <f>C136-D136+E136</f>
        <v>865.3</v>
      </c>
    </row>
    <row r="138" spans="1:8" ht="15" customHeight="1" x14ac:dyDescent="0.2">
      <c r="B138" s="16" t="s">
        <v>261</v>
      </c>
      <c r="G138">
        <f>G12</f>
        <v>7046.5874754834049</v>
      </c>
    </row>
    <row r="139" spans="1:8" ht="15" customHeight="1" x14ac:dyDescent="0.2">
      <c r="B139" s="16" t="s">
        <v>262</v>
      </c>
      <c r="G139">
        <f>C134</f>
        <v>278.39999999999998</v>
      </c>
    </row>
    <row r="140" spans="1:8" ht="15" customHeight="1" x14ac:dyDescent="0.2">
      <c r="B140" s="16" t="s">
        <v>263</v>
      </c>
      <c r="G140" s="149">
        <v>8</v>
      </c>
    </row>
    <row r="141" spans="1:8" ht="15" customHeight="1" x14ac:dyDescent="0.2">
      <c r="B141" s="16" t="s">
        <v>264</v>
      </c>
      <c r="G141">
        <f>G139*G140</f>
        <v>2227.1999999999998</v>
      </c>
    </row>
    <row r="142" spans="1:8" ht="15" customHeight="1" x14ac:dyDescent="0.2">
      <c r="B142" s="16" t="s">
        <v>265</v>
      </c>
      <c r="G142">
        <f>G138+G141</f>
        <v>9273.7874754834047</v>
      </c>
    </row>
    <row r="144" spans="1:8" ht="15" customHeight="1" x14ac:dyDescent="0.2">
      <c r="B144" s="16" t="s">
        <v>266</v>
      </c>
      <c r="G144" s="69">
        <f>G142/G136</f>
        <v>10.717424564293777</v>
      </c>
    </row>
    <row r="146" spans="2:7" ht="15" customHeight="1" x14ac:dyDescent="0.2">
      <c r="B146" s="151" t="s">
        <v>268</v>
      </c>
    </row>
    <row r="147" spans="2:7" ht="15" customHeight="1" x14ac:dyDescent="0.2">
      <c r="B147" s="16" t="s">
        <v>258</v>
      </c>
      <c r="C147">
        <f>C136</f>
        <v>861.4</v>
      </c>
      <c r="D147">
        <f t="shared" ref="D147:E147" si="5">D136</f>
        <v>210.89999999999998</v>
      </c>
      <c r="E147">
        <f t="shared" si="5"/>
        <v>214.79999999999998</v>
      </c>
      <c r="G147">
        <f>C147-D147+E147</f>
        <v>865.3</v>
      </c>
    </row>
    <row r="148" spans="2:7" ht="15" customHeight="1" x14ac:dyDescent="0.2">
      <c r="B148" s="16" t="s">
        <v>273</v>
      </c>
      <c r="C148" s="149">
        <v>0</v>
      </c>
      <c r="D148" s="149">
        <v>0</v>
      </c>
      <c r="E148" s="149">
        <v>0</v>
      </c>
      <c r="G148">
        <f t="shared" ref="G148:G149" si="6">C148-D148+E148</f>
        <v>0</v>
      </c>
    </row>
    <row r="149" spans="2:7" ht="15" customHeight="1" x14ac:dyDescent="0.2">
      <c r="B149" s="16" t="s">
        <v>274</v>
      </c>
      <c r="C149" s="149">
        <v>0</v>
      </c>
      <c r="D149" s="149">
        <v>0</v>
      </c>
      <c r="E149" s="149">
        <v>0</v>
      </c>
      <c r="G149">
        <f t="shared" si="6"/>
        <v>0</v>
      </c>
    </row>
    <row r="150" spans="2:7" ht="15" customHeight="1" x14ac:dyDescent="0.2">
      <c r="B150" s="16" t="s">
        <v>275</v>
      </c>
      <c r="C150">
        <f>SUM(C147:C149)</f>
        <v>861.4</v>
      </c>
      <c r="G150">
        <f>SUM(G147:G149)</f>
        <v>865.3</v>
      </c>
    </row>
    <row r="152" spans="2:7" ht="15" customHeight="1" x14ac:dyDescent="0.2">
      <c r="B152" s="16" t="s">
        <v>269</v>
      </c>
      <c r="G152" s="149">
        <v>0</v>
      </c>
    </row>
    <row r="153" spans="2:7" ht="15" customHeight="1" x14ac:dyDescent="0.2">
      <c r="B153" s="16" t="s">
        <v>270</v>
      </c>
      <c r="G153" s="149">
        <v>0</v>
      </c>
    </row>
    <row r="154" spans="2:7" ht="15" customHeight="1" x14ac:dyDescent="0.2">
      <c r="B154" s="16" t="s">
        <v>271</v>
      </c>
      <c r="G154">
        <f>G152-G153</f>
        <v>0</v>
      </c>
    </row>
    <row r="155" spans="2:7" ht="15" customHeight="1" x14ac:dyDescent="0.2">
      <c r="B155" s="16" t="s">
        <v>272</v>
      </c>
      <c r="G155">
        <f>G154*(1-C75)</f>
        <v>0</v>
      </c>
    </row>
    <row r="156" spans="2:7" ht="15" customHeight="1" x14ac:dyDescent="0.2">
      <c r="B156" s="16" t="s">
        <v>265</v>
      </c>
      <c r="G156">
        <f>G155+G142</f>
        <v>9273.7874754834047</v>
      </c>
    </row>
    <row r="158" spans="2:7" ht="15" customHeight="1" x14ac:dyDescent="0.2">
      <c r="B158" s="16" t="s">
        <v>276</v>
      </c>
      <c r="G158" s="69">
        <f>G156/G150</f>
        <v>10.717424564293777</v>
      </c>
    </row>
  </sheetData>
  <printOptions headings="1" gridLines="1"/>
  <pageMargins left="0.70866141732283472" right="0.70866141732283472" top="0.74803149606299213" bottom="0.74803149606299213" header="0.31496062992125984" footer="0.31496062992125984"/>
  <pageSetup paperSize="9" scale="52" fitToHeight="4" orientation="portrait" cellComments="asDisplayed" r:id="rId1"/>
  <headerFooter>
    <oddHeader xml:space="preserve">&amp;R&amp;10&amp;F 
&amp;A
</oddHeader>
    <oddFooter>&amp;L&amp;10© 2016&amp;C&amp;10Page &amp;P of &amp;N&amp;R&amp;G</oddFooter>
  </headerFooter>
  <legacyDrawing r:id="rId2"/>
  <legacyDrawingHF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6"/>
  <sheetViews>
    <sheetView zoomScaleNormal="100" workbookViewId="0">
      <pane xSplit="2" ySplit="3" topLeftCell="C4" activePane="bottomRight" state="frozen"/>
      <selection pane="topRight" activeCell="C1" sqref="C1"/>
      <selection pane="bottomLeft" activeCell="A4" sqref="A4"/>
      <selection pane="bottomRight"/>
    </sheetView>
  </sheetViews>
  <sheetFormatPr baseColWidth="10" defaultColWidth="8.83203125" defaultRowHeight="15" x14ac:dyDescent="0.2"/>
  <cols>
    <col min="1" max="1" width="1.5" customWidth="1"/>
    <col min="2" max="2" width="30.6640625" customWidth="1"/>
    <col min="3" max="12" width="10.5" customWidth="1"/>
  </cols>
  <sheetData>
    <row r="1" spans="1:12" ht="29" x14ac:dyDescent="0.35">
      <c r="A1" s="5" t="s">
        <v>309</v>
      </c>
      <c r="B1" s="10"/>
      <c r="C1" s="12"/>
      <c r="D1" s="12"/>
      <c r="E1" s="12"/>
      <c r="F1" s="12"/>
      <c r="G1" s="12"/>
      <c r="H1" s="12"/>
      <c r="I1" s="12"/>
      <c r="J1" s="12"/>
      <c r="K1" s="12"/>
      <c r="L1" s="12"/>
    </row>
    <row r="2" spans="1:12" ht="21" x14ac:dyDescent="0.25">
      <c r="A2" s="14" t="s">
        <v>310</v>
      </c>
      <c r="B2" s="7"/>
      <c r="C2" s="11" t="s">
        <v>311</v>
      </c>
      <c r="D2" s="11" t="s">
        <v>311</v>
      </c>
      <c r="E2" s="11" t="s">
        <v>312</v>
      </c>
      <c r="F2" s="11" t="s">
        <v>312</v>
      </c>
      <c r="G2" s="11" t="s">
        <v>312</v>
      </c>
      <c r="H2" s="11" t="s">
        <v>312</v>
      </c>
      <c r="I2" s="11" t="s">
        <v>312</v>
      </c>
      <c r="J2" s="11" t="s">
        <v>312</v>
      </c>
      <c r="K2" s="11" t="s">
        <v>312</v>
      </c>
      <c r="L2" s="11" t="s">
        <v>312</v>
      </c>
    </row>
    <row r="3" spans="1:12" ht="21" x14ac:dyDescent="0.25">
      <c r="A3" s="14" t="s">
        <v>313</v>
      </c>
      <c r="B3" s="7"/>
      <c r="C3" s="11">
        <f>EDATE(D3,-12)</f>
        <v>42004</v>
      </c>
      <c r="D3" s="11">
        <v>42369</v>
      </c>
      <c r="E3" s="11">
        <f>EDATE(D3,12)</f>
        <v>42735</v>
      </c>
      <c r="F3" s="11">
        <f t="shared" ref="F3:I3" si="0">EDATE(E3,12)</f>
        <v>43100</v>
      </c>
      <c r="G3" s="11">
        <f t="shared" si="0"/>
        <v>43465</v>
      </c>
      <c r="H3" s="11">
        <f t="shared" si="0"/>
        <v>43830</v>
      </c>
      <c r="I3" s="11">
        <f t="shared" si="0"/>
        <v>44196</v>
      </c>
      <c r="J3" s="11">
        <f t="shared" ref="J3" si="1">EDATE(I3,12)</f>
        <v>44561</v>
      </c>
      <c r="K3" s="11">
        <f t="shared" ref="K3" si="2">EDATE(J3,12)</f>
        <v>44926</v>
      </c>
      <c r="L3" s="11">
        <f t="shared" ref="L3" si="3">EDATE(K3,12)</f>
        <v>45291</v>
      </c>
    </row>
    <row r="5" spans="1:12" x14ac:dyDescent="0.2">
      <c r="A5" s="221" t="s">
        <v>314</v>
      </c>
      <c r="D5" s="149">
        <v>0</v>
      </c>
    </row>
    <row r="6" spans="1:12" x14ac:dyDescent="0.2">
      <c r="A6" s="221"/>
    </row>
    <row r="7" spans="1:12" x14ac:dyDescent="0.2">
      <c r="A7" s="221" t="s">
        <v>474</v>
      </c>
    </row>
    <row r="8" spans="1:12" x14ac:dyDescent="0.2">
      <c r="A8" s="221"/>
      <c r="B8" t="s">
        <v>475</v>
      </c>
      <c r="E8" s="217">
        <v>0.04</v>
      </c>
      <c r="F8" s="217">
        <v>0.04</v>
      </c>
      <c r="G8" s="217">
        <v>0.04</v>
      </c>
      <c r="H8" s="217">
        <v>0.04</v>
      </c>
      <c r="I8" s="217">
        <v>0.04</v>
      </c>
      <c r="J8" s="217">
        <v>0.04</v>
      </c>
      <c r="K8" s="217">
        <v>0.04</v>
      </c>
      <c r="L8" s="217">
        <v>0.04</v>
      </c>
    </row>
    <row r="9" spans="1:12" x14ac:dyDescent="0.2">
      <c r="A9" s="221"/>
    </row>
    <row r="10" spans="1:12" x14ac:dyDescent="0.2">
      <c r="A10" s="221" t="s">
        <v>315</v>
      </c>
    </row>
    <row r="11" spans="1:12" x14ac:dyDescent="0.2">
      <c r="A11" s="221"/>
      <c r="B11" t="s">
        <v>316</v>
      </c>
      <c r="D11">
        <f>C13</f>
        <v>152</v>
      </c>
      <c r="E11">
        <f>D11+D12</f>
        <v>177</v>
      </c>
      <c r="F11">
        <f t="shared" ref="F11:I11" si="4">E11+E12</f>
        <v>197</v>
      </c>
      <c r="G11">
        <f t="shared" si="4"/>
        <v>212</v>
      </c>
      <c r="H11">
        <f t="shared" si="4"/>
        <v>222</v>
      </c>
      <c r="I11">
        <f t="shared" si="4"/>
        <v>227</v>
      </c>
      <c r="J11">
        <f t="shared" ref="J11" si="5">I11+I12</f>
        <v>227</v>
      </c>
      <c r="K11">
        <f t="shared" ref="K11" si="6">J11+J12</f>
        <v>227</v>
      </c>
      <c r="L11">
        <f t="shared" ref="L11" si="7">K11+K12</f>
        <v>227</v>
      </c>
    </row>
    <row r="12" spans="1:12" x14ac:dyDescent="0.2">
      <c r="A12" s="221"/>
      <c r="B12" t="s">
        <v>317</v>
      </c>
      <c r="D12" s="149">
        <f>D13-C13</f>
        <v>25</v>
      </c>
      <c r="E12" s="73">
        <v>20</v>
      </c>
      <c r="F12" s="73">
        <v>15</v>
      </c>
      <c r="G12" s="73">
        <v>10</v>
      </c>
      <c r="H12" s="73">
        <v>5</v>
      </c>
      <c r="I12" s="73">
        <v>0</v>
      </c>
      <c r="J12" s="73">
        <v>0</v>
      </c>
      <c r="K12" s="73">
        <v>0</v>
      </c>
      <c r="L12" s="73">
        <v>0</v>
      </c>
    </row>
    <row r="13" spans="1:12" x14ac:dyDescent="0.2">
      <c r="A13" s="221"/>
      <c r="B13" t="s">
        <v>318</v>
      </c>
      <c r="C13" s="149">
        <v>152</v>
      </c>
      <c r="D13" s="149">
        <v>177</v>
      </c>
      <c r="E13">
        <f>SUM(E11:E12)</f>
        <v>197</v>
      </c>
      <c r="F13">
        <f t="shared" ref="F13:I13" si="8">SUM(F11:F12)</f>
        <v>212</v>
      </c>
      <c r="G13">
        <f t="shared" si="8"/>
        <v>222</v>
      </c>
      <c r="H13">
        <f t="shared" si="8"/>
        <v>227</v>
      </c>
      <c r="I13">
        <f t="shared" si="8"/>
        <v>227</v>
      </c>
      <c r="J13">
        <f t="shared" ref="J13:L13" si="9">SUM(J11:J12)</f>
        <v>227</v>
      </c>
      <c r="K13">
        <f t="shared" si="9"/>
        <v>227</v>
      </c>
      <c r="L13">
        <f t="shared" si="9"/>
        <v>227</v>
      </c>
    </row>
    <row r="14" spans="1:12" x14ac:dyDescent="0.2">
      <c r="A14" s="221"/>
      <c r="B14" t="s">
        <v>319</v>
      </c>
      <c r="D14">
        <f>C16*(1+D18)</f>
        <v>276.83513999999997</v>
      </c>
      <c r="E14">
        <f>E17*E11/1000</f>
        <v>328.81458010263157</v>
      </c>
      <c r="F14">
        <f t="shared" ref="F14:I14" si="10">F17*F11/1000</f>
        <v>373.28814534363158</v>
      </c>
      <c r="G14">
        <f t="shared" si="10"/>
        <v>409.74532258429895</v>
      </c>
      <c r="H14">
        <f t="shared" si="10"/>
        <v>437.65439078296532</v>
      </c>
      <c r="I14">
        <f t="shared" si="10"/>
        <v>456.46170108958472</v>
      </c>
      <c r="J14">
        <f t="shared" ref="J14:L14" si="11">J17*J11/1000</f>
        <v>465.59093511137644</v>
      </c>
      <c r="K14">
        <f t="shared" si="11"/>
        <v>474.90275381360397</v>
      </c>
      <c r="L14">
        <f t="shared" si="11"/>
        <v>484.40080888987598</v>
      </c>
    </row>
    <row r="15" spans="1:12" x14ac:dyDescent="0.2">
      <c r="A15" s="221"/>
      <c r="B15" t="s">
        <v>320</v>
      </c>
      <c r="D15">
        <f>D16-D14</f>
        <v>17.613860000000045</v>
      </c>
      <c r="E15">
        <f>E19*E12/1000</f>
        <v>14.372909760000036</v>
      </c>
      <c r="F15">
        <f t="shared" ref="F15:I15" si="12">F19*F12/1000</f>
        <v>10.995275966400028</v>
      </c>
      <c r="G15">
        <f t="shared" si="12"/>
        <v>7.4767876571520189</v>
      </c>
      <c r="H15">
        <f t="shared" si="12"/>
        <v>3.8131617051475306</v>
      </c>
      <c r="I15">
        <f t="shared" si="12"/>
        <v>0</v>
      </c>
      <c r="J15">
        <f t="shared" ref="J15:L15" si="13">J19*J12/1000</f>
        <v>0</v>
      </c>
      <c r="K15">
        <f t="shared" si="13"/>
        <v>0</v>
      </c>
      <c r="L15">
        <f t="shared" si="13"/>
        <v>0</v>
      </c>
    </row>
    <row r="16" spans="1:12" x14ac:dyDescent="0.2">
      <c r="A16" s="221"/>
      <c r="B16" t="s">
        <v>321</v>
      </c>
      <c r="C16" s="149">
        <f>243.142+28.265</f>
        <v>271.40699999999998</v>
      </c>
      <c r="D16" s="149">
        <f>262.185+32.264</f>
        <v>294.44900000000001</v>
      </c>
      <c r="E16">
        <f>E14+E15</f>
        <v>343.18748986263159</v>
      </c>
      <c r="F16">
        <f t="shared" ref="F16:I16" si="14">F14+F15</f>
        <v>384.2834213100316</v>
      </c>
      <c r="G16">
        <f t="shared" si="14"/>
        <v>417.22211024145099</v>
      </c>
      <c r="H16">
        <f t="shared" si="14"/>
        <v>441.46755248811286</v>
      </c>
      <c r="I16">
        <f t="shared" si="14"/>
        <v>456.46170108958472</v>
      </c>
      <c r="J16">
        <f t="shared" ref="J16:L16" si="15">J14+J15</f>
        <v>465.59093511137644</v>
      </c>
      <c r="K16">
        <f t="shared" si="15"/>
        <v>474.90275381360397</v>
      </c>
      <c r="L16">
        <f t="shared" si="15"/>
        <v>484.40080888987598</v>
      </c>
    </row>
    <row r="17" spans="1:12" x14ac:dyDescent="0.2">
      <c r="A17" s="221"/>
      <c r="B17" t="s">
        <v>322</v>
      </c>
      <c r="D17">
        <f>D14/D11*1000</f>
        <v>1821.2838157894735</v>
      </c>
      <c r="E17">
        <f>D17*(1+E18)</f>
        <v>1857.7094921052631</v>
      </c>
      <c r="F17">
        <f t="shared" ref="F17:I17" si="16">E17*(1+F18)</f>
        <v>1894.8636819473684</v>
      </c>
      <c r="G17">
        <f t="shared" si="16"/>
        <v>1932.7609555863157</v>
      </c>
      <c r="H17">
        <f t="shared" si="16"/>
        <v>1971.4161746980421</v>
      </c>
      <c r="I17">
        <f t="shared" si="16"/>
        <v>2010.8444981920031</v>
      </c>
      <c r="J17">
        <f t="shared" ref="J17" si="17">I17*(1+J18)</f>
        <v>2051.0613881558434</v>
      </c>
      <c r="K17">
        <f t="shared" ref="K17" si="18">J17*(1+K18)</f>
        <v>2092.0826159189601</v>
      </c>
      <c r="L17">
        <f t="shared" ref="L17" si="19">K17*(1+L18)</f>
        <v>2133.9242682373392</v>
      </c>
    </row>
    <row r="18" spans="1:12" x14ac:dyDescent="0.2">
      <c r="A18" s="221"/>
      <c r="B18" t="s">
        <v>323</v>
      </c>
      <c r="D18" s="218">
        <v>0.02</v>
      </c>
      <c r="E18" s="104">
        <v>0.02</v>
      </c>
      <c r="F18" s="104">
        <v>0.02</v>
      </c>
      <c r="G18" s="104">
        <v>0.02</v>
      </c>
      <c r="H18" s="104">
        <v>0.02</v>
      </c>
      <c r="I18" s="104">
        <v>0.02</v>
      </c>
      <c r="J18" s="104">
        <v>0.02</v>
      </c>
      <c r="K18" s="104">
        <v>0.02</v>
      </c>
      <c r="L18" s="104">
        <v>0.02</v>
      </c>
    </row>
    <row r="19" spans="1:12" x14ac:dyDescent="0.2">
      <c r="A19" s="221"/>
      <c r="B19" t="s">
        <v>324</v>
      </c>
      <c r="D19">
        <f>D15/D12*1000</f>
        <v>704.55440000000181</v>
      </c>
      <c r="E19">
        <f>D19*(1+E20)</f>
        <v>718.64548800000182</v>
      </c>
      <c r="F19">
        <f t="shared" ref="F19:I19" si="20">E19*(1+F20)</f>
        <v>733.0183977600019</v>
      </c>
      <c r="G19">
        <f t="shared" si="20"/>
        <v>747.67876571520196</v>
      </c>
      <c r="H19">
        <f t="shared" si="20"/>
        <v>762.63234102950605</v>
      </c>
      <c r="I19">
        <f t="shared" si="20"/>
        <v>777.88498785009619</v>
      </c>
      <c r="J19">
        <f t="shared" ref="J19" si="21">I19*(1+J20)</f>
        <v>793.44268760709815</v>
      </c>
      <c r="K19">
        <f t="shared" ref="K19" si="22">J19*(1+K20)</f>
        <v>809.3115413592401</v>
      </c>
      <c r="L19">
        <f t="shared" ref="L19" si="23">K19*(1+L20)</f>
        <v>825.49777218642487</v>
      </c>
    </row>
    <row r="20" spans="1:12" x14ac:dyDescent="0.2">
      <c r="A20" s="221"/>
      <c r="B20" t="s">
        <v>325</v>
      </c>
      <c r="E20" s="104">
        <v>0.02</v>
      </c>
      <c r="F20" s="104">
        <v>0.02</v>
      </c>
      <c r="G20" s="104">
        <v>0.02</v>
      </c>
      <c r="H20" s="104">
        <v>0.02</v>
      </c>
      <c r="I20" s="104">
        <v>0.02</v>
      </c>
      <c r="J20" s="104">
        <v>0.02</v>
      </c>
      <c r="K20" s="104">
        <v>0.02</v>
      </c>
      <c r="L20" s="104">
        <v>0.02</v>
      </c>
    </row>
    <row r="21" spans="1:12" x14ac:dyDescent="0.2">
      <c r="A21" s="221"/>
      <c r="B21" t="s">
        <v>326</v>
      </c>
      <c r="D21" s="95">
        <f>D16/C16-1</f>
        <v>8.4898326130129487E-2</v>
      </c>
      <c r="E21" s="95">
        <f t="shared" ref="E21:I21" si="24">E16/D16-1</f>
        <v>0.16552438575995021</v>
      </c>
      <c r="F21" s="95">
        <f t="shared" si="24"/>
        <v>0.11974775497746015</v>
      </c>
      <c r="G21" s="95">
        <f t="shared" si="24"/>
        <v>8.5714571862430589E-2</v>
      </c>
      <c r="H21" s="95">
        <f t="shared" si="24"/>
        <v>5.8111594883192508E-2</v>
      </c>
      <c r="I21" s="95">
        <f t="shared" si="24"/>
        <v>3.3964327654353754E-2</v>
      </c>
      <c r="J21" s="95">
        <f t="shared" ref="J21" si="25">J16/I16-1</f>
        <v>2.0000000000000018E-2</v>
      </c>
      <c r="K21" s="95">
        <f t="shared" ref="K21" si="26">K16/J16-1</f>
        <v>2.0000000000000018E-2</v>
      </c>
      <c r="L21" s="95">
        <f t="shared" ref="L21" si="27">L16/K16-1</f>
        <v>1.9999999999999796E-2</v>
      </c>
    </row>
    <row r="22" spans="1:12" x14ac:dyDescent="0.2">
      <c r="A22" s="221"/>
    </row>
    <row r="23" spans="1:12" x14ac:dyDescent="0.2">
      <c r="A23" s="221"/>
      <c r="B23" t="s">
        <v>327</v>
      </c>
      <c r="C23">
        <f>IS!C5-Input!C16</f>
        <v>255.78699999999998</v>
      </c>
      <c r="D23">
        <f>IS!D5-Input!D16</f>
        <v>253.20599999999996</v>
      </c>
      <c r="E23">
        <f>D23*(1+E24)</f>
        <v>258.27011999999996</v>
      </c>
      <c r="F23">
        <f t="shared" ref="F23:I23" si="28">E23*(1+F24)</f>
        <v>263.43552239999997</v>
      </c>
      <c r="G23">
        <f t="shared" si="28"/>
        <v>268.70423284799995</v>
      </c>
      <c r="H23">
        <f t="shared" si="28"/>
        <v>274.07831750495995</v>
      </c>
      <c r="I23">
        <f t="shared" si="28"/>
        <v>279.55988385505918</v>
      </c>
      <c r="J23">
        <f t="shared" ref="J23" si="29">I23*(1+J24)</f>
        <v>285.15108153216039</v>
      </c>
      <c r="K23">
        <f t="shared" ref="K23" si="30">J23*(1+K24)</f>
        <v>290.8541031628036</v>
      </c>
      <c r="L23">
        <f t="shared" ref="L23" si="31">K23*(1+L24)</f>
        <v>296.67118522605966</v>
      </c>
    </row>
    <row r="24" spans="1:12" x14ac:dyDescent="0.2">
      <c r="A24" s="221"/>
      <c r="B24" t="s">
        <v>328</v>
      </c>
      <c r="D24" s="95">
        <f>D23/C23-1</f>
        <v>-1.0090426800423824E-2</v>
      </c>
      <c r="E24" s="104">
        <v>0.02</v>
      </c>
      <c r="F24" s="104">
        <v>0.02</v>
      </c>
      <c r="G24" s="104">
        <v>0.02</v>
      </c>
      <c r="H24" s="104">
        <v>0.02</v>
      </c>
      <c r="I24" s="104">
        <v>0.02</v>
      </c>
      <c r="J24" s="104">
        <v>0.02</v>
      </c>
      <c r="K24" s="104">
        <v>0.02</v>
      </c>
      <c r="L24" s="104">
        <v>0.02</v>
      </c>
    </row>
    <row r="25" spans="1:12" x14ac:dyDescent="0.2">
      <c r="A25" s="221"/>
    </row>
    <row r="26" spans="1:12" x14ac:dyDescent="0.2">
      <c r="A26" s="221"/>
      <c r="B26" t="s">
        <v>329</v>
      </c>
      <c r="C26">
        <f>C23+C16</f>
        <v>527.19399999999996</v>
      </c>
      <c r="D26">
        <f t="shared" ref="D26:I26" si="32">D23+D16</f>
        <v>547.65499999999997</v>
      </c>
      <c r="E26">
        <f t="shared" si="32"/>
        <v>601.45760986263156</v>
      </c>
      <c r="F26">
        <f t="shared" si="32"/>
        <v>647.71894371003157</v>
      </c>
      <c r="G26">
        <f t="shared" si="32"/>
        <v>685.92634308945094</v>
      </c>
      <c r="H26">
        <f t="shared" si="32"/>
        <v>715.54586999307276</v>
      </c>
      <c r="I26">
        <f t="shared" si="32"/>
        <v>736.02158494464391</v>
      </c>
      <c r="J26">
        <f t="shared" ref="J26:L26" si="33">J23+J16</f>
        <v>750.74201664353677</v>
      </c>
      <c r="K26">
        <f t="shared" si="33"/>
        <v>765.75685697640756</v>
      </c>
      <c r="L26">
        <f t="shared" si="33"/>
        <v>781.07199411593569</v>
      </c>
    </row>
    <row r="27" spans="1:12" x14ac:dyDescent="0.2">
      <c r="A27" s="221"/>
      <c r="B27" t="s">
        <v>330</v>
      </c>
      <c r="D27" s="95">
        <f>D26/C26-1</f>
        <v>3.8811139732242816E-2</v>
      </c>
      <c r="E27" s="95">
        <f>E26/D26-1</f>
        <v>9.8241794309613883E-2</v>
      </c>
      <c r="F27" s="95">
        <f t="shared" ref="F27:I27" si="34">F26/E26-1</f>
        <v>7.6915368745547497E-2</v>
      </c>
      <c r="G27" s="95">
        <f t="shared" si="34"/>
        <v>5.8987620711806521E-2</v>
      </c>
      <c r="H27" s="95">
        <f t="shared" si="34"/>
        <v>4.3181789418108352E-2</v>
      </c>
      <c r="I27" s="95">
        <f t="shared" si="34"/>
        <v>2.8615516922443351E-2</v>
      </c>
      <c r="J27" s="95">
        <f t="shared" ref="J27" si="35">J26/I26-1</f>
        <v>2.0000000000000018E-2</v>
      </c>
      <c r="K27" s="95">
        <f t="shared" ref="K27" si="36">K26/J26-1</f>
        <v>2.0000000000000018E-2</v>
      </c>
      <c r="L27" s="95">
        <f t="shared" ref="L27" si="37">L26/K26-1</f>
        <v>2.0000000000000018E-2</v>
      </c>
    </row>
    <row r="28" spans="1:12" x14ac:dyDescent="0.2">
      <c r="A28" s="221"/>
    </row>
    <row r="29" spans="1:12" x14ac:dyDescent="0.2">
      <c r="A29" s="221" t="s">
        <v>331</v>
      </c>
    </row>
    <row r="30" spans="1:12" x14ac:dyDescent="0.2">
      <c r="A30" s="221"/>
      <c r="B30" t="s">
        <v>332</v>
      </c>
      <c r="C30" s="95">
        <f>IS!C6/IS!C5</f>
        <v>-0.38568344859766995</v>
      </c>
      <c r="D30" s="95">
        <f>IS!D6/IS!D5</f>
        <v>-0.3638695894313026</v>
      </c>
      <c r="E30" s="104">
        <v>-0.36399999999999999</v>
      </c>
      <c r="F30" s="104">
        <v>-0.36399999999999999</v>
      </c>
      <c r="G30" s="104">
        <v>-0.36399999999999999</v>
      </c>
      <c r="H30" s="104">
        <v>-0.36399999999999999</v>
      </c>
      <c r="I30" s="104">
        <v>-0.36399999999999999</v>
      </c>
      <c r="J30" s="104">
        <v>-0.36399999999999999</v>
      </c>
      <c r="K30" s="104">
        <v>-0.36399999999999999</v>
      </c>
      <c r="L30" s="104">
        <v>-0.36399999999999999</v>
      </c>
    </row>
    <row r="31" spans="1:12" x14ac:dyDescent="0.2">
      <c r="A31" s="221"/>
      <c r="B31" t="s">
        <v>333</v>
      </c>
      <c r="C31" s="95"/>
      <c r="D31" s="95">
        <f>IS!D7/BS!C11</f>
        <v>-0.27166833192102902</v>
      </c>
      <c r="E31" s="104">
        <v>-0.27200000000000002</v>
      </c>
      <c r="F31" s="104">
        <v>-0.27200000000000002</v>
      </c>
      <c r="G31" s="104">
        <v>-0.27200000000000002</v>
      </c>
      <c r="H31" s="104">
        <v>-0.27200000000000002</v>
      </c>
      <c r="I31" s="104">
        <v>-0.27200000000000002</v>
      </c>
      <c r="J31" s="104">
        <v>-0.27200000000000002</v>
      </c>
      <c r="K31" s="104">
        <v>-0.27200000000000002</v>
      </c>
      <c r="L31" s="104">
        <v>-0.27200000000000002</v>
      </c>
    </row>
    <row r="32" spans="1:12" x14ac:dyDescent="0.2">
      <c r="A32" s="221"/>
      <c r="B32" t="s">
        <v>334</v>
      </c>
      <c r="C32" s="95">
        <f>IS!C10/IS!C5</f>
        <v>-0.40265632765168047</v>
      </c>
      <c r="D32" s="95">
        <f>IS!D10/IS!D5</f>
        <v>-0.41402890505884177</v>
      </c>
      <c r="E32" s="104">
        <v>-0.41399999999999998</v>
      </c>
      <c r="F32" s="104">
        <v>-0.41399999999999998</v>
      </c>
      <c r="G32" s="104">
        <v>-0.41399999999999998</v>
      </c>
      <c r="H32" s="104">
        <v>-0.41399999999999998</v>
      </c>
      <c r="I32" s="104">
        <v>-0.41399999999999998</v>
      </c>
      <c r="J32" s="104">
        <v>-0.41399999999999998</v>
      </c>
      <c r="K32" s="104">
        <v>-0.41399999999999998</v>
      </c>
      <c r="L32" s="104">
        <v>-0.41399999999999998</v>
      </c>
    </row>
    <row r="33" spans="1:12" x14ac:dyDescent="0.2">
      <c r="A33" s="221"/>
      <c r="B33" t="s">
        <v>335</v>
      </c>
      <c r="C33">
        <f>IS!C11</f>
        <v>-0.25900000000000001</v>
      </c>
      <c r="D33">
        <f>IS!D11</f>
        <v>-1.4E-2</v>
      </c>
      <c r="E33" s="73">
        <v>0</v>
      </c>
      <c r="F33" s="73">
        <v>0</v>
      </c>
      <c r="G33" s="73">
        <v>0</v>
      </c>
      <c r="H33" s="73">
        <v>0</v>
      </c>
      <c r="I33" s="73">
        <v>0</v>
      </c>
      <c r="J33" s="73">
        <v>0</v>
      </c>
      <c r="K33" s="73">
        <v>0</v>
      </c>
      <c r="L33" s="73">
        <v>0</v>
      </c>
    </row>
    <row r="34" spans="1:12" x14ac:dyDescent="0.2">
      <c r="A34" s="221"/>
      <c r="B34" t="s">
        <v>336</v>
      </c>
      <c r="C34">
        <f>IS!C15</f>
        <v>0.60699999999999998</v>
      </c>
      <c r="D34">
        <f>IS!D15</f>
        <v>-2.7520000000000002</v>
      </c>
      <c r="E34" s="73">
        <v>0</v>
      </c>
      <c r="F34" s="73">
        <v>0</v>
      </c>
      <c r="G34" s="73">
        <v>0</v>
      </c>
      <c r="H34" s="73">
        <v>0</v>
      </c>
      <c r="I34" s="73">
        <v>0</v>
      </c>
      <c r="J34" s="73">
        <v>0</v>
      </c>
      <c r="K34" s="73">
        <v>0</v>
      </c>
      <c r="L34" s="73">
        <v>0</v>
      </c>
    </row>
    <row r="35" spans="1:12" x14ac:dyDescent="0.2">
      <c r="A35" s="221"/>
      <c r="B35" t="s">
        <v>337</v>
      </c>
      <c r="D35" s="95">
        <f>IS!D16/IS!C16-1</f>
        <v>0.47311827956989227</v>
      </c>
      <c r="E35" s="104">
        <v>0</v>
      </c>
      <c r="F35" s="104">
        <v>0</v>
      </c>
      <c r="G35" s="104">
        <v>0</v>
      </c>
      <c r="H35" s="104">
        <v>0</v>
      </c>
      <c r="I35" s="104">
        <v>0</v>
      </c>
      <c r="J35" s="104">
        <v>0</v>
      </c>
      <c r="K35" s="104">
        <v>0</v>
      </c>
      <c r="L35" s="104">
        <v>0</v>
      </c>
    </row>
    <row r="36" spans="1:12" x14ac:dyDescent="0.2">
      <c r="A36" s="221"/>
      <c r="B36" t="s">
        <v>338</v>
      </c>
      <c r="E36" s="104">
        <v>2E-3</v>
      </c>
      <c r="F36" s="104">
        <v>2E-3</v>
      </c>
      <c r="G36" s="104">
        <v>2E-3</v>
      </c>
      <c r="H36" s="104">
        <v>2E-3</v>
      </c>
      <c r="I36" s="104">
        <v>2E-3</v>
      </c>
      <c r="J36" s="104">
        <v>2E-3</v>
      </c>
      <c r="K36" s="104">
        <v>2E-3</v>
      </c>
      <c r="L36" s="104">
        <v>2E-3</v>
      </c>
    </row>
    <row r="37" spans="1:12" x14ac:dyDescent="0.2">
      <c r="A37" s="221"/>
      <c r="B37" t="s">
        <v>339</v>
      </c>
      <c r="E37" s="104">
        <v>-0.02</v>
      </c>
      <c r="F37" s="104">
        <v>-0.02</v>
      </c>
      <c r="G37" s="104">
        <v>-0.02</v>
      </c>
      <c r="H37" s="104">
        <v>-0.02</v>
      </c>
      <c r="I37" s="104">
        <v>-0.02</v>
      </c>
      <c r="J37" s="104">
        <v>-0.02</v>
      </c>
      <c r="K37" s="104">
        <v>-0.02</v>
      </c>
      <c r="L37" s="104">
        <v>-0.02</v>
      </c>
    </row>
    <row r="38" spans="1:12" x14ac:dyDescent="0.2">
      <c r="A38" s="221"/>
      <c r="B38" t="s">
        <v>340</v>
      </c>
      <c r="C38" s="95">
        <f>IS!C21/IS!C19</f>
        <v>-0.38182418823730047</v>
      </c>
      <c r="D38" s="95">
        <f>IS!D21/IS!D19</f>
        <v>-0.35340112669697177</v>
      </c>
      <c r="E38" s="104">
        <v>-0.35299999999999998</v>
      </c>
      <c r="F38" s="104">
        <v>-0.35299999999999998</v>
      </c>
      <c r="G38" s="104">
        <v>-0.35299999999999998</v>
      </c>
      <c r="H38" s="104">
        <v>-0.35299999999999998</v>
      </c>
      <c r="I38" s="104">
        <v>-0.35299999999999998</v>
      </c>
      <c r="J38" s="104">
        <v>-0.35299999999999998</v>
      </c>
      <c r="K38" s="104">
        <v>-0.35299999999999998</v>
      </c>
      <c r="L38" s="104">
        <v>-0.35299999999999998</v>
      </c>
    </row>
    <row r="39" spans="1:12" x14ac:dyDescent="0.2">
      <c r="A39" s="221"/>
      <c r="B39" t="s">
        <v>341</v>
      </c>
      <c r="C39">
        <f>IS!C24</f>
        <v>67.867529000000005</v>
      </c>
      <c r="D39">
        <f>IS!D24</f>
        <v>67.852534000000006</v>
      </c>
      <c r="E39" s="73">
        <v>67.651600999999999</v>
      </c>
      <c r="F39" s="73">
        <v>67.651600999999999</v>
      </c>
      <c r="G39" s="73">
        <v>67.651600999999999</v>
      </c>
      <c r="H39" s="73">
        <v>67.651600999999999</v>
      </c>
      <c r="I39" s="73">
        <v>67.651600999999999</v>
      </c>
      <c r="J39" s="73">
        <v>67.651600999999999</v>
      </c>
      <c r="K39" s="73">
        <v>67.651600999999999</v>
      </c>
      <c r="L39" s="73">
        <v>67.651600999999999</v>
      </c>
    </row>
    <row r="40" spans="1:12" x14ac:dyDescent="0.2">
      <c r="A40" s="221"/>
      <c r="B40" t="s">
        <v>189</v>
      </c>
      <c r="C40">
        <f>IS!C25</f>
        <v>67.878339999999994</v>
      </c>
      <c r="D40">
        <f>IS!D25</f>
        <v>67.876772000000003</v>
      </c>
      <c r="E40">
        <f>D40/D39*E39</f>
        <v>67.6757672235494</v>
      </c>
      <c r="F40">
        <f t="shared" ref="F40:I40" si="38">E40/E39*F39</f>
        <v>67.6757672235494</v>
      </c>
      <c r="G40">
        <f t="shared" si="38"/>
        <v>67.6757672235494</v>
      </c>
      <c r="H40">
        <f t="shared" si="38"/>
        <v>67.6757672235494</v>
      </c>
      <c r="I40">
        <f t="shared" si="38"/>
        <v>67.6757672235494</v>
      </c>
      <c r="J40">
        <f t="shared" ref="J40" si="39">I40/I39*J39</f>
        <v>67.6757672235494</v>
      </c>
      <c r="K40">
        <f t="shared" ref="K40" si="40">J40/J39*K39</f>
        <v>67.6757672235494</v>
      </c>
      <c r="L40">
        <f t="shared" ref="L40" si="41">K40/K39*L39</f>
        <v>67.6757672235494</v>
      </c>
    </row>
    <row r="41" spans="1:12" x14ac:dyDescent="0.2">
      <c r="A41" s="221"/>
    </row>
    <row r="42" spans="1:12" x14ac:dyDescent="0.2">
      <c r="A42" s="221" t="s">
        <v>342</v>
      </c>
    </row>
    <row r="43" spans="1:12" x14ac:dyDescent="0.2">
      <c r="B43" t="s">
        <v>343</v>
      </c>
      <c r="C43">
        <f>BS!C7/IS!C6*365</f>
        <v>-160.17958491122803</v>
      </c>
      <c r="D43">
        <f>BS!D7/IS!D6*365</f>
        <v>-182.59249780454147</v>
      </c>
      <c r="E43" s="73">
        <v>-182.6</v>
      </c>
      <c r="F43" s="73">
        <v>-182.6</v>
      </c>
      <c r="G43" s="73">
        <v>-182.6</v>
      </c>
      <c r="H43" s="73">
        <v>-182.6</v>
      </c>
      <c r="I43" s="73">
        <v>-182.6</v>
      </c>
      <c r="J43" s="73">
        <v>-182.6</v>
      </c>
      <c r="K43" s="73">
        <v>-182.6</v>
      </c>
      <c r="L43" s="73">
        <v>-182.6</v>
      </c>
    </row>
    <row r="44" spans="1:12" x14ac:dyDescent="0.2">
      <c r="B44" t="s">
        <v>344</v>
      </c>
      <c r="C44">
        <f>BS!C6/IS!C5*365</f>
        <v>22.078874190525692</v>
      </c>
      <c r="D44">
        <f>BS!D6/IS!D5*365</f>
        <v>21.616546913659146</v>
      </c>
      <c r="E44" s="73">
        <v>21.6</v>
      </c>
      <c r="F44" s="73">
        <v>21.6</v>
      </c>
      <c r="G44" s="73">
        <v>21.6</v>
      </c>
      <c r="H44" s="73">
        <v>21.6</v>
      </c>
      <c r="I44" s="73">
        <v>21.6</v>
      </c>
      <c r="J44" s="73">
        <v>21.6</v>
      </c>
      <c r="K44" s="73">
        <v>21.6</v>
      </c>
      <c r="L44" s="73">
        <v>21.6</v>
      </c>
    </row>
    <row r="45" spans="1:12" x14ac:dyDescent="0.2">
      <c r="B45" t="s">
        <v>345</v>
      </c>
      <c r="C45">
        <f>BS!C7/IS!C6*365</f>
        <v>-160.17958491122803</v>
      </c>
      <c r="D45">
        <f>BS!D7/IS!D6*365</f>
        <v>-182.59249780454147</v>
      </c>
      <c r="E45" s="73">
        <v>-182.6</v>
      </c>
      <c r="F45" s="73">
        <v>-182.6</v>
      </c>
      <c r="G45" s="73">
        <v>-182.6</v>
      </c>
      <c r="H45" s="73">
        <v>-182.6</v>
      </c>
      <c r="I45" s="73">
        <v>-182.6</v>
      </c>
      <c r="J45" s="73">
        <v>-182.6</v>
      </c>
      <c r="K45" s="73">
        <v>-182.6</v>
      </c>
      <c r="L45" s="73">
        <v>-182.6</v>
      </c>
    </row>
    <row r="46" spans="1:12" x14ac:dyDescent="0.2">
      <c r="B46" t="s">
        <v>346</v>
      </c>
      <c r="C46" s="95">
        <f>BS!C8/IS!C5</f>
        <v>2.1468377864694972E-2</v>
      </c>
      <c r="D46" s="95">
        <f>BS!D8/IS!D5</f>
        <v>3.0374962339429025E-2</v>
      </c>
      <c r="E46" s="104">
        <v>0.03</v>
      </c>
      <c r="F46" s="104">
        <v>0.03</v>
      </c>
      <c r="G46" s="104">
        <v>0.03</v>
      </c>
      <c r="H46" s="104">
        <v>0.03</v>
      </c>
      <c r="I46" s="104">
        <v>0.03</v>
      </c>
      <c r="J46" s="104">
        <v>0.03</v>
      </c>
      <c r="K46" s="104">
        <v>0.03</v>
      </c>
      <c r="L46" s="104">
        <v>0.03</v>
      </c>
    </row>
    <row r="47" spans="1:12" x14ac:dyDescent="0.2">
      <c r="B47" t="s">
        <v>347</v>
      </c>
      <c r="C47" s="95">
        <f>Calc!C7/IS!C5</f>
        <v>6.9378634809956111E-2</v>
      </c>
      <c r="D47" s="95">
        <f>Calc!D7/IS!D5</f>
        <v>5.6265349535747876E-2</v>
      </c>
      <c r="E47" s="104">
        <v>5.6000000000000001E-2</v>
      </c>
      <c r="F47" s="104">
        <v>5.6000000000000001E-2</v>
      </c>
      <c r="G47" s="104">
        <v>5.6000000000000001E-2</v>
      </c>
      <c r="H47" s="104">
        <v>5.6000000000000001E-2</v>
      </c>
      <c r="I47" s="104">
        <v>5.6000000000000001E-2</v>
      </c>
      <c r="J47" s="104">
        <v>5.6000000000000001E-2</v>
      </c>
      <c r="K47" s="104">
        <v>5.6000000000000001E-2</v>
      </c>
      <c r="L47" s="104">
        <v>5.6000000000000001E-2</v>
      </c>
    </row>
    <row r="48" spans="1:12" x14ac:dyDescent="0.2">
      <c r="B48" t="s">
        <v>348</v>
      </c>
      <c r="C48" s="95">
        <f>Calc!C14/Calc!C13</f>
        <v>0</v>
      </c>
      <c r="D48" s="95">
        <f>Calc!D14/Calc!D13</f>
        <v>0</v>
      </c>
      <c r="E48" s="104">
        <v>0</v>
      </c>
      <c r="F48" s="104">
        <v>0</v>
      </c>
      <c r="G48" s="104">
        <v>0</v>
      </c>
      <c r="H48" s="104">
        <v>0</v>
      </c>
      <c r="I48" s="104">
        <v>0</v>
      </c>
      <c r="J48" s="104">
        <v>0</v>
      </c>
      <c r="K48" s="104">
        <v>0</v>
      </c>
      <c r="L48" s="104">
        <v>0</v>
      </c>
    </row>
    <row r="49" spans="2:12" x14ac:dyDescent="0.2">
      <c r="B49" t="s">
        <v>349</v>
      </c>
      <c r="C49">
        <f>BS!C13</f>
        <v>142.773</v>
      </c>
      <c r="D49">
        <f>BS!D13</f>
        <v>142.773</v>
      </c>
      <c r="E49" s="73">
        <v>142.773</v>
      </c>
      <c r="F49" s="73">
        <v>142.773</v>
      </c>
      <c r="G49" s="73">
        <v>142.773</v>
      </c>
      <c r="H49" s="73">
        <v>142.773</v>
      </c>
      <c r="I49" s="73">
        <v>142.773</v>
      </c>
      <c r="J49" s="73">
        <v>142.773</v>
      </c>
      <c r="K49" s="73">
        <v>142.773</v>
      </c>
      <c r="L49" s="73">
        <v>142.773</v>
      </c>
    </row>
    <row r="50" spans="2:12" x14ac:dyDescent="0.2">
      <c r="B50" t="s">
        <v>350</v>
      </c>
      <c r="C50">
        <f>BS!C15</f>
        <v>11.664999999999999</v>
      </c>
      <c r="D50">
        <f>BS!D15</f>
        <v>10.041</v>
      </c>
      <c r="E50" s="73">
        <v>10</v>
      </c>
      <c r="F50" s="73">
        <v>10</v>
      </c>
      <c r="G50" s="73">
        <v>10</v>
      </c>
      <c r="H50" s="73">
        <v>10</v>
      </c>
      <c r="I50" s="73">
        <v>10</v>
      </c>
      <c r="J50" s="73">
        <v>10</v>
      </c>
      <c r="K50" s="73">
        <v>10</v>
      </c>
      <c r="L50" s="73">
        <v>10</v>
      </c>
    </row>
    <row r="52" spans="2:12" x14ac:dyDescent="0.2">
      <c r="B52" t="s">
        <v>351</v>
      </c>
      <c r="C52">
        <f>BS!C19/IS!C6*365</f>
        <v>-60.850686076820935</v>
      </c>
      <c r="D52">
        <f>BS!D19/IS!D6*365</f>
        <v>-65.653293187805787</v>
      </c>
      <c r="E52" s="73">
        <v>-65.7</v>
      </c>
      <c r="F52" s="73">
        <v>-65.7</v>
      </c>
      <c r="G52" s="73">
        <v>-65.7</v>
      </c>
      <c r="H52" s="73">
        <v>-65.7</v>
      </c>
      <c r="I52" s="73">
        <v>-65.7</v>
      </c>
      <c r="J52" s="73">
        <v>-65.7</v>
      </c>
      <c r="K52" s="73">
        <v>-65.7</v>
      </c>
      <c r="L52" s="73">
        <v>-65.7</v>
      </c>
    </row>
    <row r="53" spans="2:12" x14ac:dyDescent="0.2">
      <c r="B53" t="s">
        <v>352</v>
      </c>
      <c r="C53" s="95">
        <f>BS!C20/IS!C5</f>
        <v>7.0410513017978196E-2</v>
      </c>
      <c r="D53" s="95">
        <f>BS!D20/IS!D5</f>
        <v>7.2573061507701014E-2</v>
      </c>
      <c r="E53" s="104">
        <v>7.2999999999999995E-2</v>
      </c>
      <c r="F53" s="104">
        <v>7.2999999999999995E-2</v>
      </c>
      <c r="G53" s="104">
        <v>7.2999999999999995E-2</v>
      </c>
      <c r="H53" s="104">
        <v>7.2999999999999995E-2</v>
      </c>
      <c r="I53" s="104">
        <v>7.2999999999999995E-2</v>
      </c>
      <c r="J53" s="104">
        <v>7.2999999999999995E-2</v>
      </c>
      <c r="K53" s="104">
        <v>7.2999999999999995E-2</v>
      </c>
      <c r="L53" s="104">
        <v>7.2999999999999995E-2</v>
      </c>
    </row>
    <row r="55" spans="2:12" x14ac:dyDescent="0.2">
      <c r="B55" t="s">
        <v>353</v>
      </c>
      <c r="C55">
        <f>BS!C23</f>
        <v>53.408999999999999</v>
      </c>
      <c r="D55">
        <f>BS!D23</f>
        <v>55.509</v>
      </c>
      <c r="E55" s="73">
        <v>55.5</v>
      </c>
      <c r="F55" s="73">
        <v>55.5</v>
      </c>
      <c r="G55" s="73">
        <v>55.5</v>
      </c>
      <c r="H55" s="73">
        <v>55.5</v>
      </c>
      <c r="I55" s="73">
        <v>55.5</v>
      </c>
      <c r="J55" s="73">
        <v>55.5</v>
      </c>
      <c r="K55" s="73">
        <v>55.5</v>
      </c>
      <c r="L55" s="73">
        <v>55.5</v>
      </c>
    </row>
    <row r="56" spans="2:12" x14ac:dyDescent="0.2">
      <c r="B56" t="s">
        <v>354</v>
      </c>
      <c r="C56">
        <f>Calc!C20</f>
        <v>0</v>
      </c>
      <c r="D56">
        <f>Calc!D20</f>
        <v>0</v>
      </c>
      <c r="E56" s="73">
        <v>0</v>
      </c>
      <c r="F56" s="73">
        <v>0</v>
      </c>
      <c r="G56" s="73">
        <v>0</v>
      </c>
      <c r="H56" s="73">
        <v>0</v>
      </c>
      <c r="I56" s="73">
        <v>0</v>
      </c>
      <c r="J56" s="73">
        <v>0</v>
      </c>
      <c r="K56" s="73">
        <v>0</v>
      </c>
      <c r="L56" s="73">
        <v>0</v>
      </c>
    </row>
  </sheetData>
  <pageMargins left="0.7" right="0.7" top="0.75" bottom="0.75" header="0.3" footer="0.3"/>
  <pageSetup paperSize="9" orientation="portrait" horizontalDpi="1200" verticalDpi="12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45"/>
  <sheetViews>
    <sheetView topLeftCell="B2" zoomScaleNormal="100" workbookViewId="0"/>
  </sheetViews>
  <sheetFormatPr baseColWidth="10" defaultColWidth="8.83203125" defaultRowHeight="15" x14ac:dyDescent="0.2"/>
  <cols>
    <col min="1" max="1" width="1.5" customWidth="1"/>
    <col min="2" max="2" width="30.6640625" customWidth="1"/>
    <col min="3" max="12" width="10.5" customWidth="1"/>
  </cols>
  <sheetData>
    <row r="1" spans="1:12" ht="29" x14ac:dyDescent="0.35">
      <c r="A1" s="5" t="s">
        <v>309</v>
      </c>
      <c r="B1" s="10"/>
      <c r="C1" s="12"/>
      <c r="D1" s="12"/>
      <c r="E1" s="12"/>
      <c r="F1" s="12"/>
      <c r="G1" s="12"/>
      <c r="H1" s="12"/>
      <c r="I1" s="12"/>
      <c r="J1" s="12"/>
      <c r="K1" s="12"/>
      <c r="L1" s="12"/>
    </row>
    <row r="2" spans="1:12" ht="21" x14ac:dyDescent="0.25">
      <c r="A2" s="14" t="s">
        <v>310</v>
      </c>
      <c r="B2" s="7"/>
      <c r="C2" s="11" t="s">
        <v>311</v>
      </c>
      <c r="D2" s="11" t="s">
        <v>311</v>
      </c>
      <c r="E2" s="11" t="s">
        <v>312</v>
      </c>
      <c r="F2" s="11" t="s">
        <v>312</v>
      </c>
      <c r="G2" s="11" t="s">
        <v>312</v>
      </c>
      <c r="H2" s="11" t="s">
        <v>312</v>
      </c>
      <c r="I2" s="11" t="s">
        <v>312</v>
      </c>
      <c r="J2" s="11" t="s">
        <v>312</v>
      </c>
      <c r="K2" s="11" t="s">
        <v>312</v>
      </c>
      <c r="L2" s="11" t="s">
        <v>312</v>
      </c>
    </row>
    <row r="3" spans="1:12" ht="21" x14ac:dyDescent="0.25">
      <c r="A3" s="14" t="s">
        <v>587</v>
      </c>
      <c r="B3" s="7"/>
      <c r="C3" s="11">
        <f>EDATE(D3,-12)</f>
        <v>42004</v>
      </c>
      <c r="D3" s="11">
        <v>42369</v>
      </c>
      <c r="E3" s="11">
        <f>EDATE(D3,12)</f>
        <v>42735</v>
      </c>
      <c r="F3" s="11">
        <f t="shared" ref="F3:I3" si="0">EDATE(E3,12)</f>
        <v>43100</v>
      </c>
      <c r="G3" s="11">
        <f t="shared" si="0"/>
        <v>43465</v>
      </c>
      <c r="H3" s="11">
        <f t="shared" si="0"/>
        <v>43830</v>
      </c>
      <c r="I3" s="11">
        <f t="shared" si="0"/>
        <v>44196</v>
      </c>
      <c r="J3" s="11">
        <f t="shared" ref="J3" si="1">EDATE(I3,12)</f>
        <v>44561</v>
      </c>
      <c r="K3" s="11">
        <f t="shared" ref="K3" si="2">EDATE(J3,12)</f>
        <v>44926</v>
      </c>
      <c r="L3" s="11">
        <f t="shared" ref="L3" si="3">EDATE(K3,12)</f>
        <v>45291</v>
      </c>
    </row>
    <row r="5" spans="1:12" x14ac:dyDescent="0.2">
      <c r="A5" s="221" t="s">
        <v>355</v>
      </c>
    </row>
    <row r="6" spans="1:12" x14ac:dyDescent="0.2">
      <c r="A6" s="221"/>
      <c r="B6" t="s">
        <v>356</v>
      </c>
      <c r="E6">
        <f>D9</f>
        <v>83.501000000000005</v>
      </c>
      <c r="F6">
        <f t="shared" ref="F6:I6" si="4">E9</f>
        <v>94.470354152307365</v>
      </c>
      <c r="G6">
        <f t="shared" si="4"/>
        <v>105.04667867064151</v>
      </c>
      <c r="H6">
        <f t="shared" si="4"/>
        <v>114.88585728523628</v>
      </c>
      <c r="I6">
        <f t="shared" si="4"/>
        <v>123.7074728232641</v>
      </c>
      <c r="J6">
        <f t="shared" ref="J6" si="5">I9</f>
        <v>131.27624897223632</v>
      </c>
      <c r="K6">
        <f t="shared" ref="K6" si="6">J9</f>
        <v>137.61066218382609</v>
      </c>
      <c r="L6">
        <f t="shared" ref="L6" si="7">K9</f>
        <v>143.0629460605042</v>
      </c>
    </row>
    <row r="7" spans="1:12" x14ac:dyDescent="0.2">
      <c r="A7" s="221"/>
      <c r="B7" t="s">
        <v>357</v>
      </c>
      <c r="C7">
        <v>36.576000000000001</v>
      </c>
      <c r="D7">
        <v>30.814</v>
      </c>
      <c r="E7">
        <f>Input!E47*IS!E5</f>
        <v>33.681626152307366</v>
      </c>
      <c r="F7">
        <f>Input!F47*IS!F5</f>
        <v>36.272260847761771</v>
      </c>
      <c r="G7">
        <f>Input!G47*IS!G5</f>
        <v>38.411875213009253</v>
      </c>
      <c r="H7">
        <f>Input!H47*IS!H5</f>
        <v>40.070568719612076</v>
      </c>
      <c r="I7">
        <f>Input!I47*IS!I5</f>
        <v>41.217208756900057</v>
      </c>
      <c r="J7">
        <f>Input!J47*IS!J5</f>
        <v>42.041552932038059</v>
      </c>
      <c r="K7">
        <f>Input!K47*IS!K5</f>
        <v>42.882383990678825</v>
      </c>
      <c r="L7">
        <f>Input!L47*IS!L5</f>
        <v>43.740031670492399</v>
      </c>
    </row>
    <row r="8" spans="1:12" x14ac:dyDescent="0.2">
      <c r="A8" s="221"/>
      <c r="B8" t="s">
        <v>134</v>
      </c>
      <c r="C8">
        <f>IS!C7</f>
        <v>-17.896999999999998</v>
      </c>
      <c r="D8">
        <f>IS!D7</f>
        <v>-21.48</v>
      </c>
      <c r="E8">
        <f>Input!E31*Calc!E6</f>
        <v>-22.712272000000002</v>
      </c>
      <c r="F8">
        <f>Input!F31*Calc!F6</f>
        <v>-25.695936329427607</v>
      </c>
      <c r="G8">
        <f>Input!G31*Calc!G6</f>
        <v>-28.572696598414492</v>
      </c>
      <c r="H8">
        <f>Input!H31*Calc!H6</f>
        <v>-31.248953181584273</v>
      </c>
      <c r="I8">
        <f>Input!I31*Calc!I6</f>
        <v>-33.648432607927838</v>
      </c>
      <c r="J8">
        <f>Input!J31*Calc!J6</f>
        <v>-35.707139720448282</v>
      </c>
      <c r="K8">
        <f>Input!K31*Calc!K6</f>
        <v>-37.430100114000702</v>
      </c>
      <c r="L8">
        <f>Input!L31*Calc!L6</f>
        <v>-38.913121328457144</v>
      </c>
    </row>
    <row r="9" spans="1:12" x14ac:dyDescent="0.2">
      <c r="A9" s="221"/>
      <c r="B9" t="s">
        <v>358</v>
      </c>
      <c r="C9">
        <f>BS!C11</f>
        <v>79.066999999999993</v>
      </c>
      <c r="D9">
        <f>BS!D11</f>
        <v>83.501000000000005</v>
      </c>
      <c r="E9">
        <f>SUM(E6:E8)</f>
        <v>94.470354152307365</v>
      </c>
      <c r="F9">
        <f t="shared" ref="F9:I9" si="8">SUM(F6:F8)</f>
        <v>105.04667867064151</v>
      </c>
      <c r="G9">
        <f t="shared" si="8"/>
        <v>114.88585728523628</v>
      </c>
      <c r="H9">
        <f t="shared" si="8"/>
        <v>123.7074728232641</v>
      </c>
      <c r="I9">
        <f t="shared" si="8"/>
        <v>131.27624897223632</v>
      </c>
      <c r="J9">
        <f t="shared" ref="J9:L9" si="9">SUM(J6:J8)</f>
        <v>137.61066218382609</v>
      </c>
      <c r="K9">
        <f t="shared" si="9"/>
        <v>143.0629460605042</v>
      </c>
      <c r="L9">
        <f t="shared" si="9"/>
        <v>147.88985640253944</v>
      </c>
    </row>
    <row r="10" spans="1:12" x14ac:dyDescent="0.2">
      <c r="A10" s="221"/>
    </row>
    <row r="11" spans="1:12" x14ac:dyDescent="0.2">
      <c r="A11" s="221" t="s">
        <v>359</v>
      </c>
    </row>
    <row r="12" spans="1:12" x14ac:dyDescent="0.2">
      <c r="A12" s="221"/>
      <c r="B12" t="s">
        <v>356</v>
      </c>
      <c r="E12">
        <f>D15</f>
        <v>1.84</v>
      </c>
      <c r="F12">
        <f t="shared" ref="F12:I12" si="10">E15</f>
        <v>2.2509999999999999</v>
      </c>
      <c r="G12">
        <f t="shared" si="10"/>
        <v>2.6619999999999999</v>
      </c>
      <c r="H12">
        <f t="shared" si="10"/>
        <v>3.073</v>
      </c>
      <c r="I12">
        <f t="shared" si="10"/>
        <v>3.484</v>
      </c>
      <c r="J12">
        <f t="shared" ref="J12" si="11">I15</f>
        <v>3.895</v>
      </c>
      <c r="K12">
        <f t="shared" ref="K12" si="12">J15</f>
        <v>4.306</v>
      </c>
      <c r="L12">
        <f t="shared" ref="L12" si="13">K15</f>
        <v>4.7169999999999996</v>
      </c>
    </row>
    <row r="13" spans="1:12" x14ac:dyDescent="0.2">
      <c r="A13" s="221"/>
      <c r="B13" t="s">
        <v>360</v>
      </c>
      <c r="C13">
        <v>0.27900000000000003</v>
      </c>
      <c r="D13">
        <f>IS!D16</f>
        <v>0.41099999999999998</v>
      </c>
      <c r="E13">
        <f>IS!E16</f>
        <v>0.41099999999999998</v>
      </c>
      <c r="F13">
        <f>IS!F16</f>
        <v>0.41099999999999998</v>
      </c>
      <c r="G13">
        <f>IS!G16</f>
        <v>0.41099999999999998</v>
      </c>
      <c r="H13">
        <f>IS!H16</f>
        <v>0.41099999999999998</v>
      </c>
      <c r="I13">
        <f>IS!I16</f>
        <v>0.41099999999999998</v>
      </c>
      <c r="J13">
        <f>IS!J16</f>
        <v>0.41099999999999998</v>
      </c>
      <c r="K13">
        <f>IS!K16</f>
        <v>0.41099999999999998</v>
      </c>
      <c r="L13">
        <f>IS!L16</f>
        <v>0.41099999999999998</v>
      </c>
    </row>
    <row r="14" spans="1:12" x14ac:dyDescent="0.2">
      <c r="A14" s="221"/>
      <c r="B14" t="s">
        <v>361</v>
      </c>
      <c r="C14">
        <v>0</v>
      </c>
      <c r="D14">
        <v>0</v>
      </c>
      <c r="E14">
        <f>Input!E48*Calc!E13</f>
        <v>0</v>
      </c>
      <c r="F14">
        <f>Input!F48*Calc!F13</f>
        <v>0</v>
      </c>
      <c r="G14">
        <f>Input!G48*Calc!G13</f>
        <v>0</v>
      </c>
      <c r="H14">
        <f>Input!H48*Calc!H13</f>
        <v>0</v>
      </c>
      <c r="I14">
        <f>Input!I48*Calc!I13</f>
        <v>0</v>
      </c>
      <c r="J14">
        <f>Input!J48*Calc!J13</f>
        <v>0</v>
      </c>
      <c r="K14">
        <f>Input!K48*Calc!K13</f>
        <v>0</v>
      </c>
      <c r="L14">
        <f>Input!L48*Calc!L13</f>
        <v>0</v>
      </c>
    </row>
    <row r="15" spans="1:12" x14ac:dyDescent="0.2">
      <c r="A15" s="221"/>
      <c r="B15" t="s">
        <v>358</v>
      </c>
      <c r="C15">
        <f>BS!C12</f>
        <v>2.1560000000000001</v>
      </c>
      <c r="D15">
        <f>BS!D12</f>
        <v>1.84</v>
      </c>
      <c r="E15">
        <f>SUM(E12:E14)</f>
        <v>2.2509999999999999</v>
      </c>
      <c r="F15">
        <f t="shared" ref="F15:I15" si="14">SUM(F12:F14)</f>
        <v>2.6619999999999999</v>
      </c>
      <c r="G15">
        <f t="shared" si="14"/>
        <v>3.073</v>
      </c>
      <c r="H15">
        <f t="shared" si="14"/>
        <v>3.484</v>
      </c>
      <c r="I15">
        <f t="shared" si="14"/>
        <v>3.895</v>
      </c>
      <c r="J15">
        <f t="shared" ref="J15:L15" si="15">SUM(J12:J14)</f>
        <v>4.306</v>
      </c>
      <c r="K15">
        <f t="shared" si="15"/>
        <v>4.7169999999999996</v>
      </c>
      <c r="L15">
        <f t="shared" si="15"/>
        <v>5.1279999999999992</v>
      </c>
    </row>
    <row r="16" spans="1:12" x14ac:dyDescent="0.2">
      <c r="A16" s="221"/>
    </row>
    <row r="17" spans="1:12" x14ac:dyDescent="0.2">
      <c r="A17" s="221" t="s">
        <v>362</v>
      </c>
    </row>
    <row r="18" spans="1:12" x14ac:dyDescent="0.2">
      <c r="A18" s="221"/>
      <c r="B18" t="s">
        <v>356</v>
      </c>
      <c r="E18">
        <f>D21</f>
        <v>480.846</v>
      </c>
      <c r="F18">
        <f t="shared" ref="F18:I18" si="16">E21</f>
        <v>552.80683935100922</v>
      </c>
      <c r="G18">
        <f t="shared" si="16"/>
        <v>629.48194830671628</v>
      </c>
      <c r="H18">
        <f t="shared" si="16"/>
        <v>709.7836749708523</v>
      </c>
      <c r="I18">
        <f t="shared" si="16"/>
        <v>792.60823475295228</v>
      </c>
      <c r="J18">
        <f t="shared" ref="J18" si="17">I21</f>
        <v>876.82134018756199</v>
      </c>
      <c r="K18">
        <f t="shared" ref="K18" si="18">J21</f>
        <v>961.81681660700974</v>
      </c>
      <c r="L18">
        <f t="shared" ref="L18" si="19">K21</f>
        <v>1047.8541792282006</v>
      </c>
    </row>
    <row r="19" spans="1:12" x14ac:dyDescent="0.2">
      <c r="A19" s="221"/>
      <c r="B19" t="s">
        <v>363</v>
      </c>
      <c r="C19">
        <f>IS!C22</f>
        <v>58.008999999999901</v>
      </c>
      <c r="D19">
        <f>IS!D22</f>
        <v>63.013000000000019</v>
      </c>
      <c r="E19">
        <f>IS!E22</f>
        <v>71.960839351009241</v>
      </c>
      <c r="F19">
        <f>IS!F22</f>
        <v>76.675108955707032</v>
      </c>
      <c r="G19">
        <f>IS!G22</f>
        <v>80.301726664136055</v>
      </c>
      <c r="H19">
        <f>IS!H22</f>
        <v>82.824559782099982</v>
      </c>
      <c r="I19">
        <f>IS!I22</f>
        <v>84.213105434609702</v>
      </c>
      <c r="J19">
        <f>IS!J22</f>
        <v>84.995476419447726</v>
      </c>
      <c r="K19">
        <f>IS!K22</f>
        <v>86.037362621190908</v>
      </c>
      <c r="L19">
        <f>IS!L22</f>
        <v>87.277622303336585</v>
      </c>
    </row>
    <row r="20" spans="1:12" x14ac:dyDescent="0.2">
      <c r="A20" s="221"/>
      <c r="B20" t="s">
        <v>364</v>
      </c>
      <c r="C20">
        <v>0</v>
      </c>
      <c r="D20">
        <v>0</v>
      </c>
      <c r="E20">
        <f>Input!E56</f>
        <v>0</v>
      </c>
      <c r="F20">
        <f>Input!F56</f>
        <v>0</v>
      </c>
      <c r="G20">
        <f>Input!G56</f>
        <v>0</v>
      </c>
      <c r="H20">
        <f>Input!H56</f>
        <v>0</v>
      </c>
      <c r="I20">
        <f>Input!I56</f>
        <v>0</v>
      </c>
      <c r="J20">
        <f>Input!J56</f>
        <v>0</v>
      </c>
      <c r="K20">
        <f>Input!K56</f>
        <v>0</v>
      </c>
      <c r="L20">
        <f>Input!L56</f>
        <v>0</v>
      </c>
    </row>
    <row r="21" spans="1:12" x14ac:dyDescent="0.2">
      <c r="A21" s="221"/>
      <c r="B21" t="s">
        <v>358</v>
      </c>
      <c r="C21">
        <f>BS!C26</f>
        <v>426.88299999999998</v>
      </c>
      <c r="D21">
        <f>BS!D26</f>
        <v>480.846</v>
      </c>
      <c r="E21">
        <f>SUM(E18:E20)</f>
        <v>552.80683935100922</v>
      </c>
      <c r="F21">
        <f t="shared" ref="F21:I21" si="20">SUM(F18:F20)</f>
        <v>629.48194830671628</v>
      </c>
      <c r="G21">
        <f t="shared" si="20"/>
        <v>709.7836749708523</v>
      </c>
      <c r="H21">
        <f t="shared" si="20"/>
        <v>792.60823475295228</v>
      </c>
      <c r="I21">
        <f t="shared" si="20"/>
        <v>876.82134018756199</v>
      </c>
      <c r="J21">
        <f t="shared" ref="J21:L21" si="21">SUM(J18:J20)</f>
        <v>961.81681660700974</v>
      </c>
      <c r="K21">
        <f t="shared" si="21"/>
        <v>1047.8541792282006</v>
      </c>
      <c r="L21">
        <f t="shared" si="21"/>
        <v>1135.1318015315371</v>
      </c>
    </row>
    <row r="22" spans="1:12" x14ac:dyDescent="0.2">
      <c r="A22" s="221"/>
    </row>
    <row r="23" spans="1:12" x14ac:dyDescent="0.2">
      <c r="A23" s="221" t="s">
        <v>365</v>
      </c>
    </row>
    <row r="24" spans="1:12" x14ac:dyDescent="0.2">
      <c r="A24" s="221"/>
      <c r="B24" t="str">
        <f>BS!B6</f>
        <v>Accounts receivable</v>
      </c>
      <c r="C24">
        <f>BS!C6</f>
        <v>31.89</v>
      </c>
      <c r="D24">
        <f>BS!D6</f>
        <v>32.433999999999997</v>
      </c>
      <c r="E24">
        <f>BS!E6</f>
        <v>35.593107871322857</v>
      </c>
      <c r="F24">
        <f>BS!F6</f>
        <v>38.330764888045707</v>
      </c>
      <c r="G24">
        <f>BS!G6</f>
        <v>40.591805508855181</v>
      </c>
      <c r="H24">
        <f>BS!H6</f>
        <v>42.344632306439379</v>
      </c>
      <c r="I24">
        <f>BS!I6</f>
        <v>43.556345848778932</v>
      </c>
      <c r="J24">
        <f>BS!J6</f>
        <v>44.427472765754509</v>
      </c>
      <c r="K24">
        <f>BS!K6</f>
        <v>45.316022221069602</v>
      </c>
      <c r="L24">
        <f>BS!L6</f>
        <v>46.222342665490991</v>
      </c>
    </row>
    <row r="25" spans="1:12" x14ac:dyDescent="0.2">
      <c r="A25" s="221"/>
      <c r="B25" t="str">
        <f>BS!B7</f>
        <v>Inventories</v>
      </c>
      <c r="C25">
        <f>BS!C7</f>
        <v>89.230999999999995</v>
      </c>
      <c r="D25">
        <f>BS!D7</f>
        <v>99.688000000000002</v>
      </c>
      <c r="E25">
        <f>BS!E7</f>
        <v>109.52526597307839</v>
      </c>
      <c r="F25">
        <f>BS!F7</f>
        <v>117.9494421923519</v>
      </c>
      <c r="G25">
        <f>BS!G7</f>
        <v>124.90699915156353</v>
      </c>
      <c r="H25">
        <f>BS!H7</f>
        <v>130.30070688577419</v>
      </c>
      <c r="I25">
        <f>BS!I7</f>
        <v>134.02932896867037</v>
      </c>
      <c r="J25">
        <f>BS!J7</f>
        <v>136.70991554804377</v>
      </c>
      <c r="K25">
        <f>BS!K7</f>
        <v>139.44411385900463</v>
      </c>
      <c r="L25">
        <f>BS!L7</f>
        <v>142.23299613618474</v>
      </c>
    </row>
    <row r="26" spans="1:12" x14ac:dyDescent="0.2">
      <c r="A26" s="221"/>
      <c r="B26" t="str">
        <f>BS!B8</f>
        <v>Other current assets</v>
      </c>
      <c r="C26">
        <f>BS!C8</f>
        <v>11.318</v>
      </c>
      <c r="D26">
        <f>BS!D8</f>
        <v>16.635000000000002</v>
      </c>
      <c r="E26">
        <f>BS!E8</f>
        <v>18.043728295878946</v>
      </c>
      <c r="F26">
        <f>BS!F8</f>
        <v>19.431568311300946</v>
      </c>
      <c r="G26">
        <f>BS!G8</f>
        <v>20.577790292683527</v>
      </c>
      <c r="H26">
        <f>BS!H8</f>
        <v>21.466376099792182</v>
      </c>
      <c r="I26">
        <f>BS!I8</f>
        <v>22.080647548339318</v>
      </c>
      <c r="J26">
        <f>BS!J8</f>
        <v>22.522260499306103</v>
      </c>
      <c r="K26">
        <f>BS!K8</f>
        <v>22.972705709292224</v>
      </c>
      <c r="L26">
        <f>BS!L8</f>
        <v>23.43215982347807</v>
      </c>
    </row>
    <row r="27" spans="1:12" x14ac:dyDescent="0.2">
      <c r="A27" s="221"/>
      <c r="B27" t="str">
        <f>BS!B19</f>
        <v>Accounts payable</v>
      </c>
      <c r="C27">
        <f>BS!C19</f>
        <v>33.898000000000003</v>
      </c>
      <c r="D27">
        <f>BS!D19</f>
        <v>35.844000000000001</v>
      </c>
      <c r="E27">
        <f>BS!E19</f>
        <v>39.407502598199621</v>
      </c>
      <c r="F27">
        <f>BS!F19</f>
        <v>42.438545191881268</v>
      </c>
      <c r="G27">
        <f>BS!G19</f>
        <v>44.941893999220831</v>
      </c>
      <c r="H27">
        <f>BS!H19</f>
        <v>46.882565401946131</v>
      </c>
      <c r="I27">
        <f>BS!I19</f>
        <v>48.224134245573076</v>
      </c>
      <c r="J27">
        <f>BS!J19</f>
        <v>49.188616930484528</v>
      </c>
      <c r="K27">
        <f>BS!K19</f>
        <v>50.172389269094225</v>
      </c>
      <c r="L27">
        <f>BS!L19</f>
        <v>51.175837054476105</v>
      </c>
    </row>
    <row r="28" spans="1:12" x14ac:dyDescent="0.2">
      <c r="A28" s="221"/>
      <c r="B28" t="str">
        <f>BS!B20</f>
        <v>Other current liabilities</v>
      </c>
      <c r="C28">
        <f>BS!C20</f>
        <v>37.119999999999997</v>
      </c>
      <c r="D28">
        <f>BS!D20</f>
        <v>39.744999999999997</v>
      </c>
      <c r="E28">
        <f>BS!E20</f>
        <v>43.906405519972104</v>
      </c>
      <c r="F28">
        <f>BS!F20</f>
        <v>47.283482890832303</v>
      </c>
      <c r="G28">
        <f>BS!G20</f>
        <v>50.072623045529916</v>
      </c>
      <c r="H28">
        <f>BS!H20</f>
        <v>52.234848509494306</v>
      </c>
      <c r="I28">
        <f>BS!I20</f>
        <v>53.729575700959003</v>
      </c>
      <c r="J28">
        <f>BS!J20</f>
        <v>54.804167214978179</v>
      </c>
      <c r="K28">
        <f>BS!K20</f>
        <v>55.900250559277751</v>
      </c>
      <c r="L28">
        <f>BS!L20</f>
        <v>57.018255570463303</v>
      </c>
    </row>
    <row r="29" spans="1:12" x14ac:dyDescent="0.2">
      <c r="A29" s="221"/>
      <c r="B29" t="s">
        <v>366</v>
      </c>
      <c r="C29">
        <f>SUM(C24:C26)-SUM(C27:C28)</f>
        <v>61.420999999999992</v>
      </c>
      <c r="D29">
        <f t="shared" ref="D29:E29" si="22">SUM(D24:D26)-SUM(D27:D28)</f>
        <v>73.168000000000006</v>
      </c>
      <c r="E29">
        <f t="shared" si="22"/>
        <v>79.848194022108459</v>
      </c>
      <c r="F29">
        <f t="shared" ref="F29" si="23">SUM(F24:F26)-SUM(F27:F28)</f>
        <v>85.98974730898496</v>
      </c>
      <c r="G29">
        <f t="shared" ref="G29:I29" si="24">SUM(G24:G26)-SUM(G27:G28)</f>
        <v>91.062077908351469</v>
      </c>
      <c r="H29">
        <f t="shared" si="24"/>
        <v>94.99430138056529</v>
      </c>
      <c r="I29">
        <f t="shared" si="24"/>
        <v>97.712612419256544</v>
      </c>
      <c r="J29">
        <f t="shared" ref="J29:L29" si="25">SUM(J24:J26)-SUM(J27:J28)</f>
        <v>99.666864667641676</v>
      </c>
      <c r="K29">
        <f t="shared" si="25"/>
        <v>101.66020196099448</v>
      </c>
      <c r="L29">
        <f t="shared" si="25"/>
        <v>103.6934060002144</v>
      </c>
    </row>
    <row r="30" spans="1:12" x14ac:dyDescent="0.2">
      <c r="A30" s="221"/>
    </row>
    <row r="31" spans="1:12" x14ac:dyDescent="0.2">
      <c r="A31" s="221" t="s">
        <v>367</v>
      </c>
    </row>
    <row r="32" spans="1:12" x14ac:dyDescent="0.2">
      <c r="A32" s="221"/>
      <c r="B32" t="s">
        <v>368</v>
      </c>
      <c r="E32">
        <f>BS!D5</f>
        <v>94.632000000000005</v>
      </c>
      <c r="F32">
        <f>BS!E5</f>
        <v>148.56429117659343</v>
      </c>
      <c r="G32">
        <f>BS!F5</f>
        <v>208.1105223270898</v>
      </c>
      <c r="H32">
        <f>BS!G5</f>
        <v>273.08973977726458</v>
      </c>
      <c r="I32">
        <f>BS!H5</f>
        <v>342.74946054912294</v>
      </c>
      <c r="J32">
        <f>BS!I5</f>
        <v>416.26447879606917</v>
      </c>
      <c r="K32">
        <f>BS!J5</f>
        <v>492.56028975554199</v>
      </c>
      <c r="L32">
        <f>BS!K5</f>
        <v>570.74103120670202</v>
      </c>
    </row>
    <row r="33" spans="1:12" x14ac:dyDescent="0.2">
      <c r="A33" s="221"/>
      <c r="B33" t="str">
        <f>CFS!B11</f>
        <v xml:space="preserve"> Cash flow from operations</v>
      </c>
      <c r="E33">
        <f>CFS!E11</f>
        <v>87.613917328900783</v>
      </c>
      <c r="F33">
        <f>CFS!F11</f>
        <v>95.818491998258139</v>
      </c>
      <c r="G33">
        <f>CFS!G11</f>
        <v>103.39109266318404</v>
      </c>
      <c r="H33">
        <f>CFS!H11</f>
        <v>109.73028949147043</v>
      </c>
      <c r="I33">
        <f>CFS!I11</f>
        <v>114.73222700384629</v>
      </c>
      <c r="J33">
        <f>CFS!J11</f>
        <v>118.33736389151088</v>
      </c>
      <c r="K33">
        <f>CFS!K11</f>
        <v>121.06312544183881</v>
      </c>
      <c r="L33">
        <f>CFS!L11</f>
        <v>123.74653959257382</v>
      </c>
    </row>
    <row r="34" spans="1:12" x14ac:dyDescent="0.2">
      <c r="A34" s="221"/>
      <c r="B34" t="str">
        <f>CFS!B14</f>
        <v xml:space="preserve"> Cash flow from investing activities</v>
      </c>
      <c r="E34">
        <f>CFS!E14</f>
        <v>-33.681626152307366</v>
      </c>
      <c r="F34">
        <f>CFS!F14</f>
        <v>-36.272260847761771</v>
      </c>
      <c r="G34">
        <f>CFS!G14</f>
        <v>-38.411875213009253</v>
      </c>
      <c r="H34">
        <f>CFS!H14</f>
        <v>-40.070568719612076</v>
      </c>
      <c r="I34">
        <f>CFS!I14</f>
        <v>-41.217208756900057</v>
      </c>
      <c r="J34">
        <f>CFS!J14</f>
        <v>-42.041552932038059</v>
      </c>
      <c r="K34">
        <f>CFS!K14</f>
        <v>-42.882383990678825</v>
      </c>
      <c r="L34">
        <f>CFS!L14</f>
        <v>-43.740031670492399</v>
      </c>
    </row>
    <row r="35" spans="1:12" x14ac:dyDescent="0.2">
      <c r="A35" s="221"/>
      <c r="B35" t="str">
        <f>CFS!B18</f>
        <v xml:space="preserve"> Cash flow from financing activities</v>
      </c>
      <c r="E35">
        <f>CFS!E18</f>
        <v>0</v>
      </c>
      <c r="F35">
        <f>CFS!F18</f>
        <v>0</v>
      </c>
      <c r="G35">
        <f>CFS!G18</f>
        <v>0</v>
      </c>
      <c r="H35">
        <f>CFS!H18</f>
        <v>0</v>
      </c>
      <c r="I35">
        <f>CFS!I18</f>
        <v>0</v>
      </c>
      <c r="J35">
        <f>CFS!J18</f>
        <v>0</v>
      </c>
      <c r="K35">
        <f>CFS!K18</f>
        <v>0</v>
      </c>
      <c r="L35">
        <f>CFS!L18</f>
        <v>0</v>
      </c>
    </row>
    <row r="36" spans="1:12" x14ac:dyDescent="0.2">
      <c r="A36" s="221"/>
      <c r="B36" t="s">
        <v>369</v>
      </c>
      <c r="E36">
        <f>SUM(E32:E35)</f>
        <v>148.56429117659343</v>
      </c>
      <c r="F36">
        <f t="shared" ref="F36:I36" si="26">SUM(F32:F35)</f>
        <v>208.1105223270898</v>
      </c>
      <c r="G36">
        <f t="shared" si="26"/>
        <v>273.08973977726458</v>
      </c>
      <c r="H36">
        <f t="shared" si="26"/>
        <v>342.74946054912294</v>
      </c>
      <c r="I36">
        <f t="shared" si="26"/>
        <v>416.26447879606917</v>
      </c>
      <c r="J36">
        <f t="shared" ref="J36:L36" si="27">SUM(J32:J35)</f>
        <v>492.56028975554204</v>
      </c>
      <c r="K36">
        <f t="shared" si="27"/>
        <v>570.74103120670202</v>
      </c>
      <c r="L36">
        <f t="shared" si="27"/>
        <v>650.7475391287835</v>
      </c>
    </row>
    <row r="37" spans="1:12" x14ac:dyDescent="0.2">
      <c r="A37" s="221"/>
    </row>
    <row r="38" spans="1:12" x14ac:dyDescent="0.2">
      <c r="A38" s="221"/>
      <c r="B38" t="s">
        <v>370</v>
      </c>
      <c r="E38">
        <f>D40</f>
        <v>0</v>
      </c>
      <c r="F38">
        <f t="shared" ref="F38:I38" si="28">E40</f>
        <v>0</v>
      </c>
      <c r="G38">
        <f t="shared" si="28"/>
        <v>0</v>
      </c>
      <c r="H38">
        <f t="shared" si="28"/>
        <v>0</v>
      </c>
      <c r="I38">
        <f t="shared" si="28"/>
        <v>0</v>
      </c>
      <c r="J38">
        <f t="shared" ref="J38" si="29">I40</f>
        <v>0</v>
      </c>
      <c r="K38">
        <f t="shared" ref="K38" si="30">J40</f>
        <v>0</v>
      </c>
      <c r="L38">
        <f t="shared" ref="L38" si="31">K40</f>
        <v>0</v>
      </c>
    </row>
    <row r="39" spans="1:12" x14ac:dyDescent="0.2">
      <c r="A39" s="221"/>
      <c r="B39" t="s">
        <v>371</v>
      </c>
      <c r="E39">
        <f>-MIN(E36,E38)</f>
        <v>0</v>
      </c>
      <c r="F39">
        <f t="shared" ref="F39:I39" si="32">-MIN(F36,F38)</f>
        <v>0</v>
      </c>
      <c r="G39">
        <f t="shared" si="32"/>
        <v>0</v>
      </c>
      <c r="H39">
        <f t="shared" si="32"/>
        <v>0</v>
      </c>
      <c r="I39">
        <f t="shared" si="32"/>
        <v>0</v>
      </c>
      <c r="J39">
        <f t="shared" ref="J39:L39" si="33">-MIN(J36,J38)</f>
        <v>0</v>
      </c>
      <c r="K39">
        <f t="shared" si="33"/>
        <v>0</v>
      </c>
      <c r="L39">
        <f t="shared" si="33"/>
        <v>0</v>
      </c>
    </row>
    <row r="40" spans="1:12" x14ac:dyDescent="0.2">
      <c r="A40" s="221"/>
      <c r="B40" t="s">
        <v>372</v>
      </c>
      <c r="D40">
        <f>BS!D18</f>
        <v>0</v>
      </c>
      <c r="E40">
        <f>SUM(E38:E39)</f>
        <v>0</v>
      </c>
      <c r="F40">
        <f t="shared" ref="F40:I40" si="34">SUM(F38:F39)</f>
        <v>0</v>
      </c>
      <c r="G40">
        <f t="shared" si="34"/>
        <v>0</v>
      </c>
      <c r="H40">
        <f t="shared" si="34"/>
        <v>0</v>
      </c>
      <c r="I40">
        <f t="shared" si="34"/>
        <v>0</v>
      </c>
      <c r="J40">
        <f t="shared" ref="J40:L40" si="35">SUM(J38:J39)</f>
        <v>0</v>
      </c>
      <c r="K40">
        <f t="shared" si="35"/>
        <v>0</v>
      </c>
      <c r="L40">
        <f t="shared" si="35"/>
        <v>0</v>
      </c>
    </row>
    <row r="41" spans="1:12" x14ac:dyDescent="0.2">
      <c r="A41" s="221"/>
      <c r="B41" t="s">
        <v>373</v>
      </c>
      <c r="E41">
        <f>Input!E37*AVERAGE(Calc!D40:E40)</f>
        <v>0</v>
      </c>
      <c r="F41">
        <f>Input!F37*AVERAGE(Calc!E40:F40)</f>
        <v>0</v>
      </c>
      <c r="G41">
        <f>Input!G37*AVERAGE(Calc!F40:G40)</f>
        <v>0</v>
      </c>
      <c r="H41">
        <f>Input!H37*AVERAGE(Calc!G40:H40)</f>
        <v>0</v>
      </c>
      <c r="I41">
        <f>Input!I37*AVERAGE(Calc!H40:I40)</f>
        <v>0</v>
      </c>
      <c r="J41">
        <f>Input!J37*AVERAGE(Calc!I40:J40)</f>
        <v>0</v>
      </c>
      <c r="K41">
        <f>Input!K37*AVERAGE(Calc!J40:K40)</f>
        <v>0</v>
      </c>
      <c r="L41">
        <f>Input!L37*AVERAGE(Calc!K40:L40)</f>
        <v>0</v>
      </c>
    </row>
    <row r="42" spans="1:12" x14ac:dyDescent="0.2">
      <c r="A42" s="221"/>
    </row>
    <row r="43" spans="1:12" x14ac:dyDescent="0.2">
      <c r="A43" s="221"/>
      <c r="B43" t="s">
        <v>374</v>
      </c>
      <c r="E43">
        <f>Input!E36*AVERAGE(BS!D5:E5)</f>
        <v>0.24319629117659344</v>
      </c>
      <c r="F43">
        <f>Input!F36*AVERAGE(BS!E5:F5)</f>
        <v>0.35667481350368324</v>
      </c>
      <c r="G43">
        <f>Input!G36*AVERAGE(BS!F5:G5)</f>
        <v>0.48120026210435435</v>
      </c>
      <c r="H43">
        <f>Input!H36*AVERAGE(BS!G5:H5)</f>
        <v>0.6158392003263875</v>
      </c>
      <c r="I43">
        <f>Input!I36*AVERAGE(BS!H5:I5)</f>
        <v>0.75901393934519212</v>
      </c>
      <c r="J43">
        <f>Input!J36*AVERAGE(BS!I5:J5)</f>
        <v>0.90882476855161121</v>
      </c>
      <c r="K43">
        <f>Input!K36*AVERAGE(BS!J5:K5)</f>
        <v>1.0633013209622442</v>
      </c>
      <c r="L43">
        <f>Input!L36*AVERAGE(BS!K5:L5)</f>
        <v>1.2214885703354856</v>
      </c>
    </row>
    <row r="44" spans="1:12" x14ac:dyDescent="0.2">
      <c r="A44" s="221"/>
    </row>
    <row r="45" spans="1:12" x14ac:dyDescent="0.2">
      <c r="A45" s="22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7"/>
  <sheetViews>
    <sheetView zoomScaleNormal="100" workbookViewId="0"/>
  </sheetViews>
  <sheetFormatPr baseColWidth="10" defaultColWidth="8.83203125" defaultRowHeight="15" x14ac:dyDescent="0.2"/>
  <cols>
    <col min="1" max="1" width="1.5" customWidth="1"/>
    <col min="2" max="2" width="30.6640625" customWidth="1"/>
    <col min="3" max="12" width="10.5" customWidth="1"/>
  </cols>
  <sheetData>
    <row r="1" spans="1:12" ht="29" x14ac:dyDescent="0.35">
      <c r="A1" s="5" t="s">
        <v>309</v>
      </c>
      <c r="B1" s="10"/>
      <c r="C1" s="12"/>
      <c r="D1" s="12"/>
      <c r="E1" s="12"/>
      <c r="F1" s="12"/>
      <c r="G1" s="12"/>
      <c r="H1" s="12"/>
      <c r="I1" s="12"/>
      <c r="J1" s="12"/>
      <c r="K1" s="12"/>
      <c r="L1" s="12"/>
    </row>
    <row r="2" spans="1:12" ht="21" x14ac:dyDescent="0.25">
      <c r="A2" s="14" t="s">
        <v>310</v>
      </c>
      <c r="B2" s="7"/>
      <c r="C2" s="11" t="s">
        <v>311</v>
      </c>
      <c r="D2" s="11" t="s">
        <v>311</v>
      </c>
      <c r="E2" s="11" t="s">
        <v>312</v>
      </c>
      <c r="F2" s="11" t="s">
        <v>312</v>
      </c>
      <c r="G2" s="11" t="s">
        <v>312</v>
      </c>
      <c r="H2" s="11" t="s">
        <v>312</v>
      </c>
      <c r="I2" s="11" t="s">
        <v>312</v>
      </c>
      <c r="J2" s="11" t="s">
        <v>312</v>
      </c>
      <c r="K2" s="11" t="s">
        <v>312</v>
      </c>
      <c r="L2" s="11" t="s">
        <v>312</v>
      </c>
    </row>
    <row r="3" spans="1:12" ht="21" x14ac:dyDescent="0.25">
      <c r="A3" s="14" t="s">
        <v>584</v>
      </c>
      <c r="B3" s="7"/>
      <c r="C3" s="11">
        <f>EDATE(D3,-12)</f>
        <v>42004</v>
      </c>
      <c r="D3" s="11">
        <v>42369</v>
      </c>
      <c r="E3" s="11">
        <f>EDATE(D3,12)</f>
        <v>42735</v>
      </c>
      <c r="F3" s="11">
        <f t="shared" ref="F3:I3" si="0">EDATE(E3,12)</f>
        <v>43100</v>
      </c>
      <c r="G3" s="11">
        <f t="shared" si="0"/>
        <v>43465</v>
      </c>
      <c r="H3" s="11">
        <f t="shared" si="0"/>
        <v>43830</v>
      </c>
      <c r="I3" s="11">
        <f t="shared" si="0"/>
        <v>44196</v>
      </c>
      <c r="J3" s="11">
        <f t="shared" ref="J3" si="1">EDATE(I3,12)</f>
        <v>44561</v>
      </c>
      <c r="K3" s="11">
        <f t="shared" ref="K3" si="2">EDATE(J3,12)</f>
        <v>44926</v>
      </c>
      <c r="L3" s="11">
        <f t="shared" ref="L3" si="3">EDATE(K3,12)</f>
        <v>45291</v>
      </c>
    </row>
    <row r="5" spans="1:12" x14ac:dyDescent="0.2">
      <c r="B5" t="s">
        <v>375</v>
      </c>
      <c r="C5">
        <v>527.19399999999996</v>
      </c>
      <c r="D5">
        <v>547.65499999999997</v>
      </c>
      <c r="E5">
        <f>Input!E26</f>
        <v>601.45760986263156</v>
      </c>
      <c r="F5">
        <f>Input!F26</f>
        <v>647.71894371003157</v>
      </c>
      <c r="G5">
        <f>Input!G26</f>
        <v>685.92634308945094</v>
      </c>
      <c r="H5">
        <f>Input!H26</f>
        <v>715.54586999307276</v>
      </c>
      <c r="I5">
        <f>Input!I26</f>
        <v>736.02158494464391</v>
      </c>
      <c r="J5">
        <f>Input!J26</f>
        <v>750.74201664353677</v>
      </c>
      <c r="K5">
        <f>Input!K26</f>
        <v>765.75685697640756</v>
      </c>
      <c r="L5">
        <f>Input!L26</f>
        <v>781.07199411593569</v>
      </c>
    </row>
    <row r="6" spans="1:12" x14ac:dyDescent="0.2">
      <c r="B6" t="s">
        <v>376</v>
      </c>
      <c r="C6">
        <f>-221.227-C7</f>
        <v>-203.33</v>
      </c>
      <c r="D6">
        <f>-220.755-D7</f>
        <v>-199.27500000000001</v>
      </c>
      <c r="E6">
        <f>Input!E30*IS!E5</f>
        <v>-218.93056998999788</v>
      </c>
      <c r="F6">
        <f>Input!F30*IS!F5</f>
        <v>-235.76969551045147</v>
      </c>
      <c r="G6">
        <f>Input!G30*IS!G5</f>
        <v>-249.67718888456014</v>
      </c>
      <c r="H6">
        <f>Input!H30*IS!H5</f>
        <v>-260.45869667747849</v>
      </c>
      <c r="I6">
        <f>Input!I30*IS!I5</f>
        <v>-267.91185691985038</v>
      </c>
      <c r="J6">
        <f>Input!J30*IS!J5</f>
        <v>-273.27009405824737</v>
      </c>
      <c r="K6">
        <f>Input!K30*IS!K5</f>
        <v>-278.73549593941232</v>
      </c>
      <c r="L6">
        <f>Input!L30*IS!L5</f>
        <v>-284.31020585820056</v>
      </c>
    </row>
    <row r="7" spans="1:12" x14ac:dyDescent="0.2">
      <c r="B7" t="s">
        <v>134</v>
      </c>
      <c r="C7">
        <v>-17.896999999999998</v>
      </c>
      <c r="D7">
        <v>-21.48</v>
      </c>
      <c r="E7">
        <f>Calc!E8</f>
        <v>-22.712272000000002</v>
      </c>
      <c r="F7">
        <f>Calc!F8</f>
        <v>-25.695936329427607</v>
      </c>
      <c r="G7">
        <f>Calc!G8</f>
        <v>-28.572696598414492</v>
      </c>
      <c r="H7">
        <f>Calc!H8</f>
        <v>-31.248953181584273</v>
      </c>
      <c r="I7">
        <f>Calc!I8</f>
        <v>-33.648432607927838</v>
      </c>
      <c r="J7">
        <f>Calc!J8</f>
        <v>-35.707139720448282</v>
      </c>
      <c r="K7">
        <f>Calc!K8</f>
        <v>-37.430100114000702</v>
      </c>
      <c r="L7">
        <f>Calc!L8</f>
        <v>-38.913121328457144</v>
      </c>
    </row>
    <row r="8" spans="1:12" x14ac:dyDescent="0.2">
      <c r="B8" t="s">
        <v>377</v>
      </c>
      <c r="C8">
        <f>SUM(C5:C7)</f>
        <v>305.96699999999993</v>
      </c>
      <c r="D8">
        <f>SUM(D5:D7)</f>
        <v>326.89999999999998</v>
      </c>
      <c r="E8">
        <f>SUM(E5:E7)</f>
        <v>359.81476787263369</v>
      </c>
      <c r="F8">
        <f t="shared" ref="F8:I8" si="4">SUM(F5:F7)</f>
        <v>386.25331187015252</v>
      </c>
      <c r="G8">
        <f t="shared" si="4"/>
        <v>407.67645760647633</v>
      </c>
      <c r="H8">
        <f t="shared" si="4"/>
        <v>423.83822013400999</v>
      </c>
      <c r="I8">
        <f t="shared" si="4"/>
        <v>434.46129541686571</v>
      </c>
      <c r="J8">
        <f t="shared" ref="J8:L8" si="5">SUM(J5:J7)</f>
        <v>441.7647828648411</v>
      </c>
      <c r="K8">
        <f t="shared" si="5"/>
        <v>449.59126092299454</v>
      </c>
      <c r="L8">
        <f t="shared" si="5"/>
        <v>457.84866692927801</v>
      </c>
    </row>
    <row r="10" spans="1:12" x14ac:dyDescent="0.2">
      <c r="B10" t="s">
        <v>378</v>
      </c>
      <c r="C10">
        <f>-36.447-17.539-114.752-43.799-C11</f>
        <v>-212.27800000000002</v>
      </c>
      <c r="D10">
        <f>-33.946-18.565-127.848-49.653-D11+0.753+2.5</f>
        <v>-226.74499999999998</v>
      </c>
      <c r="E10">
        <f>Input!E32*IS!E5</f>
        <v>-249.00345048312946</v>
      </c>
      <c r="F10">
        <f>Input!F32*IS!F5</f>
        <v>-268.15564269595308</v>
      </c>
      <c r="G10">
        <f>Input!G32*IS!G5</f>
        <v>-283.97350603903266</v>
      </c>
      <c r="H10">
        <f>Input!H32*IS!H5</f>
        <v>-296.23599017713212</v>
      </c>
      <c r="I10">
        <f>Input!I32*IS!I5</f>
        <v>-304.71293616708255</v>
      </c>
      <c r="J10">
        <f>Input!J32*IS!J5</f>
        <v>-310.80719489042423</v>
      </c>
      <c r="K10">
        <f>Input!K32*IS!K5</f>
        <v>-317.02333878823271</v>
      </c>
      <c r="L10">
        <f>Input!L32*IS!L5</f>
        <v>-323.36380556399735</v>
      </c>
    </row>
    <row r="11" spans="1:12" x14ac:dyDescent="0.2">
      <c r="B11" t="s">
        <v>135</v>
      </c>
      <c r="C11">
        <f>-0.096-0.163</f>
        <v>-0.25900000000000001</v>
      </c>
      <c r="D11">
        <f>-0.014</f>
        <v>-1.4E-2</v>
      </c>
      <c r="E11">
        <f>Input!E33</f>
        <v>0</v>
      </c>
      <c r="F11">
        <f>Input!F33</f>
        <v>0</v>
      </c>
      <c r="G11">
        <f>Input!G33</f>
        <v>0</v>
      </c>
      <c r="H11">
        <f>Input!H33</f>
        <v>0</v>
      </c>
      <c r="I11">
        <f>Input!I33</f>
        <v>0</v>
      </c>
      <c r="J11">
        <f>Input!J33</f>
        <v>0</v>
      </c>
      <c r="K11">
        <f>Input!K33</f>
        <v>0</v>
      </c>
      <c r="L11">
        <f>Input!L33</f>
        <v>0</v>
      </c>
    </row>
    <row r="12" spans="1:12" x14ac:dyDescent="0.2">
      <c r="B12" t="s">
        <v>476</v>
      </c>
      <c r="C12" s="149">
        <v>0</v>
      </c>
      <c r="D12" s="149">
        <v>0</v>
      </c>
      <c r="E12">
        <f>IF(scenario_toggle="synergy case",Input!E8*IS!E5,0)</f>
        <v>0</v>
      </c>
      <c r="F12">
        <f>IF(scenario_toggle="synergy case",Input!F8*IS!F5,0)</f>
        <v>0</v>
      </c>
      <c r="G12">
        <f>IF(scenario_toggle="synergy case",Input!G8*IS!G5,0)</f>
        <v>0</v>
      </c>
      <c r="H12">
        <f>IF(scenario_toggle="synergy case",Input!H8*IS!H5,0)</f>
        <v>0</v>
      </c>
      <c r="I12">
        <f>IF(scenario_toggle="synergy case",Input!I8*IS!I5,0)</f>
        <v>0</v>
      </c>
      <c r="J12">
        <f>IF(scenario_toggle="synergy case",Input!J8*IS!J5,0)</f>
        <v>0</v>
      </c>
      <c r="K12">
        <f>IF(scenario_toggle="synergy case",Input!K8*IS!K5,0)</f>
        <v>0</v>
      </c>
      <c r="L12">
        <f>IF(scenario_toggle="synergy case",Input!L8*IS!L5,0)</f>
        <v>0</v>
      </c>
    </row>
    <row r="13" spans="1:12" x14ac:dyDescent="0.2">
      <c r="B13" t="s">
        <v>379</v>
      </c>
      <c r="C13">
        <f>C8+C10+C11+C12</f>
        <v>93.429999999999907</v>
      </c>
      <c r="D13">
        <f t="shared" ref="D13:I13" si="6">D8+D10+D11+D12</f>
        <v>100.14100000000001</v>
      </c>
      <c r="E13">
        <f>E8+E10+E11+E12</f>
        <v>110.81131738950424</v>
      </c>
      <c r="F13">
        <f t="shared" si="6"/>
        <v>118.09766917419944</v>
      </c>
      <c r="G13">
        <f t="shared" si="6"/>
        <v>123.70295156744368</v>
      </c>
      <c r="H13">
        <f t="shared" si="6"/>
        <v>127.60222995687786</v>
      </c>
      <c r="I13">
        <f t="shared" si="6"/>
        <v>129.74835924978316</v>
      </c>
      <c r="J13">
        <f t="shared" ref="J13:L13" si="7">J8+J10+J11+J12</f>
        <v>130.95758797441687</v>
      </c>
      <c r="K13">
        <f t="shared" si="7"/>
        <v>132.56792213476183</v>
      </c>
      <c r="L13">
        <f t="shared" si="7"/>
        <v>134.48486136528066</v>
      </c>
    </row>
    <row r="15" spans="1:12" x14ac:dyDescent="0.2">
      <c r="B15" t="s">
        <v>380</v>
      </c>
      <c r="C15">
        <f>0.475+0.132</f>
        <v>0.60699999999999998</v>
      </c>
      <c r="D15">
        <f>-0.753-2.5+0.427+0.074</f>
        <v>-2.7520000000000002</v>
      </c>
      <c r="E15">
        <f>Input!E34</f>
        <v>0</v>
      </c>
      <c r="F15">
        <f>Input!F34</f>
        <v>0</v>
      </c>
      <c r="G15">
        <f>Input!G34</f>
        <v>0</v>
      </c>
      <c r="H15">
        <f>Input!H34</f>
        <v>0</v>
      </c>
      <c r="I15">
        <f>Input!I34</f>
        <v>0</v>
      </c>
      <c r="J15">
        <f>Input!J34</f>
        <v>0</v>
      </c>
      <c r="K15">
        <f>Input!K34</f>
        <v>0</v>
      </c>
      <c r="L15">
        <f>Input!L34</f>
        <v>0</v>
      </c>
    </row>
    <row r="16" spans="1:12" x14ac:dyDescent="0.2">
      <c r="B16" t="s">
        <v>381</v>
      </c>
      <c r="C16">
        <v>0.27900000000000003</v>
      </c>
      <c r="D16">
        <v>0.41099999999999998</v>
      </c>
      <c r="E16">
        <f>(Input!E35+1)*IS!D16</f>
        <v>0.41099999999999998</v>
      </c>
      <c r="F16">
        <f>(Input!F35+1)*IS!E16</f>
        <v>0.41099999999999998</v>
      </c>
      <c r="G16">
        <f>(Input!G35+1)*IS!F16</f>
        <v>0.41099999999999998</v>
      </c>
      <c r="H16">
        <f>(Input!H35+1)*IS!G16</f>
        <v>0.41099999999999998</v>
      </c>
      <c r="I16">
        <f>(Input!I35+1)*IS!H16</f>
        <v>0.41099999999999998</v>
      </c>
      <c r="J16">
        <f>(Input!J35+1)*IS!I16</f>
        <v>0.41099999999999998</v>
      </c>
      <c r="K16">
        <f>(Input!K35+1)*IS!J16</f>
        <v>0.41099999999999998</v>
      </c>
      <c r="L16">
        <f>(Input!L35+1)*IS!K16</f>
        <v>0.41099999999999998</v>
      </c>
    </row>
    <row r="17" spans="2:12" x14ac:dyDescent="0.2">
      <c r="B17" t="s">
        <v>382</v>
      </c>
      <c r="C17">
        <v>0</v>
      </c>
      <c r="D17">
        <v>0</v>
      </c>
      <c r="E17">
        <f>IF(Switch2=1,Calc!E43,0)</f>
        <v>0</v>
      </c>
      <c r="F17">
        <f>IF(Switch2=1,Calc!F43,0)</f>
        <v>0</v>
      </c>
      <c r="G17">
        <f>IF(Switch2=1,Calc!G43,0)</f>
        <v>0</v>
      </c>
      <c r="H17">
        <f>IF(Switch2=1,Calc!H43,0)</f>
        <v>0</v>
      </c>
      <c r="I17">
        <f>IF(Switch2=1,Calc!I43,0)</f>
        <v>0</v>
      </c>
      <c r="J17">
        <f>IF(Switch2=1,Calc!J43,0)</f>
        <v>0</v>
      </c>
      <c r="K17">
        <f>IF(Switch2=1,Calc!K43,0)</f>
        <v>0</v>
      </c>
      <c r="L17">
        <f>IF(Switch2=1,Calc!L43,0)</f>
        <v>0</v>
      </c>
    </row>
    <row r="18" spans="2:12" x14ac:dyDescent="0.2">
      <c r="B18" t="s">
        <v>383</v>
      </c>
      <c r="C18">
        <v>-0.47699999999999998</v>
      </c>
      <c r="D18">
        <v>-0.34699999999999998</v>
      </c>
      <c r="E18">
        <f>IF(Switch2=1,Calc!E41,0)</f>
        <v>0</v>
      </c>
      <c r="F18">
        <f>IF(Switch2=1,Calc!F41,0)</f>
        <v>0</v>
      </c>
      <c r="G18">
        <f>IF(Switch2=1,Calc!G41,0)</f>
        <v>0</v>
      </c>
      <c r="H18">
        <f>IF(Switch2=1,Calc!H41,0)</f>
        <v>0</v>
      </c>
      <c r="I18">
        <f>IF(Switch2=1,Calc!I41,0)</f>
        <v>0</v>
      </c>
      <c r="J18">
        <f>IF(Switch2=1,Calc!J41,0)</f>
        <v>0</v>
      </c>
      <c r="K18">
        <f>IF(Switch2=1,Calc!K41,0)</f>
        <v>0</v>
      </c>
      <c r="L18">
        <f>IF(Switch2=1,Calc!L41,0)</f>
        <v>0</v>
      </c>
    </row>
    <row r="19" spans="2:12" x14ac:dyDescent="0.2">
      <c r="B19" t="s">
        <v>384</v>
      </c>
      <c r="C19">
        <f>SUM(C13,C15:C18)</f>
        <v>93.838999999999899</v>
      </c>
      <c r="D19">
        <f>SUM(D13,D15:D18)</f>
        <v>97.453000000000017</v>
      </c>
      <c r="E19">
        <f>SUM(E13,E15:E18)</f>
        <v>111.22231738950424</v>
      </c>
      <c r="F19">
        <f t="shared" ref="F19:I19" si="8">SUM(F13,F15:F18)</f>
        <v>118.50866917419944</v>
      </c>
      <c r="G19">
        <f t="shared" si="8"/>
        <v>124.11395156744368</v>
      </c>
      <c r="H19">
        <f t="shared" si="8"/>
        <v>128.01322995687786</v>
      </c>
      <c r="I19">
        <f t="shared" si="8"/>
        <v>130.15935924978317</v>
      </c>
      <c r="J19">
        <f t="shared" ref="J19:L19" si="9">SUM(J13,J15:J18)</f>
        <v>131.36858797441687</v>
      </c>
      <c r="K19">
        <f t="shared" si="9"/>
        <v>132.97892213476183</v>
      </c>
      <c r="L19">
        <f t="shared" si="9"/>
        <v>134.89586136528067</v>
      </c>
    </row>
    <row r="21" spans="2:12" x14ac:dyDescent="0.2">
      <c r="B21" t="s">
        <v>385</v>
      </c>
      <c r="C21">
        <v>-35.83</v>
      </c>
      <c r="D21">
        <v>-34.44</v>
      </c>
      <c r="E21">
        <f>Input!E38*IS!E19</f>
        <v>-39.261478038494992</v>
      </c>
      <c r="F21">
        <f>Input!F38*IS!F19</f>
        <v>-41.833560218492401</v>
      </c>
      <c r="G21">
        <f>Input!G38*IS!G19</f>
        <v>-43.812224903307616</v>
      </c>
      <c r="H21">
        <f>Input!H38*IS!H19</f>
        <v>-45.188670174777883</v>
      </c>
      <c r="I21">
        <f>Input!I38*IS!I19</f>
        <v>-45.946253815173456</v>
      </c>
      <c r="J21">
        <f>Input!J38*IS!J19</f>
        <v>-46.373111554969149</v>
      </c>
      <c r="K21">
        <f>Input!K38*IS!K19</f>
        <v>-46.941559513570922</v>
      </c>
      <c r="L21">
        <f>Input!L38*IS!L19</f>
        <v>-47.618239061944074</v>
      </c>
    </row>
    <row r="22" spans="2:12" x14ac:dyDescent="0.2">
      <c r="B22" t="s">
        <v>363</v>
      </c>
      <c r="C22">
        <f>C19+C21</f>
        <v>58.008999999999901</v>
      </c>
      <c r="D22">
        <f>D19+D21</f>
        <v>63.013000000000019</v>
      </c>
      <c r="E22">
        <f>E19+E21</f>
        <v>71.960839351009241</v>
      </c>
      <c r="F22">
        <f t="shared" ref="F22:I22" si="10">F19+F21</f>
        <v>76.675108955707032</v>
      </c>
      <c r="G22">
        <f t="shared" si="10"/>
        <v>80.301726664136055</v>
      </c>
      <c r="H22">
        <f t="shared" si="10"/>
        <v>82.824559782099982</v>
      </c>
      <c r="I22">
        <f t="shared" si="10"/>
        <v>84.213105434609702</v>
      </c>
      <c r="J22">
        <f t="shared" ref="J22:L22" si="11">J19+J21</f>
        <v>84.995476419447726</v>
      </c>
      <c r="K22">
        <f t="shared" si="11"/>
        <v>86.037362621190908</v>
      </c>
      <c r="L22">
        <f t="shared" si="11"/>
        <v>87.277622303336585</v>
      </c>
    </row>
    <row r="24" spans="2:12" x14ac:dyDescent="0.2">
      <c r="B24" t="s">
        <v>341</v>
      </c>
      <c r="C24">
        <v>67.867529000000005</v>
      </c>
      <c r="D24">
        <v>67.852534000000006</v>
      </c>
      <c r="E24">
        <f>Input!E39</f>
        <v>67.651600999999999</v>
      </c>
      <c r="F24">
        <f>Input!F39</f>
        <v>67.651600999999999</v>
      </c>
      <c r="G24">
        <f>Input!G39</f>
        <v>67.651600999999999</v>
      </c>
      <c r="H24">
        <f>Input!H39</f>
        <v>67.651600999999999</v>
      </c>
      <c r="I24">
        <f>Input!I39</f>
        <v>67.651600999999999</v>
      </c>
      <c r="J24">
        <f>Input!J39</f>
        <v>67.651600999999999</v>
      </c>
      <c r="K24">
        <f>Input!K39</f>
        <v>67.651600999999999</v>
      </c>
      <c r="L24">
        <f>Input!L39</f>
        <v>67.651600999999999</v>
      </c>
    </row>
    <row r="25" spans="2:12" x14ac:dyDescent="0.2">
      <c r="B25" t="s">
        <v>189</v>
      </c>
      <c r="C25">
        <v>67.878339999999994</v>
      </c>
      <c r="D25">
        <v>67.876772000000003</v>
      </c>
      <c r="E25">
        <f>Input!E40</f>
        <v>67.6757672235494</v>
      </c>
      <c r="F25">
        <f>Input!F40</f>
        <v>67.6757672235494</v>
      </c>
      <c r="G25">
        <f>Input!G40</f>
        <v>67.6757672235494</v>
      </c>
      <c r="H25">
        <f>Input!H40</f>
        <v>67.6757672235494</v>
      </c>
      <c r="I25">
        <f>Input!I40</f>
        <v>67.6757672235494</v>
      </c>
      <c r="J25">
        <f>Input!J40</f>
        <v>67.6757672235494</v>
      </c>
      <c r="K25">
        <f>Input!K40</f>
        <v>67.6757672235494</v>
      </c>
      <c r="L25">
        <f>Input!L40</f>
        <v>67.6757672235494</v>
      </c>
    </row>
    <row r="26" spans="2:12" x14ac:dyDescent="0.2">
      <c r="B26" t="s">
        <v>386</v>
      </c>
      <c r="C26">
        <v>0.85</v>
      </c>
      <c r="D26">
        <v>0.93</v>
      </c>
      <c r="E26">
        <f>E22/E24</f>
        <v>1.0636975073362898</v>
      </c>
      <c r="F26">
        <f t="shared" ref="F26:I26" si="12">F22/F24</f>
        <v>1.13338203120584</v>
      </c>
      <c r="G26">
        <f t="shared" si="12"/>
        <v>1.186989302206404</v>
      </c>
      <c r="H26">
        <f t="shared" si="12"/>
        <v>1.2242808530444089</v>
      </c>
      <c r="I26">
        <f t="shared" si="12"/>
        <v>1.2448058019293542</v>
      </c>
      <c r="J26">
        <f t="shared" ref="J26:L26" si="13">J22/J24</f>
        <v>1.2563705095382403</v>
      </c>
      <c r="K26">
        <f t="shared" si="13"/>
        <v>1.2717712714765008</v>
      </c>
      <c r="L26">
        <f t="shared" si="13"/>
        <v>1.2901043140625243</v>
      </c>
    </row>
    <row r="27" spans="2:12" x14ac:dyDescent="0.2">
      <c r="B27" t="s">
        <v>387</v>
      </c>
      <c r="C27">
        <v>0.85</v>
      </c>
      <c r="D27">
        <v>0.93</v>
      </c>
      <c r="E27">
        <f>E22/E25</f>
        <v>1.0633176734192789</v>
      </c>
      <c r="F27">
        <f t="shared" ref="F27:I27" si="14">F22/F25</f>
        <v>1.1329773137618171</v>
      </c>
      <c r="G27">
        <f t="shared" si="14"/>
        <v>1.1865654422339988</v>
      </c>
      <c r="H27">
        <f t="shared" si="14"/>
        <v>1.2238436766961276</v>
      </c>
      <c r="I27">
        <f t="shared" si="14"/>
        <v>1.2443612963623076</v>
      </c>
      <c r="J27">
        <f t="shared" ref="J27:L27" si="15">J22/J25</f>
        <v>1.255921874349605</v>
      </c>
      <c r="K27">
        <f t="shared" si="15"/>
        <v>1.2713171368562211</v>
      </c>
      <c r="L27">
        <f t="shared" si="15"/>
        <v>1.2896436329275371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29"/>
  <sheetViews>
    <sheetView zoomScaleNormal="100" workbookViewId="0"/>
  </sheetViews>
  <sheetFormatPr baseColWidth="10" defaultColWidth="8.83203125" defaultRowHeight="15" x14ac:dyDescent="0.2"/>
  <cols>
    <col min="1" max="1" width="1.5" customWidth="1"/>
    <col min="2" max="2" width="30.6640625" customWidth="1"/>
    <col min="3" max="12" width="10.5" customWidth="1"/>
  </cols>
  <sheetData>
    <row r="1" spans="1:12" ht="29" x14ac:dyDescent="0.35">
      <c r="A1" s="5" t="s">
        <v>309</v>
      </c>
      <c r="B1" s="10"/>
      <c r="C1" s="12"/>
      <c r="D1" s="12"/>
      <c r="E1" s="12"/>
      <c r="F1" s="12"/>
      <c r="G1" s="12"/>
      <c r="H1" s="12"/>
      <c r="I1" s="12"/>
      <c r="J1" s="12"/>
      <c r="K1" s="12"/>
      <c r="L1" s="12"/>
    </row>
    <row r="2" spans="1:12" ht="21" x14ac:dyDescent="0.25">
      <c r="A2" s="14" t="s">
        <v>310</v>
      </c>
      <c r="B2" s="7"/>
      <c r="C2" s="11" t="s">
        <v>311</v>
      </c>
      <c r="D2" s="11" t="s">
        <v>311</v>
      </c>
      <c r="E2" s="11" t="s">
        <v>312</v>
      </c>
      <c r="F2" s="11" t="s">
        <v>312</v>
      </c>
      <c r="G2" s="11" t="s">
        <v>312</v>
      </c>
      <c r="H2" s="11" t="s">
        <v>312</v>
      </c>
      <c r="I2" s="11" t="s">
        <v>312</v>
      </c>
      <c r="J2" s="11" t="s">
        <v>312</v>
      </c>
      <c r="K2" s="11" t="s">
        <v>312</v>
      </c>
      <c r="L2" s="11" t="s">
        <v>312</v>
      </c>
    </row>
    <row r="3" spans="1:12" ht="21" x14ac:dyDescent="0.25">
      <c r="A3" s="14" t="s">
        <v>588</v>
      </c>
      <c r="B3" s="7"/>
      <c r="C3" s="11">
        <f>EDATE(D3,-12)</f>
        <v>42004</v>
      </c>
      <c r="D3" s="11">
        <v>42369</v>
      </c>
      <c r="E3" s="11">
        <f>EDATE(D3,12)</f>
        <v>42735</v>
      </c>
      <c r="F3" s="11">
        <f t="shared" ref="F3:I3" si="0">EDATE(E3,12)</f>
        <v>43100</v>
      </c>
      <c r="G3" s="11">
        <f t="shared" si="0"/>
        <v>43465</v>
      </c>
      <c r="H3" s="11">
        <f t="shared" si="0"/>
        <v>43830</v>
      </c>
      <c r="I3" s="11">
        <f t="shared" si="0"/>
        <v>44196</v>
      </c>
      <c r="J3" s="11">
        <f t="shared" ref="J3" si="1">EDATE(I3,12)</f>
        <v>44561</v>
      </c>
      <c r="K3" s="11">
        <f t="shared" ref="K3" si="2">EDATE(J3,12)</f>
        <v>44926</v>
      </c>
      <c r="L3" s="11">
        <f t="shared" ref="L3" si="3">EDATE(K3,12)</f>
        <v>45291</v>
      </c>
    </row>
    <row r="5" spans="1:12" x14ac:dyDescent="0.2">
      <c r="B5" t="s">
        <v>388</v>
      </c>
      <c r="C5">
        <v>52.795999999999999</v>
      </c>
      <c r="D5">
        <v>94.632000000000005</v>
      </c>
      <c r="E5">
        <f>CFS!E22</f>
        <v>148.56429117659343</v>
      </c>
      <c r="F5">
        <f>CFS!F22</f>
        <v>208.1105223270898</v>
      </c>
      <c r="G5">
        <f>CFS!G22</f>
        <v>273.08973977726458</v>
      </c>
      <c r="H5">
        <f>CFS!H22</f>
        <v>342.74946054912294</v>
      </c>
      <c r="I5">
        <f>CFS!I22</f>
        <v>416.26447879606917</v>
      </c>
      <c r="J5">
        <f>CFS!J22</f>
        <v>492.56028975554199</v>
      </c>
      <c r="K5">
        <f>CFS!K22</f>
        <v>570.74103120670202</v>
      </c>
      <c r="L5">
        <f>CFS!L22</f>
        <v>650.7475391287835</v>
      </c>
    </row>
    <row r="6" spans="1:12" x14ac:dyDescent="0.2">
      <c r="B6" t="s">
        <v>389</v>
      </c>
      <c r="C6">
        <v>31.89</v>
      </c>
      <c r="D6">
        <v>32.433999999999997</v>
      </c>
      <c r="E6">
        <f>Input!E44/365*IS!E5</f>
        <v>35.593107871322857</v>
      </c>
      <c r="F6">
        <f>Input!F44/365*IS!F5</f>
        <v>38.330764888045707</v>
      </c>
      <c r="G6">
        <f>Input!G44/365*IS!G5</f>
        <v>40.591805508855181</v>
      </c>
      <c r="H6">
        <f>Input!H44/365*IS!H5</f>
        <v>42.344632306439379</v>
      </c>
      <c r="I6">
        <f>Input!I44/365*IS!I5</f>
        <v>43.556345848778932</v>
      </c>
      <c r="J6">
        <f>Input!J44/365*IS!J5</f>
        <v>44.427472765754509</v>
      </c>
      <c r="K6">
        <f>Input!K44/365*IS!K5</f>
        <v>45.316022221069602</v>
      </c>
      <c r="L6">
        <f>Input!L44/365*IS!L5</f>
        <v>46.222342665490991</v>
      </c>
    </row>
    <row r="7" spans="1:12" x14ac:dyDescent="0.2">
      <c r="B7" t="s">
        <v>390</v>
      </c>
      <c r="C7">
        <v>89.230999999999995</v>
      </c>
      <c r="D7">
        <v>99.688000000000002</v>
      </c>
      <c r="E7">
        <f>Input!E43/365*IS!E6</f>
        <v>109.52526597307839</v>
      </c>
      <c r="F7">
        <f>Input!F43/365*IS!F6</f>
        <v>117.9494421923519</v>
      </c>
      <c r="G7">
        <f>Input!G43/365*IS!G6</f>
        <v>124.90699915156353</v>
      </c>
      <c r="H7">
        <f>Input!H43/365*IS!H6</f>
        <v>130.30070688577419</v>
      </c>
      <c r="I7">
        <f>Input!I43/365*IS!I6</f>
        <v>134.02932896867037</v>
      </c>
      <c r="J7">
        <f>Input!J43/365*IS!J6</f>
        <v>136.70991554804377</v>
      </c>
      <c r="K7">
        <f>Input!K43/365*IS!K6</f>
        <v>139.44411385900463</v>
      </c>
      <c r="L7">
        <f>Input!L43/365*IS!L6</f>
        <v>142.23299613618474</v>
      </c>
    </row>
    <row r="8" spans="1:12" x14ac:dyDescent="0.2">
      <c r="B8" t="s">
        <v>391</v>
      </c>
      <c r="C8">
        <f>(8315+3003)/1000</f>
        <v>11.318</v>
      </c>
      <c r="D8">
        <f>(12096+3543+996)/1000</f>
        <v>16.635000000000002</v>
      </c>
      <c r="E8">
        <f>Input!E46*IS!E5</f>
        <v>18.043728295878946</v>
      </c>
      <c r="F8">
        <f>Input!F46*IS!F5</f>
        <v>19.431568311300946</v>
      </c>
      <c r="G8">
        <f>Input!G46*IS!G5</f>
        <v>20.577790292683527</v>
      </c>
      <c r="H8">
        <f>Input!H46*IS!H5</f>
        <v>21.466376099792182</v>
      </c>
      <c r="I8">
        <f>Input!I46*IS!I5</f>
        <v>22.080647548339318</v>
      </c>
      <c r="J8">
        <f>Input!J46*IS!J5</f>
        <v>22.522260499306103</v>
      </c>
      <c r="K8">
        <f>Input!K46*IS!K5</f>
        <v>22.972705709292224</v>
      </c>
      <c r="L8">
        <f>Input!L46*IS!L5</f>
        <v>23.43215982347807</v>
      </c>
    </row>
    <row r="9" spans="1:12" x14ac:dyDescent="0.2">
      <c r="B9" s="163" t="s">
        <v>392</v>
      </c>
      <c r="C9" s="163">
        <f>SUM(C5:C8)</f>
        <v>185.23500000000001</v>
      </c>
      <c r="D9" s="163">
        <f>SUM(D5:D8)</f>
        <v>243.38900000000001</v>
      </c>
      <c r="E9" s="163">
        <f>SUM(E5:E8)</f>
        <v>311.72639331687361</v>
      </c>
      <c r="F9" s="163">
        <f t="shared" ref="F9:I9" si="4">SUM(F5:F8)</f>
        <v>383.82229771878838</v>
      </c>
      <c r="G9" s="163">
        <f t="shared" si="4"/>
        <v>459.16633473036683</v>
      </c>
      <c r="H9" s="163">
        <f t="shared" si="4"/>
        <v>536.86117584112878</v>
      </c>
      <c r="I9" s="163">
        <f t="shared" si="4"/>
        <v>615.93080116185786</v>
      </c>
      <c r="J9" s="163">
        <f t="shared" ref="J9:L9" si="5">SUM(J5:J8)</f>
        <v>696.2199385686464</v>
      </c>
      <c r="K9" s="163">
        <f t="shared" si="5"/>
        <v>778.47387299606851</v>
      </c>
      <c r="L9" s="163">
        <f t="shared" si="5"/>
        <v>862.63503775393724</v>
      </c>
    </row>
    <row r="11" spans="1:12" x14ac:dyDescent="0.2">
      <c r="B11" t="s">
        <v>393</v>
      </c>
      <c r="C11">
        <v>79.066999999999993</v>
      </c>
      <c r="D11">
        <v>83.501000000000005</v>
      </c>
      <c r="E11">
        <f>Calc!E9</f>
        <v>94.470354152307365</v>
      </c>
      <c r="F11">
        <f>Calc!F9</f>
        <v>105.04667867064151</v>
      </c>
      <c r="G11">
        <f>Calc!G9</f>
        <v>114.88585728523628</v>
      </c>
      <c r="H11">
        <f>Calc!H9</f>
        <v>123.7074728232641</v>
      </c>
      <c r="I11">
        <f>Calc!I9</f>
        <v>131.27624897223632</v>
      </c>
      <c r="J11">
        <f>Calc!J9</f>
        <v>137.61066218382609</v>
      </c>
      <c r="K11">
        <f>Calc!K9</f>
        <v>143.0629460605042</v>
      </c>
      <c r="L11">
        <f>Calc!L9</f>
        <v>147.88985640253944</v>
      </c>
    </row>
    <row r="12" spans="1:12" x14ac:dyDescent="0.2">
      <c r="B12" t="s">
        <v>394</v>
      </c>
      <c r="C12">
        <v>2.1560000000000001</v>
      </c>
      <c r="D12">
        <v>1.84</v>
      </c>
      <c r="E12">
        <f>Calc!E15</f>
        <v>2.2509999999999999</v>
      </c>
      <c r="F12">
        <f>Calc!F15</f>
        <v>2.6619999999999999</v>
      </c>
      <c r="G12">
        <f>Calc!G15</f>
        <v>3.073</v>
      </c>
      <c r="H12">
        <f>Calc!H15</f>
        <v>3.484</v>
      </c>
      <c r="I12">
        <f>Calc!I15</f>
        <v>3.895</v>
      </c>
      <c r="J12">
        <f>Calc!J15</f>
        <v>4.306</v>
      </c>
      <c r="K12">
        <f>Calc!K15</f>
        <v>4.7169999999999996</v>
      </c>
      <c r="L12">
        <f>Calc!L15</f>
        <v>5.1279999999999992</v>
      </c>
    </row>
    <row r="13" spans="1:12" x14ac:dyDescent="0.2">
      <c r="B13" t="s">
        <v>83</v>
      </c>
      <c r="C13">
        <v>142.773</v>
      </c>
      <c r="D13">
        <v>142.773</v>
      </c>
      <c r="E13">
        <f>Input!E49</f>
        <v>142.773</v>
      </c>
      <c r="F13">
        <f>Input!F49</f>
        <v>142.773</v>
      </c>
      <c r="G13">
        <f>Input!G49</f>
        <v>142.773</v>
      </c>
      <c r="H13">
        <f>Input!H49</f>
        <v>142.773</v>
      </c>
      <c r="I13">
        <f>Input!I49</f>
        <v>142.773</v>
      </c>
      <c r="J13">
        <f>Input!J49</f>
        <v>142.773</v>
      </c>
      <c r="K13">
        <f>Input!K49</f>
        <v>142.773</v>
      </c>
      <c r="L13">
        <f>Input!L49</f>
        <v>142.773</v>
      </c>
    </row>
    <row r="14" spans="1:12" x14ac:dyDescent="0.2">
      <c r="B14" t="s">
        <v>395</v>
      </c>
      <c r="C14">
        <v>130.41399999999999</v>
      </c>
      <c r="D14">
        <v>130.4</v>
      </c>
      <c r="E14">
        <f>D14+IS!E11</f>
        <v>130.4</v>
      </c>
      <c r="F14">
        <f>E14+IS!F11</f>
        <v>130.4</v>
      </c>
      <c r="G14">
        <f>F14+IS!G11</f>
        <v>130.4</v>
      </c>
      <c r="H14">
        <f>G14+IS!H11</f>
        <v>130.4</v>
      </c>
      <c r="I14">
        <f>H14+IS!I11</f>
        <v>130.4</v>
      </c>
      <c r="J14">
        <f>I14+IS!J11</f>
        <v>130.4</v>
      </c>
      <c r="K14">
        <f>J14+IS!K11</f>
        <v>130.4</v>
      </c>
      <c r="L14">
        <f>K14+IS!L11</f>
        <v>130.4</v>
      </c>
    </row>
    <row r="15" spans="1:12" x14ac:dyDescent="0.2">
      <c r="B15" t="s">
        <v>396</v>
      </c>
      <c r="C15">
        <f>(11279+386)/1000</f>
        <v>11.664999999999999</v>
      </c>
      <c r="D15">
        <f>(9270+771)/1000</f>
        <v>10.041</v>
      </c>
      <c r="E15">
        <f>Input!E50</f>
        <v>10</v>
      </c>
      <c r="F15">
        <f>Input!F50</f>
        <v>10</v>
      </c>
      <c r="G15">
        <f>Input!G50</f>
        <v>10</v>
      </c>
      <c r="H15">
        <f>Input!H50</f>
        <v>10</v>
      </c>
      <c r="I15">
        <f>Input!I50</f>
        <v>10</v>
      </c>
      <c r="J15">
        <f>Input!J50</f>
        <v>10</v>
      </c>
      <c r="K15">
        <f>Input!K50</f>
        <v>10</v>
      </c>
      <c r="L15">
        <f>Input!L50</f>
        <v>10</v>
      </c>
    </row>
    <row r="16" spans="1:12" x14ac:dyDescent="0.2">
      <c r="B16" s="163" t="s">
        <v>397</v>
      </c>
      <c r="C16" s="163">
        <f>SUM(C9,C11:C15)</f>
        <v>551.30999999999995</v>
      </c>
      <c r="D16" s="163">
        <f>SUM(D9,D11:D15)</f>
        <v>611.94399999999996</v>
      </c>
      <c r="E16" s="163">
        <f>SUM(E9,E11:E15)</f>
        <v>691.62074746918097</v>
      </c>
      <c r="F16" s="163">
        <f t="shared" ref="F16:I16" si="6">SUM(F9,F11:F15)</f>
        <v>774.70397638942984</v>
      </c>
      <c r="G16" s="163">
        <f t="shared" si="6"/>
        <v>860.29819201560315</v>
      </c>
      <c r="H16" s="163">
        <f t="shared" si="6"/>
        <v>947.22564866439291</v>
      </c>
      <c r="I16" s="163">
        <f t="shared" si="6"/>
        <v>1034.2750501340943</v>
      </c>
      <c r="J16" s="163">
        <f t="shared" ref="J16:L16" si="7">SUM(J9,J11:J15)</f>
        <v>1121.3096007524725</v>
      </c>
      <c r="K16" s="163">
        <f t="shared" si="7"/>
        <v>1209.4268190565729</v>
      </c>
      <c r="L16" s="163">
        <f t="shared" si="7"/>
        <v>1298.8258941564768</v>
      </c>
    </row>
    <row r="18" spans="2:12" x14ac:dyDescent="0.2">
      <c r="B18" t="s">
        <v>398</v>
      </c>
      <c r="C18">
        <v>0</v>
      </c>
      <c r="D18">
        <v>0</v>
      </c>
    </row>
    <row r="19" spans="2:12" x14ac:dyDescent="0.2">
      <c r="B19" t="s">
        <v>399</v>
      </c>
      <c r="C19">
        <v>33.898000000000003</v>
      </c>
      <c r="D19">
        <v>35.844000000000001</v>
      </c>
      <c r="E19">
        <f>Input!E52/365*IS!E6</f>
        <v>39.407502598199621</v>
      </c>
      <c r="F19">
        <f>Input!F52/365*IS!F6</f>
        <v>42.438545191881268</v>
      </c>
      <c r="G19">
        <f>Input!G52/365*IS!G6</f>
        <v>44.941893999220831</v>
      </c>
      <c r="H19">
        <f>Input!H52/365*IS!H6</f>
        <v>46.882565401946131</v>
      </c>
      <c r="I19">
        <f>Input!I52/365*IS!I6</f>
        <v>48.224134245573076</v>
      </c>
      <c r="J19">
        <f>Input!J52/365*IS!J6</f>
        <v>49.188616930484528</v>
      </c>
      <c r="K19">
        <f>Input!K52/365*IS!K6</f>
        <v>50.172389269094225</v>
      </c>
      <c r="L19">
        <f>Input!L52/365*IS!L6</f>
        <v>51.175837054476105</v>
      </c>
    </row>
    <row r="20" spans="2:12" x14ac:dyDescent="0.2">
      <c r="B20" t="s">
        <v>400</v>
      </c>
      <c r="C20">
        <f>(2334+34786)/1000</f>
        <v>37.119999999999997</v>
      </c>
      <c r="D20">
        <f>(615+39130)/1000</f>
        <v>39.744999999999997</v>
      </c>
      <c r="E20">
        <f>Input!E53*IS!E5</f>
        <v>43.906405519972104</v>
      </c>
      <c r="F20">
        <f>Input!F53*IS!F5</f>
        <v>47.283482890832303</v>
      </c>
      <c r="G20">
        <f>Input!G53*IS!G5</f>
        <v>50.072623045529916</v>
      </c>
      <c r="H20">
        <f>Input!H53*IS!H5</f>
        <v>52.234848509494306</v>
      </c>
      <c r="I20">
        <f>Input!I53*IS!I5</f>
        <v>53.729575700959003</v>
      </c>
      <c r="J20">
        <f>Input!J53*IS!J5</f>
        <v>54.804167214978179</v>
      </c>
      <c r="K20">
        <f>Input!K53*IS!K5</f>
        <v>55.900250559277751</v>
      </c>
      <c r="L20">
        <f>Input!L53*IS!L5</f>
        <v>57.018255570463303</v>
      </c>
    </row>
    <row r="21" spans="2:12" x14ac:dyDescent="0.2">
      <c r="B21" s="163" t="s">
        <v>401</v>
      </c>
      <c r="C21" s="163">
        <f>SUM(C18:C20)</f>
        <v>71.018000000000001</v>
      </c>
      <c r="D21" s="163">
        <f>SUM(D18:D20)</f>
        <v>75.588999999999999</v>
      </c>
      <c r="E21" s="163">
        <f>SUM(E18:E20)</f>
        <v>83.313908118171724</v>
      </c>
      <c r="F21" s="163">
        <f t="shared" ref="F21:I21" si="8">SUM(F18:F20)</f>
        <v>89.722028082713564</v>
      </c>
      <c r="G21" s="163">
        <f t="shared" si="8"/>
        <v>95.014517044750747</v>
      </c>
      <c r="H21" s="163">
        <f t="shared" si="8"/>
        <v>99.117413911440437</v>
      </c>
      <c r="I21" s="163">
        <f t="shared" si="8"/>
        <v>101.95370994653209</v>
      </c>
      <c r="J21" s="163">
        <f t="shared" ref="J21:L21" si="9">SUM(J18:J20)</f>
        <v>103.99278414546271</v>
      </c>
      <c r="K21" s="163">
        <f t="shared" si="9"/>
        <v>106.07263982837198</v>
      </c>
      <c r="L21" s="163">
        <f t="shared" si="9"/>
        <v>108.1940926249394</v>
      </c>
    </row>
    <row r="23" spans="2:12" x14ac:dyDescent="0.2">
      <c r="B23" t="s">
        <v>402</v>
      </c>
      <c r="C23">
        <f>(11407+42002)/1000</f>
        <v>53.408999999999999</v>
      </c>
      <c r="D23">
        <f>(12775+42734)/1000</f>
        <v>55.509</v>
      </c>
      <c r="E23">
        <f>Input!E55</f>
        <v>55.5</v>
      </c>
      <c r="F23">
        <f>Input!F55</f>
        <v>55.5</v>
      </c>
      <c r="G23">
        <f>Input!G55</f>
        <v>55.5</v>
      </c>
      <c r="H23">
        <f>Input!H55</f>
        <v>55.5</v>
      </c>
      <c r="I23">
        <f>Input!I55</f>
        <v>55.5</v>
      </c>
      <c r="J23">
        <f>Input!J55</f>
        <v>55.5</v>
      </c>
      <c r="K23">
        <f>Input!K55</f>
        <v>55.5</v>
      </c>
      <c r="L23">
        <f>Input!L55</f>
        <v>55.5</v>
      </c>
    </row>
    <row r="24" spans="2:12" x14ac:dyDescent="0.2">
      <c r="B24" s="163" t="s">
        <v>403</v>
      </c>
      <c r="C24" s="163">
        <f>C21+C23</f>
        <v>124.42699999999999</v>
      </c>
      <c r="D24" s="163">
        <f>D21+D23</f>
        <v>131.09800000000001</v>
      </c>
      <c r="E24" s="163">
        <f>E21+E23</f>
        <v>138.81390811817172</v>
      </c>
      <c r="F24" s="163">
        <f t="shared" ref="F24:I24" si="10">F21+F23</f>
        <v>145.22202808271356</v>
      </c>
      <c r="G24" s="163">
        <f t="shared" si="10"/>
        <v>150.51451704475073</v>
      </c>
      <c r="H24" s="163">
        <f t="shared" si="10"/>
        <v>154.61741391144045</v>
      </c>
      <c r="I24" s="163">
        <f t="shared" si="10"/>
        <v>157.45370994653209</v>
      </c>
      <c r="J24" s="163">
        <f t="shared" ref="J24:L24" si="11">J21+J23</f>
        <v>159.49278414546271</v>
      </c>
      <c r="K24" s="163">
        <f t="shared" si="11"/>
        <v>161.57263982837196</v>
      </c>
      <c r="L24" s="163">
        <f t="shared" si="11"/>
        <v>163.6940926249394</v>
      </c>
    </row>
    <row r="26" spans="2:12" x14ac:dyDescent="0.2">
      <c r="B26" t="s">
        <v>362</v>
      </c>
      <c r="C26">
        <v>426.88299999999998</v>
      </c>
      <c r="D26">
        <v>480.846</v>
      </c>
      <c r="E26">
        <f>Calc!E21</f>
        <v>552.80683935100922</v>
      </c>
      <c r="F26">
        <f>Calc!F21</f>
        <v>629.48194830671628</v>
      </c>
      <c r="G26">
        <f>Calc!G21</f>
        <v>709.7836749708523</v>
      </c>
      <c r="H26">
        <f>Calc!H21</f>
        <v>792.60823475295228</v>
      </c>
      <c r="I26">
        <f>Calc!I21</f>
        <v>876.82134018756199</v>
      </c>
      <c r="J26">
        <f>Calc!J21</f>
        <v>961.81681660700974</v>
      </c>
      <c r="K26">
        <f>Calc!K21</f>
        <v>1047.8541792282006</v>
      </c>
      <c r="L26">
        <f>Calc!L21</f>
        <v>1135.1318015315371</v>
      </c>
    </row>
    <row r="27" spans="2:12" x14ac:dyDescent="0.2">
      <c r="B27" s="163" t="s">
        <v>404</v>
      </c>
      <c r="C27" s="163">
        <f>C24+C26</f>
        <v>551.30999999999995</v>
      </c>
      <c r="D27" s="163">
        <f>D24+D26</f>
        <v>611.94399999999996</v>
      </c>
      <c r="E27" s="163">
        <f>E24+E26</f>
        <v>691.62074746918097</v>
      </c>
      <c r="F27" s="163">
        <f t="shared" ref="F27:I27" si="12">F24+F26</f>
        <v>774.70397638942984</v>
      </c>
      <c r="G27" s="163">
        <f t="shared" si="12"/>
        <v>860.29819201560304</v>
      </c>
      <c r="H27" s="163">
        <f t="shared" si="12"/>
        <v>947.22564866439279</v>
      </c>
      <c r="I27" s="163">
        <f t="shared" si="12"/>
        <v>1034.275050134094</v>
      </c>
      <c r="J27" s="163">
        <f t="shared" ref="J27:L27" si="13">J24+J26</f>
        <v>1121.3096007524725</v>
      </c>
      <c r="K27" s="163">
        <f t="shared" si="13"/>
        <v>1209.4268190565726</v>
      </c>
      <c r="L27" s="163">
        <f t="shared" si="13"/>
        <v>1298.8258941564766</v>
      </c>
    </row>
    <row r="29" spans="2:12" x14ac:dyDescent="0.2">
      <c r="B29" t="s">
        <v>405</v>
      </c>
      <c r="C29" t="str">
        <f>IF(C27=C16,"OK",C16-C27)</f>
        <v>OK</v>
      </c>
      <c r="D29" t="str">
        <f>IF(D27=D16,"OK",D16-D27)</f>
        <v>OK</v>
      </c>
      <c r="E29" t="str">
        <f>IF(E27=E16,"OK",E16-E27)</f>
        <v>OK</v>
      </c>
      <c r="F29" t="str">
        <f t="shared" ref="F29:I29" si="14">IF(F27=F16,"OK",F16-F27)</f>
        <v>OK</v>
      </c>
      <c r="G29" t="str">
        <f t="shared" si="14"/>
        <v>OK</v>
      </c>
      <c r="H29" t="str">
        <f t="shared" si="14"/>
        <v>OK</v>
      </c>
      <c r="I29" t="str">
        <f t="shared" si="14"/>
        <v>OK</v>
      </c>
      <c r="J29" t="str">
        <f t="shared" ref="J29:L29" si="15">IF(J27=J16,"OK",J16-J27)</f>
        <v>OK</v>
      </c>
      <c r="K29" t="str">
        <f t="shared" si="15"/>
        <v>OK</v>
      </c>
      <c r="L29" t="str">
        <f t="shared" si="15"/>
        <v>OK</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22"/>
  <sheetViews>
    <sheetView zoomScaleNormal="100" workbookViewId="0"/>
  </sheetViews>
  <sheetFormatPr baseColWidth="10" defaultColWidth="8.83203125" defaultRowHeight="15" x14ac:dyDescent="0.2"/>
  <cols>
    <col min="1" max="1" width="1.5" customWidth="1"/>
    <col min="2" max="2" width="30.6640625" customWidth="1"/>
    <col min="3" max="12" width="10.5" customWidth="1"/>
  </cols>
  <sheetData>
    <row r="1" spans="1:12" ht="29" x14ac:dyDescent="0.35">
      <c r="A1" s="5" t="s">
        <v>309</v>
      </c>
      <c r="B1" s="10"/>
      <c r="C1" s="12"/>
      <c r="D1" s="12"/>
      <c r="E1" s="12"/>
      <c r="F1" s="12"/>
      <c r="G1" s="12"/>
      <c r="H1" s="12"/>
      <c r="I1" s="12"/>
      <c r="J1" s="12"/>
      <c r="K1" s="12"/>
      <c r="L1" s="12"/>
    </row>
    <row r="2" spans="1:12" ht="21" x14ac:dyDescent="0.25">
      <c r="A2" s="14" t="s">
        <v>310</v>
      </c>
      <c r="B2" s="7"/>
      <c r="C2" s="11" t="s">
        <v>311</v>
      </c>
      <c r="D2" s="11" t="s">
        <v>311</v>
      </c>
      <c r="E2" s="11" t="s">
        <v>312</v>
      </c>
      <c r="F2" s="11" t="s">
        <v>312</v>
      </c>
      <c r="G2" s="11" t="s">
        <v>312</v>
      </c>
      <c r="H2" s="11" t="s">
        <v>312</v>
      </c>
      <c r="I2" s="11" t="s">
        <v>312</v>
      </c>
      <c r="J2" s="11" t="s">
        <v>312</v>
      </c>
      <c r="K2" s="11" t="s">
        <v>312</v>
      </c>
      <c r="L2" s="11" t="s">
        <v>312</v>
      </c>
    </row>
    <row r="3" spans="1:12" ht="21" x14ac:dyDescent="0.25">
      <c r="A3" s="14" t="s">
        <v>585</v>
      </c>
      <c r="B3" s="7"/>
      <c r="C3" s="11">
        <f>EDATE(D3,-12)</f>
        <v>42004</v>
      </c>
      <c r="D3" s="11">
        <v>42369</v>
      </c>
      <c r="E3" s="11">
        <f>EDATE(D3,12)</f>
        <v>42735</v>
      </c>
      <c r="F3" s="11">
        <f t="shared" ref="F3:I3" si="0">EDATE(E3,12)</f>
        <v>43100</v>
      </c>
      <c r="G3" s="11">
        <f t="shared" si="0"/>
        <v>43465</v>
      </c>
      <c r="H3" s="11">
        <f t="shared" si="0"/>
        <v>43830</v>
      </c>
      <c r="I3" s="11">
        <f t="shared" si="0"/>
        <v>44196</v>
      </c>
      <c r="J3" s="11">
        <f t="shared" ref="J3" si="1">EDATE(I3,12)</f>
        <v>44561</v>
      </c>
      <c r="K3" s="11">
        <f t="shared" ref="K3" si="2">EDATE(J3,12)</f>
        <v>44926</v>
      </c>
      <c r="L3" s="11">
        <f t="shared" ref="L3" si="3">EDATE(K3,12)</f>
        <v>45291</v>
      </c>
    </row>
    <row r="5" spans="1:12" x14ac:dyDescent="0.2">
      <c r="B5" t="str">
        <f>Calc!B19</f>
        <v>Net income</v>
      </c>
      <c r="E5">
        <f>Calc!E19</f>
        <v>71.960839351009241</v>
      </c>
      <c r="F5">
        <f>Calc!F19</f>
        <v>76.675108955707032</v>
      </c>
      <c r="G5">
        <f>Calc!G19</f>
        <v>80.301726664136055</v>
      </c>
      <c r="H5">
        <f>Calc!H19</f>
        <v>82.824559782099982</v>
      </c>
      <c r="I5">
        <f>Calc!I19</f>
        <v>84.213105434609702</v>
      </c>
      <c r="J5">
        <f>Calc!J19</f>
        <v>84.995476419447726</v>
      </c>
      <c r="K5">
        <f>Calc!K19</f>
        <v>86.037362621190908</v>
      </c>
      <c r="L5">
        <f>Calc!L19</f>
        <v>87.277622303336585</v>
      </c>
    </row>
    <row r="6" spans="1:12" x14ac:dyDescent="0.2">
      <c r="B6" t="str">
        <f>Calc!B8</f>
        <v>Depreciation</v>
      </c>
      <c r="E6">
        <f>-Calc!E8</f>
        <v>22.712272000000002</v>
      </c>
      <c r="F6">
        <f>-Calc!F8</f>
        <v>25.695936329427607</v>
      </c>
      <c r="G6">
        <f>-Calc!G8</f>
        <v>28.572696598414492</v>
      </c>
      <c r="H6">
        <f>-Calc!H8</f>
        <v>31.248953181584273</v>
      </c>
      <c r="I6">
        <f>-Calc!I8</f>
        <v>33.648432607927838</v>
      </c>
      <c r="J6">
        <f>-Calc!J8</f>
        <v>35.707139720448282</v>
      </c>
      <c r="K6">
        <f>-Calc!K8</f>
        <v>37.430100114000702</v>
      </c>
      <c r="L6">
        <f>-Calc!L8</f>
        <v>38.913121328457144</v>
      </c>
    </row>
    <row r="7" spans="1:12" x14ac:dyDescent="0.2">
      <c r="B7" t="s">
        <v>406</v>
      </c>
      <c r="E7">
        <f>BS!D15-BS!E15</f>
        <v>4.1000000000000369E-2</v>
      </c>
      <c r="F7">
        <f>BS!E15-BS!F15</f>
        <v>0</v>
      </c>
      <c r="G7">
        <f>BS!F15-BS!G15</f>
        <v>0</v>
      </c>
      <c r="H7">
        <f>BS!G15-BS!H15</f>
        <v>0</v>
      </c>
      <c r="I7">
        <f>BS!H15-BS!I15</f>
        <v>0</v>
      </c>
      <c r="J7">
        <f>BS!I15-BS!J15</f>
        <v>0</v>
      </c>
      <c r="K7">
        <f>BS!J15-BS!K15</f>
        <v>0</v>
      </c>
      <c r="L7">
        <f>BS!K15-BS!L15</f>
        <v>0</v>
      </c>
    </row>
    <row r="8" spans="1:12" x14ac:dyDescent="0.2">
      <c r="B8" t="s">
        <v>407</v>
      </c>
      <c r="E8">
        <f>BS!E23-BS!D23</f>
        <v>-9.0000000000003411E-3</v>
      </c>
      <c r="F8">
        <f>BS!F23-BS!E23</f>
        <v>0</v>
      </c>
      <c r="G8">
        <f>BS!G23-BS!F23</f>
        <v>0</v>
      </c>
      <c r="H8">
        <f>BS!H23-BS!G23</f>
        <v>0</v>
      </c>
      <c r="I8">
        <f>BS!I23-BS!H23</f>
        <v>0</v>
      </c>
      <c r="J8">
        <f>BS!J23-BS!I23</f>
        <v>0</v>
      </c>
      <c r="K8">
        <f>BS!K23-BS!J23</f>
        <v>0</v>
      </c>
      <c r="L8">
        <f>BS!L23-BS!K23</f>
        <v>0</v>
      </c>
    </row>
    <row r="9" spans="1:12" x14ac:dyDescent="0.2">
      <c r="B9" t="s">
        <v>408</v>
      </c>
      <c r="E9">
        <f>-Calc!E13-Calc!E14</f>
        <v>-0.41099999999999998</v>
      </c>
      <c r="F9">
        <f>-Calc!F13-Calc!F14</f>
        <v>-0.41099999999999998</v>
      </c>
      <c r="G9">
        <f>-Calc!G13-Calc!G14</f>
        <v>-0.41099999999999998</v>
      </c>
      <c r="H9">
        <f>-Calc!H13-Calc!H14</f>
        <v>-0.41099999999999998</v>
      </c>
      <c r="I9">
        <f>-Calc!I13-Calc!I14</f>
        <v>-0.41099999999999998</v>
      </c>
      <c r="J9">
        <f>-Calc!J13-Calc!J14</f>
        <v>-0.41099999999999998</v>
      </c>
      <c r="K9">
        <f>-Calc!K13-Calc!K14</f>
        <v>-0.41099999999999998</v>
      </c>
      <c r="L9">
        <f>-Calc!L13-Calc!L14</f>
        <v>-0.41099999999999998</v>
      </c>
    </row>
    <row r="10" spans="1:12" x14ac:dyDescent="0.2">
      <c r="B10" t="s">
        <v>409</v>
      </c>
      <c r="E10">
        <f>Calc!D29-Calc!E29</f>
        <v>-6.6801940221084521</v>
      </c>
      <c r="F10">
        <f>Calc!E29-Calc!F29</f>
        <v>-6.1415532868765013</v>
      </c>
      <c r="G10">
        <f>Calc!F29-Calc!G29</f>
        <v>-5.0723305993665093</v>
      </c>
      <c r="H10">
        <f>Calc!G29-Calc!H29</f>
        <v>-3.9322234722138205</v>
      </c>
      <c r="I10">
        <f>Calc!H29-Calc!I29</f>
        <v>-2.7183110386912546</v>
      </c>
      <c r="J10">
        <f>Calc!I29-Calc!J29</f>
        <v>-1.9542522483851315</v>
      </c>
      <c r="K10">
        <f>Calc!J29-Calc!K29</f>
        <v>-1.9933372933528091</v>
      </c>
      <c r="L10">
        <f>Calc!K29-Calc!L29</f>
        <v>-2.0332040392199104</v>
      </c>
    </row>
    <row r="11" spans="1:12" x14ac:dyDescent="0.2">
      <c r="B11" t="s">
        <v>410</v>
      </c>
      <c r="E11">
        <f>SUM(E5:E10)</f>
        <v>87.613917328900783</v>
      </c>
      <c r="F11">
        <f t="shared" ref="F11:I11" si="4">SUM(F5:F10)</f>
        <v>95.818491998258139</v>
      </c>
      <c r="G11">
        <f t="shared" si="4"/>
        <v>103.39109266318404</v>
      </c>
      <c r="H11">
        <f t="shared" si="4"/>
        <v>109.73028949147043</v>
      </c>
      <c r="I11">
        <f t="shared" si="4"/>
        <v>114.73222700384629</v>
      </c>
      <c r="J11">
        <f t="shared" ref="J11:L11" si="5">SUM(J5:J10)</f>
        <v>118.33736389151088</v>
      </c>
      <c r="K11">
        <f t="shared" si="5"/>
        <v>121.06312544183881</v>
      </c>
      <c r="L11">
        <f t="shared" si="5"/>
        <v>123.74653959257382</v>
      </c>
    </row>
    <row r="13" spans="1:12" x14ac:dyDescent="0.2">
      <c r="B13" t="s">
        <v>411</v>
      </c>
      <c r="E13">
        <f>-Calc!E7</f>
        <v>-33.681626152307366</v>
      </c>
      <c r="F13">
        <f>-Calc!F7</f>
        <v>-36.272260847761771</v>
      </c>
      <c r="G13">
        <f>-Calc!G7</f>
        <v>-38.411875213009253</v>
      </c>
      <c r="H13">
        <f>-Calc!H7</f>
        <v>-40.070568719612076</v>
      </c>
      <c r="I13">
        <f>-Calc!I7</f>
        <v>-41.217208756900057</v>
      </c>
      <c r="J13">
        <f>-Calc!J7</f>
        <v>-42.041552932038059</v>
      </c>
      <c r="K13">
        <f>-Calc!K7</f>
        <v>-42.882383990678825</v>
      </c>
      <c r="L13">
        <f>-Calc!L7</f>
        <v>-43.740031670492399</v>
      </c>
    </row>
    <row r="14" spans="1:12" x14ac:dyDescent="0.2">
      <c r="B14" t="s">
        <v>412</v>
      </c>
      <c r="E14">
        <f>E13</f>
        <v>-33.681626152307366</v>
      </c>
      <c r="F14">
        <f t="shared" ref="F14:I14" si="6">F13</f>
        <v>-36.272260847761771</v>
      </c>
      <c r="G14">
        <f t="shared" si="6"/>
        <v>-38.411875213009253</v>
      </c>
      <c r="H14">
        <f t="shared" si="6"/>
        <v>-40.070568719612076</v>
      </c>
      <c r="I14">
        <f t="shared" si="6"/>
        <v>-41.217208756900057</v>
      </c>
      <c r="J14">
        <f t="shared" ref="J14:L14" si="7">J13</f>
        <v>-42.041552932038059</v>
      </c>
      <c r="K14">
        <f t="shared" si="7"/>
        <v>-42.882383990678825</v>
      </c>
      <c r="L14">
        <f t="shared" si="7"/>
        <v>-43.740031670492399</v>
      </c>
    </row>
    <row r="16" spans="1:12" x14ac:dyDescent="0.2">
      <c r="B16" t="s">
        <v>413</v>
      </c>
      <c r="E16">
        <f>Calc!E20</f>
        <v>0</v>
      </c>
      <c r="F16">
        <f>Calc!F20</f>
        <v>0</v>
      </c>
      <c r="G16">
        <f>Calc!G20</f>
        <v>0</v>
      </c>
      <c r="H16">
        <f>Calc!H20</f>
        <v>0</v>
      </c>
      <c r="I16">
        <f>Calc!I20</f>
        <v>0</v>
      </c>
      <c r="J16">
        <f>Calc!J20</f>
        <v>0</v>
      </c>
      <c r="K16">
        <f>Calc!K20</f>
        <v>0</v>
      </c>
      <c r="L16">
        <f>Calc!L20</f>
        <v>0</v>
      </c>
    </row>
    <row r="17" spans="2:12" x14ac:dyDescent="0.2">
      <c r="B17" t="s">
        <v>414</v>
      </c>
      <c r="E17">
        <f>BS!E18-BS!D18</f>
        <v>0</v>
      </c>
      <c r="F17">
        <f>BS!F18-BS!E18</f>
        <v>0</v>
      </c>
      <c r="G17">
        <f>BS!G18-BS!F18</f>
        <v>0</v>
      </c>
      <c r="H17">
        <f>BS!H18-BS!G18</f>
        <v>0</v>
      </c>
      <c r="I17">
        <f>BS!I18-BS!H18</f>
        <v>0</v>
      </c>
      <c r="J17">
        <f>BS!J18-BS!I18</f>
        <v>0</v>
      </c>
      <c r="K17">
        <f>BS!K18-BS!J18</f>
        <v>0</v>
      </c>
      <c r="L17">
        <f>BS!L18-BS!K18</f>
        <v>0</v>
      </c>
    </row>
    <row r="18" spans="2:12" x14ac:dyDescent="0.2">
      <c r="B18" t="s">
        <v>415</v>
      </c>
      <c r="E18">
        <f>SUM(E16:E17)</f>
        <v>0</v>
      </c>
      <c r="F18">
        <f t="shared" ref="F18:I18" si="8">SUM(F16:F17)</f>
        <v>0</v>
      </c>
      <c r="G18">
        <f t="shared" si="8"/>
        <v>0</v>
      </c>
      <c r="H18">
        <f t="shared" si="8"/>
        <v>0</v>
      </c>
      <c r="I18">
        <f t="shared" si="8"/>
        <v>0</v>
      </c>
      <c r="J18">
        <f t="shared" ref="J18:L18" si="9">SUM(J16:J17)</f>
        <v>0</v>
      </c>
      <c r="K18">
        <f t="shared" si="9"/>
        <v>0</v>
      </c>
      <c r="L18">
        <f t="shared" si="9"/>
        <v>0</v>
      </c>
    </row>
    <row r="20" spans="2:12" x14ac:dyDescent="0.2">
      <c r="B20" t="s">
        <v>368</v>
      </c>
      <c r="E20">
        <f>D22</f>
        <v>94.632000000000005</v>
      </c>
      <c r="F20">
        <f t="shared" ref="F20:I20" si="10">E22</f>
        <v>148.56429117659343</v>
      </c>
      <c r="G20">
        <f t="shared" si="10"/>
        <v>208.1105223270898</v>
      </c>
      <c r="H20">
        <f t="shared" si="10"/>
        <v>273.08973977726458</v>
      </c>
      <c r="I20">
        <f t="shared" si="10"/>
        <v>342.74946054912294</v>
      </c>
      <c r="J20">
        <f t="shared" ref="J20" si="11">I22</f>
        <v>416.26447879606917</v>
      </c>
      <c r="K20">
        <f t="shared" ref="K20" si="12">J22</f>
        <v>492.56028975554199</v>
      </c>
      <c r="L20">
        <f t="shared" ref="L20" si="13">K22</f>
        <v>570.74103120670202</v>
      </c>
    </row>
    <row r="21" spans="2:12" x14ac:dyDescent="0.2">
      <c r="B21" t="s">
        <v>416</v>
      </c>
      <c r="E21">
        <f>E11+E14+E18</f>
        <v>53.932291176593417</v>
      </c>
      <c r="F21">
        <f t="shared" ref="F21:I21" si="14">F11+F14+F18</f>
        <v>59.546231150496368</v>
      </c>
      <c r="G21">
        <f t="shared" si="14"/>
        <v>64.979217450174787</v>
      </c>
      <c r="H21">
        <f t="shared" si="14"/>
        <v>69.65972077185836</v>
      </c>
      <c r="I21">
        <f t="shared" si="14"/>
        <v>73.515018246946227</v>
      </c>
      <c r="J21">
        <f t="shared" ref="J21:L21" si="15">J11+J14+J18</f>
        <v>76.295810959472817</v>
      </c>
      <c r="K21">
        <f t="shared" si="15"/>
        <v>78.180741451159975</v>
      </c>
      <c r="L21">
        <f t="shared" si="15"/>
        <v>80.006507922081425</v>
      </c>
    </row>
    <row r="22" spans="2:12" x14ac:dyDescent="0.2">
      <c r="B22" t="s">
        <v>417</v>
      </c>
      <c r="D22">
        <f>BS!D5</f>
        <v>94.632000000000005</v>
      </c>
      <c r="E22">
        <f>SUM(E20:E21)</f>
        <v>148.56429117659343</v>
      </c>
      <c r="F22">
        <f t="shared" ref="F22:I22" si="16">SUM(F20:F21)</f>
        <v>208.1105223270898</v>
      </c>
      <c r="G22">
        <f t="shared" si="16"/>
        <v>273.08973977726458</v>
      </c>
      <c r="H22">
        <f t="shared" si="16"/>
        <v>342.74946054912294</v>
      </c>
      <c r="I22">
        <f t="shared" si="16"/>
        <v>416.26447879606917</v>
      </c>
      <c r="J22">
        <f t="shared" ref="J22:L22" si="17">SUM(J20:J21)</f>
        <v>492.56028975554199</v>
      </c>
      <c r="K22">
        <f t="shared" si="17"/>
        <v>570.74103120670202</v>
      </c>
      <c r="L22">
        <f t="shared" si="17"/>
        <v>650.7475391287835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N160"/>
  <sheetViews>
    <sheetView zoomScaleNormal="100" workbookViewId="0">
      <selection activeCell="H19" sqref="H19"/>
    </sheetView>
  </sheetViews>
  <sheetFormatPr baseColWidth="10" defaultColWidth="9.1640625" defaultRowHeight="15" customHeight="1" x14ac:dyDescent="0.2"/>
  <cols>
    <col min="1" max="1" width="1.5" style="15" customWidth="1"/>
    <col min="2" max="2" width="24.83203125" style="16" customWidth="1"/>
    <col min="3" max="9" width="11" customWidth="1"/>
    <col min="10" max="10" width="15.33203125" customWidth="1"/>
    <col min="11" max="12" width="11" customWidth="1"/>
    <col min="13" max="15" width="9.6640625" customWidth="1"/>
  </cols>
  <sheetData>
    <row r="1" spans="1:14" s="51" customFormat="1" ht="45" customHeight="1" x14ac:dyDescent="0.35">
      <c r="A1" s="5" t="str">
        <f>Welcome!A2</f>
        <v xml:space="preserve">Case In Point - Samsonite Acquiring Tumi </v>
      </c>
      <c r="B1" s="10"/>
      <c r="C1" s="12"/>
      <c r="D1" s="12"/>
      <c r="E1" s="12"/>
      <c r="F1" s="12"/>
      <c r="G1" s="12"/>
      <c r="H1" s="12"/>
      <c r="I1" s="12"/>
      <c r="J1" s="12"/>
      <c r="K1" s="12"/>
      <c r="L1" s="12"/>
      <c r="M1" s="12"/>
      <c r="N1" s="12"/>
    </row>
    <row r="2" spans="1:14" s="37" customFormat="1" ht="30" customHeight="1" x14ac:dyDescent="0.25">
      <c r="A2" s="14" t="s">
        <v>418</v>
      </c>
      <c r="B2" s="7"/>
      <c r="C2" s="11"/>
      <c r="D2" s="11"/>
      <c r="E2" s="11"/>
      <c r="F2" s="11"/>
      <c r="G2" s="11"/>
      <c r="H2" s="11"/>
      <c r="I2" s="11"/>
      <c r="J2" s="11"/>
      <c r="K2" s="11"/>
      <c r="L2" s="11"/>
      <c r="M2" s="11"/>
      <c r="N2" s="11"/>
    </row>
    <row r="3" spans="1:14" ht="15" customHeight="1" x14ac:dyDescent="0.2">
      <c r="C3" s="137" t="s">
        <v>247</v>
      </c>
      <c r="F3" t="s">
        <v>425</v>
      </c>
      <c r="H3" s="137" t="s">
        <v>423</v>
      </c>
    </row>
    <row r="4" spans="1:14" ht="15" customHeight="1" x14ac:dyDescent="0.2">
      <c r="C4" s="137"/>
      <c r="F4" t="s">
        <v>426</v>
      </c>
      <c r="H4" s="137"/>
    </row>
    <row r="5" spans="1:14" ht="15" customHeight="1" x14ac:dyDescent="0.2">
      <c r="C5" s="137"/>
      <c r="F5" t="s">
        <v>427</v>
      </c>
      <c r="H5" s="137"/>
    </row>
    <row r="6" spans="1:14" ht="15" customHeight="1" x14ac:dyDescent="0.2">
      <c r="A6"/>
      <c r="B6" s="71" t="s">
        <v>160</v>
      </c>
      <c r="C6" s="156" t="s">
        <v>181</v>
      </c>
      <c r="D6" s="156" t="s">
        <v>419</v>
      </c>
      <c r="E6" s="156" t="s">
        <v>77</v>
      </c>
      <c r="F6" s="156"/>
      <c r="G6" s="156"/>
      <c r="H6" s="156" t="s">
        <v>151</v>
      </c>
      <c r="I6" s="156" t="s">
        <v>422</v>
      </c>
      <c r="J6" s="156" t="s">
        <v>434</v>
      </c>
    </row>
    <row r="7" spans="1:14" ht="15" customHeight="1" x14ac:dyDescent="0.2">
      <c r="A7"/>
      <c r="B7" s="108"/>
      <c r="C7" s="157"/>
      <c r="D7" s="156" t="s">
        <v>420</v>
      </c>
      <c r="E7" s="156" t="s">
        <v>421</v>
      </c>
      <c r="F7" s="156" t="s">
        <v>388</v>
      </c>
      <c r="G7" s="156" t="s">
        <v>424</v>
      </c>
      <c r="H7" s="156"/>
      <c r="I7" s="156" t="s">
        <v>181</v>
      </c>
      <c r="J7" s="156" t="s">
        <v>435</v>
      </c>
    </row>
    <row r="8" spans="1:14" ht="15" customHeight="1" x14ac:dyDescent="0.2">
      <c r="A8"/>
      <c r="B8" s="16" t="s">
        <v>284</v>
      </c>
      <c r="C8" s="107">
        <f ca="1">INDIRECT("'"&amp;$B8&amp;"'!"&amp;C$3)</f>
        <v>1.44</v>
      </c>
      <c r="D8">
        <f ca="1">'Comparables valuation'!E7</f>
        <v>1350.0576936</v>
      </c>
      <c r="E8">
        <f ca="1">'Comparables valuation'!X7</f>
        <v>323.77300000000002</v>
      </c>
      <c r="F8">
        <f ca="1">SUM(INDIRECT("'"&amp;$B8&amp;"'!"&amp;F$3&amp;":"&amp;F$5))</f>
        <v>101.956</v>
      </c>
      <c r="G8">
        <f ca="1">E8-F8</f>
        <v>221.81700000000001</v>
      </c>
      <c r="H8" s="95">
        <f ca="1">INDIRECT("'"&amp;$B8&amp;"'!"&amp;H$3)</f>
        <v>0.37330815880475715</v>
      </c>
      <c r="I8" s="107">
        <f ca="1">C8/(1+G8/D8*(1-H8))</f>
        <v>1.3055698587269047</v>
      </c>
      <c r="J8" s="95">
        <f ca="1">G8/(G8+D8)</f>
        <v>0.14111621040986522</v>
      </c>
    </row>
    <row r="9" spans="1:14" ht="15" customHeight="1" x14ac:dyDescent="0.2">
      <c r="A9"/>
      <c r="B9" s="16" t="s">
        <v>154</v>
      </c>
      <c r="C9" s="107">
        <f t="shared" ref="C9:C11" ca="1" si="0">INDIRECT("'"&amp;$B9&amp;"'!"&amp;C$3)</f>
        <v>0.81</v>
      </c>
      <c r="D9">
        <f ca="1">'Comparables valuation'!E8</f>
        <v>4368.411196682111</v>
      </c>
      <c r="E9">
        <f ca="1">'Comparables valuation'!X8</f>
        <v>1117.9272604755033</v>
      </c>
      <c r="F9">
        <f t="shared" ref="F9:F11" ca="1" si="1">SUM(INDIRECT("'"&amp;$B9&amp;"'!"&amp;F$3&amp;":"&amp;F$5))</f>
        <v>180.803</v>
      </c>
      <c r="G9">
        <f t="shared" ref="G9:G11" ca="1" si="2">E9-F9</f>
        <v>937.12426047550332</v>
      </c>
      <c r="H9" s="95">
        <f t="shared" ref="H9:H11" ca="1" si="3">INDIRECT("'"&amp;$B9&amp;"'!"&amp;H$3)</f>
        <v>0.28399986257129112</v>
      </c>
      <c r="I9" s="107">
        <f t="shared" ref="I9:I11" ca="1" si="4">C9/(1+G9/D9*(1-H9))</f>
        <v>0.70215074784749987</v>
      </c>
      <c r="J9" s="95">
        <f t="shared" ref="J9:J11" ca="1" si="5">G9/(G9+D9)</f>
        <v>0.17663141977710162</v>
      </c>
    </row>
    <row r="10" spans="1:14" ht="15" customHeight="1" x14ac:dyDescent="0.2">
      <c r="A10"/>
      <c r="B10" s="16" t="s">
        <v>194</v>
      </c>
      <c r="C10" s="107">
        <f t="shared" ca="1" si="0"/>
        <v>1.35</v>
      </c>
      <c r="D10">
        <f ca="1">'Comparables valuation'!E9</f>
        <v>7637.929466825397</v>
      </c>
      <c r="E10">
        <f ca="1">'Comparables valuation'!X9</f>
        <v>2320.8507936507935</v>
      </c>
      <c r="F10">
        <f t="shared" ca="1" si="1"/>
        <v>758.15295815295826</v>
      </c>
      <c r="G10">
        <f t="shared" ca="1" si="2"/>
        <v>1562.6978354978353</v>
      </c>
      <c r="H10" s="95">
        <f t="shared" ca="1" si="3"/>
        <v>0.21</v>
      </c>
      <c r="I10" s="107">
        <f t="shared" ca="1" si="4"/>
        <v>1.1621583980782089</v>
      </c>
      <c r="J10" s="95">
        <f t="shared" ca="1" si="5"/>
        <v>0.16984687936476262</v>
      </c>
    </row>
    <row r="11" spans="1:14" ht="15" customHeight="1" x14ac:dyDescent="0.2">
      <c r="A11"/>
      <c r="B11" s="16" t="s">
        <v>193</v>
      </c>
      <c r="C11" s="107">
        <f t="shared" ca="1" si="0"/>
        <v>1.05</v>
      </c>
      <c r="D11">
        <f ca="1">'Comparables valuation'!E10</f>
        <v>82553.519970923604</v>
      </c>
      <c r="E11">
        <f ca="1">'Comparables valuation'!X10</f>
        <v>45403.958677309005</v>
      </c>
      <c r="F11">
        <f t="shared" ca="1" si="1"/>
        <v>5583.8084378563271</v>
      </c>
      <c r="G11">
        <f t="shared" ca="1" si="2"/>
        <v>39820.150239452676</v>
      </c>
      <c r="H11" s="95">
        <f t="shared" ca="1" si="3"/>
        <v>0.34399999999999997</v>
      </c>
      <c r="I11" s="107">
        <f t="shared" ca="1" si="4"/>
        <v>0.79761459794499157</v>
      </c>
      <c r="J11" s="95">
        <f t="shared" ca="1" si="5"/>
        <v>0.32539802206632074</v>
      </c>
    </row>
    <row r="12" spans="1:14" ht="15" customHeight="1" x14ac:dyDescent="0.2">
      <c r="A12"/>
      <c r="B12"/>
    </row>
    <row r="13" spans="1:14" ht="15" customHeight="1" x14ac:dyDescent="0.2">
      <c r="A13" s="158" t="s">
        <v>254</v>
      </c>
      <c r="B13"/>
    </row>
    <row r="14" spans="1:14" ht="15" customHeight="1" x14ac:dyDescent="0.2">
      <c r="A14"/>
      <c r="B14" s="159" t="s">
        <v>428</v>
      </c>
      <c r="C14" s="160">
        <v>1.7999999999999999E-2</v>
      </c>
      <c r="D14" t="s">
        <v>429</v>
      </c>
    </row>
    <row r="15" spans="1:14" ht="15" customHeight="1" x14ac:dyDescent="0.2">
      <c r="A15"/>
      <c r="B15" s="159" t="s">
        <v>430</v>
      </c>
      <c r="C15" s="160">
        <v>0.06</v>
      </c>
    </row>
    <row r="16" spans="1:14" ht="15" customHeight="1" x14ac:dyDescent="0.2">
      <c r="A16"/>
      <c r="B16" s="159" t="s">
        <v>431</v>
      </c>
      <c r="C16" s="160">
        <v>0.03</v>
      </c>
    </row>
    <row r="17" spans="1:3" ht="15" customHeight="1" x14ac:dyDescent="0.2">
      <c r="A17"/>
      <c r="B17" s="159" t="s">
        <v>432</v>
      </c>
      <c r="C17" s="107">
        <f ca="1">AVERAGE(I9:I11)</f>
        <v>0.88730791462356684</v>
      </c>
    </row>
    <row r="18" spans="1:3" ht="15" customHeight="1" x14ac:dyDescent="0.2">
      <c r="A18"/>
      <c r="B18" s="159" t="s">
        <v>433</v>
      </c>
      <c r="C18" s="107">
        <f ca="1">C17*(1+G8/D8*(1-H8))</f>
        <v>0.9786710289895002</v>
      </c>
    </row>
    <row r="19" spans="1:3" ht="15" customHeight="1" x14ac:dyDescent="0.2">
      <c r="A19"/>
      <c r="B19" s="159" t="s">
        <v>436</v>
      </c>
      <c r="C19" s="95">
        <f ca="1">C14+C15*C18</f>
        <v>7.6720261739370008E-2</v>
      </c>
    </row>
    <row r="20" spans="1:3" ht="15" customHeight="1" x14ac:dyDescent="0.2">
      <c r="A20"/>
      <c r="B20" s="159" t="s">
        <v>437</v>
      </c>
      <c r="C20" s="95">
        <f ca="1">C16*(1-H8)</f>
        <v>1.8800755235857287E-2</v>
      </c>
    </row>
    <row r="21" spans="1:3" ht="15" customHeight="1" x14ac:dyDescent="0.2">
      <c r="A21"/>
      <c r="B21" s="159" t="s">
        <v>438</v>
      </c>
      <c r="C21" s="161">
        <f ca="1">C19*D8/(D8+G8)+C20*G8/(G8+D8)</f>
        <v>6.8546880472784746E-2</v>
      </c>
    </row>
    <row r="22" spans="1:3" ht="15" customHeight="1" x14ac:dyDescent="0.2">
      <c r="A22"/>
      <c r="B22"/>
    </row>
    <row r="23" spans="1:3" ht="15" customHeight="1" x14ac:dyDescent="0.2">
      <c r="A23"/>
      <c r="B23"/>
    </row>
    <row r="24" spans="1:3" ht="15" customHeight="1" x14ac:dyDescent="0.2">
      <c r="A24"/>
      <c r="B24"/>
    </row>
    <row r="25" spans="1:3" ht="15" customHeight="1" x14ac:dyDescent="0.2">
      <c r="A25"/>
      <c r="B25"/>
    </row>
    <row r="26" spans="1:3" ht="15" customHeight="1" x14ac:dyDescent="0.2">
      <c r="A26"/>
      <c r="B26"/>
    </row>
    <row r="27" spans="1:3" ht="15" customHeight="1" x14ac:dyDescent="0.2">
      <c r="A27"/>
      <c r="B27"/>
    </row>
    <row r="28" spans="1:3" ht="15" customHeight="1" x14ac:dyDescent="0.2">
      <c r="A28"/>
      <c r="B28"/>
    </row>
    <row r="29" spans="1:3" ht="15" customHeight="1" x14ac:dyDescent="0.2">
      <c r="A29"/>
      <c r="B29"/>
    </row>
    <row r="30" spans="1:3" ht="15" customHeight="1" x14ac:dyDescent="0.2">
      <c r="A30"/>
      <c r="B30"/>
    </row>
    <row r="31" spans="1:3" ht="15" customHeight="1" x14ac:dyDescent="0.2">
      <c r="A31"/>
      <c r="B31"/>
    </row>
    <row r="32" spans="1:3" ht="15" customHeight="1" x14ac:dyDescent="0.2">
      <c r="A32"/>
      <c r="B32"/>
    </row>
    <row r="33" spans="1:2" ht="15" customHeight="1" x14ac:dyDescent="0.2">
      <c r="A33"/>
      <c r="B33"/>
    </row>
    <row r="34" spans="1:2" ht="15" customHeight="1" x14ac:dyDescent="0.2">
      <c r="A34"/>
      <c r="B34"/>
    </row>
    <row r="35" spans="1:2" ht="15" customHeight="1" x14ac:dyDescent="0.2">
      <c r="A35"/>
      <c r="B35"/>
    </row>
    <row r="36" spans="1:2" ht="15" customHeight="1" x14ac:dyDescent="0.2">
      <c r="A36"/>
      <c r="B36"/>
    </row>
    <row r="37" spans="1:2" ht="15" customHeight="1" x14ac:dyDescent="0.2">
      <c r="A37"/>
      <c r="B37"/>
    </row>
    <row r="38" spans="1:2" ht="15" customHeight="1" x14ac:dyDescent="0.2">
      <c r="A38"/>
      <c r="B38"/>
    </row>
    <row r="39" spans="1:2" ht="15" customHeight="1" x14ac:dyDescent="0.2">
      <c r="A39"/>
      <c r="B39"/>
    </row>
    <row r="40" spans="1:2" ht="15" customHeight="1" x14ac:dyDescent="0.2">
      <c r="A40"/>
      <c r="B40"/>
    </row>
    <row r="41" spans="1:2" ht="15" customHeight="1" x14ac:dyDescent="0.2">
      <c r="A41"/>
      <c r="B41"/>
    </row>
    <row r="42" spans="1:2" ht="15" customHeight="1" x14ac:dyDescent="0.2">
      <c r="A42"/>
      <c r="B42"/>
    </row>
    <row r="43" spans="1:2" ht="15" customHeight="1" x14ac:dyDescent="0.2">
      <c r="A43"/>
      <c r="B43"/>
    </row>
    <row r="44" spans="1:2" ht="15" customHeight="1" x14ac:dyDescent="0.2">
      <c r="A44"/>
      <c r="B44"/>
    </row>
    <row r="45" spans="1:2" ht="15" customHeight="1" x14ac:dyDescent="0.2">
      <c r="A45"/>
      <c r="B45"/>
    </row>
    <row r="46" spans="1:2" ht="15" customHeight="1" x14ac:dyDescent="0.2">
      <c r="A46"/>
      <c r="B46"/>
    </row>
    <row r="47" spans="1:2" ht="15" customHeight="1" x14ac:dyDescent="0.2">
      <c r="A47"/>
      <c r="B47"/>
    </row>
    <row r="48" spans="1:2" ht="15" customHeight="1" x14ac:dyDescent="0.2">
      <c r="A48"/>
      <c r="B48"/>
    </row>
    <row r="49" spans="1:2" ht="15" customHeight="1" x14ac:dyDescent="0.2">
      <c r="A49"/>
      <c r="B49"/>
    </row>
    <row r="50" spans="1:2" ht="15" customHeight="1" x14ac:dyDescent="0.2">
      <c r="A50"/>
      <c r="B50"/>
    </row>
    <row r="51" spans="1:2" ht="15" customHeight="1" x14ac:dyDescent="0.2">
      <c r="A51"/>
      <c r="B51"/>
    </row>
    <row r="52" spans="1:2" ht="15" customHeight="1" x14ac:dyDescent="0.2">
      <c r="A52"/>
      <c r="B52"/>
    </row>
    <row r="53" spans="1:2" ht="15" customHeight="1" x14ac:dyDescent="0.2">
      <c r="A53"/>
      <c r="B53"/>
    </row>
    <row r="54" spans="1:2" ht="15" customHeight="1" x14ac:dyDescent="0.2">
      <c r="A54"/>
      <c r="B54"/>
    </row>
    <row r="55" spans="1:2" ht="15" customHeight="1" x14ac:dyDescent="0.2">
      <c r="A55"/>
      <c r="B55"/>
    </row>
    <row r="56" spans="1:2" ht="15" customHeight="1" x14ac:dyDescent="0.2">
      <c r="A56"/>
      <c r="B56"/>
    </row>
    <row r="57" spans="1:2" ht="15" customHeight="1" x14ac:dyDescent="0.2">
      <c r="A57"/>
      <c r="B57"/>
    </row>
    <row r="58" spans="1:2" ht="15" customHeight="1" x14ac:dyDescent="0.2">
      <c r="A58"/>
      <c r="B58"/>
    </row>
    <row r="59" spans="1:2" ht="15" customHeight="1" x14ac:dyDescent="0.2">
      <c r="A59"/>
      <c r="B59"/>
    </row>
    <row r="60" spans="1:2" ht="15" customHeight="1" x14ac:dyDescent="0.2">
      <c r="A60"/>
      <c r="B60"/>
    </row>
    <row r="61" spans="1:2" ht="15" customHeight="1" x14ac:dyDescent="0.2">
      <c r="A61"/>
      <c r="B61"/>
    </row>
    <row r="62" spans="1:2" ht="15" customHeight="1" x14ac:dyDescent="0.2">
      <c r="A62"/>
      <c r="B62"/>
    </row>
    <row r="63" spans="1:2" ht="15" customHeight="1" x14ac:dyDescent="0.2">
      <c r="A63"/>
      <c r="B63"/>
    </row>
    <row r="64" spans="1:2" ht="15" customHeight="1" x14ac:dyDescent="0.2">
      <c r="A64"/>
      <c r="B64"/>
    </row>
    <row r="65" spans="1:2" ht="15" customHeight="1" x14ac:dyDescent="0.2">
      <c r="A65"/>
      <c r="B65"/>
    </row>
    <row r="66" spans="1:2" ht="15" customHeight="1" x14ac:dyDescent="0.2">
      <c r="A66"/>
      <c r="B66"/>
    </row>
    <row r="67" spans="1:2" ht="15" customHeight="1" x14ac:dyDescent="0.2">
      <c r="A67"/>
      <c r="B67"/>
    </row>
    <row r="68" spans="1:2" ht="15" customHeight="1" x14ac:dyDescent="0.2">
      <c r="A68"/>
      <c r="B68"/>
    </row>
    <row r="69" spans="1:2" ht="15" customHeight="1" x14ac:dyDescent="0.2">
      <c r="A69"/>
      <c r="B69"/>
    </row>
    <row r="70" spans="1:2" ht="15" customHeight="1" x14ac:dyDescent="0.2">
      <c r="A70"/>
      <c r="B70"/>
    </row>
    <row r="71" spans="1:2" ht="15" customHeight="1" x14ac:dyDescent="0.2">
      <c r="A71"/>
      <c r="B71"/>
    </row>
    <row r="72" spans="1:2" ht="15" customHeight="1" x14ac:dyDescent="0.2">
      <c r="A72"/>
      <c r="B72"/>
    </row>
    <row r="73" spans="1:2" ht="15" customHeight="1" x14ac:dyDescent="0.2">
      <c r="A73"/>
      <c r="B73"/>
    </row>
    <row r="74" spans="1:2" ht="15" customHeight="1" x14ac:dyDescent="0.2">
      <c r="A74"/>
      <c r="B74"/>
    </row>
    <row r="75" spans="1:2" ht="15" customHeight="1" x14ac:dyDescent="0.2">
      <c r="A75"/>
      <c r="B75"/>
    </row>
    <row r="76" spans="1:2" ht="15" customHeight="1" x14ac:dyDescent="0.2">
      <c r="A76"/>
      <c r="B76"/>
    </row>
    <row r="77" spans="1:2" ht="15" customHeight="1" x14ac:dyDescent="0.2">
      <c r="A77"/>
      <c r="B77"/>
    </row>
    <row r="78" spans="1:2" ht="15" customHeight="1" x14ac:dyDescent="0.2">
      <c r="A78"/>
      <c r="B78"/>
    </row>
    <row r="79" spans="1:2" ht="15" customHeight="1" x14ac:dyDescent="0.2">
      <c r="A79"/>
      <c r="B79"/>
    </row>
    <row r="80" spans="1:2" ht="15" customHeight="1" x14ac:dyDescent="0.2">
      <c r="A80"/>
      <c r="B80"/>
    </row>
    <row r="81" spans="1:2" ht="15" customHeight="1" x14ac:dyDescent="0.2">
      <c r="A81"/>
      <c r="B81"/>
    </row>
    <row r="82" spans="1:2" ht="15" customHeight="1" x14ac:dyDescent="0.2">
      <c r="A82"/>
      <c r="B82"/>
    </row>
    <row r="83" spans="1:2" ht="15" customHeight="1" x14ac:dyDescent="0.2">
      <c r="A83"/>
      <c r="B83"/>
    </row>
    <row r="84" spans="1:2" ht="15" customHeight="1" x14ac:dyDescent="0.2">
      <c r="A84"/>
      <c r="B84"/>
    </row>
    <row r="85" spans="1:2" ht="15" customHeight="1" x14ac:dyDescent="0.2">
      <c r="A85"/>
      <c r="B85"/>
    </row>
    <row r="86" spans="1:2" ht="15" customHeight="1" x14ac:dyDescent="0.2">
      <c r="A86"/>
      <c r="B86"/>
    </row>
    <row r="87" spans="1:2" ht="15" customHeight="1" x14ac:dyDescent="0.2">
      <c r="A87"/>
      <c r="B87"/>
    </row>
    <row r="88" spans="1:2" ht="15" customHeight="1" x14ac:dyDescent="0.2">
      <c r="A88"/>
      <c r="B88"/>
    </row>
    <row r="89" spans="1:2" ht="15" customHeight="1" x14ac:dyDescent="0.2">
      <c r="A89"/>
      <c r="B89"/>
    </row>
    <row r="90" spans="1:2" ht="15" customHeight="1" x14ac:dyDescent="0.2">
      <c r="A90"/>
      <c r="B90"/>
    </row>
    <row r="91" spans="1:2" ht="15" customHeight="1" x14ac:dyDescent="0.2">
      <c r="A91"/>
      <c r="B91"/>
    </row>
    <row r="92" spans="1:2" ht="15" customHeight="1" x14ac:dyDescent="0.2">
      <c r="A92"/>
      <c r="B92"/>
    </row>
    <row r="93" spans="1:2" ht="15" customHeight="1" x14ac:dyDescent="0.2">
      <c r="A93"/>
      <c r="B93"/>
    </row>
    <row r="94" spans="1:2" ht="15" customHeight="1" x14ac:dyDescent="0.2">
      <c r="A94"/>
      <c r="B94"/>
    </row>
    <row r="95" spans="1:2" ht="15" customHeight="1" x14ac:dyDescent="0.2">
      <c r="A95"/>
      <c r="B95"/>
    </row>
    <row r="96" spans="1:2" ht="15" customHeight="1" x14ac:dyDescent="0.2">
      <c r="A96"/>
      <c r="B96"/>
    </row>
    <row r="97" spans="1:2" ht="15" customHeight="1" x14ac:dyDescent="0.2">
      <c r="A97"/>
      <c r="B97"/>
    </row>
    <row r="98" spans="1:2" ht="15" customHeight="1" x14ac:dyDescent="0.2">
      <c r="A98"/>
      <c r="B98"/>
    </row>
    <row r="99" spans="1:2" ht="15" customHeight="1" x14ac:dyDescent="0.2">
      <c r="A99"/>
      <c r="B99"/>
    </row>
    <row r="100" spans="1:2" ht="15" customHeight="1" x14ac:dyDescent="0.2">
      <c r="A100"/>
      <c r="B100"/>
    </row>
    <row r="101" spans="1:2" ht="15" customHeight="1" x14ac:dyDescent="0.2">
      <c r="A101"/>
      <c r="B101"/>
    </row>
    <row r="102" spans="1:2" ht="15" customHeight="1" x14ac:dyDescent="0.2">
      <c r="A102"/>
      <c r="B102"/>
    </row>
    <row r="103" spans="1:2" ht="15" customHeight="1" x14ac:dyDescent="0.2">
      <c r="A103"/>
      <c r="B103"/>
    </row>
    <row r="104" spans="1:2" ht="15" customHeight="1" x14ac:dyDescent="0.2">
      <c r="A104"/>
      <c r="B104"/>
    </row>
    <row r="105" spans="1:2" ht="15" customHeight="1" x14ac:dyDescent="0.2">
      <c r="A105"/>
      <c r="B105"/>
    </row>
    <row r="106" spans="1:2" ht="15" customHeight="1" x14ac:dyDescent="0.2">
      <c r="A106"/>
      <c r="B106"/>
    </row>
    <row r="107" spans="1:2" ht="15" customHeight="1" x14ac:dyDescent="0.2">
      <c r="A107"/>
      <c r="B107"/>
    </row>
    <row r="108" spans="1:2" ht="15" customHeight="1" x14ac:dyDescent="0.2">
      <c r="A108"/>
      <c r="B108"/>
    </row>
    <row r="109" spans="1:2" ht="15" customHeight="1" x14ac:dyDescent="0.2">
      <c r="A109"/>
      <c r="B109"/>
    </row>
    <row r="110" spans="1:2" ht="15" customHeight="1" x14ac:dyDescent="0.2">
      <c r="A110"/>
      <c r="B110"/>
    </row>
    <row r="111" spans="1:2" ht="15" customHeight="1" x14ac:dyDescent="0.2">
      <c r="A111"/>
      <c r="B111"/>
    </row>
    <row r="112" spans="1:2" ht="15" customHeight="1" x14ac:dyDescent="0.2">
      <c r="A112"/>
      <c r="B112"/>
    </row>
    <row r="113" spans="1:2" ht="15" customHeight="1" x14ac:dyDescent="0.2">
      <c r="A113"/>
      <c r="B113"/>
    </row>
    <row r="114" spans="1:2" ht="15" customHeight="1" x14ac:dyDescent="0.2">
      <c r="A114"/>
      <c r="B114"/>
    </row>
    <row r="115" spans="1:2" ht="15" customHeight="1" x14ac:dyDescent="0.2">
      <c r="A115"/>
      <c r="B115"/>
    </row>
    <row r="116" spans="1:2" ht="15" customHeight="1" x14ac:dyDescent="0.2">
      <c r="A116"/>
      <c r="B116"/>
    </row>
    <row r="117" spans="1:2" ht="15" customHeight="1" x14ac:dyDescent="0.2">
      <c r="A117"/>
      <c r="B117"/>
    </row>
    <row r="118" spans="1:2" ht="15" customHeight="1" x14ac:dyDescent="0.2">
      <c r="A118"/>
      <c r="B118"/>
    </row>
    <row r="119" spans="1:2" ht="15" customHeight="1" x14ac:dyDescent="0.2">
      <c r="A119"/>
      <c r="B119"/>
    </row>
    <row r="120" spans="1:2" ht="15" customHeight="1" x14ac:dyDescent="0.2">
      <c r="A120"/>
      <c r="B120"/>
    </row>
    <row r="121" spans="1:2" ht="15" customHeight="1" x14ac:dyDescent="0.2">
      <c r="A121"/>
      <c r="B121"/>
    </row>
    <row r="122" spans="1:2" ht="15" customHeight="1" x14ac:dyDescent="0.2">
      <c r="A122"/>
      <c r="B122"/>
    </row>
    <row r="123" spans="1:2" ht="15" customHeight="1" x14ac:dyDescent="0.2">
      <c r="A123"/>
      <c r="B123"/>
    </row>
    <row r="124" spans="1:2" ht="15" customHeight="1" x14ac:dyDescent="0.2">
      <c r="A124"/>
      <c r="B124"/>
    </row>
    <row r="125" spans="1:2" ht="15" customHeight="1" x14ac:dyDescent="0.2">
      <c r="A125"/>
      <c r="B125"/>
    </row>
    <row r="126" spans="1:2" ht="15" customHeight="1" x14ac:dyDescent="0.2">
      <c r="A126"/>
      <c r="B126"/>
    </row>
    <row r="127" spans="1:2" ht="15" customHeight="1" x14ac:dyDescent="0.2">
      <c r="A127"/>
      <c r="B127"/>
    </row>
    <row r="128" spans="1:2" ht="15" customHeight="1" x14ac:dyDescent="0.2">
      <c r="A128"/>
      <c r="B128"/>
    </row>
    <row r="129" spans="1:2" ht="15" customHeight="1" x14ac:dyDescent="0.2">
      <c r="A129"/>
      <c r="B129"/>
    </row>
    <row r="130" spans="1:2" ht="15" customHeight="1" x14ac:dyDescent="0.2">
      <c r="A130"/>
      <c r="B130"/>
    </row>
    <row r="131" spans="1:2" ht="15" customHeight="1" x14ac:dyDescent="0.2">
      <c r="A131"/>
      <c r="B131"/>
    </row>
    <row r="132" spans="1:2" ht="15" customHeight="1" x14ac:dyDescent="0.2">
      <c r="A132"/>
      <c r="B132"/>
    </row>
    <row r="133" spans="1:2" ht="15" customHeight="1" x14ac:dyDescent="0.2">
      <c r="A133"/>
      <c r="B133"/>
    </row>
    <row r="134" spans="1:2" ht="15" customHeight="1" x14ac:dyDescent="0.2">
      <c r="A134"/>
      <c r="B134"/>
    </row>
    <row r="135" spans="1:2" ht="15" customHeight="1" x14ac:dyDescent="0.2">
      <c r="A135"/>
      <c r="B135"/>
    </row>
    <row r="136" spans="1:2" ht="15" customHeight="1" x14ac:dyDescent="0.2">
      <c r="A136"/>
      <c r="B136"/>
    </row>
    <row r="137" spans="1:2" ht="15" customHeight="1" x14ac:dyDescent="0.2">
      <c r="A137"/>
      <c r="B137"/>
    </row>
    <row r="138" spans="1:2" ht="15" customHeight="1" x14ac:dyDescent="0.2">
      <c r="A138"/>
      <c r="B138"/>
    </row>
    <row r="139" spans="1:2" ht="15" customHeight="1" x14ac:dyDescent="0.2">
      <c r="A139"/>
      <c r="B139"/>
    </row>
    <row r="140" spans="1:2" ht="15" customHeight="1" x14ac:dyDescent="0.2">
      <c r="A140"/>
      <c r="B140"/>
    </row>
    <row r="141" spans="1:2" ht="15" customHeight="1" x14ac:dyDescent="0.2">
      <c r="A141"/>
      <c r="B141"/>
    </row>
    <row r="142" spans="1:2" ht="15" customHeight="1" x14ac:dyDescent="0.2">
      <c r="A142"/>
      <c r="B142"/>
    </row>
    <row r="143" spans="1:2" ht="15" customHeight="1" x14ac:dyDescent="0.2">
      <c r="A143"/>
      <c r="B143"/>
    </row>
    <row r="144" spans="1:2" ht="15" customHeight="1" x14ac:dyDescent="0.2">
      <c r="A144"/>
      <c r="B144"/>
    </row>
    <row r="145" spans="1:2" ht="15" customHeight="1" x14ac:dyDescent="0.2">
      <c r="A145"/>
      <c r="B145"/>
    </row>
    <row r="146" spans="1:2" ht="15" customHeight="1" x14ac:dyDescent="0.2">
      <c r="A146"/>
      <c r="B146"/>
    </row>
    <row r="147" spans="1:2" ht="15" customHeight="1" x14ac:dyDescent="0.2">
      <c r="A147"/>
      <c r="B147"/>
    </row>
    <row r="148" spans="1:2" ht="15" customHeight="1" x14ac:dyDescent="0.2">
      <c r="A148"/>
      <c r="B148"/>
    </row>
    <row r="149" spans="1:2" ht="15" customHeight="1" x14ac:dyDescent="0.2">
      <c r="A149"/>
      <c r="B149"/>
    </row>
    <row r="150" spans="1:2" ht="15" customHeight="1" x14ac:dyDescent="0.2">
      <c r="A150"/>
      <c r="B150"/>
    </row>
    <row r="151" spans="1:2" ht="15" customHeight="1" x14ac:dyDescent="0.2">
      <c r="A151"/>
      <c r="B151"/>
    </row>
    <row r="152" spans="1:2" ht="15" customHeight="1" x14ac:dyDescent="0.2">
      <c r="A152"/>
      <c r="B152"/>
    </row>
    <row r="153" spans="1:2" ht="15" customHeight="1" x14ac:dyDescent="0.2">
      <c r="A153"/>
      <c r="B153"/>
    </row>
    <row r="154" spans="1:2" ht="15" customHeight="1" x14ac:dyDescent="0.2">
      <c r="A154"/>
      <c r="B154"/>
    </row>
    <row r="155" spans="1:2" ht="15" customHeight="1" x14ac:dyDescent="0.2">
      <c r="A155"/>
      <c r="B155"/>
    </row>
    <row r="156" spans="1:2" ht="15" customHeight="1" x14ac:dyDescent="0.2">
      <c r="A156"/>
      <c r="B156"/>
    </row>
    <row r="157" spans="1:2" ht="15" customHeight="1" x14ac:dyDescent="0.2">
      <c r="A157"/>
      <c r="B157"/>
    </row>
    <row r="158" spans="1:2" ht="15" customHeight="1" x14ac:dyDescent="0.2">
      <c r="A158"/>
      <c r="B158"/>
    </row>
    <row r="159" spans="1:2" ht="15" customHeight="1" x14ac:dyDescent="0.2">
      <c r="A159"/>
      <c r="B159"/>
    </row>
    <row r="160" spans="1:2" ht="15" customHeight="1" x14ac:dyDescent="0.2">
      <c r="A160"/>
      <c r="B160"/>
    </row>
  </sheetData>
  <printOptions headings="1" gridLines="1"/>
  <pageMargins left="0.70866141732283472" right="0.70866141732283472" top="0.74803149606299213" bottom="0.74803149606299213" header="0.31496062992125984" footer="0.31496062992125984"/>
  <pageSetup paperSize="9" scale="53" fitToHeight="3" orientation="portrait" cellComments="asDisplayed" verticalDpi="1200" r:id="rId1"/>
  <headerFooter>
    <oddHeader xml:space="preserve">&amp;R&amp;10&amp;F 
&amp;A
</oddHeader>
    <oddFooter>&amp;L&amp;10© 2016&amp;C&amp;10Page &amp;P of &amp;N&amp;R&amp;G</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94"/>
  <sheetViews>
    <sheetView zoomScaleNormal="100" workbookViewId="0"/>
  </sheetViews>
  <sheetFormatPr baseColWidth="10" defaultColWidth="9.1640625" defaultRowHeight="15" customHeight="1" x14ac:dyDescent="0.2"/>
  <cols>
    <col min="1" max="1" width="1.5" style="124" customWidth="1"/>
    <col min="2" max="2" width="41.6640625" style="125" customWidth="1"/>
    <col min="3" max="10" width="11" style="182" customWidth="1"/>
    <col min="11" max="12" width="9.33203125" style="182" customWidth="1"/>
    <col min="13" max="16384" width="9.1640625" style="182"/>
  </cols>
  <sheetData>
    <row r="1" spans="1:12" s="178" customFormat="1" ht="45" customHeight="1" x14ac:dyDescent="0.35">
      <c r="A1" s="181" t="s">
        <v>578</v>
      </c>
      <c r="B1" s="180"/>
      <c r="C1" s="179"/>
      <c r="D1" s="179"/>
      <c r="E1" s="179"/>
      <c r="F1" s="179"/>
      <c r="G1" s="179"/>
      <c r="H1" s="179"/>
      <c r="I1" s="179"/>
      <c r="J1" s="179"/>
      <c r="K1" s="179"/>
      <c r="L1" s="179"/>
    </row>
    <row r="2" spans="1:12" s="174" customFormat="1" ht="30" customHeight="1" x14ac:dyDescent="0.25">
      <c r="A2" s="177" t="s">
        <v>532</v>
      </c>
      <c r="B2" s="176"/>
      <c r="C2" s="175"/>
      <c r="D2" s="175"/>
      <c r="E2" s="175"/>
      <c r="F2" s="175"/>
      <c r="G2" s="175"/>
      <c r="H2" s="175"/>
      <c r="I2" s="175"/>
      <c r="J2" s="175"/>
      <c r="K2" s="175"/>
      <c r="L2" s="175"/>
    </row>
    <row r="4" spans="1:12" ht="15" customHeight="1" x14ac:dyDescent="0.2">
      <c r="B4" s="211" t="s">
        <v>19</v>
      </c>
      <c r="C4" s="57" t="s">
        <v>580</v>
      </c>
      <c r="F4" s="211" t="s">
        <v>21</v>
      </c>
      <c r="G4" s="212" t="s">
        <v>227</v>
      </c>
    </row>
    <row r="5" spans="1:12" ht="15" customHeight="1" x14ac:dyDescent="0.2">
      <c r="B5" s="211" t="s">
        <v>92</v>
      </c>
      <c r="F5" s="211"/>
      <c r="G5" s="210"/>
    </row>
    <row r="7" spans="1:12" ht="15" customHeight="1" x14ac:dyDescent="0.2">
      <c r="A7" s="196" t="s">
        <v>22</v>
      </c>
      <c r="B7" s="179"/>
      <c r="C7" s="179" t="s">
        <v>541</v>
      </c>
      <c r="D7" s="179" t="s">
        <v>7</v>
      </c>
      <c r="E7" s="194"/>
      <c r="F7" s="196" t="s">
        <v>577</v>
      </c>
      <c r="G7" s="196"/>
      <c r="H7" s="196" t="s">
        <v>576</v>
      </c>
      <c r="I7" s="196" t="s">
        <v>575</v>
      </c>
      <c r="J7" s="196" t="s">
        <v>574</v>
      </c>
      <c r="K7" s="184"/>
    </row>
    <row r="8" spans="1:12" ht="15" customHeight="1" x14ac:dyDescent="0.2">
      <c r="B8" s="125" t="s">
        <v>573</v>
      </c>
      <c r="C8" s="207" t="s">
        <v>579</v>
      </c>
      <c r="E8" s="194"/>
      <c r="F8" s="16" t="str">
        <f>B49</f>
        <v>Revenues</v>
      </c>
      <c r="H8" s="182">
        <f>H49</f>
        <v>719.49828962371726</v>
      </c>
      <c r="J8" s="204">
        <f>IF($D$30="Share price",$D$43,$I$35)/H8</f>
        <v>4.2551505546751187</v>
      </c>
      <c r="K8" s="184"/>
    </row>
    <row r="9" spans="1:12" ht="15" customHeight="1" x14ac:dyDescent="0.2">
      <c r="B9" s="125" t="s">
        <v>572</v>
      </c>
      <c r="C9" s="207" t="s">
        <v>218</v>
      </c>
      <c r="E9" s="194"/>
      <c r="F9" s="16" t="str">
        <f>B50</f>
        <v>EBIT</v>
      </c>
      <c r="H9" s="182">
        <f>H50</f>
        <v>111.63055872291905</v>
      </c>
      <c r="I9" s="206">
        <f>H9/H$8</f>
        <v>0.15515055467511885</v>
      </c>
      <c r="J9" s="204">
        <f>IF($D$30="Share price",$D$43,$I$35)/H9</f>
        <v>27.425944841675179</v>
      </c>
      <c r="K9" s="184"/>
    </row>
    <row r="10" spans="1:12" ht="15" customHeight="1" x14ac:dyDescent="0.2">
      <c r="B10" s="125" t="s">
        <v>571</v>
      </c>
      <c r="C10" s="207" t="str">
        <f>C4</f>
        <v>Loro Piano</v>
      </c>
      <c r="E10" s="194"/>
      <c r="F10" s="16" t="str">
        <f>B51</f>
        <v>EBITDA</v>
      </c>
      <c r="H10" s="182">
        <f>H51</f>
        <v>143.89965792474345</v>
      </c>
      <c r="I10" s="206">
        <f>H10/H$8</f>
        <v>0.2</v>
      </c>
      <c r="J10" s="204">
        <f>IF($D$30="Share price",$D$43,$I$35)/H10</f>
        <v>21.275752773375594</v>
      </c>
      <c r="K10" s="184"/>
    </row>
    <row r="11" spans="1:12" ht="15" customHeight="1" x14ac:dyDescent="0.2">
      <c r="B11" s="125" t="s">
        <v>569</v>
      </c>
      <c r="C11" s="207" t="s">
        <v>36</v>
      </c>
      <c r="E11" s="184"/>
      <c r="F11" s="183"/>
      <c r="G11" s="183"/>
      <c r="H11" s="183"/>
      <c r="I11" s="183"/>
      <c r="J11" s="183"/>
    </row>
    <row r="12" spans="1:12" ht="15" customHeight="1" x14ac:dyDescent="0.2">
      <c r="B12" s="125" t="s">
        <v>567</v>
      </c>
      <c r="C12" s="208">
        <v>41463</v>
      </c>
      <c r="E12" s="184"/>
      <c r="K12" s="165"/>
    </row>
    <row r="13" spans="1:12" ht="15" customHeight="1" x14ac:dyDescent="0.2">
      <c r="B13" s="94" t="s">
        <v>566</v>
      </c>
      <c r="C13" s="208">
        <v>41613</v>
      </c>
      <c r="E13" s="194"/>
      <c r="F13" s="196" t="s">
        <v>565</v>
      </c>
      <c r="G13" s="196"/>
      <c r="H13" s="196" t="s">
        <v>564</v>
      </c>
      <c r="I13" s="209"/>
      <c r="J13" s="204"/>
    </row>
    <row r="14" spans="1:12" ht="15" customHeight="1" x14ac:dyDescent="0.2">
      <c r="B14" s="125" t="s">
        <v>28</v>
      </c>
      <c r="C14" s="208">
        <v>41274</v>
      </c>
      <c r="E14" s="194"/>
      <c r="F14" s="16" t="s">
        <v>563</v>
      </c>
      <c r="H14" s="201" t="str">
        <f>IFERROR($C$19/C20-1,"NA")</f>
        <v>NA</v>
      </c>
      <c r="I14" s="184"/>
      <c r="J14" s="204"/>
    </row>
    <row r="15" spans="1:12" ht="15" customHeight="1" x14ac:dyDescent="0.2">
      <c r="B15" s="125" t="s">
        <v>29</v>
      </c>
      <c r="C15" s="208">
        <f>C14</f>
        <v>41274</v>
      </c>
      <c r="E15" s="194"/>
      <c r="F15" s="16" t="s">
        <v>562</v>
      </c>
      <c r="H15" s="201" t="str">
        <f>IFERROR($C$19/C21-1,"NA")</f>
        <v>NA</v>
      </c>
      <c r="I15" s="205"/>
      <c r="J15" s="204"/>
    </row>
    <row r="16" spans="1:12" ht="15" customHeight="1" x14ac:dyDescent="0.2">
      <c r="B16" s="125" t="s">
        <v>31</v>
      </c>
      <c r="C16" s="207" t="s">
        <v>216</v>
      </c>
      <c r="E16" s="194"/>
      <c r="F16" s="16" t="s">
        <v>561</v>
      </c>
      <c r="H16" s="201" t="str">
        <f>IFERROR($C$19/C22-1,"NA")</f>
        <v>NA</v>
      </c>
      <c r="I16" s="205"/>
      <c r="J16" s="204"/>
    </row>
    <row r="17" spans="1:24" ht="15" customHeight="1" x14ac:dyDescent="0.2">
      <c r="B17" s="125" t="s">
        <v>147</v>
      </c>
      <c r="C17" s="203" t="s">
        <v>7</v>
      </c>
      <c r="E17" s="184"/>
      <c r="F17" s="183"/>
      <c r="G17" s="183"/>
      <c r="H17" s="183"/>
    </row>
    <row r="18" spans="1:24" ht="15" customHeight="1" x14ac:dyDescent="0.2">
      <c r="B18" s="125" t="s">
        <v>32</v>
      </c>
      <c r="C18" s="219">
        <v>0.877</v>
      </c>
      <c r="E18" s="184"/>
    </row>
    <row r="19" spans="1:24" ht="15" customHeight="1" x14ac:dyDescent="0.2">
      <c r="B19" s="125" t="s">
        <v>560</v>
      </c>
      <c r="C19" s="216" t="s">
        <v>36</v>
      </c>
      <c r="D19" s="199" t="str">
        <f>IFERROR(C19/FX,"NM")</f>
        <v>NM</v>
      </c>
      <c r="E19" s="194"/>
      <c r="F19" s="196" t="s">
        <v>476</v>
      </c>
      <c r="G19" s="196"/>
      <c r="H19" s="202" t="s">
        <v>559</v>
      </c>
      <c r="I19" s="184"/>
    </row>
    <row r="20" spans="1:24" ht="15" customHeight="1" x14ac:dyDescent="0.2">
      <c r="B20" s="125" t="s">
        <v>558</v>
      </c>
      <c r="C20" s="216" t="s">
        <v>36</v>
      </c>
      <c r="D20" s="199" t="str">
        <f>IFERROR(C20/FX,"NM")</f>
        <v>NM</v>
      </c>
      <c r="E20" s="194"/>
      <c r="F20" s="16" t="s">
        <v>557</v>
      </c>
      <c r="H20" s="201" t="str">
        <f>D57</f>
        <v>NA</v>
      </c>
      <c r="I20" s="184"/>
    </row>
    <row r="21" spans="1:24" ht="15" customHeight="1" x14ac:dyDescent="0.2">
      <c r="B21" s="125" t="s">
        <v>556</v>
      </c>
      <c r="C21" s="216" t="s">
        <v>36</v>
      </c>
      <c r="D21" s="199" t="str">
        <f>IFERROR(C21/FX,"NM")</f>
        <v>NM</v>
      </c>
      <c r="E21" s="194"/>
      <c r="F21" s="16" t="s">
        <v>555</v>
      </c>
      <c r="H21" s="201" t="str">
        <f>D58</f>
        <v>NA</v>
      </c>
      <c r="I21" s="184"/>
    </row>
    <row r="22" spans="1:24" ht="15" customHeight="1" x14ac:dyDescent="0.2">
      <c r="B22" s="125" t="s">
        <v>554</v>
      </c>
      <c r="C22" s="216" t="s">
        <v>36</v>
      </c>
      <c r="D22" s="199" t="str">
        <f>IFERROR(C22/FX,"NM")</f>
        <v>NM</v>
      </c>
      <c r="E22" s="184"/>
      <c r="F22" s="85"/>
      <c r="G22" s="183"/>
      <c r="H22" s="198"/>
    </row>
    <row r="23" spans="1:24" ht="15" customHeight="1" x14ac:dyDescent="0.2">
      <c r="B23" s="94" t="s">
        <v>553</v>
      </c>
      <c r="C23" s="216" t="s">
        <v>36</v>
      </c>
      <c r="E23" s="184"/>
      <c r="M23" s="165"/>
    </row>
    <row r="24" spans="1:24" ht="15" customHeight="1" x14ac:dyDescent="0.2">
      <c r="B24" s="94" t="s">
        <v>552</v>
      </c>
      <c r="C24" s="165">
        <f>E87</f>
        <v>0</v>
      </c>
      <c r="E24" s="184"/>
      <c r="M24" s="165"/>
    </row>
    <row r="25" spans="1:24" ht="15" customHeight="1" x14ac:dyDescent="0.2">
      <c r="B25" s="94" t="s">
        <v>551</v>
      </c>
      <c r="C25" s="165">
        <f>SUM(C23:C24)</f>
        <v>0</v>
      </c>
      <c r="E25" s="184"/>
      <c r="F25" s="165"/>
      <c r="G25" s="165"/>
      <c r="H25" s="165"/>
      <c r="I25" s="165"/>
      <c r="J25" s="165"/>
      <c r="K25" s="165"/>
      <c r="L25" s="165"/>
      <c r="M25" s="165"/>
    </row>
    <row r="26" spans="1:24" ht="15" customHeight="1" x14ac:dyDescent="0.2">
      <c r="B26" s="94" t="s">
        <v>550</v>
      </c>
      <c r="C26" s="188" t="str">
        <f>IFERROR(C25*C19,"NM")</f>
        <v>NM</v>
      </c>
      <c r="D26" s="199" t="str">
        <f>IFERROR(C26/FX,"NM")</f>
        <v>NM</v>
      </c>
      <c r="E26" s="184"/>
      <c r="F26" s="165"/>
      <c r="G26" s="165"/>
      <c r="H26" s="165"/>
      <c r="I26" s="165"/>
      <c r="J26" s="165"/>
      <c r="K26" s="165"/>
      <c r="L26" s="165"/>
      <c r="M26" s="165"/>
    </row>
    <row r="27" spans="1:24" ht="15" customHeight="1" x14ac:dyDescent="0.2">
      <c r="B27" s="125" t="s">
        <v>549</v>
      </c>
      <c r="C27" s="104">
        <v>1</v>
      </c>
      <c r="E27" s="184"/>
      <c r="F27" s="165"/>
      <c r="G27" s="165"/>
      <c r="H27" s="165"/>
      <c r="I27" s="165"/>
      <c r="J27" s="165"/>
      <c r="K27" s="165"/>
      <c r="L27" s="165"/>
      <c r="M27" s="165"/>
    </row>
    <row r="28" spans="1:24" ht="15" customHeight="1" x14ac:dyDescent="0.2">
      <c r="B28" s="125" t="s">
        <v>548</v>
      </c>
      <c r="C28" s="95">
        <f>1-C27</f>
        <v>0</v>
      </c>
      <c r="D28" s="165"/>
      <c r="E28" s="184"/>
      <c r="F28" s="165"/>
      <c r="G28" s="165"/>
      <c r="H28" s="165"/>
      <c r="I28" s="165"/>
      <c r="J28" s="165"/>
      <c r="K28" s="165"/>
      <c r="L28" s="165"/>
      <c r="M28" s="165"/>
    </row>
    <row r="29" spans="1:24" ht="15" customHeight="1" x14ac:dyDescent="0.2">
      <c r="A29" s="84"/>
      <c r="B29" s="183"/>
      <c r="C29" s="183"/>
      <c r="D29" s="183"/>
      <c r="E29" s="165"/>
      <c r="F29" s="165"/>
      <c r="G29" s="165"/>
    </row>
    <row r="30" spans="1:24" ht="15" customHeight="1" x14ac:dyDescent="0.2">
      <c r="A30" s="124" t="s">
        <v>547</v>
      </c>
      <c r="B30" s="182"/>
      <c r="D30" s="73" t="s">
        <v>47</v>
      </c>
      <c r="E30" s="165"/>
      <c r="F30" s="165"/>
      <c r="G30" s="165"/>
      <c r="X30" s="182" t="s">
        <v>47</v>
      </c>
    </row>
    <row r="31" spans="1:24" ht="15" customHeight="1" x14ac:dyDescent="0.2">
      <c r="B31" s="182"/>
      <c r="E31" s="165"/>
      <c r="F31" s="165"/>
      <c r="G31" s="165"/>
      <c r="X31" s="182" t="s">
        <v>161</v>
      </c>
    </row>
    <row r="32" spans="1:24" ht="15" customHeight="1" x14ac:dyDescent="0.2">
      <c r="A32" s="196" t="s">
        <v>545</v>
      </c>
      <c r="B32" s="179"/>
      <c r="C32" s="179" t="s">
        <v>541</v>
      </c>
      <c r="D32" s="179" t="s">
        <v>7</v>
      </c>
      <c r="E32" s="214"/>
      <c r="F32" s="196" t="s">
        <v>47</v>
      </c>
      <c r="G32" s="179"/>
      <c r="H32" s="179" t="s">
        <v>541</v>
      </c>
      <c r="I32" s="179" t="s">
        <v>7</v>
      </c>
      <c r="J32" s="184"/>
    </row>
    <row r="33" spans="1:12" ht="15" customHeight="1" x14ac:dyDescent="0.2">
      <c r="B33" s="125" t="str">
        <f>B26</f>
        <v>Fully diluted equity value</v>
      </c>
      <c r="C33" s="188" t="str">
        <f>C26</f>
        <v>NM</v>
      </c>
      <c r="D33" s="213" t="str">
        <f>D26</f>
        <v>NM</v>
      </c>
      <c r="E33" s="215"/>
      <c r="F33" s="125" t="s">
        <v>163</v>
      </c>
      <c r="H33" s="73">
        <v>2685</v>
      </c>
      <c r="I33" s="182">
        <f>H33/FX</f>
        <v>3061.5735461801596</v>
      </c>
      <c r="J33" s="184"/>
    </row>
    <row r="34" spans="1:12" ht="15" customHeight="1" x14ac:dyDescent="0.2">
      <c r="B34" s="125" t="s">
        <v>77</v>
      </c>
      <c r="C34" s="73">
        <v>0</v>
      </c>
      <c r="D34" s="182">
        <f t="shared" ref="D34:D42" si="0">C34/FX</f>
        <v>0</v>
      </c>
      <c r="E34" s="214"/>
      <c r="F34" s="125" t="s">
        <v>544</v>
      </c>
      <c r="H34" s="73">
        <v>0</v>
      </c>
      <c r="I34" s="182">
        <f>H34/FX</f>
        <v>0</v>
      </c>
      <c r="J34" s="184"/>
    </row>
    <row r="35" spans="1:12" ht="15" customHeight="1" x14ac:dyDescent="0.2">
      <c r="B35" s="125" t="s">
        <v>71</v>
      </c>
      <c r="C35" s="73">
        <v>0</v>
      </c>
      <c r="D35" s="182">
        <f t="shared" si="0"/>
        <v>0</v>
      </c>
      <c r="E35" s="214"/>
      <c r="F35" s="125" t="s">
        <v>542</v>
      </c>
      <c r="H35" s="182">
        <f>SUM(H33:H34)</f>
        <v>2685</v>
      </c>
      <c r="I35" s="182">
        <f>H35/FX</f>
        <v>3061.5735461801596</v>
      </c>
      <c r="J35" s="184"/>
    </row>
    <row r="36" spans="1:12" ht="15" customHeight="1" x14ac:dyDescent="0.2">
      <c r="B36" s="125" t="s">
        <v>74</v>
      </c>
      <c r="C36" s="73">
        <v>0</v>
      </c>
      <c r="D36" s="182">
        <f t="shared" si="0"/>
        <v>0</v>
      </c>
      <c r="E36" s="184"/>
      <c r="F36" s="183"/>
      <c r="G36" s="183"/>
      <c r="H36" s="183"/>
      <c r="I36" s="183"/>
    </row>
    <row r="37" spans="1:12" ht="15" customHeight="1" x14ac:dyDescent="0.2">
      <c r="B37" s="125" t="s">
        <v>73</v>
      </c>
      <c r="C37" s="73">
        <v>0</v>
      </c>
      <c r="D37" s="182">
        <f t="shared" si="0"/>
        <v>0</v>
      </c>
      <c r="E37" s="192"/>
    </row>
    <row r="38" spans="1:12" ht="15" customHeight="1" x14ac:dyDescent="0.2">
      <c r="B38" s="125" t="s">
        <v>171</v>
      </c>
      <c r="C38" s="73">
        <v>0</v>
      </c>
      <c r="D38" s="182">
        <f t="shared" si="0"/>
        <v>0</v>
      </c>
      <c r="E38" s="192"/>
    </row>
    <row r="39" spans="1:12" ht="15" customHeight="1" x14ac:dyDescent="0.2">
      <c r="B39" s="125" t="s">
        <v>133</v>
      </c>
      <c r="C39" s="73">
        <v>0</v>
      </c>
      <c r="D39" s="182">
        <f t="shared" si="0"/>
        <v>0</v>
      </c>
      <c r="E39" s="192"/>
    </row>
    <row r="40" spans="1:12" ht="15" customHeight="1" x14ac:dyDescent="0.2">
      <c r="B40" s="125" t="s">
        <v>66</v>
      </c>
      <c r="C40" s="73">
        <v>0</v>
      </c>
      <c r="D40" s="182">
        <f t="shared" si="0"/>
        <v>0</v>
      </c>
      <c r="E40" s="192"/>
    </row>
    <row r="41" spans="1:12" ht="15" customHeight="1" x14ac:dyDescent="0.2">
      <c r="B41" s="125" t="s">
        <v>68</v>
      </c>
      <c r="C41" s="73">
        <v>0</v>
      </c>
      <c r="D41" s="182">
        <f t="shared" si="0"/>
        <v>0</v>
      </c>
      <c r="E41" s="192"/>
    </row>
    <row r="42" spans="1:12" ht="15" customHeight="1" x14ac:dyDescent="0.2">
      <c r="B42" s="125" t="s">
        <v>543</v>
      </c>
      <c r="C42" s="73">
        <v>0</v>
      </c>
      <c r="D42" s="182">
        <f t="shared" si="0"/>
        <v>0</v>
      </c>
      <c r="E42" s="192"/>
    </row>
    <row r="43" spans="1:12" ht="15" customHeight="1" x14ac:dyDescent="0.2">
      <c r="B43" s="125" t="s">
        <v>542</v>
      </c>
      <c r="C43" s="193" t="str">
        <f>IFERROR(C33+SUM(C34:C39)-SUM(C40:C42),"NM")</f>
        <v>NM</v>
      </c>
      <c r="D43" s="193" t="str">
        <f>IFERROR(D33+SUM(D34:D39)-SUM(D40:D42),"NM")</f>
        <v>NM</v>
      </c>
      <c r="E43" s="192"/>
    </row>
    <row r="44" spans="1:12" ht="15" customHeight="1" x14ac:dyDescent="0.2">
      <c r="B44" s="85"/>
      <c r="C44" s="183"/>
      <c r="D44" s="183"/>
    </row>
    <row r="45" spans="1:12" ht="15" customHeight="1" x14ac:dyDescent="0.2">
      <c r="A45" s="187" t="s">
        <v>97</v>
      </c>
      <c r="B45" s="179"/>
      <c r="C45" s="179"/>
      <c r="D45" s="179"/>
      <c r="E45" s="179"/>
      <c r="F45" s="179"/>
      <c r="G45" s="179" t="s">
        <v>541</v>
      </c>
      <c r="H45" s="179" t="str">
        <f>C17</f>
        <v>USD</v>
      </c>
      <c r="I45" s="184"/>
      <c r="J45" s="165"/>
      <c r="K45" s="165"/>
      <c r="L45" s="165"/>
    </row>
    <row r="46" spans="1:12" ht="15" customHeight="1" x14ac:dyDescent="0.2">
      <c r="C46" s="191"/>
      <c r="D46" s="191" t="s">
        <v>99</v>
      </c>
      <c r="E46" s="191" t="s">
        <v>100</v>
      </c>
      <c r="F46" s="191"/>
      <c r="G46" s="191"/>
      <c r="I46" s="184"/>
      <c r="J46" s="165"/>
      <c r="K46" s="165"/>
      <c r="L46" s="165"/>
    </row>
    <row r="47" spans="1:12" ht="15" customHeight="1" x14ac:dyDescent="0.2">
      <c r="C47" s="191" t="s">
        <v>101</v>
      </c>
      <c r="D47" s="191" t="s">
        <v>102</v>
      </c>
      <c r="E47" s="191" t="s">
        <v>102</v>
      </c>
      <c r="F47" s="191" t="s">
        <v>103</v>
      </c>
      <c r="G47" s="191" t="s">
        <v>104</v>
      </c>
      <c r="H47" s="191" t="s">
        <v>104</v>
      </c>
      <c r="I47" s="184"/>
      <c r="J47" s="165"/>
      <c r="K47" s="165"/>
      <c r="L47" s="165"/>
    </row>
    <row r="48" spans="1:12" ht="15" customHeight="1" x14ac:dyDescent="0.2">
      <c r="B48" s="125" t="s">
        <v>3</v>
      </c>
      <c r="C48" s="190">
        <v>41274</v>
      </c>
      <c r="D48" s="190">
        <f>DATE(YEAR(E48)-1,MONTH(E48),DAY(E48))</f>
        <v>40908</v>
      </c>
      <c r="E48" s="190">
        <f>C15</f>
        <v>41274</v>
      </c>
      <c r="I48" s="184"/>
      <c r="J48" s="165"/>
      <c r="K48" s="165"/>
      <c r="L48" s="165"/>
    </row>
    <row r="49" spans="1:12" ht="15" customHeight="1" x14ac:dyDescent="0.2">
      <c r="B49" s="125" t="s">
        <v>110</v>
      </c>
      <c r="C49" s="136">
        <v>631</v>
      </c>
      <c r="D49" s="136">
        <v>0</v>
      </c>
      <c r="E49" s="136">
        <v>0</v>
      </c>
      <c r="F49" s="136">
        <v>0</v>
      </c>
      <c r="G49" s="182">
        <f>C49-D49+E49+F49</f>
        <v>631</v>
      </c>
      <c r="H49" s="182">
        <f>G49/FX</f>
        <v>719.49828962371726</v>
      </c>
      <c r="I49" s="184"/>
      <c r="J49" s="165"/>
      <c r="K49" s="165"/>
      <c r="L49" s="165"/>
    </row>
    <row r="50" spans="1:12" ht="15" customHeight="1" x14ac:dyDescent="0.2">
      <c r="B50" s="125" t="s">
        <v>56</v>
      </c>
      <c r="C50" s="182">
        <f>C70</f>
        <v>97.9</v>
      </c>
      <c r="D50" s="182">
        <f>D70</f>
        <v>0</v>
      </c>
      <c r="E50" s="182">
        <f>E70</f>
        <v>0</v>
      </c>
      <c r="F50" s="136">
        <v>0</v>
      </c>
      <c r="G50" s="182">
        <f>C50-D50+E50+F50</f>
        <v>97.9</v>
      </c>
      <c r="H50" s="182">
        <f>G50/FX</f>
        <v>111.63055872291905</v>
      </c>
      <c r="I50" s="184"/>
      <c r="J50" s="165"/>
      <c r="K50" s="165"/>
      <c r="L50" s="165"/>
    </row>
    <row r="51" spans="1:12" ht="15" customHeight="1" x14ac:dyDescent="0.2">
      <c r="B51" s="125" t="s">
        <v>55</v>
      </c>
      <c r="C51" s="136">
        <f>C49*0.2</f>
        <v>126.2</v>
      </c>
      <c r="D51" s="182">
        <f>SUM(D53:D53)+D50</f>
        <v>0</v>
      </c>
      <c r="E51" s="182">
        <f>SUM(E53:E53)+E50</f>
        <v>0</v>
      </c>
      <c r="F51" s="136">
        <v>0</v>
      </c>
      <c r="G51" s="182">
        <f>C51-D51+E51+F51</f>
        <v>126.2</v>
      </c>
      <c r="H51" s="182">
        <f>G51/FX</f>
        <v>143.89965792474345</v>
      </c>
      <c r="I51" s="184"/>
      <c r="J51" s="165"/>
      <c r="K51" s="165"/>
      <c r="L51" s="165"/>
    </row>
    <row r="52" spans="1:12" ht="15" customHeight="1" x14ac:dyDescent="0.2">
      <c r="I52" s="184"/>
    </row>
    <row r="53" spans="1:12" ht="15" customHeight="1" x14ac:dyDescent="0.2">
      <c r="B53" s="125" t="s">
        <v>540</v>
      </c>
      <c r="C53" s="136">
        <v>0</v>
      </c>
      <c r="D53" s="136">
        <v>0</v>
      </c>
      <c r="E53" s="136">
        <v>0</v>
      </c>
      <c r="F53" s="136">
        <v>0</v>
      </c>
      <c r="G53" s="182">
        <f>C53-D53+E53+F53</f>
        <v>0</v>
      </c>
      <c r="H53" s="182">
        <f>G53/FX</f>
        <v>0</v>
      </c>
      <c r="I53" s="184"/>
    </row>
    <row r="54" spans="1:12" ht="15" customHeight="1" x14ac:dyDescent="0.2">
      <c r="B54" s="136"/>
      <c r="C54" s="136"/>
      <c r="D54" s="136"/>
      <c r="E54" s="136"/>
      <c r="I54" s="184"/>
    </row>
    <row r="55" spans="1:12" ht="15" customHeight="1" x14ac:dyDescent="0.2">
      <c r="B55" s="136"/>
      <c r="C55" s="189" t="s">
        <v>539</v>
      </c>
      <c r="D55" s="189" t="s">
        <v>538</v>
      </c>
      <c r="E55" s="136"/>
      <c r="I55" s="184"/>
    </row>
    <row r="56" spans="1:12" ht="15" customHeight="1" x14ac:dyDescent="0.2">
      <c r="B56" s="125" t="s">
        <v>537</v>
      </c>
      <c r="C56" s="139" t="s">
        <v>36</v>
      </c>
      <c r="D56" s="136"/>
      <c r="E56" s="136"/>
      <c r="I56" s="184"/>
    </row>
    <row r="57" spans="1:12" ht="15" customHeight="1" x14ac:dyDescent="0.2">
      <c r="B57" s="125" t="s">
        <v>536</v>
      </c>
      <c r="C57" s="139" t="s">
        <v>36</v>
      </c>
      <c r="D57" s="188" t="str">
        <f>IFERROR(C57/C58,"NA")</f>
        <v>NA</v>
      </c>
      <c r="E57" s="136"/>
      <c r="I57" s="184"/>
    </row>
    <row r="58" spans="1:12" ht="15" customHeight="1" x14ac:dyDescent="0.2">
      <c r="B58" s="125" t="s">
        <v>535</v>
      </c>
      <c r="C58" s="165">
        <f>C49</f>
        <v>631</v>
      </c>
      <c r="D58" s="188" t="str">
        <f>IFERROR(C58/C59,"NA")</f>
        <v>NA</v>
      </c>
      <c r="E58" s="136"/>
      <c r="I58" s="184"/>
    </row>
    <row r="59" spans="1:12" ht="15" customHeight="1" x14ac:dyDescent="0.2">
      <c r="A59" s="84"/>
      <c r="B59" s="85"/>
      <c r="C59" s="183"/>
      <c r="D59" s="183"/>
      <c r="E59" s="183"/>
      <c r="F59" s="183"/>
      <c r="G59" s="183"/>
      <c r="H59" s="183"/>
    </row>
    <row r="60" spans="1:12" ht="15" customHeight="1" x14ac:dyDescent="0.2">
      <c r="A60" s="187" t="s">
        <v>534</v>
      </c>
      <c r="B60" s="179"/>
      <c r="C60" s="179"/>
      <c r="D60" s="179"/>
      <c r="E60" s="179"/>
      <c r="F60" s="179"/>
      <c r="G60" s="179"/>
      <c r="H60" s="184"/>
    </row>
    <row r="61" spans="1:12" ht="15" customHeight="1" x14ac:dyDescent="0.2">
      <c r="B61" s="125" t="s">
        <v>112</v>
      </c>
      <c r="C61" s="136">
        <v>97.9</v>
      </c>
      <c r="D61" s="136">
        <v>0</v>
      </c>
      <c r="E61" s="136">
        <v>0</v>
      </c>
      <c r="F61" s="136">
        <v>0</v>
      </c>
      <c r="G61" s="182">
        <f t="shared" ref="G61:G70" si="1">C61-D61+E61+F61</f>
        <v>97.9</v>
      </c>
      <c r="H61" s="184"/>
    </row>
    <row r="62" spans="1:12" ht="15" customHeight="1" x14ac:dyDescent="0.2">
      <c r="B62" s="125" t="s">
        <v>113</v>
      </c>
      <c r="C62" s="136">
        <v>0</v>
      </c>
      <c r="D62" s="136">
        <v>0</v>
      </c>
      <c r="E62" s="136">
        <v>0</v>
      </c>
      <c r="F62" s="136">
        <v>0</v>
      </c>
      <c r="G62" s="182">
        <f t="shared" si="1"/>
        <v>0</v>
      </c>
      <c r="H62" s="184"/>
    </row>
    <row r="63" spans="1:12" ht="15" customHeight="1" x14ac:dyDescent="0.2">
      <c r="B63" s="125" t="s">
        <v>114</v>
      </c>
      <c r="C63" s="136">
        <v>0</v>
      </c>
      <c r="D63" s="136">
        <v>0</v>
      </c>
      <c r="E63" s="136">
        <v>0</v>
      </c>
      <c r="F63" s="136">
        <v>0</v>
      </c>
      <c r="G63" s="182">
        <f t="shared" si="1"/>
        <v>0</v>
      </c>
      <c r="H63" s="184"/>
    </row>
    <row r="64" spans="1:12" ht="15" customHeight="1" x14ac:dyDescent="0.2">
      <c r="B64" s="125" t="s">
        <v>115</v>
      </c>
      <c r="C64" s="136">
        <v>0</v>
      </c>
      <c r="D64" s="136">
        <v>0</v>
      </c>
      <c r="E64" s="136">
        <v>0</v>
      </c>
      <c r="F64" s="136">
        <v>0</v>
      </c>
      <c r="G64" s="182">
        <f t="shared" si="1"/>
        <v>0</v>
      </c>
      <c r="H64" s="184"/>
    </row>
    <row r="65" spans="1:8" ht="15" customHeight="1" x14ac:dyDescent="0.2">
      <c r="B65" s="125" t="s">
        <v>116</v>
      </c>
      <c r="C65" s="136">
        <v>0</v>
      </c>
      <c r="D65" s="136">
        <v>0</v>
      </c>
      <c r="E65" s="136">
        <v>0</v>
      </c>
      <c r="F65" s="136">
        <v>0</v>
      </c>
      <c r="G65" s="182">
        <f t="shared" si="1"/>
        <v>0</v>
      </c>
      <c r="H65" s="184"/>
    </row>
    <row r="66" spans="1:8" ht="15" customHeight="1" x14ac:dyDescent="0.2">
      <c r="B66" s="125" t="s">
        <v>117</v>
      </c>
      <c r="C66" s="136">
        <v>0</v>
      </c>
      <c r="D66" s="136">
        <v>0</v>
      </c>
      <c r="E66" s="136">
        <v>0</v>
      </c>
      <c r="F66" s="136">
        <v>0</v>
      </c>
      <c r="G66" s="182">
        <f t="shared" si="1"/>
        <v>0</v>
      </c>
      <c r="H66" s="184"/>
    </row>
    <row r="67" spans="1:8" ht="15" customHeight="1" x14ac:dyDescent="0.2">
      <c r="B67" s="125" t="s">
        <v>118</v>
      </c>
      <c r="C67" s="136">
        <v>0</v>
      </c>
      <c r="D67" s="136">
        <v>0</v>
      </c>
      <c r="E67" s="136">
        <v>0</v>
      </c>
      <c r="F67" s="136">
        <v>0</v>
      </c>
      <c r="G67" s="182">
        <f t="shared" si="1"/>
        <v>0</v>
      </c>
      <c r="H67" s="184"/>
    </row>
    <row r="68" spans="1:8" ht="15" customHeight="1" x14ac:dyDescent="0.2">
      <c r="B68" s="125" t="s">
        <v>119</v>
      </c>
      <c r="C68" s="136">
        <v>0</v>
      </c>
      <c r="D68" s="136">
        <v>0</v>
      </c>
      <c r="E68" s="136">
        <v>0</v>
      </c>
      <c r="F68" s="136">
        <v>0</v>
      </c>
      <c r="G68" s="182">
        <f t="shared" si="1"/>
        <v>0</v>
      </c>
      <c r="H68" s="184"/>
    </row>
    <row r="69" spans="1:8" ht="15" customHeight="1" x14ac:dyDescent="0.2">
      <c r="B69" s="125" t="s">
        <v>120</v>
      </c>
      <c r="C69" s="136">
        <v>0</v>
      </c>
      <c r="D69" s="136">
        <v>0</v>
      </c>
      <c r="E69" s="136">
        <v>0</v>
      </c>
      <c r="F69" s="136">
        <v>0</v>
      </c>
      <c r="G69" s="182">
        <f t="shared" si="1"/>
        <v>0</v>
      </c>
      <c r="H69" s="184"/>
    </row>
    <row r="70" spans="1:8" ht="15" customHeight="1" x14ac:dyDescent="0.2">
      <c r="B70" s="125" t="s">
        <v>56</v>
      </c>
      <c r="C70" s="182">
        <f>SUM(C61:C69)</f>
        <v>97.9</v>
      </c>
      <c r="D70" s="182">
        <f>SUM(D61:D69)</f>
        <v>0</v>
      </c>
      <c r="E70" s="182">
        <f>SUM(E61:E69)</f>
        <v>0</v>
      </c>
      <c r="F70" s="182">
        <f>SUM(F61:F69)</f>
        <v>0</v>
      </c>
      <c r="G70" s="182">
        <f t="shared" si="1"/>
        <v>97.9</v>
      </c>
      <c r="H70" s="184"/>
    </row>
    <row r="71" spans="1:8" ht="15" customHeight="1" x14ac:dyDescent="0.2">
      <c r="A71" s="84"/>
      <c r="B71" s="85"/>
      <c r="C71" s="183"/>
      <c r="D71" s="183"/>
      <c r="E71" s="183"/>
      <c r="F71" s="183"/>
      <c r="G71" s="183"/>
    </row>
    <row r="72" spans="1:8" ht="15" customHeight="1" x14ac:dyDescent="0.2">
      <c r="A72" s="187" t="s">
        <v>121</v>
      </c>
      <c r="B72" s="179"/>
      <c r="C72" s="179"/>
      <c r="D72" s="179"/>
      <c r="E72" s="179"/>
      <c r="F72" s="184"/>
    </row>
    <row r="73" spans="1:8" ht="15" customHeight="1" x14ac:dyDescent="0.2">
      <c r="B73" s="186" t="s">
        <v>122</v>
      </c>
      <c r="C73" s="186" t="s">
        <v>123</v>
      </c>
      <c r="D73" s="186" t="s">
        <v>124</v>
      </c>
      <c r="E73" s="186" t="s">
        <v>125</v>
      </c>
      <c r="F73" s="184"/>
    </row>
    <row r="74" spans="1:8" ht="15" customHeight="1" x14ac:dyDescent="0.2">
      <c r="B74" s="16" t="s">
        <v>137</v>
      </c>
      <c r="C74" s="99">
        <v>0</v>
      </c>
      <c r="D74" s="99">
        <v>0</v>
      </c>
      <c r="E74" s="213" t="str">
        <f t="shared" ref="E74:E86" si="2">IFERROR(MAX(($C$19-D74)/$C$19*C74,0),"NM")</f>
        <v>NM</v>
      </c>
      <c r="F74" s="184"/>
    </row>
    <row r="75" spans="1:8" ht="15" customHeight="1" x14ac:dyDescent="0.2">
      <c r="B75" s="16" t="s">
        <v>159</v>
      </c>
      <c r="C75" s="99">
        <v>0</v>
      </c>
      <c r="D75" s="99">
        <v>0</v>
      </c>
      <c r="E75" s="213" t="str">
        <f t="shared" si="2"/>
        <v>NM</v>
      </c>
      <c r="F75" s="184"/>
    </row>
    <row r="76" spans="1:8" ht="15" customHeight="1" x14ac:dyDescent="0.2">
      <c r="B76" s="16" t="s">
        <v>138</v>
      </c>
      <c r="C76" s="99">
        <v>0</v>
      </c>
      <c r="D76" s="99">
        <v>0</v>
      </c>
      <c r="E76" s="213" t="str">
        <f t="shared" si="2"/>
        <v>NM</v>
      </c>
      <c r="F76" s="184"/>
    </row>
    <row r="77" spans="1:8" ht="15" customHeight="1" x14ac:dyDescent="0.2">
      <c r="B77" s="125" t="s">
        <v>139</v>
      </c>
      <c r="C77" s="185">
        <v>0</v>
      </c>
      <c r="D77" s="185">
        <v>0</v>
      </c>
      <c r="E77" s="213" t="str">
        <f t="shared" si="2"/>
        <v>NM</v>
      </c>
      <c r="F77" s="184"/>
    </row>
    <row r="78" spans="1:8" ht="15" customHeight="1" x14ac:dyDescent="0.2">
      <c r="B78" s="125" t="s">
        <v>140</v>
      </c>
      <c r="C78" s="185">
        <v>0</v>
      </c>
      <c r="D78" s="185">
        <v>0</v>
      </c>
      <c r="E78" s="213" t="str">
        <f t="shared" si="2"/>
        <v>NM</v>
      </c>
      <c r="F78" s="184"/>
    </row>
    <row r="79" spans="1:8" ht="15" customHeight="1" x14ac:dyDescent="0.2">
      <c r="B79" s="125" t="s">
        <v>141</v>
      </c>
      <c r="C79" s="185">
        <v>0</v>
      </c>
      <c r="D79" s="185">
        <v>0</v>
      </c>
      <c r="E79" s="213" t="str">
        <f t="shared" si="2"/>
        <v>NM</v>
      </c>
      <c r="F79" s="184"/>
    </row>
    <row r="80" spans="1:8" ht="15" customHeight="1" x14ac:dyDescent="0.2">
      <c r="B80" s="125" t="s">
        <v>142</v>
      </c>
      <c r="C80" s="185">
        <v>0</v>
      </c>
      <c r="D80" s="185">
        <v>0</v>
      </c>
      <c r="E80" s="213" t="str">
        <f t="shared" si="2"/>
        <v>NM</v>
      </c>
      <c r="F80" s="184"/>
    </row>
    <row r="81" spans="1:7" ht="15" customHeight="1" x14ac:dyDescent="0.2">
      <c r="B81" s="125" t="s">
        <v>143</v>
      </c>
      <c r="C81" s="185">
        <v>0</v>
      </c>
      <c r="D81" s="185">
        <v>0</v>
      </c>
      <c r="E81" s="213" t="str">
        <f t="shared" si="2"/>
        <v>NM</v>
      </c>
      <c r="F81" s="184"/>
    </row>
    <row r="82" spans="1:7" ht="15" customHeight="1" x14ac:dyDescent="0.2">
      <c r="B82" s="125" t="s">
        <v>205</v>
      </c>
      <c r="C82" s="185">
        <v>0</v>
      </c>
      <c r="D82" s="185">
        <v>0</v>
      </c>
      <c r="E82" s="213" t="str">
        <f t="shared" si="2"/>
        <v>NM</v>
      </c>
      <c r="F82" s="184"/>
    </row>
    <row r="83" spans="1:7" ht="15" customHeight="1" x14ac:dyDescent="0.2">
      <c r="B83" s="125" t="s">
        <v>206</v>
      </c>
      <c r="C83" s="185">
        <v>0</v>
      </c>
      <c r="D83" s="185">
        <v>0</v>
      </c>
      <c r="E83" s="213" t="str">
        <f t="shared" si="2"/>
        <v>NM</v>
      </c>
      <c r="F83" s="184"/>
    </row>
    <row r="84" spans="1:7" ht="15" customHeight="1" x14ac:dyDescent="0.2">
      <c r="B84" s="125" t="s">
        <v>207</v>
      </c>
      <c r="C84" s="185">
        <v>0</v>
      </c>
      <c r="D84" s="185">
        <v>0</v>
      </c>
      <c r="E84" s="213" t="str">
        <f t="shared" si="2"/>
        <v>NM</v>
      </c>
      <c r="F84" s="184"/>
    </row>
    <row r="85" spans="1:7" ht="15" customHeight="1" x14ac:dyDescent="0.2">
      <c r="B85" s="125" t="s">
        <v>208</v>
      </c>
      <c r="C85" s="185">
        <v>0</v>
      </c>
      <c r="D85" s="185">
        <v>0</v>
      </c>
      <c r="E85" s="213" t="str">
        <f t="shared" si="2"/>
        <v>NM</v>
      </c>
      <c r="F85" s="184"/>
    </row>
    <row r="86" spans="1:7" ht="15" customHeight="1" x14ac:dyDescent="0.2">
      <c r="B86" s="125" t="s">
        <v>212</v>
      </c>
      <c r="C86" s="185">
        <v>0</v>
      </c>
      <c r="D86" s="185">
        <v>0</v>
      </c>
      <c r="E86" s="213" t="str">
        <f t="shared" si="2"/>
        <v>NM</v>
      </c>
      <c r="F86" s="184"/>
    </row>
    <row r="87" spans="1:7" ht="15" customHeight="1" x14ac:dyDescent="0.2">
      <c r="B87" s="125" t="s">
        <v>126</v>
      </c>
      <c r="E87" s="182">
        <f>SUM(E74:E86)</f>
        <v>0</v>
      </c>
      <c r="F87" s="184"/>
    </row>
    <row r="88" spans="1:7" ht="15" customHeight="1" x14ac:dyDescent="0.2">
      <c r="A88" s="84"/>
      <c r="B88" s="85"/>
      <c r="C88" s="183"/>
      <c r="D88" s="183"/>
      <c r="E88" s="183"/>
    </row>
    <row r="90" spans="1:7" ht="15" customHeight="1" x14ac:dyDescent="0.2">
      <c r="A90" s="165"/>
      <c r="B90" s="165"/>
      <c r="C90" s="165"/>
      <c r="D90" s="165"/>
      <c r="E90" s="165"/>
      <c r="F90" s="165"/>
      <c r="G90" s="165"/>
    </row>
    <row r="91" spans="1:7" ht="15" customHeight="1" x14ac:dyDescent="0.2">
      <c r="A91" s="165"/>
      <c r="B91" s="165"/>
      <c r="C91" s="165"/>
      <c r="D91" s="165"/>
      <c r="E91" s="165"/>
      <c r="F91" s="165"/>
      <c r="G91" s="165"/>
    </row>
    <row r="92" spans="1:7" ht="15" customHeight="1" x14ac:dyDescent="0.2">
      <c r="A92" s="165"/>
      <c r="B92" s="165"/>
      <c r="C92" s="165"/>
      <c r="D92" s="165"/>
      <c r="E92" s="165"/>
      <c r="F92" s="165"/>
      <c r="G92" s="165"/>
    </row>
    <row r="93" spans="1:7" ht="15" customHeight="1" x14ac:dyDescent="0.2">
      <c r="A93" s="165"/>
      <c r="B93" s="165"/>
      <c r="C93" s="165"/>
      <c r="D93" s="165"/>
      <c r="E93" s="165"/>
      <c r="F93" s="165"/>
      <c r="G93" s="165"/>
    </row>
    <row r="94" spans="1:7" ht="15" customHeight="1" x14ac:dyDescent="0.2">
      <c r="A94" s="165"/>
      <c r="B94" s="165"/>
      <c r="C94" s="165"/>
      <c r="D94" s="165"/>
      <c r="E94" s="165"/>
      <c r="F94" s="165"/>
      <c r="G94" s="165"/>
    </row>
  </sheetData>
  <dataValidations count="1">
    <dataValidation type="list" allowBlank="1" showInputMessage="1" showErrorMessage="1" sqref="D30" xr:uid="{00000000-0002-0000-0B00-000000000000}">
      <formula1>$X$30:$X$31</formula1>
    </dataValidation>
  </dataValidations>
  <pageMargins left="0.7" right="0.7" top="0.75" bottom="0.75" header="0.3" footer="0.3"/>
  <pageSetup paperSize="9" orientation="landscape" r:id="rId1"/>
  <headerFooter>
    <oddHeader xml:space="preserve">&amp;R&amp;10&amp;F 
&amp;A
</oddHeader>
    <oddFooter>&amp;L&amp;10© 2016&amp;C&amp;10Page &amp;P of &amp;N&amp;R&amp;G</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4"/>
  </sheetPr>
  <dimension ref="A1:AA178"/>
  <sheetViews>
    <sheetView topLeftCell="A2" zoomScale="141" zoomScaleNormal="100" workbookViewId="0">
      <selection activeCell="O6" sqref="O6"/>
    </sheetView>
  </sheetViews>
  <sheetFormatPr baseColWidth="10" defaultColWidth="9.1640625" defaultRowHeight="15" customHeight="1" x14ac:dyDescent="0.2"/>
  <cols>
    <col min="1" max="1" width="1.5" style="15" customWidth="1"/>
    <col min="2" max="2" width="26.5" style="16" customWidth="1"/>
    <col min="3" max="9" width="11" customWidth="1"/>
    <col min="10" max="10" width="2.5" customWidth="1"/>
    <col min="11" max="11" width="11" customWidth="1"/>
    <col min="12" max="12" width="9.33203125" customWidth="1"/>
    <col min="13" max="13" width="9.83203125" customWidth="1"/>
    <col min="14" max="14" width="2.33203125" customWidth="1"/>
    <col min="18" max="18" width="2.33203125" customWidth="1"/>
    <col min="23" max="27" width="12.6640625" customWidth="1"/>
  </cols>
  <sheetData>
    <row r="1" spans="1:27" s="51" customFormat="1" ht="45" customHeight="1" x14ac:dyDescent="0.35">
      <c r="A1" s="5" t="str">
        <f>Info!A1</f>
        <v xml:space="preserve">Case In Point - Samsonite Acquiring Tumi </v>
      </c>
      <c r="B1" s="10"/>
      <c r="C1" s="12"/>
      <c r="D1" s="12"/>
      <c r="E1" s="12"/>
      <c r="F1" s="12"/>
      <c r="G1" s="12"/>
      <c r="H1" s="12"/>
      <c r="I1" s="12"/>
      <c r="J1" s="12"/>
      <c r="K1" s="12"/>
      <c r="L1" s="12"/>
      <c r="M1" s="12"/>
      <c r="N1" s="12"/>
      <c r="O1" s="12"/>
      <c r="P1" s="12"/>
      <c r="Q1" s="12"/>
      <c r="R1" s="12"/>
      <c r="S1" s="12"/>
      <c r="T1" s="12"/>
      <c r="U1" s="12"/>
      <c r="V1" s="12"/>
    </row>
    <row r="2" spans="1:27" s="37" customFormat="1" ht="30" customHeight="1" x14ac:dyDescent="0.25">
      <c r="A2" s="14" t="s">
        <v>191</v>
      </c>
      <c r="B2" s="7"/>
      <c r="C2" s="11"/>
      <c r="D2" s="11"/>
      <c r="E2" s="11"/>
      <c r="F2" s="11"/>
      <c r="G2" s="11"/>
      <c r="H2" s="11"/>
      <c r="I2" s="11"/>
      <c r="J2" s="11"/>
      <c r="K2" s="11"/>
      <c r="L2" s="11"/>
      <c r="M2" s="11"/>
      <c r="N2" s="11"/>
      <c r="O2" s="11"/>
      <c r="P2" s="11"/>
      <c r="Q2" s="11"/>
      <c r="R2" s="11"/>
      <c r="S2" s="11"/>
      <c r="T2" s="11"/>
      <c r="U2" s="11"/>
      <c r="V2" s="11"/>
    </row>
    <row r="4" spans="1:27" ht="15" customHeight="1" x14ac:dyDescent="0.2">
      <c r="B4" s="152" t="str">
        <f>"All data in USD mm unless otherwise stated, as of "&amp;TEXT(Info!$N$7,"dd-mmm-yy")</f>
        <v>All data in USD mm unless otherwise stated, as of 06-May-16</v>
      </c>
      <c r="W4" s="155" t="s">
        <v>308</v>
      </c>
      <c r="X4" s="155"/>
      <c r="Y4" s="155"/>
      <c r="Z4" s="155"/>
      <c r="AA4" s="155"/>
    </row>
    <row r="5" spans="1:27" ht="15" customHeight="1" thickBot="1" x14ac:dyDescent="0.25">
      <c r="B5" s="71" t="s">
        <v>160</v>
      </c>
      <c r="C5" s="109"/>
      <c r="D5" s="109" t="s">
        <v>198</v>
      </c>
      <c r="E5" s="109"/>
      <c r="F5" s="109"/>
      <c r="G5" s="110"/>
      <c r="H5" s="110" t="s">
        <v>54</v>
      </c>
      <c r="I5" s="110"/>
      <c r="J5" s="12"/>
      <c r="K5" s="110"/>
      <c r="L5" s="110" t="s">
        <v>55</v>
      </c>
      <c r="M5" s="110"/>
      <c r="N5" s="109"/>
      <c r="O5" s="109" t="s">
        <v>173</v>
      </c>
      <c r="P5" s="109" t="s">
        <v>175</v>
      </c>
      <c r="Q5" s="109" t="s">
        <v>176</v>
      </c>
      <c r="R5" s="109"/>
      <c r="S5" s="109" t="s">
        <v>243</v>
      </c>
      <c r="T5" s="109" t="s">
        <v>167</v>
      </c>
      <c r="U5" s="12" t="s">
        <v>164</v>
      </c>
      <c r="V5" s="12" t="s">
        <v>182</v>
      </c>
      <c r="W5" s="12" t="s">
        <v>298</v>
      </c>
      <c r="X5" s="71" t="s">
        <v>77</v>
      </c>
      <c r="Y5" s="12" t="s">
        <v>258</v>
      </c>
      <c r="Z5" s="12" t="s">
        <v>300</v>
      </c>
      <c r="AA5" s="12" t="s">
        <v>306</v>
      </c>
    </row>
    <row r="6" spans="1:27" ht="15" customHeight="1" x14ac:dyDescent="0.2">
      <c r="B6" s="108"/>
      <c r="C6" s="109" t="s">
        <v>161</v>
      </c>
      <c r="D6" s="109" t="s">
        <v>199</v>
      </c>
      <c r="E6" s="109" t="s">
        <v>162</v>
      </c>
      <c r="F6" s="109" t="s">
        <v>163</v>
      </c>
      <c r="G6" s="109" t="s">
        <v>49</v>
      </c>
      <c r="H6" s="109" t="str">
        <f>YEAR(date)&amp;"e"</f>
        <v>2016e</v>
      </c>
      <c r="I6" s="109" t="str">
        <f>YEAR(date)+1&amp;"e"</f>
        <v>2017e</v>
      </c>
      <c r="J6" s="12"/>
      <c r="K6" s="109" t="s">
        <v>49</v>
      </c>
      <c r="L6" s="109" t="str">
        <f>YEAR(date)&amp;"e"</f>
        <v>2016e</v>
      </c>
      <c r="M6" s="109" t="str">
        <f>YEAR(date)+1&amp;"e"</f>
        <v>2017e</v>
      </c>
      <c r="N6" s="109"/>
      <c r="O6" s="109" t="s">
        <v>174</v>
      </c>
      <c r="P6" s="109" t="s">
        <v>54</v>
      </c>
      <c r="Q6" s="109" t="s">
        <v>177</v>
      </c>
      <c r="R6" s="109"/>
      <c r="S6" s="109" t="s">
        <v>166</v>
      </c>
      <c r="T6" s="109" t="s">
        <v>168</v>
      </c>
      <c r="U6" s="12" t="s">
        <v>165</v>
      </c>
      <c r="V6" s="12" t="s">
        <v>181</v>
      </c>
      <c r="W6" s="71" t="s">
        <v>296</v>
      </c>
      <c r="X6" s="71" t="s">
        <v>299</v>
      </c>
      <c r="Y6" s="12"/>
      <c r="Z6" s="12" t="s">
        <v>258</v>
      </c>
      <c r="AA6" s="12" t="s">
        <v>307</v>
      </c>
    </row>
    <row r="7" spans="1:27" ht="15" customHeight="1" x14ac:dyDescent="0.2">
      <c r="B7" s="16" t="s">
        <v>284</v>
      </c>
      <c r="C7" s="107">
        <f t="shared" ref="C7:I7" ca="1" si="0">INDIRECT("'"&amp;$B7&amp;"'!"&amp;C$174)</f>
        <v>19.8</v>
      </c>
      <c r="D7" s="102">
        <f t="shared" ca="1" si="0"/>
        <v>0.7112068965517242</v>
      </c>
      <c r="E7" s="107">
        <f t="shared" ca="1" si="0"/>
        <v>1350.0576936</v>
      </c>
      <c r="F7" s="107">
        <f t="shared" ca="1" si="0"/>
        <v>1257.7306936</v>
      </c>
      <c r="G7" s="107">
        <f t="shared" ca="1" si="0"/>
        <v>555.53599999999994</v>
      </c>
      <c r="H7" s="107">
        <f t="shared" ca="1" si="0"/>
        <v>576.9</v>
      </c>
      <c r="I7" s="107">
        <f t="shared" ca="1" si="0"/>
        <v>618.9</v>
      </c>
      <c r="K7" s="107">
        <f ca="1">INDIRECT("'"&amp;$B7&amp;"'!"&amp;K$174)</f>
        <v>120.58500000000001</v>
      </c>
      <c r="L7" s="107">
        <f ca="1">INDIRECT("'"&amp;$B7&amp;"'!"&amp;L$174)</f>
        <v>116.5</v>
      </c>
      <c r="M7" s="107">
        <f ca="1">INDIRECT("'"&amp;$B7&amp;"'!"&amp;M$174)</f>
        <v>124.9</v>
      </c>
      <c r="O7" s="114">
        <f ca="1">INDIRECT("'"&amp;$B7&amp;"'!"&amp;O$174)</f>
        <v>1.3764996803655229</v>
      </c>
      <c r="P7" s="95">
        <f ca="1">INDIRECT("'"&amp;$B7&amp;"'!"&amp;P$174)</f>
        <v>0.17701643097837047</v>
      </c>
      <c r="Q7" s="95">
        <f ca="1">INDIRECT("'"&amp;$B7&amp;"'!"&amp;Q$174)</f>
        <v>0.15755226048908161</v>
      </c>
      <c r="S7" s="95">
        <f ca="1">INDIRECT("'"&amp;$B7&amp;"'!"&amp;S$174)</f>
        <v>0.06</v>
      </c>
      <c r="T7" s="113">
        <f ca="1">INDIRECT("'"&amp;$B7&amp;"'!"&amp;T$174)</f>
        <v>0</v>
      </c>
      <c r="U7" s="114">
        <f ca="1">INDIRECT("'"&amp;$B7&amp;"'!"&amp;U$174)</f>
        <v>7.9852386283534429E-2</v>
      </c>
      <c r="V7" s="107">
        <f ca="1">INDIRECT("'"&amp;$B7&amp;"'!"&amp;V$174)</f>
        <v>1.44</v>
      </c>
      <c r="W7" s="114">
        <f ca="1">INDIRECT("'"&amp;$B7&amp;"'!"&amp;W$174)</f>
        <v>9.8332511344798039</v>
      </c>
      <c r="X7">
        <f ca="1">INDIRECT("'"&amp;$B7&amp;"'!"&amp;X$174)+INDIRECT("'"&amp;$B7&amp;"'!"&amp;X$175)+INDIRECT("'"&amp;$B7&amp;"'!"&amp;X$176)</f>
        <v>323.77300000000002</v>
      </c>
      <c r="Y7">
        <f ca="1">INDIRECT("'"&amp;$B7&amp;"'!"&amp;Y$174)</f>
        <v>162.303</v>
      </c>
      <c r="Z7" s="114">
        <f ca="1">X7/Y7</f>
        <v>1.9948676241351055</v>
      </c>
      <c r="AA7" s="90" t="str">
        <f ca="1">INDIRECT("'"&amp;$B7&amp;"'!"&amp;AA$174)</f>
        <v>NA</v>
      </c>
    </row>
    <row r="8" spans="1:27" ht="15" customHeight="1" x14ac:dyDescent="0.2">
      <c r="B8" s="16" t="s">
        <v>154</v>
      </c>
      <c r="C8" s="107">
        <f t="shared" ref="C8:I10" ca="1" si="1">INDIRECT($B8&amp;"!"&amp;C$174)</f>
        <v>3.0888030888030888</v>
      </c>
      <c r="D8" s="102">
        <f t="shared" ca="1" si="1"/>
        <v>0.81632653061224492</v>
      </c>
      <c r="E8" s="107">
        <f t="shared" ca="1" si="1"/>
        <v>4368.411196682111</v>
      </c>
      <c r="F8" s="107">
        <f t="shared" ca="1" si="1"/>
        <v>4346.0501966821112</v>
      </c>
      <c r="G8" s="107">
        <f t="shared" ca="1" si="1"/>
        <v>2432.4769999999999</v>
      </c>
      <c r="H8" s="107">
        <f t="shared" ca="1" si="1"/>
        <v>2596.9111969111968</v>
      </c>
      <c r="I8" s="107">
        <f t="shared" ca="1" si="1"/>
        <v>2828.3140283140283</v>
      </c>
      <c r="K8" s="107">
        <f t="shared" ref="K8:M10" ca="1" si="2">INDIRECT($B8&amp;"!"&amp;K$174)</f>
        <v>377.40599999999995</v>
      </c>
      <c r="L8" s="107">
        <f t="shared" ca="1" si="2"/>
        <v>413.64221364221368</v>
      </c>
      <c r="M8" s="107">
        <f t="shared" ca="1" si="2"/>
        <v>480.95238095238096</v>
      </c>
      <c r="O8" s="114">
        <f t="shared" ref="O8:Q10" ca="1" si="3">INDIRECT($B8&amp;"!"&amp;O$174)</f>
        <v>1.8190919336251383</v>
      </c>
      <c r="P8" s="95">
        <f t="shared" ca="1" si="3"/>
        <v>0.13065200616490924</v>
      </c>
      <c r="Q8" s="95">
        <f t="shared" ca="1" si="3"/>
        <v>0.17720744396494051</v>
      </c>
      <c r="S8" s="95">
        <f t="shared" ref="S8:W10" ca="1" si="4">INDIRECT($B8&amp;"!"&amp;S$174)</f>
        <v>0.13100000000000001</v>
      </c>
      <c r="T8" s="113">
        <f t="shared" ca="1" si="4"/>
        <v>2.4166666666666666E-2</v>
      </c>
      <c r="U8" s="114">
        <f t="shared" ca="1" si="4"/>
        <v>0.16634870669782675</v>
      </c>
      <c r="V8" s="107">
        <f t="shared" ca="1" si="4"/>
        <v>0.81</v>
      </c>
      <c r="W8" s="114">
        <f ca="1">INDIRECT($B8&amp;"!"&amp;W$174)</f>
        <v>10.647187915739854</v>
      </c>
      <c r="X8">
        <f t="shared" ref="X8:X10" ca="1" si="5">INDIRECT("'"&amp;$B8&amp;"'!"&amp;X$174)+INDIRECT("'"&amp;$B8&amp;"'!"&amp;X$175)+INDIRECT("'"&amp;$B8&amp;"'!"&amp;X$176)</f>
        <v>1117.9272604755033</v>
      </c>
      <c r="Y8">
        <f t="shared" ref="Y8:Y10" ca="1" si="6">INDIRECT("'"&amp;$B8&amp;"'!"&amp;Y$174)</f>
        <v>502.02199999999999</v>
      </c>
      <c r="Z8" s="114">
        <f t="shared" ref="Z8:Z10" ca="1" si="7">X8/Y8</f>
        <v>2.2268491430166475</v>
      </c>
      <c r="AA8" s="90" t="str">
        <f t="shared" ref="AA8:AA10" ca="1" si="8">INDIRECT("'"&amp;$B8&amp;"'!"&amp;AA$174)</f>
        <v>BB</v>
      </c>
    </row>
    <row r="9" spans="1:27" ht="15" customHeight="1" x14ac:dyDescent="0.2">
      <c r="B9" s="16" t="s">
        <v>194</v>
      </c>
      <c r="C9" s="107">
        <f t="shared" ca="1" si="1"/>
        <v>16.984126984126984</v>
      </c>
      <c r="D9" s="102">
        <f t="shared" ca="1" si="1"/>
        <v>0.63897937024972851</v>
      </c>
      <c r="E9" s="107">
        <f t="shared" ca="1" si="1"/>
        <v>7637.929466825397</v>
      </c>
      <c r="F9" s="107">
        <f t="shared" ca="1" si="1"/>
        <v>7046.5874754834049</v>
      </c>
      <c r="G9" s="107">
        <f t="shared" ca="1" si="1"/>
        <v>3647.4747474747473</v>
      </c>
      <c r="H9" s="107">
        <f t="shared" ca="1" si="1"/>
        <v>3683.2512996896562</v>
      </c>
      <c r="I9" s="107">
        <f t="shared" ca="1" si="1"/>
        <v>3855.1068414082115</v>
      </c>
      <c r="K9" s="107">
        <f t="shared" ca="1" si="2"/>
        <v>846.89754689754704</v>
      </c>
      <c r="L9" s="107">
        <f t="shared" ca="1" si="2"/>
        <v>832.73043547016152</v>
      </c>
      <c r="M9" s="107">
        <f t="shared" ca="1" si="2"/>
        <v>818.02368103737979</v>
      </c>
      <c r="O9" s="114">
        <f t="shared" ca="1" si="3"/>
        <v>2.6074891685578701</v>
      </c>
      <c r="P9" s="95">
        <f t="shared" ca="1" si="3"/>
        <v>0.175614194722475</v>
      </c>
      <c r="Q9" s="95">
        <f t="shared" ca="1" si="3"/>
        <v>0.35131313747223747</v>
      </c>
      <c r="S9" s="95">
        <f t="shared" ca="1" si="4"/>
        <v>-6.6268819999999997E-3</v>
      </c>
      <c r="T9" s="113">
        <f t="shared" ca="1" si="4"/>
        <v>3.1435853865760408E-2</v>
      </c>
      <c r="U9" s="114">
        <f t="shared" ca="1" si="4"/>
        <v>0.10529902879536546</v>
      </c>
      <c r="V9" s="107">
        <f t="shared" ca="1" si="4"/>
        <v>1.35</v>
      </c>
      <c r="W9" s="114">
        <f t="shared" ca="1" si="4"/>
        <v>10.717424564293777</v>
      </c>
      <c r="X9">
        <f t="shared" ca="1" si="5"/>
        <v>2320.8507936507935</v>
      </c>
      <c r="Y9">
        <f t="shared" ca="1" si="6"/>
        <v>861.4</v>
      </c>
      <c r="Z9" s="114">
        <f t="shared" ca="1" si="7"/>
        <v>2.6942776801146895</v>
      </c>
      <c r="AA9" s="90" t="str">
        <f t="shared" ca="1" si="8"/>
        <v>NA</v>
      </c>
    </row>
    <row r="10" spans="1:27" ht="15" customHeight="1" x14ac:dyDescent="0.2">
      <c r="B10" s="16" t="s">
        <v>193</v>
      </c>
      <c r="C10" s="107">
        <f t="shared" ca="1" si="1"/>
        <v>163.62599771949829</v>
      </c>
      <c r="D10" s="102">
        <f t="shared" ca="1" si="1"/>
        <v>0.8125707814269536</v>
      </c>
      <c r="E10" s="107">
        <f t="shared" ca="1" si="1"/>
        <v>82553.519970923604</v>
      </c>
      <c r="F10" s="107">
        <f t="shared" ca="1" si="1"/>
        <v>104721.18245667047</v>
      </c>
      <c r="G10" s="107">
        <f t="shared" ca="1" si="1"/>
        <v>40665.906499429875</v>
      </c>
      <c r="H10" s="107">
        <f t="shared" ca="1" si="1"/>
        <v>42237.172177879133</v>
      </c>
      <c r="I10" s="107">
        <f t="shared" ca="1" si="1"/>
        <v>44713.797035347779</v>
      </c>
      <c r="K10" s="107">
        <f t="shared" ca="1" si="2"/>
        <v>9345.4960091220073</v>
      </c>
      <c r="L10" s="107">
        <f t="shared" ca="1" si="2"/>
        <v>9905.3591790193841</v>
      </c>
      <c r="M10" s="107">
        <f t="shared" ca="1" si="2"/>
        <v>10507.411630558723</v>
      </c>
      <c r="O10" s="114">
        <f t="shared" ca="1" si="3"/>
        <v>0.80407557011717534</v>
      </c>
      <c r="P10" s="95">
        <f t="shared" ca="1" si="3"/>
        <v>0.18598586810228801</v>
      </c>
      <c r="Q10" s="95">
        <f t="shared" ca="1" si="3"/>
        <v>0.10022383892885564</v>
      </c>
      <c r="S10" s="95">
        <f t="shared" ca="1" si="4"/>
        <v>9.5000000000000001E-2</v>
      </c>
      <c r="T10" s="113">
        <f t="shared" ca="1" si="4"/>
        <v>2.7386759581881533E-2</v>
      </c>
      <c r="U10" s="114">
        <f t="shared" ca="1" si="4"/>
        <v>1.0102489019033676</v>
      </c>
      <c r="V10" s="107">
        <f t="shared" ca="1" si="4"/>
        <v>1.05</v>
      </c>
      <c r="W10" s="114">
        <f t="shared" ca="1" si="4"/>
        <v>11.416168404133179</v>
      </c>
      <c r="X10">
        <f t="shared" ca="1" si="5"/>
        <v>45403.958677309005</v>
      </c>
      <c r="Y10">
        <f t="shared" ca="1" si="6"/>
        <v>11582</v>
      </c>
      <c r="Z10" s="114">
        <f t="shared" ca="1" si="7"/>
        <v>3.9202174647996033</v>
      </c>
      <c r="AA10" s="90" t="str">
        <f t="shared" ca="1" si="8"/>
        <v>A+</v>
      </c>
    </row>
    <row r="11" spans="1:27" ht="15" customHeight="1" x14ac:dyDescent="0.2">
      <c r="C11" s="107"/>
      <c r="D11" s="107"/>
      <c r="E11" s="107"/>
      <c r="F11" s="107"/>
      <c r="G11" s="107"/>
      <c r="H11" s="107"/>
      <c r="I11" s="107"/>
      <c r="K11" s="107"/>
      <c r="L11" s="107"/>
      <c r="M11" s="107"/>
      <c r="O11" s="114"/>
      <c r="P11" s="95"/>
      <c r="Q11" s="95"/>
      <c r="S11" s="95"/>
      <c r="T11" s="113"/>
      <c r="U11" s="114"/>
      <c r="V11" s="107"/>
    </row>
    <row r="13" spans="1:27" ht="15" customHeight="1" thickBot="1" x14ac:dyDescent="0.25">
      <c r="B13" s="71" t="s">
        <v>160</v>
      </c>
      <c r="C13" s="109"/>
      <c r="D13" s="109"/>
      <c r="E13" s="109"/>
      <c r="F13" s="109"/>
      <c r="G13" s="110"/>
      <c r="H13" s="110" t="s">
        <v>179</v>
      </c>
      <c r="I13" s="110"/>
      <c r="J13" s="12"/>
      <c r="K13" s="110"/>
      <c r="L13" s="110" t="s">
        <v>295</v>
      </c>
      <c r="M13" s="110"/>
      <c r="N13" s="109"/>
      <c r="O13" s="119" t="s">
        <v>59</v>
      </c>
      <c r="P13" s="119"/>
      <c r="S13" s="119" t="s">
        <v>285</v>
      </c>
      <c r="T13" s="119"/>
    </row>
    <row r="14" spans="1:27" ht="15" customHeight="1" x14ac:dyDescent="0.2">
      <c r="B14" s="108"/>
      <c r="C14" s="109"/>
      <c r="D14" s="109"/>
      <c r="E14" s="109"/>
      <c r="F14" s="109"/>
      <c r="G14" s="109" t="s">
        <v>49</v>
      </c>
      <c r="H14" s="109" t="str">
        <f>YEAR(date)&amp;"e"</f>
        <v>2016e</v>
      </c>
      <c r="I14" s="109" t="str">
        <f>YEAR(date)+1&amp;"e"</f>
        <v>2017e</v>
      </c>
      <c r="J14" s="12"/>
      <c r="K14" s="109" t="s">
        <v>49</v>
      </c>
      <c r="L14" s="109" t="str">
        <f>YEAR(date)&amp;"e"</f>
        <v>2016e</v>
      </c>
      <c r="M14" s="109" t="str">
        <f>YEAR(date)+1&amp;"e"</f>
        <v>2017e</v>
      </c>
      <c r="N14" s="109"/>
      <c r="O14" s="109" t="str">
        <f>YEAR(date)&amp;"e"</f>
        <v>2016e</v>
      </c>
      <c r="P14" s="109" t="str">
        <f>YEAR(date)+1&amp;"e"</f>
        <v>2017e</v>
      </c>
      <c r="S14" s="109" t="str">
        <f>YEAR(date)&amp;"e"</f>
        <v>2016e</v>
      </c>
      <c r="T14" s="109" t="str">
        <f>YEAR(date)+1&amp;"e"</f>
        <v>2017e</v>
      </c>
    </row>
    <row r="15" spans="1:27" ht="15" customHeight="1" x14ac:dyDescent="0.2">
      <c r="B15" s="16" t="s">
        <v>284</v>
      </c>
      <c r="G15" s="69">
        <f ca="1">INDIRECT("'"&amp;$B15&amp;"'!"&amp;G$178)</f>
        <v>2.2639949411019269</v>
      </c>
      <c r="H15" s="69">
        <f ca="1">INDIRECT("'"&amp;$B15&amp;"'!"&amp;H$178)</f>
        <v>2.1801537417230024</v>
      </c>
      <c r="I15" s="69">
        <f ca="1">INDIRECT("'"&amp;$B15&amp;"'!"&amp;I$178)</f>
        <v>2.0322034150912911</v>
      </c>
      <c r="K15" s="69">
        <f ca="1">INDIRECT("'"&amp;$B15&amp;"'!"&amp;K$178)</f>
        <v>10.43024168511838</v>
      </c>
      <c r="L15" s="69">
        <f ca="1">INDIRECT("'"&amp;$B15&amp;"'!"&amp;L$178)</f>
        <v>10.795971618884121</v>
      </c>
      <c r="M15" s="69">
        <f ca="1">INDIRECT("'"&amp;$B15&amp;"'!"&amp;M$178)</f>
        <v>10.06990146997598</v>
      </c>
      <c r="O15" s="69">
        <f ca="1">INDIRECT("'"&amp;$B15&amp;"'!"&amp;O$178)</f>
        <v>20.412371134020621</v>
      </c>
      <c r="P15" s="153">
        <f ca="1">INDIRECT("'"&amp;$B15&amp;"'!"&amp;P$178)</f>
        <v>18.333333333333332</v>
      </c>
      <c r="S15" s="114">
        <f ca="1">IF(O15/$S7/100&lt;0,"NM",O15/$S7/100)</f>
        <v>3.4020618556701039</v>
      </c>
      <c r="T15" s="114">
        <f t="shared" ref="T15:T18" ca="1" si="9">IF(P15/$S7/100&lt;0,"NM",P15/$S7/100)</f>
        <v>3.0555555555555554</v>
      </c>
    </row>
    <row r="16" spans="1:27" ht="15" customHeight="1" x14ac:dyDescent="0.2">
      <c r="B16" s="16" t="s">
        <v>154</v>
      </c>
      <c r="G16" s="69">
        <f t="shared" ref="G16:I18" ca="1" si="10">INDIRECT($B16&amp;"!"&amp;G$178)</f>
        <v>1.786676789413471</v>
      </c>
      <c r="H16" s="69">
        <f t="shared" ca="1" si="10"/>
        <v>1.6735459425225496</v>
      </c>
      <c r="I16" s="69">
        <f t="shared" ca="1" si="10"/>
        <v>1.5366222255287589</v>
      </c>
      <c r="K16" s="69">
        <f t="shared" ref="K16:M18" ca="1" si="11">INDIRECT($B16&amp;"!"&amp;K$178)</f>
        <v>11.515583209281548</v>
      </c>
      <c r="L16" s="69">
        <f t="shared" ca="1" si="11"/>
        <v>10.506785945308028</v>
      </c>
      <c r="M16" s="69">
        <f t="shared" ca="1" si="11"/>
        <v>9.0363419931014182</v>
      </c>
      <c r="O16" s="69">
        <f t="shared" ref="O16:P18" ca="1" si="12">INDIRECT($B16&amp;"!"&amp;O$178)</f>
        <v>19.2</v>
      </c>
      <c r="P16" s="153">
        <f t="shared" ca="1" si="12"/>
        <v>16.43835616438356</v>
      </c>
      <c r="S16" s="114">
        <f t="shared" ref="S16:S18" ca="1" si="13">IF(O16/$S8/100&lt;0,"NM",O16/$S8/100)</f>
        <v>1.4656488549618318</v>
      </c>
      <c r="T16" s="114">
        <f t="shared" ca="1" si="9"/>
        <v>1.2548363484262259</v>
      </c>
    </row>
    <row r="17" spans="2:20" ht="15" customHeight="1" x14ac:dyDescent="0.2">
      <c r="B17" s="16" t="s">
        <v>194</v>
      </c>
      <c r="G17" s="69">
        <f t="shared" ca="1" si="10"/>
        <v>1.9319085020018198</v>
      </c>
      <c r="H17" s="69">
        <f t="shared" ca="1" si="10"/>
        <v>1.9131432807957298</v>
      </c>
      <c r="I17" s="69">
        <f t="shared" ca="1" si="10"/>
        <v>1.8278578948305864</v>
      </c>
      <c r="K17" s="69">
        <f t="shared" ca="1" si="11"/>
        <v>8.320472176708126</v>
      </c>
      <c r="L17" s="69">
        <f t="shared" ca="1" si="11"/>
        <v>8.4620270562164404</v>
      </c>
      <c r="M17" s="69">
        <f t="shared" ca="1" si="11"/>
        <v>8.6141607374339682</v>
      </c>
      <c r="O17" s="69">
        <f t="shared" ca="1" si="12"/>
        <v>15.601394301221163</v>
      </c>
      <c r="P17" s="153">
        <f t="shared" ca="1" si="12"/>
        <v>16.350333016175071</v>
      </c>
      <c r="S17" s="114" t="str">
        <f t="shared" ca="1" si="13"/>
        <v>NM</v>
      </c>
      <c r="T17" s="114" t="str">
        <f t="shared" ca="1" si="9"/>
        <v>NM</v>
      </c>
    </row>
    <row r="18" spans="2:20" ht="15" customHeight="1" x14ac:dyDescent="0.2">
      <c r="B18" s="16" t="s">
        <v>193</v>
      </c>
      <c r="G18" s="69">
        <f t="shared" ca="1" si="10"/>
        <v>2.5751591805321894</v>
      </c>
      <c r="H18" s="69">
        <f t="shared" ca="1" si="10"/>
        <v>2.4793606450650616</v>
      </c>
      <c r="I18" s="69">
        <f t="shared" ca="1" si="10"/>
        <v>2.342032871283215</v>
      </c>
      <c r="K18" s="69">
        <f t="shared" ca="1" si="11"/>
        <v>11.205524281905808</v>
      </c>
      <c r="L18" s="69">
        <f t="shared" ca="1" si="11"/>
        <v>10.572174169966617</v>
      </c>
      <c r="M18" s="69">
        <f t="shared" ca="1" si="11"/>
        <v>9.9664109619641899</v>
      </c>
      <c r="O18" s="69">
        <f t="shared" ca="1" si="12"/>
        <v>17.716049382716051</v>
      </c>
      <c r="P18" s="153">
        <f t="shared" ca="1" si="12"/>
        <v>16.269841269841269</v>
      </c>
      <c r="S18" s="114">
        <f t="shared" ca="1" si="13"/>
        <v>1.8648473034437947</v>
      </c>
      <c r="T18" s="114">
        <f t="shared" ca="1" si="9"/>
        <v>1.7126148705096071</v>
      </c>
    </row>
    <row r="171" spans="1:27" ht="15" customHeight="1" x14ac:dyDescent="0.2">
      <c r="A171" s="111" t="s">
        <v>169</v>
      </c>
    </row>
    <row r="172" spans="1:27" ht="15" customHeight="1" x14ac:dyDescent="0.2">
      <c r="A172" s="115"/>
      <c r="B172" s="116"/>
      <c r="C172" s="117"/>
      <c r="D172" s="143" t="s">
        <v>198</v>
      </c>
      <c r="E172" s="117"/>
      <c r="F172" s="117"/>
      <c r="G172" s="117"/>
      <c r="H172" s="117" t="s">
        <v>54</v>
      </c>
      <c r="I172" s="117"/>
      <c r="J172" s="117"/>
      <c r="K172" s="117"/>
      <c r="L172" s="117" t="s">
        <v>55</v>
      </c>
      <c r="M172" s="117"/>
      <c r="N172" s="117"/>
      <c r="O172" s="118" t="s">
        <v>173</v>
      </c>
      <c r="P172" s="118" t="s">
        <v>175</v>
      </c>
      <c r="Q172" s="118" t="s">
        <v>176</v>
      </c>
      <c r="R172" s="117"/>
      <c r="S172" s="143" t="s">
        <v>243</v>
      </c>
      <c r="T172" s="117" t="s">
        <v>167</v>
      </c>
      <c r="U172" s="117" t="s">
        <v>164</v>
      </c>
      <c r="V172" s="117" t="s">
        <v>182</v>
      </c>
      <c r="W172" s="117" t="s">
        <v>277</v>
      </c>
      <c r="X172" s="117" t="s">
        <v>77</v>
      </c>
      <c r="Y172" s="117"/>
      <c r="AA172" s="117"/>
    </row>
    <row r="173" spans="1:27" ht="15" customHeight="1" x14ac:dyDescent="0.2">
      <c r="A173" s="115"/>
      <c r="B173" s="116"/>
      <c r="C173" s="117" t="s">
        <v>161</v>
      </c>
      <c r="D173" s="143" t="s">
        <v>199</v>
      </c>
      <c r="E173" s="117" t="s">
        <v>162</v>
      </c>
      <c r="F173" s="117" t="s">
        <v>163</v>
      </c>
      <c r="G173" s="117" t="s">
        <v>49</v>
      </c>
      <c r="H173" s="117" t="s">
        <v>50</v>
      </c>
      <c r="I173" s="117" t="s">
        <v>51</v>
      </c>
      <c r="J173" s="117"/>
      <c r="K173" s="117" t="s">
        <v>49</v>
      </c>
      <c r="L173" s="117" t="s">
        <v>50</v>
      </c>
      <c r="M173" s="117" t="s">
        <v>51</v>
      </c>
      <c r="N173" s="117"/>
      <c r="O173" s="118" t="s">
        <v>174</v>
      </c>
      <c r="P173" s="118" t="s">
        <v>54</v>
      </c>
      <c r="Q173" s="118" t="s">
        <v>177</v>
      </c>
      <c r="R173" s="117"/>
      <c r="S173" s="143" t="s">
        <v>166</v>
      </c>
      <c r="T173" s="117" t="s">
        <v>168</v>
      </c>
      <c r="U173" s="117" t="s">
        <v>165</v>
      </c>
      <c r="V173" s="117" t="s">
        <v>181</v>
      </c>
      <c r="W173" s="117" t="s">
        <v>258</v>
      </c>
      <c r="X173" s="117"/>
      <c r="Y173" s="117" t="s">
        <v>258</v>
      </c>
      <c r="AA173" s="117" t="s">
        <v>38</v>
      </c>
    </row>
    <row r="174" spans="1:27" ht="15" customHeight="1" x14ac:dyDescent="0.2">
      <c r="B174" s="16" t="s">
        <v>180</v>
      </c>
      <c r="C174" t="s">
        <v>215</v>
      </c>
      <c r="D174" t="s">
        <v>200</v>
      </c>
      <c r="E174" t="s">
        <v>170</v>
      </c>
      <c r="F174" t="s">
        <v>201</v>
      </c>
      <c r="G174" t="s">
        <v>239</v>
      </c>
      <c r="H174" t="s">
        <v>237</v>
      </c>
      <c r="I174" s="112" t="s">
        <v>238</v>
      </c>
      <c r="K174" t="s">
        <v>224</v>
      </c>
      <c r="L174" t="s">
        <v>225</v>
      </c>
      <c r="M174" s="112" t="s">
        <v>226</v>
      </c>
      <c r="O174" t="s">
        <v>240</v>
      </c>
      <c r="P174" t="s">
        <v>241</v>
      </c>
      <c r="Q174" t="s">
        <v>242</v>
      </c>
      <c r="S174" t="s">
        <v>244</v>
      </c>
      <c r="T174" t="s">
        <v>245</v>
      </c>
      <c r="U174" t="s">
        <v>246</v>
      </c>
      <c r="V174" s="114" t="s">
        <v>247</v>
      </c>
      <c r="W174" s="114" t="s">
        <v>278</v>
      </c>
      <c r="X174" s="114" t="s">
        <v>304</v>
      </c>
      <c r="Y174" s="114" t="s">
        <v>297</v>
      </c>
      <c r="AA174" s="114" t="s">
        <v>305</v>
      </c>
    </row>
    <row r="175" spans="1:27" ht="15" customHeight="1" x14ac:dyDescent="0.2">
      <c r="V175" s="114"/>
      <c r="X175" s="137" t="s">
        <v>301</v>
      </c>
    </row>
    <row r="176" spans="1:27" ht="15" customHeight="1" x14ac:dyDescent="0.2">
      <c r="G176" s="117"/>
      <c r="H176" s="117" t="s">
        <v>179</v>
      </c>
      <c r="I176" s="117"/>
      <c r="J176" s="117"/>
      <c r="K176" s="117"/>
      <c r="L176" s="117" t="s">
        <v>178</v>
      </c>
      <c r="M176" s="117"/>
      <c r="N176" s="117"/>
      <c r="O176" s="117" t="s">
        <v>59</v>
      </c>
      <c r="P176" s="117"/>
      <c r="X176" s="137" t="s">
        <v>302</v>
      </c>
    </row>
    <row r="177" spans="2:16" ht="15" customHeight="1" x14ac:dyDescent="0.2">
      <c r="G177" s="117" t="s">
        <v>49</v>
      </c>
      <c r="H177" s="117" t="str">
        <f>YEAR(date)&amp;"e"</f>
        <v>2016e</v>
      </c>
      <c r="I177" s="117" t="str">
        <f>YEAR(date)+1&amp;"e"</f>
        <v>2017e</v>
      </c>
      <c r="J177" s="117"/>
      <c r="K177" s="117" t="s">
        <v>49</v>
      </c>
      <c r="L177" s="117" t="str">
        <f>YEAR(date)&amp;"e"</f>
        <v>2016e</v>
      </c>
      <c r="M177" s="117" t="str">
        <f>YEAR(date)+1&amp;"e"</f>
        <v>2017e</v>
      </c>
      <c r="N177" s="117"/>
      <c r="O177" s="117" t="str">
        <f>YEAR(date)&amp;"e"</f>
        <v>2016e</v>
      </c>
      <c r="P177" s="117" t="str">
        <f>YEAR(date)+1&amp;"e"</f>
        <v>2017e</v>
      </c>
    </row>
    <row r="178" spans="2:16" ht="15" customHeight="1" x14ac:dyDescent="0.2">
      <c r="B178" s="16" t="s">
        <v>183</v>
      </c>
      <c r="G178" t="s">
        <v>248</v>
      </c>
      <c r="H178" t="s">
        <v>249</v>
      </c>
      <c r="I178" t="s">
        <v>250</v>
      </c>
      <c r="K178" t="s">
        <v>184</v>
      </c>
      <c r="L178" t="s">
        <v>185</v>
      </c>
      <c r="M178" t="s">
        <v>186</v>
      </c>
      <c r="O178" t="s">
        <v>251</v>
      </c>
      <c r="P178" t="s">
        <v>252</v>
      </c>
    </row>
  </sheetData>
  <pageMargins left="0.7" right="0.7" top="0.75" bottom="0.75" header="0.3" footer="0.3"/>
  <pageSetup paperSize="9" orientation="landscape" verticalDpi="1200" r:id="rId1"/>
  <headerFooter>
    <oddHeader xml:space="preserve">&amp;R&amp;10&amp;F 
&amp;A
</oddHeader>
    <oddFooter>&amp;L&amp;10© 2016&amp;C&amp;10Page &amp;P of &amp;N&amp;R&amp;G</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4"/>
  </sheetPr>
  <dimension ref="A1:L83"/>
  <sheetViews>
    <sheetView topLeftCell="A49" zoomScaleNormal="100" workbookViewId="0">
      <selection activeCell="E77" sqref="E77"/>
    </sheetView>
  </sheetViews>
  <sheetFormatPr baseColWidth="10" defaultColWidth="8.83203125" defaultRowHeight="15" x14ac:dyDescent="0.2"/>
  <cols>
    <col min="1" max="1" width="1.5" customWidth="1"/>
    <col min="2" max="2" width="30.6640625" customWidth="1"/>
    <col min="3" max="9" width="10.5" customWidth="1"/>
  </cols>
  <sheetData>
    <row r="1" spans="1:12" ht="45" customHeight="1" x14ac:dyDescent="0.35">
      <c r="A1" s="5" t="s">
        <v>309</v>
      </c>
      <c r="B1" s="10"/>
      <c r="C1" s="12"/>
      <c r="D1" s="12"/>
      <c r="E1" s="12"/>
      <c r="F1" s="12"/>
      <c r="G1" s="12"/>
      <c r="H1" s="12"/>
      <c r="I1" s="12"/>
      <c r="J1" s="12"/>
      <c r="K1" s="12"/>
      <c r="L1" s="12"/>
    </row>
    <row r="2" spans="1:12" ht="30" customHeight="1" x14ac:dyDescent="0.25">
      <c r="A2" s="14" t="s">
        <v>310</v>
      </c>
      <c r="B2" s="7"/>
      <c r="C2" s="11" t="s">
        <v>311</v>
      </c>
      <c r="D2" s="11" t="s">
        <v>311</v>
      </c>
      <c r="E2" s="11" t="s">
        <v>312</v>
      </c>
      <c r="F2" s="11" t="s">
        <v>312</v>
      </c>
      <c r="G2" s="11" t="s">
        <v>312</v>
      </c>
      <c r="H2" s="11" t="s">
        <v>312</v>
      </c>
      <c r="I2" s="11" t="s">
        <v>312</v>
      </c>
      <c r="J2" s="11"/>
      <c r="K2" s="11"/>
      <c r="L2" s="11"/>
    </row>
    <row r="3" spans="1:12" ht="21" x14ac:dyDescent="0.25">
      <c r="A3" s="14" t="s">
        <v>589</v>
      </c>
      <c r="B3" s="7"/>
      <c r="C3" s="11">
        <f>EDATE(D3,-12)</f>
        <v>42004</v>
      </c>
      <c r="D3" s="11">
        <v>42369</v>
      </c>
      <c r="E3" s="11">
        <f>EDATE(D3,12)</f>
        <v>42735</v>
      </c>
      <c r="F3" s="11">
        <f t="shared" ref="F3:I3" si="0">EDATE(E3,12)</f>
        <v>43100</v>
      </c>
      <c r="G3" s="11">
        <f t="shared" si="0"/>
        <v>43465</v>
      </c>
      <c r="H3" s="11">
        <f t="shared" si="0"/>
        <v>43830</v>
      </c>
      <c r="I3" s="11">
        <f t="shared" si="0"/>
        <v>44196</v>
      </c>
      <c r="J3" s="11"/>
      <c r="K3" s="11"/>
      <c r="L3" s="11"/>
    </row>
    <row r="5" spans="1:12" x14ac:dyDescent="0.2">
      <c r="A5" s="221" t="s">
        <v>590</v>
      </c>
    </row>
    <row r="6" spans="1:12" x14ac:dyDescent="0.2">
      <c r="A6" s="221"/>
      <c r="B6" t="str">
        <f>IS!B13</f>
        <v xml:space="preserve"> EBIT</v>
      </c>
      <c r="E6">
        <f>IS!E13</f>
        <v>110.81131738950424</v>
      </c>
      <c r="F6">
        <f>IS!F13</f>
        <v>118.09766917419944</v>
      </c>
      <c r="G6">
        <f>IS!G13</f>
        <v>123.70295156744368</v>
      </c>
      <c r="H6">
        <f>IS!H13</f>
        <v>127.60222995687786</v>
      </c>
      <c r="I6">
        <f>IS!I13</f>
        <v>129.74835924978316</v>
      </c>
    </row>
    <row r="7" spans="1:12" x14ac:dyDescent="0.2">
      <c r="A7" s="221"/>
      <c r="B7" t="s">
        <v>439</v>
      </c>
      <c r="E7" s="95">
        <f>'Tumi 1'!$C$75</f>
        <v>0.37330815880475715</v>
      </c>
      <c r="F7" s="95">
        <f>'Tumi 1'!$C$75</f>
        <v>0.37330815880475715</v>
      </c>
      <c r="G7" s="95">
        <f>'Tumi 1'!$C$75</f>
        <v>0.37330815880475715</v>
      </c>
      <c r="H7" s="95">
        <f>'Tumi 1'!$C$75</f>
        <v>0.37330815880475715</v>
      </c>
      <c r="I7" s="95">
        <f>'Tumi 1'!$C$75</f>
        <v>0.37330815880475715</v>
      </c>
    </row>
    <row r="8" spans="1:12" x14ac:dyDescent="0.2">
      <c r="A8" s="221"/>
    </row>
    <row r="9" spans="1:12" x14ac:dyDescent="0.2">
      <c r="A9" s="221"/>
      <c r="B9" t="s">
        <v>440</v>
      </c>
      <c r="E9">
        <f>E6*(1-E7)</f>
        <v>69.444548520098849</v>
      </c>
      <c r="F9">
        <f t="shared" ref="F9:I9" si="1">F6*(1-F7)</f>
        <v>74.010845735645731</v>
      </c>
      <c r="G9">
        <f t="shared" si="1"/>
        <v>77.523630479087231</v>
      </c>
      <c r="H9">
        <f t="shared" si="1"/>
        <v>79.967276432294568</v>
      </c>
      <c r="I9">
        <f t="shared" si="1"/>
        <v>81.312238150308431</v>
      </c>
    </row>
    <row r="10" spans="1:12" x14ac:dyDescent="0.2">
      <c r="A10" s="221"/>
      <c r="B10" t="str">
        <f>CFS!B6</f>
        <v>Depreciation</v>
      </c>
      <c r="E10">
        <f>CFS!E6</f>
        <v>22.712272000000002</v>
      </c>
      <c r="F10">
        <f>CFS!F6</f>
        <v>25.695936329427607</v>
      </c>
      <c r="G10">
        <f>CFS!G6</f>
        <v>28.572696598414492</v>
      </c>
      <c r="H10">
        <f>CFS!H6</f>
        <v>31.248953181584273</v>
      </c>
      <c r="I10">
        <f>CFS!I6</f>
        <v>33.648432607927838</v>
      </c>
    </row>
    <row r="11" spans="1:12" x14ac:dyDescent="0.2">
      <c r="A11" s="221"/>
      <c r="B11" t="str">
        <f>CFS!B7</f>
        <v>(Inc) dec in other LT assets</v>
      </c>
      <c r="E11">
        <f>CFS!E7</f>
        <v>4.1000000000000369E-2</v>
      </c>
      <c r="F11">
        <f>CFS!F7</f>
        <v>0</v>
      </c>
      <c r="G11">
        <f>CFS!G7</f>
        <v>0</v>
      </c>
      <c r="H11">
        <f>CFS!H7</f>
        <v>0</v>
      </c>
      <c r="I11">
        <f>CFS!I7</f>
        <v>0</v>
      </c>
    </row>
    <row r="12" spans="1:12" x14ac:dyDescent="0.2">
      <c r="A12" s="221"/>
      <c r="B12" t="str">
        <f>CFS!B8</f>
        <v>Inc (dec) in other LT liabilities</v>
      </c>
      <c r="E12">
        <f>CFS!E8</f>
        <v>-9.0000000000003411E-3</v>
      </c>
      <c r="F12">
        <f>CFS!F8</f>
        <v>0</v>
      </c>
      <c r="G12">
        <f>CFS!G8</f>
        <v>0</v>
      </c>
      <c r="H12">
        <f>CFS!H8</f>
        <v>0</v>
      </c>
      <c r="I12">
        <f>CFS!I8</f>
        <v>0</v>
      </c>
    </row>
    <row r="13" spans="1:12" x14ac:dyDescent="0.2">
      <c r="A13" s="221"/>
      <c r="B13" t="str">
        <f>CFS!B10</f>
        <v>(Inc) dec in OWC</v>
      </c>
      <c r="E13">
        <f>CFS!E10</f>
        <v>-6.6801940221084521</v>
      </c>
      <c r="F13">
        <f>CFS!F10</f>
        <v>-6.1415532868765013</v>
      </c>
      <c r="G13">
        <f>CFS!G10</f>
        <v>-5.0723305993665093</v>
      </c>
      <c r="H13">
        <f>CFS!H10</f>
        <v>-3.9322234722138205</v>
      </c>
      <c r="I13">
        <f>CFS!I10</f>
        <v>-2.7183110386912546</v>
      </c>
    </row>
    <row r="14" spans="1:12" x14ac:dyDescent="0.2">
      <c r="A14" s="221"/>
      <c r="B14" t="str">
        <f>CFS!B13</f>
        <v>(Capex)</v>
      </c>
      <c r="E14">
        <f>CFS!E13</f>
        <v>-33.681626152307366</v>
      </c>
      <c r="F14">
        <f>CFS!F13</f>
        <v>-36.272260847761771</v>
      </c>
      <c r="G14">
        <f>CFS!G13</f>
        <v>-38.411875213009253</v>
      </c>
      <c r="H14">
        <f>CFS!H13</f>
        <v>-40.070568719612076</v>
      </c>
      <c r="I14">
        <f>CFS!I13</f>
        <v>-41.217208756900057</v>
      </c>
    </row>
    <row r="15" spans="1:12" x14ac:dyDescent="0.2">
      <c r="A15" s="221"/>
      <c r="B15" s="163" t="s">
        <v>441</v>
      </c>
      <c r="C15" s="163"/>
      <c r="D15" s="163"/>
      <c r="E15" s="163">
        <f>SUM(E9:E14)</f>
        <v>51.827000345683025</v>
      </c>
      <c r="F15" s="163">
        <f t="shared" ref="F15:I15" si="2">SUM(F9:F14)</f>
        <v>57.292967930435069</v>
      </c>
      <c r="G15" s="163">
        <f t="shared" si="2"/>
        <v>62.612121265125964</v>
      </c>
      <c r="H15" s="163">
        <f t="shared" si="2"/>
        <v>67.213437422052948</v>
      </c>
      <c r="I15" s="163">
        <f t="shared" si="2"/>
        <v>71.025150962644943</v>
      </c>
    </row>
    <row r="16" spans="1:12" x14ac:dyDescent="0.2">
      <c r="A16" s="221"/>
    </row>
    <row r="17" spans="1:9" x14ac:dyDescent="0.2">
      <c r="A17" s="221" t="s">
        <v>451</v>
      </c>
    </row>
    <row r="18" spans="1:9" x14ac:dyDescent="0.2">
      <c r="A18" s="221"/>
      <c r="B18" t="s">
        <v>438</v>
      </c>
      <c r="D18" s="161">
        <f ca="1">WACC!C21</f>
        <v>6.8546880472784746E-2</v>
      </c>
    </row>
    <row r="19" spans="1:9" x14ac:dyDescent="0.2">
      <c r="A19" s="221"/>
      <c r="B19" t="s">
        <v>442</v>
      </c>
      <c r="D19" s="104">
        <v>0.02</v>
      </c>
    </row>
    <row r="20" spans="1:9" x14ac:dyDescent="0.2">
      <c r="A20" s="221"/>
      <c r="B20" t="s">
        <v>443</v>
      </c>
      <c r="E20" s="149">
        <v>0.5</v>
      </c>
      <c r="F20">
        <f>E20+1</f>
        <v>1.5</v>
      </c>
      <c r="G20">
        <f t="shared" ref="G20:I20" si="3">F20+1</f>
        <v>2.5</v>
      </c>
      <c r="H20">
        <f t="shared" si="3"/>
        <v>3.5</v>
      </c>
      <c r="I20">
        <f t="shared" si="3"/>
        <v>4.5</v>
      </c>
    </row>
    <row r="21" spans="1:9" x14ac:dyDescent="0.2">
      <c r="A21" s="221"/>
      <c r="B21" t="s">
        <v>444</v>
      </c>
      <c r="E21" s="95">
        <f ca="1">1/(1+$D$18)^E20</f>
        <v>0.96739359938300096</v>
      </c>
      <c r="F21" s="95">
        <f t="shared" ref="F21:I21" ca="1" si="4">1/(1+$D$18)^F20</f>
        <v>0.9053356638456258</v>
      </c>
      <c r="G21" s="95">
        <f t="shared" ca="1" si="4"/>
        <v>0.84725872153129578</v>
      </c>
      <c r="H21" s="95">
        <f t="shared" ca="1" si="4"/>
        <v>0.79290739322211234</v>
      </c>
      <c r="I21" s="95">
        <f t="shared" ca="1" si="4"/>
        <v>0.74204268218095015</v>
      </c>
    </row>
    <row r="22" spans="1:9" x14ac:dyDescent="0.2">
      <c r="A22" s="221"/>
      <c r="B22" t="s">
        <v>445</v>
      </c>
      <c r="E22">
        <f ca="1">E15*E21</f>
        <v>50.137108409634337</v>
      </c>
      <c r="F22">
        <f t="shared" ref="F22:I22" ca="1" si="5">F15*F21</f>
        <v>51.869367154986584</v>
      </c>
      <c r="G22">
        <f t="shared" ca="1" si="5"/>
        <v>53.048665815453084</v>
      </c>
      <c r="H22">
        <f t="shared" ca="1" si="5"/>
        <v>53.294031455817581</v>
      </c>
      <c r="I22">
        <f t="shared" ca="1" si="5"/>
        <v>52.703693522627944</v>
      </c>
    </row>
    <row r="23" spans="1:9" x14ac:dyDescent="0.2">
      <c r="A23" s="221"/>
      <c r="B23" t="s">
        <v>446</v>
      </c>
      <c r="I23">
        <f ca="1">I15*(1+D19)/(D18-D19)</f>
        <v>1492.2823727574153</v>
      </c>
    </row>
    <row r="24" spans="1:9" x14ac:dyDescent="0.2">
      <c r="A24" s="221"/>
    </row>
    <row r="25" spans="1:9" x14ac:dyDescent="0.2">
      <c r="A25" s="221"/>
      <c r="B25" t="s">
        <v>447</v>
      </c>
      <c r="D25">
        <f ca="1">SUM(E22:I22)</f>
        <v>261.05286635851957</v>
      </c>
    </row>
    <row r="26" spans="1:9" x14ac:dyDescent="0.2">
      <c r="A26" s="221"/>
      <c r="B26" t="s">
        <v>448</v>
      </c>
      <c r="D26">
        <f ca="1">I23*I21</f>
        <v>1107.3372144522648</v>
      </c>
    </row>
    <row r="27" spans="1:9" x14ac:dyDescent="0.2">
      <c r="A27" s="221"/>
      <c r="B27" t="s">
        <v>449</v>
      </c>
      <c r="D27">
        <f ca="1">SUM(D25:D26)</f>
        <v>1368.3900808107844</v>
      </c>
    </row>
    <row r="28" spans="1:9" x14ac:dyDescent="0.2">
      <c r="A28" s="221"/>
      <c r="B28" t="s">
        <v>450</v>
      </c>
      <c r="I28" s="69">
        <f ca="1">I23*(1+D18)^0.5/(I6+I10)</f>
        <v>9.4407016724273571</v>
      </c>
    </row>
    <row r="29" spans="1:9" x14ac:dyDescent="0.2">
      <c r="A29" s="221"/>
    </row>
    <row r="30" spans="1:9" x14ac:dyDescent="0.2">
      <c r="A30" s="221" t="s">
        <v>452</v>
      </c>
    </row>
    <row r="31" spans="1:9" x14ac:dyDescent="0.2">
      <c r="A31" s="221"/>
      <c r="B31" t="s">
        <v>453</v>
      </c>
      <c r="D31" s="148">
        <f>'Tumi 1'!C10</f>
        <v>42496</v>
      </c>
    </row>
    <row r="32" spans="1:9" x14ac:dyDescent="0.2">
      <c r="A32" s="221"/>
      <c r="B32" t="s">
        <v>454</v>
      </c>
      <c r="D32" s="148"/>
      <c r="E32" s="148">
        <f>E3</f>
        <v>42735</v>
      </c>
      <c r="F32" s="148">
        <f t="shared" ref="F32:I32" si="6">F3</f>
        <v>43100</v>
      </c>
      <c r="G32" s="148">
        <f t="shared" si="6"/>
        <v>43465</v>
      </c>
      <c r="H32" s="148">
        <f t="shared" si="6"/>
        <v>43830</v>
      </c>
      <c r="I32" s="148">
        <f t="shared" si="6"/>
        <v>44196</v>
      </c>
    </row>
    <row r="33" spans="1:9" x14ac:dyDescent="0.2">
      <c r="A33" s="221"/>
      <c r="B33" t="s">
        <v>455</v>
      </c>
      <c r="D33" s="148">
        <f>D31</f>
        <v>42496</v>
      </c>
      <c r="E33" s="148">
        <f>AVERAGE(D31,E32)</f>
        <v>42615.5</v>
      </c>
      <c r="F33" s="148">
        <f>AVERAGE(E32:F32)</f>
        <v>42917.5</v>
      </c>
      <c r="G33" s="148">
        <f t="shared" ref="G33:I33" si="7">AVERAGE(F32:G32)</f>
        <v>43282.5</v>
      </c>
      <c r="H33" s="148">
        <f t="shared" si="7"/>
        <v>43647.5</v>
      </c>
      <c r="I33" s="148">
        <f t="shared" si="7"/>
        <v>44013</v>
      </c>
    </row>
    <row r="34" spans="1:9" x14ac:dyDescent="0.2">
      <c r="A34" s="221"/>
      <c r="B34" t="s">
        <v>456</v>
      </c>
      <c r="E34">
        <f>E33-$D$31</f>
        <v>119.5</v>
      </c>
      <c r="F34">
        <f t="shared" ref="F34:I34" si="8">F33-$D$31</f>
        <v>421.5</v>
      </c>
      <c r="G34">
        <f t="shared" si="8"/>
        <v>786.5</v>
      </c>
      <c r="H34">
        <f t="shared" si="8"/>
        <v>1151.5</v>
      </c>
      <c r="I34">
        <f t="shared" si="8"/>
        <v>1517</v>
      </c>
    </row>
    <row r="35" spans="1:9" x14ac:dyDescent="0.2">
      <c r="A35" s="221"/>
      <c r="B35" t="s">
        <v>444</v>
      </c>
      <c r="E35" s="95">
        <f ca="1">1/(1+$D$18)^(E34/365)</f>
        <v>0.97852755678841663</v>
      </c>
      <c r="F35" s="95">
        <f t="shared" ref="F35:I35" ca="1" si="9">1/(1+$D$18)^(F34/365)</f>
        <v>0.92629502325171886</v>
      </c>
      <c r="G35" s="95">
        <f t="shared" ca="1" si="9"/>
        <v>0.86687354591487309</v>
      </c>
      <c r="H35" s="95">
        <f t="shared" ca="1" si="9"/>
        <v>0.81126393399915209</v>
      </c>
      <c r="I35" s="95">
        <f t="shared" ca="1" si="9"/>
        <v>0.75915270727904471</v>
      </c>
    </row>
    <row r="36" spans="1:9" x14ac:dyDescent="0.2">
      <c r="A36" s="221"/>
      <c r="B36" t="s">
        <v>457</v>
      </c>
      <c r="E36" s="95">
        <f>(E32-D31)/365</f>
        <v>0.65479452054794518</v>
      </c>
      <c r="F36" s="162">
        <v>1</v>
      </c>
      <c r="G36" s="162">
        <v>1</v>
      </c>
      <c r="H36" s="162">
        <v>1</v>
      </c>
      <c r="I36" s="162">
        <v>1</v>
      </c>
    </row>
    <row r="37" spans="1:9" x14ac:dyDescent="0.2">
      <c r="A37" s="221"/>
      <c r="B37" t="s">
        <v>458</v>
      </c>
      <c r="D37" s="149">
        <v>0</v>
      </c>
      <c r="E37">
        <f>E36*E15</f>
        <v>33.936035842789707</v>
      </c>
      <c r="F37">
        <f t="shared" ref="F37:I37" si="10">F36*F15</f>
        <v>57.292967930435069</v>
      </c>
      <c r="G37">
        <f t="shared" si="10"/>
        <v>62.612121265125964</v>
      </c>
      <c r="H37">
        <f t="shared" si="10"/>
        <v>67.213437422052948</v>
      </c>
      <c r="I37">
        <f t="shared" si="10"/>
        <v>71.025150962644943</v>
      </c>
    </row>
    <row r="38" spans="1:9" x14ac:dyDescent="0.2">
      <c r="A38" s="221"/>
      <c r="B38" t="s">
        <v>459</v>
      </c>
      <c r="E38">
        <f ca="1">E35*E37</f>
        <v>33.207346240329144</v>
      </c>
      <c r="F38">
        <f t="shared" ref="F38:I38" ca="1" si="11">F35*F37</f>
        <v>53.070191061282337</v>
      </c>
      <c r="G38">
        <f t="shared" ca="1" si="11"/>
        <v>54.276791578351776</v>
      </c>
      <c r="H38">
        <f t="shared" ca="1" si="11"/>
        <v>54.527837660620499</v>
      </c>
      <c r="I38">
        <f t="shared" ca="1" si="11"/>
        <v>53.91893563819476</v>
      </c>
    </row>
    <row r="39" spans="1:9" x14ac:dyDescent="0.2">
      <c r="A39" s="221"/>
    </row>
    <row r="40" spans="1:9" x14ac:dyDescent="0.2">
      <c r="A40" s="221"/>
      <c r="B40" t="s">
        <v>447</v>
      </c>
      <c r="D40">
        <f ca="1">SUM(E38:I38)</f>
        <v>249.00110217877852</v>
      </c>
      <c r="F40">
        <f ca="1">XNPV(D18,D37:I37,D33:I33)</f>
        <v>249.01882063164109</v>
      </c>
    </row>
    <row r="41" spans="1:9" x14ac:dyDescent="0.2">
      <c r="A41" s="221"/>
      <c r="B41" t="s">
        <v>448</v>
      </c>
      <c r="D41">
        <f ca="1">I23*I35</f>
        <v>1132.8702033035884</v>
      </c>
      <c r="F41">
        <f ca="1">NPV(D18,D37:I37)</f>
        <v>220.67127841145978</v>
      </c>
    </row>
    <row r="42" spans="1:9" x14ac:dyDescent="0.2">
      <c r="A42" s="221"/>
      <c r="B42" t="s">
        <v>460</v>
      </c>
      <c r="D42">
        <f ca="1">SUM(D40:D41)</f>
        <v>1381.871305482367</v>
      </c>
    </row>
    <row r="43" spans="1:9" x14ac:dyDescent="0.2">
      <c r="A43" s="221"/>
    </row>
    <row r="44" spans="1:9" x14ac:dyDescent="0.2">
      <c r="A44" s="221"/>
      <c r="B44" t="str">
        <f>'Tumi 1'!E8</f>
        <v>Cash and equivalents</v>
      </c>
      <c r="D44">
        <f>'Tumi 1'!G8</f>
        <v>101.956</v>
      </c>
    </row>
    <row r="45" spans="1:9" x14ac:dyDescent="0.2">
      <c r="A45" s="221"/>
      <c r="B45" t="str">
        <f>'Tumi 1'!E9</f>
        <v>Financial investments</v>
      </c>
      <c r="D45">
        <f>'Tumi 1'!G9</f>
        <v>0</v>
      </c>
    </row>
    <row r="46" spans="1:9" x14ac:dyDescent="0.2">
      <c r="A46" s="221"/>
      <c r="B46" t="str">
        <f>'Tumi 1'!E10</f>
        <v>Non-core assets</v>
      </c>
      <c r="D46">
        <f>'Tumi 1'!G10</f>
        <v>0</v>
      </c>
    </row>
    <row r="47" spans="1:9" x14ac:dyDescent="0.2">
      <c r="A47" s="221"/>
      <c r="B47" t="str">
        <f>'Tumi 1'!E11</f>
        <v>M&amp;A adj.</v>
      </c>
      <c r="D47">
        <f>'Tumi 1'!G11</f>
        <v>0</v>
      </c>
    </row>
    <row r="48" spans="1:9" x14ac:dyDescent="0.2">
      <c r="A48" s="221"/>
      <c r="B48" t="s">
        <v>394</v>
      </c>
      <c r="D48">
        <f>BS!D12</f>
        <v>1.84</v>
      </c>
    </row>
    <row r="49" spans="1:4" x14ac:dyDescent="0.2">
      <c r="A49" s="221"/>
      <c r="B49" t="str">
        <f>'Tumi 1'!I8</f>
        <v>Financial debt</v>
      </c>
      <c r="D49">
        <f>'Tumi 1'!K8</f>
        <v>9.6289999999999996</v>
      </c>
    </row>
    <row r="50" spans="1:4" x14ac:dyDescent="0.2">
      <c r="A50" s="221"/>
      <c r="B50" t="str">
        <f>'Tumi 1'!I9</f>
        <v>Preference shares</v>
      </c>
      <c r="D50">
        <f>'Tumi 1'!K9</f>
        <v>0</v>
      </c>
    </row>
    <row r="51" spans="1:4" x14ac:dyDescent="0.2">
      <c r="A51" s="221"/>
      <c r="B51" t="str">
        <f>'Tumi 1'!I10</f>
        <v>Non-controlling interests</v>
      </c>
      <c r="D51">
        <f>'Tumi 1'!K10</f>
        <v>0</v>
      </c>
    </row>
    <row r="52" spans="1:4" x14ac:dyDescent="0.2">
      <c r="A52" s="221"/>
      <c r="B52" t="str">
        <f>'Tumi 1'!I11</f>
        <v>Other adjustments</v>
      </c>
      <c r="D52">
        <f>'Tumi 1'!K11</f>
        <v>0</v>
      </c>
    </row>
    <row r="53" spans="1:4" x14ac:dyDescent="0.2">
      <c r="A53" s="221"/>
      <c r="B53" t="s">
        <v>461</v>
      </c>
      <c r="D53">
        <f ca="1">SUM(D42,D44:D48)-SUM(D49:D52)</f>
        <v>1476.0383054823669</v>
      </c>
    </row>
    <row r="54" spans="1:4" x14ac:dyDescent="0.2">
      <c r="A54" s="221"/>
    </row>
    <row r="55" spans="1:4" x14ac:dyDescent="0.2">
      <c r="A55" s="221"/>
      <c r="B55" t="s">
        <v>462</v>
      </c>
      <c r="D55">
        <f>'Tumi 1'!D33+'Tumi 1'!D34</f>
        <v>67.651600999999999</v>
      </c>
    </row>
    <row r="56" spans="1:4" x14ac:dyDescent="0.2">
      <c r="A56" s="221"/>
      <c r="B56" t="s">
        <v>463</v>
      </c>
      <c r="D56" s="107">
        <f ca="1">D53/D55</f>
        <v>21.818231699828758</v>
      </c>
    </row>
    <row r="57" spans="1:4" x14ac:dyDescent="0.2">
      <c r="A57" s="221"/>
      <c r="B57" t="s">
        <v>464</v>
      </c>
      <c r="D57">
        <f>'Tumi 1'!C110</f>
        <v>1.046287</v>
      </c>
    </row>
    <row r="58" spans="1:4" x14ac:dyDescent="0.2">
      <c r="A58" s="221"/>
      <c r="B58" t="s">
        <v>124</v>
      </c>
      <c r="D58" s="107">
        <f>'Tumi 1'!D110</f>
        <v>21.69</v>
      </c>
    </row>
    <row r="59" spans="1:4" x14ac:dyDescent="0.2">
      <c r="A59" s="221"/>
      <c r="B59" t="s">
        <v>125</v>
      </c>
      <c r="D59">
        <f ca="1">MAX(0,(D56-D58)/D56*D57)</f>
        <v>6.1493141316206167E-3</v>
      </c>
    </row>
    <row r="60" spans="1:4" x14ac:dyDescent="0.2">
      <c r="A60" s="221"/>
      <c r="B60" t="s">
        <v>465</v>
      </c>
      <c r="D60">
        <f>'Tumi 1'!C111+'Tumi 1'!C112</f>
        <v>0.53313100000000002</v>
      </c>
    </row>
    <row r="61" spans="1:4" x14ac:dyDescent="0.2">
      <c r="A61" s="221"/>
      <c r="B61" t="s">
        <v>466</v>
      </c>
      <c r="D61">
        <f ca="1">D55+D59+D60</f>
        <v>68.190881314131616</v>
      </c>
    </row>
    <row r="62" spans="1:4" x14ac:dyDescent="0.2">
      <c r="A62" s="221"/>
      <c r="B62" t="s">
        <v>467</v>
      </c>
      <c r="D62" s="107">
        <f ca="1">D53/D61</f>
        <v>21.645684540763934</v>
      </c>
    </row>
    <row r="63" spans="1:4" x14ac:dyDescent="0.2">
      <c r="A63" s="221"/>
    </row>
    <row r="64" spans="1:4" x14ac:dyDescent="0.2">
      <c r="A64" s="221" t="s">
        <v>468</v>
      </c>
    </row>
    <row r="65" spans="2:7" x14ac:dyDescent="0.2">
      <c r="B65" t="s">
        <v>469</v>
      </c>
      <c r="C65" s="104">
        <v>2E-3</v>
      </c>
    </row>
    <row r="66" spans="2:7" x14ac:dyDescent="0.2">
      <c r="B66" t="s">
        <v>470</v>
      </c>
      <c r="C66" s="104">
        <v>2E-3</v>
      </c>
    </row>
    <row r="67" spans="2:7" x14ac:dyDescent="0.2">
      <c r="B67" t="s">
        <v>472</v>
      </c>
      <c r="C67" t="s">
        <v>473</v>
      </c>
    </row>
    <row r="69" spans="2:7" x14ac:dyDescent="0.2">
      <c r="B69" s="137" t="s">
        <v>438</v>
      </c>
      <c r="C69" s="164" t="s">
        <v>471</v>
      </c>
      <c r="D69" s="164"/>
      <c r="E69" s="164"/>
      <c r="F69" s="164"/>
      <c r="G69" s="164"/>
    </row>
    <row r="70" spans="2:7" x14ac:dyDescent="0.2">
      <c r="B70">
        <f ca="1">D62</f>
        <v>21.645684540763934</v>
      </c>
      <c r="C70" s="95">
        <f>D70-$C$65</f>
        <v>1.6E-2</v>
      </c>
      <c r="D70" s="95">
        <f>E70-$C$65</f>
        <v>1.8000000000000002E-2</v>
      </c>
      <c r="E70" s="104">
        <v>0.02</v>
      </c>
      <c r="F70" s="95">
        <f>E70+$C$65</f>
        <v>2.1999999999999999E-2</v>
      </c>
      <c r="G70" s="95">
        <f>F70+$C$65</f>
        <v>2.4E-2</v>
      </c>
    </row>
    <row r="71" spans="2:7" x14ac:dyDescent="0.2">
      <c r="B71" s="161">
        <f>B72+$C$66</f>
        <v>7.2500000000000009E-2</v>
      </c>
      <c r="C71" s="107">
        <f t="dataTable" ref="C71:G75" dt2D="1" dtr="1" r1="D19" r2="D18" ca="1"/>
        <v>19.004821527164822</v>
      </c>
      <c r="D71" s="107">
        <v>19.547285867985675</v>
      </c>
      <c r="E71" s="107">
        <v>20.131080825250017</v>
      </c>
      <c r="F71" s="107">
        <v>20.761116967248164</v>
      </c>
      <c r="G71" s="107">
        <v>21.443114852916271</v>
      </c>
    </row>
    <row r="72" spans="2:7" x14ac:dyDescent="0.2">
      <c r="B72" s="161">
        <f>B73+$C$66</f>
        <v>7.0500000000000007E-2</v>
      </c>
      <c r="C72" s="107">
        <v>19.647652055383297</v>
      </c>
      <c r="D72" s="230">
        <v>20.234896366651373</v>
      </c>
      <c r="E72" s="230">
        <v>20.868655078811969</v>
      </c>
      <c r="F72" s="230">
        <v>21.554156618543757</v>
      </c>
      <c r="G72" s="107">
        <v>22.287771039419813</v>
      </c>
    </row>
    <row r="73" spans="2:7" x14ac:dyDescent="0.2">
      <c r="B73" s="220">
        <v>6.8500000000000005E-2</v>
      </c>
      <c r="C73" s="107">
        <v>20.339507288238465</v>
      </c>
      <c r="D73" s="230">
        <v>20.977017588525094</v>
      </c>
      <c r="E73" s="230">
        <v>21.664855220726182</v>
      </c>
      <c r="F73" s="230">
        <v>22.402814096162764</v>
      </c>
      <c r="G73" s="107">
        <v>23.207118694219226</v>
      </c>
    </row>
    <row r="74" spans="2:7" x14ac:dyDescent="0.2">
      <c r="B74" s="161">
        <f>B73-$C$66</f>
        <v>6.6500000000000004E-2</v>
      </c>
      <c r="C74" s="107">
        <v>21.086212418862068</v>
      </c>
      <c r="D74" s="230">
        <v>21.77640487627432</v>
      </c>
      <c r="E74" s="230">
        <v>22.518742128147498</v>
      </c>
      <c r="F74" s="230">
        <v>23.327818613834658</v>
      </c>
      <c r="G74" s="107">
        <v>24.213056640949514</v>
      </c>
    </row>
    <row r="75" spans="2:7" x14ac:dyDescent="0.2">
      <c r="B75" s="161">
        <f>B74-$C$66</f>
        <v>6.4500000000000002E-2</v>
      </c>
      <c r="C75" s="107">
        <v>21.88881378118182</v>
      </c>
      <c r="D75" s="107">
        <v>22.635563660655286</v>
      </c>
      <c r="E75" s="107">
        <v>23.449449363913473</v>
      </c>
      <c r="F75" s="107">
        <v>24.339949185674673</v>
      </c>
      <c r="G75" s="107">
        <v>25.318413686048672</v>
      </c>
    </row>
    <row r="77" spans="2:7" x14ac:dyDescent="0.2">
      <c r="B77" s="137" t="s">
        <v>438</v>
      </c>
      <c r="C77" s="164" t="s">
        <v>471</v>
      </c>
      <c r="D77" s="164"/>
      <c r="E77" s="164"/>
      <c r="F77" s="164"/>
      <c r="G77" s="164"/>
    </row>
    <row r="78" spans="2:7" x14ac:dyDescent="0.2">
      <c r="B78">
        <f ca="1">D42</f>
        <v>1381.871305482367</v>
      </c>
      <c r="C78" s="95">
        <f>D78-$C$65</f>
        <v>1.6E-2</v>
      </c>
      <c r="D78" s="95">
        <f>E78-$C$65</f>
        <v>1.8000000000000002E-2</v>
      </c>
      <c r="E78" s="104">
        <v>0.02</v>
      </c>
      <c r="F78" s="95">
        <f>E78+$C$65</f>
        <v>2.1999999999999999E-2</v>
      </c>
      <c r="G78" s="95">
        <f>F78+$C$65</f>
        <v>2.4E-2</v>
      </c>
    </row>
    <row r="79" spans="2:7" x14ac:dyDescent="0.2">
      <c r="B79" s="161">
        <f>B80+$C$66</f>
        <v>7.2500000000000009E-2</v>
      </c>
      <c r="C79" s="107">
        <f t="dataTable" ref="C79:G83" dt2D="1" dtr="1" r1="D19" r2="D18" ca="1"/>
        <v>1201.6716625375641</v>
      </c>
      <c r="D79" s="107">
        <v>1238.6594482359906</v>
      </c>
      <c r="E79" s="107">
        <v>1278.4653509400111</v>
      </c>
      <c r="F79" s="107">
        <v>1321.4241964324688</v>
      </c>
      <c r="G79" s="107">
        <v>1367.9260394913154</v>
      </c>
    </row>
    <row r="80" spans="2:7" x14ac:dyDescent="0.2">
      <c r="B80" s="161">
        <f>B81+$C$66</f>
        <v>7.0500000000000007E-2</v>
      </c>
      <c r="C80" s="107">
        <v>1245.5028898255594</v>
      </c>
      <c r="D80" s="230">
        <v>1285.5439858078976</v>
      </c>
      <c r="E80" s="230">
        <v>1328.756653749233</v>
      </c>
      <c r="F80" s="230">
        <v>1375.5332530671731</v>
      </c>
      <c r="G80" s="107">
        <v>1426.3336458748288</v>
      </c>
    </row>
    <row r="81" spans="2:7" x14ac:dyDescent="0.2">
      <c r="B81" s="220">
        <v>6.8500000000000005E-2</v>
      </c>
      <c r="C81" s="107">
        <v>1292.6768534605865</v>
      </c>
      <c r="D81" s="230">
        <v>1336.1453224328698</v>
      </c>
      <c r="E81" s="230">
        <v>1383.1988197740011</v>
      </c>
      <c r="F81" s="230">
        <v>1434.2999297896379</v>
      </c>
      <c r="G81" s="107">
        <v>1489.9943980089281</v>
      </c>
    </row>
    <row r="82" spans="2:7" x14ac:dyDescent="0.2">
      <c r="B82" s="161">
        <f>B81-$C$66</f>
        <v>6.6500000000000004E-2</v>
      </c>
      <c r="C82" s="107">
        <v>1343.5907426751819</v>
      </c>
      <c r="D82" s="230">
        <v>1390.923300554874</v>
      </c>
      <c r="E82" s="230">
        <v>1442.3274763166905</v>
      </c>
      <c r="F82" s="230">
        <v>1498.3522521469845</v>
      </c>
      <c r="G82" s="107">
        <v>1559.6499480554244</v>
      </c>
    </row>
    <row r="83" spans="2:7" x14ac:dyDescent="0.2">
      <c r="B83" s="161">
        <f>B82-$C$66</f>
        <v>6.4500000000000002E-2</v>
      </c>
      <c r="C83" s="107">
        <v>1398.7072628235608</v>
      </c>
      <c r="D83" s="107">
        <v>1450.4168756672727</v>
      </c>
      <c r="E83" s="107">
        <v>1506.7745435980598</v>
      </c>
      <c r="F83" s="107">
        <v>1568.4364626282149</v>
      </c>
      <c r="G83" s="107">
        <v>1636.1884477354226</v>
      </c>
    </row>
  </sheetData>
  <dataValidations disablePrompts="1" count="1">
    <dataValidation type="list" allowBlank="1" showInputMessage="1" showErrorMessage="1" sqref="C67" xr:uid="{00000000-0002-0000-0D00-000000000000}">
      <formula1>$E$65:$E$66</formula1>
    </dataValidation>
  </dataValidations>
  <pageMargins left="0.7" right="0.7" top="0.75" bottom="0.75" header="0.3" footer="0.3"/>
  <pageSetup paperSize="9"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4"/>
  </sheetPr>
  <dimension ref="A1:AC83"/>
  <sheetViews>
    <sheetView topLeftCell="E1" zoomScale="132" zoomScaleNormal="100" workbookViewId="0">
      <selection activeCell="G18" sqref="G18"/>
    </sheetView>
  </sheetViews>
  <sheetFormatPr baseColWidth="10" defaultColWidth="9.1640625" defaultRowHeight="15" x14ac:dyDescent="0.2"/>
  <cols>
    <col min="1" max="1" width="1.5" style="165" customWidth="1"/>
    <col min="2" max="2" width="34.6640625" style="165" customWidth="1"/>
    <col min="3" max="3" width="29.5" style="165" customWidth="1"/>
    <col min="4" max="4" width="12" style="165" customWidth="1"/>
    <col min="5" max="5" width="11" style="165" customWidth="1"/>
    <col min="6" max="6" width="12" style="165" customWidth="1"/>
    <col min="7" max="8" width="9.33203125" style="165" customWidth="1"/>
    <col min="9" max="9" width="1.6640625" style="165" customWidth="1"/>
    <col min="10" max="10" width="9.33203125" style="165" customWidth="1"/>
    <col min="11" max="11" width="8.6640625" style="165" customWidth="1"/>
    <col min="12" max="12" width="1.5" style="165" customWidth="1"/>
    <col min="13" max="13" width="12.1640625" style="165" customWidth="1"/>
    <col min="14" max="15" width="10.5" style="165" customWidth="1"/>
    <col min="16" max="17" width="9.33203125" style="165" customWidth="1"/>
    <col min="18" max="18" width="1.5" style="165" customWidth="1"/>
    <col min="19" max="20" width="9.33203125" style="165" customWidth="1"/>
    <col min="21" max="21" width="1.5" style="165" customWidth="1"/>
    <col min="22" max="23" width="9.5" style="165" customWidth="1"/>
    <col min="24" max="24" width="1.5" style="165" customWidth="1"/>
    <col min="25" max="25" width="156.1640625" style="165" customWidth="1"/>
    <col min="26" max="16384" width="9.1640625" style="165"/>
  </cols>
  <sheetData>
    <row r="1" spans="1:29" s="178" customFormat="1" ht="45" customHeight="1" x14ac:dyDescent="0.35">
      <c r="A1" s="181" t="s">
        <v>533</v>
      </c>
      <c r="B1" s="180"/>
      <c r="C1" s="179"/>
      <c r="D1" s="179"/>
      <c r="E1" s="179"/>
      <c r="F1" s="179"/>
      <c r="G1" s="179"/>
      <c r="H1" s="179"/>
      <c r="I1" s="179"/>
      <c r="J1" s="179"/>
      <c r="K1" s="179"/>
      <c r="L1" s="179"/>
      <c r="M1" s="179"/>
      <c r="N1" s="179"/>
      <c r="O1" s="179"/>
      <c r="P1" s="179"/>
      <c r="Q1" s="179"/>
      <c r="R1" s="179"/>
      <c r="S1" s="179"/>
      <c r="T1" s="179"/>
      <c r="U1" s="179"/>
      <c r="V1" s="179"/>
      <c r="W1" s="179"/>
      <c r="X1" s="179"/>
      <c r="Y1" s="179"/>
      <c r="Z1" s="179"/>
      <c r="AA1" s="179"/>
      <c r="AB1" s="179"/>
      <c r="AC1" s="179"/>
    </row>
    <row r="2" spans="1:29" s="174" customFormat="1" ht="30" customHeight="1" x14ac:dyDescent="0.25">
      <c r="A2" s="177" t="s">
        <v>532</v>
      </c>
      <c r="B2" s="176"/>
      <c r="C2" s="175"/>
      <c r="D2" s="175"/>
      <c r="E2" s="175"/>
      <c r="F2" s="175"/>
      <c r="G2" s="175"/>
      <c r="H2" s="175"/>
      <c r="I2" s="175"/>
      <c r="J2" s="175"/>
      <c r="K2" s="175"/>
      <c r="L2" s="175"/>
      <c r="M2" s="175"/>
      <c r="N2" s="175"/>
      <c r="O2" s="175"/>
      <c r="P2" s="175"/>
      <c r="Q2" s="175"/>
      <c r="R2" s="175"/>
      <c r="S2" s="175"/>
      <c r="T2" s="175"/>
      <c r="U2" s="175"/>
      <c r="V2" s="175"/>
      <c r="W2" s="175"/>
      <c r="X2" s="175"/>
      <c r="Y2" s="175"/>
      <c r="Z2" s="175"/>
      <c r="AA2" s="175"/>
      <c r="AB2" s="175"/>
      <c r="AC2" s="175"/>
    </row>
    <row r="3" spans="1:29" ht="15" customHeight="1" x14ac:dyDescent="0.2">
      <c r="A3" s="15"/>
      <c r="B3" s="173" t="s">
        <v>531</v>
      </c>
      <c r="C3" s="173"/>
      <c r="D3" s="173"/>
      <c r="E3" s="173"/>
      <c r="F3" s="173"/>
    </row>
    <row r="4" spans="1:29" ht="15" customHeight="1" thickBot="1" x14ac:dyDescent="0.25">
      <c r="A4" s="15"/>
      <c r="B4" s="71" t="s">
        <v>153</v>
      </c>
      <c r="C4" s="71" t="s">
        <v>155</v>
      </c>
      <c r="D4" s="167" t="s">
        <v>508</v>
      </c>
      <c r="E4" s="167" t="s">
        <v>508</v>
      </c>
      <c r="F4" s="109" t="s">
        <v>530</v>
      </c>
      <c r="G4" s="109" t="s">
        <v>506</v>
      </c>
      <c r="H4" s="109" t="s">
        <v>529</v>
      </c>
      <c r="I4" s="12"/>
      <c r="J4" s="109"/>
      <c r="K4" s="109"/>
      <c r="L4" s="109"/>
      <c r="M4" s="109" t="s">
        <v>528</v>
      </c>
      <c r="N4" s="109" t="s">
        <v>528</v>
      </c>
      <c r="O4" s="119" t="s">
        <v>49</v>
      </c>
      <c r="P4" s="119"/>
      <c r="Q4" s="231"/>
      <c r="R4" s="109"/>
      <c r="S4" s="119" t="s">
        <v>501</v>
      </c>
      <c r="T4" s="119"/>
      <c r="U4" s="12"/>
      <c r="V4" s="119" t="s">
        <v>500</v>
      </c>
      <c r="W4" s="119"/>
      <c r="X4" s="12"/>
      <c r="Y4" s="71" t="s">
        <v>527</v>
      </c>
    </row>
    <row r="5" spans="1:29" ht="15" customHeight="1" x14ac:dyDescent="0.2">
      <c r="A5" s="15"/>
      <c r="B5" s="108"/>
      <c r="C5" s="108"/>
      <c r="D5" s="167" t="s">
        <v>499</v>
      </c>
      <c r="E5" s="167" t="s">
        <v>498</v>
      </c>
      <c r="F5" s="109" t="s">
        <v>497</v>
      </c>
      <c r="G5" s="109" t="s">
        <v>161</v>
      </c>
      <c r="H5" s="109" t="s">
        <v>496</v>
      </c>
      <c r="I5" s="12"/>
      <c r="J5" s="109" t="s">
        <v>504</v>
      </c>
      <c r="K5" s="109" t="s">
        <v>503</v>
      </c>
      <c r="L5" s="109"/>
      <c r="M5" s="109" t="s">
        <v>494</v>
      </c>
      <c r="N5" s="109" t="s">
        <v>163</v>
      </c>
      <c r="O5" s="109" t="s">
        <v>54</v>
      </c>
      <c r="P5" s="109" t="s">
        <v>55</v>
      </c>
      <c r="Q5" s="109" t="s">
        <v>591</v>
      </c>
      <c r="R5" s="109"/>
      <c r="S5" s="109" t="s">
        <v>493</v>
      </c>
      <c r="T5" s="109" t="s">
        <v>165</v>
      </c>
      <c r="U5" s="12"/>
      <c r="V5" s="109" t="s">
        <v>492</v>
      </c>
      <c r="W5" s="109" t="s">
        <v>378</v>
      </c>
      <c r="X5" s="12"/>
      <c r="Y5" s="12"/>
    </row>
    <row r="6" spans="1:29" s="169" customFormat="1" ht="15" customHeight="1" x14ac:dyDescent="0.2">
      <c r="A6" s="172"/>
      <c r="B6" s="171" t="str">
        <f ca="1">INDIRECT($C6&amp;"!"&amp;B$82)</f>
        <v>Samsonite International</v>
      </c>
      <c r="C6" s="171" t="s">
        <v>18</v>
      </c>
      <c r="D6" s="222">
        <f t="shared" ref="D6:W6" ca="1" si="0">INDIRECT($C6&amp;"!"&amp;D$82)</f>
        <v>42432</v>
      </c>
      <c r="E6" s="222" t="str">
        <f t="shared" ca="1" si="0"/>
        <v>Pending</v>
      </c>
      <c r="F6" s="223">
        <f t="shared" ca="1" si="0"/>
        <v>17.96</v>
      </c>
      <c r="G6" s="223">
        <f t="shared" ca="1" si="0"/>
        <v>26.75</v>
      </c>
      <c r="H6" s="224">
        <f t="shared" ca="1" si="0"/>
        <v>0.48942093541202669</v>
      </c>
      <c r="I6" s="225"/>
      <c r="J6" s="224">
        <f t="shared" ca="1" si="0"/>
        <v>1</v>
      </c>
      <c r="K6" s="224">
        <f t="shared" ca="1" si="0"/>
        <v>0</v>
      </c>
      <c r="L6" s="225" t="e">
        <f t="shared" ca="1" si="0"/>
        <v>#REF!</v>
      </c>
      <c r="M6" s="225">
        <f t="shared" ca="1" si="0"/>
        <v>1828.8128685000001</v>
      </c>
      <c r="N6" s="225">
        <f t="shared" ca="1" si="0"/>
        <v>1736.4858685000002</v>
      </c>
      <c r="O6" s="225">
        <f t="shared" ca="1" si="0"/>
        <v>555.53599999999994</v>
      </c>
      <c r="P6" s="225">
        <f t="shared" ca="1" si="0"/>
        <v>120.58500000000002</v>
      </c>
      <c r="Q6" s="227">
        <f ca="1">P6/O6</f>
        <v>0.21706064053454688</v>
      </c>
      <c r="R6" s="223" t="e">
        <f t="shared" ca="1" si="0"/>
        <v>#REF!</v>
      </c>
      <c r="S6" s="226">
        <f t="shared" ca="1" si="0"/>
        <v>3.125784590917601</v>
      </c>
      <c r="T6" s="226">
        <f t="shared" ca="1" si="0"/>
        <v>14.40051306961894</v>
      </c>
      <c r="U6" s="225" t="e">
        <f t="shared" ca="1" si="0"/>
        <v>#REF!</v>
      </c>
      <c r="V6" s="223" t="str">
        <f t="shared" ca="1" si="0"/>
        <v>NA</v>
      </c>
      <c r="W6" s="223" t="str">
        <f t="shared" ca="1" si="0"/>
        <v>NA</v>
      </c>
    </row>
    <row r="7" spans="1:29" s="169" customFormat="1" ht="15" customHeight="1" x14ac:dyDescent="0.2">
      <c r="A7" s="172"/>
      <c r="B7" s="171" t="s">
        <v>525</v>
      </c>
      <c r="C7" s="171" t="s">
        <v>524</v>
      </c>
      <c r="D7" s="222">
        <v>41586</v>
      </c>
      <c r="E7" s="222">
        <v>41670</v>
      </c>
      <c r="F7" s="223">
        <f>G7/(1+H7)</f>
        <v>17.338709677419356</v>
      </c>
      <c r="G7" s="223">
        <v>21.5</v>
      </c>
      <c r="H7" s="224">
        <v>0.24</v>
      </c>
      <c r="I7" s="225"/>
      <c r="J7" s="224">
        <v>0</v>
      </c>
      <c r="K7" s="224">
        <v>1</v>
      </c>
      <c r="L7" s="225"/>
      <c r="M7" s="225" t="s">
        <v>36</v>
      </c>
      <c r="N7" s="225">
        <v>234.5</v>
      </c>
      <c r="O7" s="225">
        <f>N7/1.8</f>
        <v>130.27777777777777</v>
      </c>
      <c r="P7" s="225">
        <f>N7/14.2</f>
        <v>16.514084507042256</v>
      </c>
      <c r="Q7" s="227">
        <f t="shared" ref="Q7:Q12" si="1">P7/O7</f>
        <v>0.12676056338028172</v>
      </c>
      <c r="R7" s="225"/>
      <c r="S7" s="226">
        <f>$N7/O7</f>
        <v>1.8</v>
      </c>
      <c r="T7" s="226">
        <f>$N7/P7</f>
        <v>14.199999999999998</v>
      </c>
      <c r="U7" s="225"/>
      <c r="V7" s="225" t="s">
        <v>36</v>
      </c>
      <c r="W7" s="225" t="s">
        <v>36</v>
      </c>
      <c r="Y7" s="170" t="s">
        <v>523</v>
      </c>
    </row>
    <row r="8" spans="1:29" s="169" customFormat="1" ht="15" customHeight="1" x14ac:dyDescent="0.2">
      <c r="A8" s="172"/>
      <c r="B8" s="171" t="str">
        <f ca="1">INDIRECT($C8&amp;"!"&amp;B$82)</f>
        <v>LVMH Moët Hennessy Louis Vuitton</v>
      </c>
      <c r="C8" s="171" t="s">
        <v>522</v>
      </c>
      <c r="D8" s="222">
        <f t="shared" ref="D8:W8" ca="1" si="2">INDIRECT($C8&amp;"!"&amp;D$82)</f>
        <v>41463</v>
      </c>
      <c r="E8" s="222">
        <f t="shared" ca="1" si="2"/>
        <v>41613</v>
      </c>
      <c r="F8" s="223" t="str">
        <f t="shared" ca="1" si="2"/>
        <v>NM</v>
      </c>
      <c r="G8" s="223" t="str">
        <f t="shared" ca="1" si="2"/>
        <v>NM</v>
      </c>
      <c r="H8" s="225" t="str">
        <f t="shared" ca="1" si="2"/>
        <v>NA</v>
      </c>
      <c r="I8" s="225"/>
      <c r="J8" s="224">
        <f t="shared" ca="1" si="2"/>
        <v>1</v>
      </c>
      <c r="K8" s="224">
        <f t="shared" ca="1" si="2"/>
        <v>0</v>
      </c>
      <c r="L8" s="225" t="e">
        <f t="shared" ca="1" si="2"/>
        <v>#REF!</v>
      </c>
      <c r="M8" s="225" t="str">
        <f t="shared" ca="1" si="2"/>
        <v>NM</v>
      </c>
      <c r="N8" s="225" t="str">
        <f t="shared" ca="1" si="2"/>
        <v>NM</v>
      </c>
      <c r="O8" s="225">
        <f t="shared" ca="1" si="2"/>
        <v>719.49828962371726</v>
      </c>
      <c r="P8" s="225">
        <f t="shared" ca="1" si="2"/>
        <v>143.89965792474345</v>
      </c>
      <c r="Q8" s="227">
        <f t="shared" ca="1" si="1"/>
        <v>0.2</v>
      </c>
      <c r="R8" s="223" t="e">
        <f t="shared" ca="1" si="2"/>
        <v>#REF!</v>
      </c>
      <c r="S8" s="226">
        <f t="shared" ca="1" si="2"/>
        <v>4.2551505546751187</v>
      </c>
      <c r="T8" s="226">
        <f t="shared" ca="1" si="2"/>
        <v>21.275752773375594</v>
      </c>
      <c r="U8" s="225" t="e">
        <f t="shared" ca="1" si="2"/>
        <v>#REF!</v>
      </c>
      <c r="V8" s="223" t="str">
        <f t="shared" ca="1" si="2"/>
        <v>NA</v>
      </c>
      <c r="W8" s="223" t="str">
        <f t="shared" ca="1" si="2"/>
        <v>NA</v>
      </c>
      <c r="Y8" s="170" t="s">
        <v>521</v>
      </c>
    </row>
    <row r="9" spans="1:29" s="169" customFormat="1" ht="15" customHeight="1" x14ac:dyDescent="0.2">
      <c r="A9" s="172"/>
      <c r="B9" s="171" t="s">
        <v>520</v>
      </c>
      <c r="C9" s="171" t="s">
        <v>519</v>
      </c>
      <c r="D9" s="222">
        <v>41404</v>
      </c>
      <c r="E9" s="222">
        <v>41485</v>
      </c>
      <c r="F9" s="223">
        <f>G9/(1+27%)</f>
        <v>25.196850393700785</v>
      </c>
      <c r="G9" s="223">
        <v>32</v>
      </c>
      <c r="H9" s="227">
        <f>G9/F9-1</f>
        <v>0.27</v>
      </c>
      <c r="I9" s="225"/>
      <c r="J9" s="227">
        <v>1</v>
      </c>
      <c r="K9" s="227">
        <f>1-J9</f>
        <v>0</v>
      </c>
      <c r="L9" s="225"/>
      <c r="M9" s="225">
        <v>824.1</v>
      </c>
      <c r="N9" s="225">
        <v>630.5</v>
      </c>
      <c r="O9" s="225">
        <f>N9/1.3</f>
        <v>485</v>
      </c>
      <c r="P9" s="225">
        <f>N9/8</f>
        <v>78.8125</v>
      </c>
      <c r="Q9" s="227">
        <f t="shared" si="1"/>
        <v>0.16250000000000001</v>
      </c>
      <c r="R9" s="225"/>
      <c r="S9" s="226">
        <f t="shared" ref="S9:T11" si="3">$N9/O9</f>
        <v>1.3</v>
      </c>
      <c r="T9" s="226">
        <f t="shared" si="3"/>
        <v>8</v>
      </c>
      <c r="U9" s="225"/>
      <c r="V9" s="225" t="s">
        <v>36</v>
      </c>
      <c r="W9" s="225" t="s">
        <v>36</v>
      </c>
      <c r="Y9" s="170" t="s">
        <v>518</v>
      </c>
    </row>
    <row r="10" spans="1:29" s="169" customFormat="1" ht="15" customHeight="1" x14ac:dyDescent="0.2">
      <c r="A10" s="172"/>
      <c r="B10" s="171" t="s">
        <v>517</v>
      </c>
      <c r="C10" s="171" t="s">
        <v>516</v>
      </c>
      <c r="D10" s="222">
        <v>41213</v>
      </c>
      <c r="E10" s="222">
        <v>41318</v>
      </c>
      <c r="F10" s="223">
        <v>51.914564179104474</v>
      </c>
      <c r="G10" s="223">
        <f>51.75+97.78* 0.1822</f>
        <v>69.565516000000002</v>
      </c>
      <c r="H10" s="227">
        <v>0.34</v>
      </c>
      <c r="I10" s="225"/>
      <c r="J10" s="227">
        <f>51.75/G10</f>
        <v>0.74390305679612867</v>
      </c>
      <c r="K10" s="227">
        <f>1-J10</f>
        <v>0.25609694320387133</v>
      </c>
      <c r="L10" s="225"/>
      <c r="M10" s="225">
        <v>2900.8</v>
      </c>
      <c r="N10" s="225">
        <v>2844.5</v>
      </c>
      <c r="O10" s="225">
        <v>2370.416666666667</v>
      </c>
      <c r="P10" s="225">
        <v>284.45</v>
      </c>
      <c r="Q10" s="227">
        <f t="shared" si="1"/>
        <v>0.11999999999999998</v>
      </c>
      <c r="R10" s="225"/>
      <c r="S10" s="226">
        <f t="shared" si="3"/>
        <v>1.2</v>
      </c>
      <c r="T10" s="226">
        <f t="shared" si="3"/>
        <v>10</v>
      </c>
      <c r="U10" s="225"/>
      <c r="V10" s="225" t="s">
        <v>36</v>
      </c>
      <c r="W10" s="225" t="s">
        <v>36</v>
      </c>
      <c r="Y10" s="170" t="s">
        <v>515</v>
      </c>
    </row>
    <row r="11" spans="1:29" s="169" customFormat="1" ht="15" customHeight="1" x14ac:dyDescent="0.2">
      <c r="A11" s="172"/>
      <c r="B11" s="171" t="s">
        <v>514</v>
      </c>
      <c r="C11" s="171" t="s">
        <v>513</v>
      </c>
      <c r="D11" s="222">
        <v>41197</v>
      </c>
      <c r="E11" s="222">
        <v>41248</v>
      </c>
      <c r="F11" s="225" t="s">
        <v>36</v>
      </c>
      <c r="G11" s="225" t="s">
        <v>36</v>
      </c>
      <c r="H11" s="225" t="s">
        <v>36</v>
      </c>
      <c r="I11" s="225"/>
      <c r="J11" s="227">
        <v>1</v>
      </c>
      <c r="K11" s="225" t="s">
        <v>36</v>
      </c>
      <c r="L11" s="225"/>
      <c r="M11" s="225">
        <v>269.2</v>
      </c>
      <c r="N11" s="225">
        <v>363.9</v>
      </c>
      <c r="O11" s="225">
        <v>224.33333333333334</v>
      </c>
      <c r="P11" s="225">
        <v>23.206896551724139</v>
      </c>
      <c r="Q11" s="227">
        <f t="shared" si="1"/>
        <v>0.10344827586206896</v>
      </c>
      <c r="R11" s="225"/>
      <c r="S11" s="226">
        <f t="shared" si="3"/>
        <v>1.6221396731054976</v>
      </c>
      <c r="T11" s="226">
        <f t="shared" si="3"/>
        <v>15.680683506686476</v>
      </c>
      <c r="U11" s="225"/>
      <c r="V11" s="225" t="s">
        <v>36</v>
      </c>
      <c r="W11" s="225" t="s">
        <v>36</v>
      </c>
      <c r="Y11" s="170" t="s">
        <v>512</v>
      </c>
    </row>
    <row r="12" spans="1:29" s="169" customFormat="1" ht="15" customHeight="1" x14ac:dyDescent="0.2">
      <c r="A12" s="172"/>
      <c r="B12" s="171" t="s">
        <v>511</v>
      </c>
      <c r="C12" s="171" t="s">
        <v>510</v>
      </c>
      <c r="D12" s="222">
        <v>40252</v>
      </c>
      <c r="E12" s="222">
        <v>40304</v>
      </c>
      <c r="F12" s="225" t="s">
        <v>36</v>
      </c>
      <c r="G12" s="225" t="s">
        <v>36</v>
      </c>
      <c r="H12" s="225" t="s">
        <v>36</v>
      </c>
      <c r="I12" s="225"/>
      <c r="J12" s="227">
        <f>2600/N12</f>
        <v>0.849090493452206</v>
      </c>
      <c r="K12" s="227">
        <f>1-J12</f>
        <v>0.150909506547794</v>
      </c>
      <c r="L12" s="225"/>
      <c r="M12" s="225" t="s">
        <v>36</v>
      </c>
      <c r="N12" s="225">
        <v>3062.1</v>
      </c>
      <c r="O12" s="225">
        <v>2300</v>
      </c>
      <c r="P12" s="225" t="s">
        <v>36</v>
      </c>
      <c r="Q12" s="227" t="e">
        <f t="shared" si="1"/>
        <v>#VALUE!</v>
      </c>
      <c r="R12" s="225"/>
      <c r="S12" s="226">
        <f>$N12/O12</f>
        <v>1.3313478260869565</v>
      </c>
      <c r="T12" s="225" t="s">
        <v>36</v>
      </c>
      <c r="U12" s="225"/>
      <c r="V12" s="227">
        <f>40/O12</f>
        <v>1.7391304347826087E-2</v>
      </c>
      <c r="W12" s="225" t="s">
        <v>36</v>
      </c>
      <c r="Y12" s="170" t="s">
        <v>509</v>
      </c>
    </row>
    <row r="13" spans="1:29" ht="15" customHeight="1" x14ac:dyDescent="0.2">
      <c r="A13" s="15"/>
      <c r="B13" s="16"/>
      <c r="C13" s="16"/>
      <c r="D13" s="168"/>
      <c r="E13" s="168"/>
      <c r="F13" s="16"/>
    </row>
    <row r="14" spans="1:29" ht="15" customHeight="1" x14ac:dyDescent="0.2">
      <c r="A14" s="15"/>
      <c r="B14" s="16"/>
      <c r="C14" s="16"/>
      <c r="D14" s="168"/>
      <c r="E14" s="168"/>
      <c r="F14" s="16"/>
    </row>
    <row r="15" spans="1:29" ht="15" customHeight="1" x14ac:dyDescent="0.2">
      <c r="A15" s="15"/>
      <c r="B15" s="16"/>
      <c r="C15" s="16"/>
      <c r="D15" s="168"/>
      <c r="E15" s="168"/>
      <c r="F15" s="16"/>
    </row>
    <row r="16" spans="1:29" ht="15" customHeight="1" x14ac:dyDescent="0.2">
      <c r="A16" s="15"/>
      <c r="B16" s="16"/>
      <c r="C16" s="16"/>
      <c r="D16" s="168"/>
      <c r="E16" s="168"/>
      <c r="F16" s="16"/>
    </row>
    <row r="17" spans="1:6" ht="15" customHeight="1" x14ac:dyDescent="0.2">
      <c r="A17" s="15"/>
      <c r="B17" s="16"/>
      <c r="C17" s="16"/>
      <c r="D17" s="168"/>
      <c r="E17" s="168"/>
      <c r="F17" s="16"/>
    </row>
    <row r="18" spans="1:6" ht="15" customHeight="1" x14ac:dyDescent="0.2">
      <c r="A18" s="15"/>
      <c r="B18" s="16"/>
      <c r="C18" s="16"/>
      <c r="D18" s="168"/>
      <c r="E18" s="168"/>
      <c r="F18" s="16"/>
    </row>
    <row r="19" spans="1:6" ht="15" customHeight="1" x14ac:dyDescent="0.2">
      <c r="A19" s="15"/>
      <c r="B19" s="16"/>
      <c r="C19" s="16"/>
      <c r="D19" s="168"/>
      <c r="E19" s="168"/>
      <c r="F19" s="16"/>
    </row>
    <row r="20" spans="1:6" ht="15" customHeight="1" x14ac:dyDescent="0.2">
      <c r="A20" s="15"/>
      <c r="B20" s="16"/>
      <c r="C20" s="16"/>
      <c r="D20" s="168"/>
      <c r="E20" s="168"/>
      <c r="F20" s="16"/>
    </row>
    <row r="21" spans="1:6" ht="15" customHeight="1" x14ac:dyDescent="0.2">
      <c r="A21" s="15"/>
      <c r="B21" s="16"/>
      <c r="C21" s="16"/>
      <c r="D21" s="168"/>
      <c r="E21" s="168"/>
      <c r="F21" s="16"/>
    </row>
    <row r="22" spans="1:6" ht="15" customHeight="1" x14ac:dyDescent="0.2">
      <c r="A22" s="15"/>
      <c r="B22" s="16"/>
      <c r="C22" s="16"/>
      <c r="D22" s="168"/>
      <c r="E22" s="168"/>
      <c r="F22" s="16"/>
    </row>
    <row r="23" spans="1:6" ht="15" customHeight="1" x14ac:dyDescent="0.2">
      <c r="A23" s="15"/>
      <c r="B23" s="16"/>
      <c r="C23" s="16"/>
      <c r="D23" s="168"/>
      <c r="E23" s="168"/>
      <c r="F23" s="16"/>
    </row>
    <row r="24" spans="1:6" ht="15" customHeight="1" x14ac:dyDescent="0.2">
      <c r="A24" s="15"/>
      <c r="B24" s="16"/>
      <c r="C24" s="16"/>
      <c r="D24" s="168"/>
      <c r="E24" s="168"/>
      <c r="F24" s="16"/>
    </row>
    <row r="25" spans="1:6" ht="15" customHeight="1" x14ac:dyDescent="0.2">
      <c r="A25" s="15"/>
      <c r="B25" s="16"/>
      <c r="C25" s="16"/>
      <c r="D25" s="168"/>
      <c r="E25" s="168"/>
      <c r="F25" s="16"/>
    </row>
    <row r="26" spans="1:6" ht="15" customHeight="1" x14ac:dyDescent="0.2">
      <c r="A26" s="15"/>
      <c r="B26" s="16"/>
      <c r="C26" s="16"/>
      <c r="D26" s="168"/>
      <c r="E26" s="168"/>
      <c r="F26" s="16"/>
    </row>
    <row r="27" spans="1:6" ht="15" customHeight="1" x14ac:dyDescent="0.2">
      <c r="A27" s="15"/>
      <c r="B27" s="16"/>
      <c r="C27" s="16"/>
      <c r="D27" s="168"/>
      <c r="E27" s="168"/>
      <c r="F27" s="16"/>
    </row>
    <row r="28" spans="1:6" ht="15" customHeight="1" x14ac:dyDescent="0.2">
      <c r="A28" s="15"/>
      <c r="B28" s="16"/>
      <c r="C28" s="16"/>
      <c r="D28" s="168"/>
      <c r="E28" s="168"/>
      <c r="F28" s="16"/>
    </row>
    <row r="29" spans="1:6" ht="15" customHeight="1" x14ac:dyDescent="0.2">
      <c r="A29" s="15"/>
      <c r="B29" s="16"/>
      <c r="C29" s="16"/>
      <c r="D29" s="168"/>
      <c r="E29" s="168"/>
      <c r="F29" s="16"/>
    </row>
    <row r="30" spans="1:6" ht="15" customHeight="1" x14ac:dyDescent="0.2">
      <c r="A30" s="15"/>
      <c r="B30" s="16"/>
      <c r="C30" s="16"/>
      <c r="D30" s="168"/>
      <c r="E30" s="168"/>
      <c r="F30" s="16"/>
    </row>
    <row r="31" spans="1:6" ht="15" customHeight="1" x14ac:dyDescent="0.2">
      <c r="A31" s="15"/>
      <c r="B31" s="16"/>
      <c r="C31" s="16"/>
      <c r="D31" s="168"/>
      <c r="E31" s="168"/>
      <c r="F31" s="16"/>
    </row>
    <row r="32" spans="1:6" ht="15" customHeight="1" x14ac:dyDescent="0.2">
      <c r="A32" s="15"/>
      <c r="B32" s="16"/>
      <c r="C32" s="16"/>
      <c r="D32" s="168"/>
      <c r="E32" s="168"/>
      <c r="F32" s="16"/>
    </row>
    <row r="33" spans="1:6" ht="15" customHeight="1" x14ac:dyDescent="0.2">
      <c r="A33" s="15"/>
      <c r="B33" s="16"/>
      <c r="C33" s="16"/>
      <c r="D33" s="168"/>
      <c r="E33" s="168"/>
      <c r="F33" s="16"/>
    </row>
    <row r="34" spans="1:6" ht="15" customHeight="1" x14ac:dyDescent="0.2">
      <c r="A34" s="15"/>
      <c r="B34" s="16"/>
      <c r="C34" s="16"/>
      <c r="D34" s="168"/>
      <c r="E34" s="168"/>
      <c r="F34" s="16"/>
    </row>
    <row r="35" spans="1:6" ht="15" customHeight="1" x14ac:dyDescent="0.2">
      <c r="A35" s="15"/>
      <c r="B35" s="16"/>
      <c r="C35" s="16"/>
      <c r="D35" s="168"/>
      <c r="E35" s="168"/>
      <c r="F35" s="16"/>
    </row>
    <row r="36" spans="1:6" ht="15" customHeight="1" x14ac:dyDescent="0.2">
      <c r="A36" s="15"/>
      <c r="B36" s="16"/>
      <c r="C36" s="16"/>
      <c r="D36" s="168"/>
      <c r="E36" s="168"/>
      <c r="F36" s="16"/>
    </row>
    <row r="37" spans="1:6" ht="15" customHeight="1" x14ac:dyDescent="0.2">
      <c r="A37" s="15"/>
      <c r="B37" s="16"/>
      <c r="C37" s="16"/>
      <c r="D37" s="168"/>
      <c r="E37" s="168"/>
      <c r="F37" s="16"/>
    </row>
    <row r="38" spans="1:6" ht="15" customHeight="1" x14ac:dyDescent="0.2">
      <c r="A38" s="15"/>
      <c r="B38" s="16"/>
      <c r="C38" s="16"/>
      <c r="D38" s="168"/>
      <c r="E38" s="168"/>
      <c r="F38" s="16"/>
    </row>
    <row r="39" spans="1:6" ht="15" customHeight="1" x14ac:dyDescent="0.2">
      <c r="A39" s="15"/>
      <c r="B39" s="16"/>
      <c r="C39" s="16"/>
      <c r="D39" s="168"/>
      <c r="E39" s="168"/>
      <c r="F39" s="16"/>
    </row>
    <row r="40" spans="1:6" ht="15" customHeight="1" x14ac:dyDescent="0.2">
      <c r="A40" s="15"/>
      <c r="B40" s="16"/>
      <c r="C40" s="16"/>
      <c r="D40" s="168"/>
      <c r="E40" s="168"/>
      <c r="F40" s="16"/>
    </row>
    <row r="41" spans="1:6" ht="15" customHeight="1" x14ac:dyDescent="0.2">
      <c r="A41" s="15"/>
      <c r="B41" s="16"/>
      <c r="C41" s="16"/>
      <c r="D41" s="168"/>
      <c r="E41" s="168"/>
      <c r="F41" s="16"/>
    </row>
    <row r="42" spans="1:6" ht="15" customHeight="1" x14ac:dyDescent="0.2">
      <c r="A42" s="15"/>
      <c r="B42" s="16"/>
      <c r="C42" s="16"/>
      <c r="D42" s="168"/>
      <c r="E42" s="168"/>
      <c r="F42" s="16"/>
    </row>
    <row r="43" spans="1:6" ht="15" customHeight="1" x14ac:dyDescent="0.2">
      <c r="A43" s="15"/>
      <c r="B43" s="16"/>
      <c r="C43" s="16"/>
      <c r="D43" s="168"/>
      <c r="E43" s="168"/>
      <c r="F43" s="16"/>
    </row>
    <row r="44" spans="1:6" ht="15" customHeight="1" x14ac:dyDescent="0.2">
      <c r="A44" s="15"/>
      <c r="B44" s="16"/>
      <c r="C44" s="16"/>
      <c r="D44" s="168"/>
      <c r="E44" s="168"/>
      <c r="F44" s="16"/>
    </row>
    <row r="45" spans="1:6" ht="15" customHeight="1" x14ac:dyDescent="0.2">
      <c r="A45" s="15"/>
      <c r="B45" s="16"/>
      <c r="C45" s="16"/>
      <c r="D45" s="168"/>
      <c r="E45" s="168"/>
      <c r="F45" s="16"/>
    </row>
    <row r="46" spans="1:6" ht="15" customHeight="1" x14ac:dyDescent="0.2">
      <c r="A46" s="15"/>
      <c r="B46" s="16"/>
      <c r="C46" s="16"/>
      <c r="D46" s="168"/>
      <c r="E46" s="168"/>
      <c r="F46" s="16"/>
    </row>
    <row r="47" spans="1:6" ht="15" customHeight="1" x14ac:dyDescent="0.2">
      <c r="A47" s="15"/>
      <c r="B47" s="16"/>
      <c r="C47" s="16"/>
      <c r="D47" s="168"/>
      <c r="E47" s="168"/>
      <c r="F47" s="16"/>
    </row>
    <row r="48" spans="1:6" ht="15" customHeight="1" x14ac:dyDescent="0.2">
      <c r="A48" s="15"/>
      <c r="B48" s="16"/>
      <c r="C48" s="16"/>
      <c r="D48" s="168"/>
      <c r="E48" s="168"/>
      <c r="F48" s="16"/>
    </row>
    <row r="49" spans="1:6" ht="15" customHeight="1" x14ac:dyDescent="0.2">
      <c r="A49" s="15"/>
      <c r="B49" s="16"/>
      <c r="C49" s="16"/>
      <c r="D49" s="168"/>
      <c r="E49" s="168"/>
      <c r="F49" s="16"/>
    </row>
    <row r="50" spans="1:6" ht="15" customHeight="1" x14ac:dyDescent="0.2">
      <c r="A50" s="15"/>
      <c r="B50" s="16"/>
      <c r="C50" s="16"/>
      <c r="D50" s="168"/>
      <c r="E50" s="168"/>
      <c r="F50" s="16"/>
    </row>
    <row r="51" spans="1:6" ht="15" customHeight="1" x14ac:dyDescent="0.2">
      <c r="A51" s="15"/>
      <c r="B51" s="16"/>
      <c r="C51" s="16"/>
      <c r="D51" s="168"/>
      <c r="E51" s="168"/>
      <c r="F51" s="16"/>
    </row>
    <row r="52" spans="1:6" ht="15" customHeight="1" x14ac:dyDescent="0.2">
      <c r="A52" s="15"/>
      <c r="B52" s="16"/>
      <c r="C52" s="16"/>
      <c r="D52" s="168"/>
      <c r="E52" s="168"/>
      <c r="F52" s="16"/>
    </row>
    <row r="53" spans="1:6" ht="15" customHeight="1" x14ac:dyDescent="0.2">
      <c r="A53" s="15"/>
      <c r="B53" s="16"/>
      <c r="C53" s="16"/>
      <c r="D53" s="168"/>
      <c r="E53" s="168"/>
      <c r="F53" s="16"/>
    </row>
    <row r="54" spans="1:6" ht="15" customHeight="1" x14ac:dyDescent="0.2">
      <c r="A54" s="15"/>
      <c r="B54" s="16"/>
      <c r="C54" s="16"/>
      <c r="D54" s="168"/>
      <c r="E54" s="168"/>
      <c r="F54" s="16"/>
    </row>
    <row r="55" spans="1:6" ht="15" customHeight="1" x14ac:dyDescent="0.2">
      <c r="A55" s="15"/>
      <c r="B55" s="16"/>
      <c r="C55" s="16"/>
      <c r="D55" s="168"/>
      <c r="E55" s="168"/>
      <c r="F55" s="16"/>
    </row>
    <row r="56" spans="1:6" ht="15" customHeight="1" x14ac:dyDescent="0.2">
      <c r="A56" s="15"/>
      <c r="B56" s="16"/>
      <c r="C56" s="16"/>
      <c r="D56" s="168"/>
      <c r="E56" s="168"/>
      <c r="F56" s="16"/>
    </row>
    <row r="57" spans="1:6" ht="15" customHeight="1" x14ac:dyDescent="0.2">
      <c r="A57" s="15"/>
      <c r="B57" s="16"/>
      <c r="C57" s="16"/>
      <c r="D57" s="168"/>
      <c r="E57" s="168"/>
      <c r="F57" s="16"/>
    </row>
    <row r="58" spans="1:6" ht="15" customHeight="1" x14ac:dyDescent="0.2">
      <c r="A58" s="15"/>
      <c r="B58" s="16"/>
      <c r="C58" s="16"/>
      <c r="D58" s="168"/>
      <c r="E58" s="168"/>
      <c r="F58" s="16"/>
    </row>
    <row r="59" spans="1:6" ht="15" customHeight="1" x14ac:dyDescent="0.2">
      <c r="A59" s="15"/>
      <c r="B59" s="16"/>
      <c r="C59" s="16"/>
      <c r="D59" s="168"/>
      <c r="E59" s="168"/>
      <c r="F59" s="16"/>
    </row>
    <row r="60" spans="1:6" ht="15" customHeight="1" x14ac:dyDescent="0.2">
      <c r="A60" s="15"/>
      <c r="B60" s="16"/>
      <c r="C60" s="16"/>
      <c r="D60" s="168"/>
      <c r="E60" s="168"/>
      <c r="F60" s="16"/>
    </row>
    <row r="61" spans="1:6" ht="15" customHeight="1" x14ac:dyDescent="0.2">
      <c r="A61" s="15"/>
      <c r="B61" s="16"/>
      <c r="C61" s="16"/>
      <c r="D61" s="168"/>
      <c r="E61" s="168"/>
      <c r="F61" s="16"/>
    </row>
    <row r="62" spans="1:6" ht="15" customHeight="1" x14ac:dyDescent="0.2">
      <c r="A62" s="15"/>
      <c r="B62" s="16"/>
      <c r="C62" s="16"/>
      <c r="D62" s="168"/>
      <c r="E62" s="168"/>
      <c r="F62" s="16"/>
    </row>
    <row r="63" spans="1:6" ht="15" customHeight="1" x14ac:dyDescent="0.2">
      <c r="A63" s="15"/>
      <c r="B63" s="16"/>
      <c r="C63" s="16"/>
      <c r="D63" s="168"/>
      <c r="E63" s="168"/>
      <c r="F63" s="16"/>
    </row>
    <row r="64" spans="1:6" ht="15" customHeight="1" x14ac:dyDescent="0.2">
      <c r="A64" s="15"/>
      <c r="B64" s="16"/>
      <c r="C64" s="16"/>
      <c r="D64" s="168"/>
      <c r="E64" s="168"/>
      <c r="F64" s="16"/>
    </row>
    <row r="65" spans="1:24" ht="15" customHeight="1" x14ac:dyDescent="0.2">
      <c r="A65" s="15"/>
      <c r="B65" s="16"/>
      <c r="C65" s="16"/>
      <c r="D65" s="168"/>
      <c r="E65" s="168"/>
      <c r="F65" s="16"/>
    </row>
    <row r="66" spans="1:24" ht="15" customHeight="1" x14ac:dyDescent="0.2">
      <c r="A66" s="15"/>
      <c r="B66" s="16"/>
      <c r="C66" s="16"/>
      <c r="D66" s="168"/>
      <c r="E66" s="168"/>
      <c r="F66" s="16"/>
    </row>
    <row r="67" spans="1:24" ht="15" customHeight="1" x14ac:dyDescent="0.2">
      <c r="A67" s="15"/>
      <c r="B67" s="16"/>
      <c r="C67" s="16"/>
      <c r="D67" s="168"/>
      <c r="E67" s="168"/>
      <c r="F67" s="16"/>
    </row>
    <row r="68" spans="1:24" ht="15" customHeight="1" x14ac:dyDescent="0.2">
      <c r="A68" s="15"/>
      <c r="B68" s="16"/>
      <c r="C68" s="16"/>
      <c r="D68" s="168"/>
      <c r="E68" s="168"/>
      <c r="F68" s="16"/>
    </row>
    <row r="69" spans="1:24" ht="15" customHeight="1" x14ac:dyDescent="0.2">
      <c r="A69" s="15"/>
      <c r="B69" s="16"/>
      <c r="C69" s="16"/>
      <c r="D69" s="168"/>
      <c r="E69" s="168"/>
      <c r="F69" s="16"/>
    </row>
    <row r="70" spans="1:24" ht="15" customHeight="1" x14ac:dyDescent="0.2">
      <c r="A70" s="15"/>
      <c r="B70" s="16"/>
      <c r="C70" s="16"/>
      <c r="D70" s="168"/>
      <c r="E70" s="168"/>
      <c r="F70" s="16"/>
    </row>
    <row r="71" spans="1:24" ht="15" customHeight="1" x14ac:dyDescent="0.2">
      <c r="A71" s="15"/>
      <c r="B71" s="16"/>
      <c r="C71" s="16"/>
      <c r="D71" s="168"/>
      <c r="E71" s="168"/>
      <c r="F71" s="16"/>
    </row>
    <row r="72" spans="1:24" ht="15" customHeight="1" x14ac:dyDescent="0.2">
      <c r="A72" s="15"/>
      <c r="B72" s="16"/>
      <c r="C72" s="16"/>
      <c r="D72" s="168"/>
      <c r="E72" s="168"/>
      <c r="F72" s="16"/>
    </row>
    <row r="73" spans="1:24" ht="15" customHeight="1" x14ac:dyDescent="0.2">
      <c r="A73" s="15"/>
      <c r="B73" s="16"/>
      <c r="C73" s="16"/>
      <c r="D73" s="168"/>
      <c r="E73" s="168"/>
      <c r="F73" s="16"/>
    </row>
    <row r="74" spans="1:24" ht="15" customHeight="1" x14ac:dyDescent="0.2">
      <c r="A74" s="15"/>
      <c r="B74" s="16"/>
      <c r="C74" s="16"/>
      <c r="D74" s="168"/>
      <c r="E74" s="168"/>
      <c r="F74" s="16"/>
    </row>
    <row r="75" spans="1:24" ht="15" customHeight="1" x14ac:dyDescent="0.2">
      <c r="A75" s="15"/>
      <c r="B75" s="16"/>
      <c r="C75" s="16"/>
      <c r="D75" s="168"/>
      <c r="E75" s="168"/>
      <c r="F75" s="16"/>
    </row>
    <row r="76" spans="1:24" ht="15" customHeight="1" x14ac:dyDescent="0.2">
      <c r="A76" s="15"/>
      <c r="B76" s="16"/>
      <c r="C76" s="16"/>
      <c r="D76" s="168"/>
      <c r="E76" s="168"/>
      <c r="F76" s="16"/>
    </row>
    <row r="77" spans="1:24" ht="15" customHeight="1" x14ac:dyDescent="0.2">
      <c r="A77" s="15"/>
      <c r="B77" s="16"/>
      <c r="C77" s="16"/>
      <c r="D77" s="168"/>
      <c r="E77" s="168"/>
      <c r="F77" s="16"/>
    </row>
    <row r="78" spans="1:24" ht="15" customHeight="1" x14ac:dyDescent="0.2">
      <c r="A78" s="15"/>
      <c r="B78" s="16"/>
      <c r="C78" s="16"/>
      <c r="D78" s="168"/>
      <c r="E78" s="168"/>
      <c r="F78" s="16"/>
    </row>
    <row r="79" spans="1:24" ht="15" customHeight="1" x14ac:dyDescent="0.2">
      <c r="A79" s="111" t="s">
        <v>169</v>
      </c>
      <c r="B79" s="16"/>
      <c r="C79" s="16"/>
      <c r="D79" s="168"/>
      <c r="E79" s="168"/>
      <c r="F79" s="16"/>
    </row>
    <row r="80" spans="1:24" ht="15" customHeight="1" thickBot="1" x14ac:dyDescent="0.25">
      <c r="A80" s="115"/>
      <c r="B80" s="116" t="s">
        <v>153</v>
      </c>
      <c r="C80" s="116" t="s">
        <v>155</v>
      </c>
      <c r="D80" s="167" t="s">
        <v>508</v>
      </c>
      <c r="E80" s="167" t="s">
        <v>508</v>
      </c>
      <c r="F80" s="116" t="s">
        <v>507</v>
      </c>
      <c r="G80" s="166" t="s">
        <v>506</v>
      </c>
      <c r="H80" s="166" t="s">
        <v>505</v>
      </c>
      <c r="I80" s="166"/>
      <c r="J80" s="109" t="s">
        <v>504</v>
      </c>
      <c r="K80" s="109" t="s">
        <v>503</v>
      </c>
      <c r="L80" s="109"/>
      <c r="M80" s="109" t="s">
        <v>502</v>
      </c>
      <c r="N80" s="109" t="s">
        <v>502</v>
      </c>
      <c r="O80" s="119" t="s">
        <v>49</v>
      </c>
      <c r="P80" s="119"/>
      <c r="Q80" s="231"/>
      <c r="R80" s="109"/>
      <c r="S80" s="119" t="s">
        <v>501</v>
      </c>
      <c r="T80" s="119"/>
      <c r="U80" s="12"/>
      <c r="V80" s="119" t="s">
        <v>500</v>
      </c>
      <c r="W80" s="119"/>
      <c r="X80" s="12"/>
    </row>
    <row r="81" spans="1:24" ht="15" customHeight="1" x14ac:dyDescent="0.2">
      <c r="A81" s="115"/>
      <c r="B81" s="116"/>
      <c r="C81" s="116"/>
      <c r="D81" s="167" t="s">
        <v>499</v>
      </c>
      <c r="E81" s="167" t="s">
        <v>498</v>
      </c>
      <c r="F81" s="116" t="s">
        <v>497</v>
      </c>
      <c r="G81" s="166" t="s">
        <v>161</v>
      </c>
      <c r="H81" s="166" t="s">
        <v>496</v>
      </c>
      <c r="I81" s="166"/>
      <c r="J81" s="109" t="s">
        <v>495</v>
      </c>
      <c r="K81" s="109" t="s">
        <v>495</v>
      </c>
      <c r="L81" s="109"/>
      <c r="M81" s="109" t="s">
        <v>494</v>
      </c>
      <c r="N81" s="109" t="s">
        <v>163</v>
      </c>
      <c r="O81" s="109" t="s">
        <v>54</v>
      </c>
      <c r="P81" s="109" t="s">
        <v>55</v>
      </c>
      <c r="Q81" s="109"/>
      <c r="R81" s="109"/>
      <c r="S81" s="109" t="s">
        <v>493</v>
      </c>
      <c r="T81" s="109" t="s">
        <v>165</v>
      </c>
      <c r="U81" s="12"/>
      <c r="V81" s="109" t="s">
        <v>492</v>
      </c>
      <c r="W81" s="109" t="s">
        <v>378</v>
      </c>
      <c r="X81" s="12"/>
    </row>
    <row r="82" spans="1:24" ht="15" customHeight="1" x14ac:dyDescent="0.2">
      <c r="A82" s="15"/>
      <c r="B82" s="16" t="s">
        <v>491</v>
      </c>
      <c r="C82" s="16"/>
      <c r="D82" s="16" t="s">
        <v>490</v>
      </c>
      <c r="E82" s="16" t="s">
        <v>489</v>
      </c>
      <c r="F82" s="165" t="s">
        <v>488</v>
      </c>
      <c r="G82" s="165" t="s">
        <v>487</v>
      </c>
      <c r="H82" s="165" t="s">
        <v>237</v>
      </c>
      <c r="J82" s="165" t="s">
        <v>486</v>
      </c>
      <c r="K82" s="165" t="s">
        <v>485</v>
      </c>
      <c r="M82" s="165" t="s">
        <v>484</v>
      </c>
      <c r="N82" s="165" t="s">
        <v>483</v>
      </c>
      <c r="O82" s="165" t="s">
        <v>482</v>
      </c>
      <c r="P82" s="165" t="s">
        <v>481</v>
      </c>
      <c r="S82" s="165" t="s">
        <v>480</v>
      </c>
      <c r="T82" s="165" t="s">
        <v>479</v>
      </c>
      <c r="V82" s="165" t="s">
        <v>478</v>
      </c>
      <c r="W82" s="165" t="s">
        <v>477</v>
      </c>
    </row>
    <row r="83" spans="1:24" ht="15" customHeight="1" x14ac:dyDescent="0.2">
      <c r="A83" s="15"/>
      <c r="B83" s="16"/>
      <c r="C83" s="16"/>
      <c r="D83" s="16"/>
      <c r="E83" s="16"/>
      <c r="F83" s="1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4"/>
  </sheetPr>
  <dimension ref="A1:X94"/>
  <sheetViews>
    <sheetView topLeftCell="A37" zoomScaleNormal="100" workbookViewId="0">
      <selection activeCell="G50" sqref="G50"/>
    </sheetView>
  </sheetViews>
  <sheetFormatPr baseColWidth="10" defaultColWidth="9.1640625" defaultRowHeight="15" customHeight="1" x14ac:dyDescent="0.2"/>
  <cols>
    <col min="1" max="1" width="1.5" style="124" customWidth="1"/>
    <col min="2" max="2" width="41.6640625" style="125" customWidth="1"/>
    <col min="3" max="10" width="11" style="182" customWidth="1"/>
    <col min="11" max="12" width="9.33203125" style="182" customWidth="1"/>
    <col min="13" max="16384" width="9.1640625" style="182"/>
  </cols>
  <sheetData>
    <row r="1" spans="1:12" s="178" customFormat="1" ht="45" customHeight="1" x14ac:dyDescent="0.35">
      <c r="A1" s="181" t="s">
        <v>578</v>
      </c>
      <c r="B1" s="180"/>
      <c r="C1" s="179"/>
      <c r="D1" s="179"/>
      <c r="E1" s="179"/>
      <c r="F1" s="179"/>
      <c r="G1" s="179"/>
      <c r="H1" s="179"/>
      <c r="I1" s="179"/>
      <c r="J1" s="179"/>
      <c r="K1" s="179"/>
      <c r="L1" s="179"/>
    </row>
    <row r="2" spans="1:12" s="174" customFormat="1" ht="30" customHeight="1" x14ac:dyDescent="0.25">
      <c r="A2" s="177" t="s">
        <v>532</v>
      </c>
      <c r="B2" s="176"/>
      <c r="C2" s="175"/>
      <c r="D2" s="175"/>
      <c r="E2" s="175"/>
      <c r="F2" s="175"/>
      <c r="G2" s="175"/>
      <c r="H2" s="175"/>
      <c r="I2" s="175"/>
      <c r="J2" s="175"/>
      <c r="K2" s="175"/>
      <c r="L2" s="175"/>
    </row>
    <row r="4" spans="1:12" ht="15" customHeight="1" x14ac:dyDescent="0.2">
      <c r="B4" s="211" t="s">
        <v>19</v>
      </c>
      <c r="C4" s="57" t="s">
        <v>20</v>
      </c>
      <c r="F4" s="211" t="s">
        <v>21</v>
      </c>
      <c r="G4" s="212" t="s">
        <v>227</v>
      </c>
    </row>
    <row r="5" spans="1:12" ht="15" customHeight="1" x14ac:dyDescent="0.2">
      <c r="B5" s="211" t="s">
        <v>92</v>
      </c>
      <c r="F5" s="211"/>
      <c r="G5" s="210"/>
    </row>
    <row r="7" spans="1:12" ht="15" customHeight="1" x14ac:dyDescent="0.2">
      <c r="A7" s="196" t="s">
        <v>22</v>
      </c>
      <c r="B7" s="179"/>
      <c r="C7" s="179" t="s">
        <v>541</v>
      </c>
      <c r="D7" s="179" t="s">
        <v>7</v>
      </c>
      <c r="E7" s="194"/>
      <c r="F7" s="196" t="s">
        <v>577</v>
      </c>
      <c r="G7" s="196"/>
      <c r="H7" s="196" t="s">
        <v>576</v>
      </c>
      <c r="I7" s="196" t="s">
        <v>575</v>
      </c>
      <c r="J7" s="196" t="s">
        <v>574</v>
      </c>
      <c r="K7" s="184"/>
    </row>
    <row r="8" spans="1:12" ht="15" customHeight="1" x14ac:dyDescent="0.2">
      <c r="B8" s="125" t="s">
        <v>573</v>
      </c>
      <c r="C8" s="207" t="s">
        <v>526</v>
      </c>
      <c r="E8" s="194"/>
      <c r="F8" s="16" t="str">
        <f>B49</f>
        <v>Revenues</v>
      </c>
      <c r="H8" s="182">
        <f>H49</f>
        <v>555.53599999999994</v>
      </c>
      <c r="J8" s="204">
        <f>IF($D$30="Share price",$D$43,$I$35)/H8</f>
        <v>3.125784590917601</v>
      </c>
      <c r="K8" s="184"/>
    </row>
    <row r="9" spans="1:12" ht="15" customHeight="1" x14ac:dyDescent="0.2">
      <c r="B9" s="125" t="s">
        <v>572</v>
      </c>
      <c r="C9" s="207" t="s">
        <v>157</v>
      </c>
      <c r="E9" s="194"/>
      <c r="F9" s="16" t="str">
        <f>B50</f>
        <v>EBIT</v>
      </c>
      <c r="H9" s="182">
        <f>H50</f>
        <v>98.339000000000013</v>
      </c>
      <c r="I9" s="206">
        <f>H9/H$8</f>
        <v>0.17701643097837047</v>
      </c>
      <c r="J9" s="204">
        <f>IF($D$30="Share price",$D$43,$I$35)/H9</f>
        <v>17.658160734805112</v>
      </c>
      <c r="K9" s="184"/>
    </row>
    <row r="10" spans="1:12" ht="15" customHeight="1" x14ac:dyDescent="0.2">
      <c r="B10" s="125" t="s">
        <v>571</v>
      </c>
      <c r="C10" s="207" t="s">
        <v>570</v>
      </c>
      <c r="E10" s="194"/>
      <c r="F10" s="16" t="str">
        <f>B51</f>
        <v>EBITDA</v>
      </c>
      <c r="H10" s="182">
        <f>H51</f>
        <v>120.58500000000002</v>
      </c>
      <c r="I10" s="206">
        <f>H10/H$8</f>
        <v>0.21706064053454688</v>
      </c>
      <c r="J10" s="204">
        <f>IF($D$30="Share price",$D$43,$I$35)/H10</f>
        <v>14.40051306961894</v>
      </c>
      <c r="K10" s="184"/>
    </row>
    <row r="11" spans="1:12" ht="15" customHeight="1" x14ac:dyDescent="0.2">
      <c r="B11" s="125" t="s">
        <v>569</v>
      </c>
      <c r="C11" s="207" t="s">
        <v>568</v>
      </c>
      <c r="E11" s="184"/>
      <c r="F11" s="183"/>
      <c r="G11" s="183"/>
      <c r="H11" s="183"/>
      <c r="I11" s="183"/>
      <c r="J11" s="183"/>
    </row>
    <row r="12" spans="1:12" ht="15" customHeight="1" x14ac:dyDescent="0.2">
      <c r="B12" s="125" t="s">
        <v>567</v>
      </c>
      <c r="C12" s="208">
        <v>42432</v>
      </c>
      <c r="E12" s="184"/>
      <c r="K12" s="165"/>
    </row>
    <row r="13" spans="1:12" ht="15" customHeight="1" x14ac:dyDescent="0.2">
      <c r="B13" s="94" t="s">
        <v>566</v>
      </c>
      <c r="C13" s="208" t="s">
        <v>581</v>
      </c>
      <c r="E13" s="194"/>
      <c r="F13" s="196" t="s">
        <v>565</v>
      </c>
      <c r="G13" s="196"/>
      <c r="H13" s="196" t="s">
        <v>564</v>
      </c>
      <c r="I13" s="209"/>
      <c r="J13" s="204"/>
    </row>
    <row r="14" spans="1:12" ht="15" customHeight="1" x14ac:dyDescent="0.2">
      <c r="B14" s="125" t="s">
        <v>28</v>
      </c>
      <c r="C14" s="208">
        <v>42369</v>
      </c>
      <c r="E14" s="194"/>
      <c r="F14" s="16" t="s">
        <v>563</v>
      </c>
      <c r="H14" s="206">
        <f>IFERROR($C$19/C20-1,"NA")</f>
        <v>0.32886239443616505</v>
      </c>
      <c r="I14" s="184"/>
      <c r="J14" s="204"/>
    </row>
    <row r="15" spans="1:12" ht="15" customHeight="1" x14ac:dyDescent="0.2">
      <c r="B15" s="125" t="s">
        <v>29</v>
      </c>
      <c r="C15" s="208">
        <v>42460</v>
      </c>
      <c r="E15" s="194"/>
      <c r="F15" s="16" t="s">
        <v>562</v>
      </c>
      <c r="H15" s="206">
        <f>IFERROR($C$19/C21-1,"NA")</f>
        <v>0.40125720272393917</v>
      </c>
      <c r="I15" s="205"/>
      <c r="J15" s="204"/>
    </row>
    <row r="16" spans="1:12" ht="15" customHeight="1" x14ac:dyDescent="0.2">
      <c r="B16" s="125" t="s">
        <v>31</v>
      </c>
      <c r="C16" s="207" t="s">
        <v>7</v>
      </c>
      <c r="E16" s="194"/>
      <c r="F16" s="16" t="s">
        <v>561</v>
      </c>
      <c r="H16" s="206">
        <f>IFERROR($C$19/C22-1,"NA")</f>
        <v>0.48942093541202669</v>
      </c>
      <c r="I16" s="205"/>
      <c r="J16" s="204"/>
    </row>
    <row r="17" spans="1:24" ht="15" customHeight="1" x14ac:dyDescent="0.2">
      <c r="B17" s="125" t="s">
        <v>147</v>
      </c>
      <c r="C17" s="203" t="s">
        <v>7</v>
      </c>
      <c r="E17" s="184"/>
      <c r="F17" s="183"/>
      <c r="G17" s="183"/>
      <c r="H17" s="183"/>
    </row>
    <row r="18" spans="1:24" ht="15" customHeight="1" x14ac:dyDescent="0.2">
      <c r="B18" s="125" t="s">
        <v>32</v>
      </c>
      <c r="C18" s="73">
        <v>1</v>
      </c>
      <c r="E18" s="184"/>
    </row>
    <row r="19" spans="1:24" ht="15" customHeight="1" x14ac:dyDescent="0.2">
      <c r="B19" s="125" t="s">
        <v>560</v>
      </c>
      <c r="C19" s="200">
        <v>26.75</v>
      </c>
      <c r="D19" s="199">
        <f>IFERROR(C19/FX,"NM")</f>
        <v>26.75</v>
      </c>
      <c r="E19" s="194"/>
      <c r="F19" s="196" t="s">
        <v>476</v>
      </c>
      <c r="G19" s="196"/>
      <c r="H19" s="202" t="s">
        <v>559</v>
      </c>
      <c r="I19" s="184"/>
    </row>
    <row r="20" spans="1:24" ht="15" customHeight="1" x14ac:dyDescent="0.2">
      <c r="B20" s="125" t="s">
        <v>558</v>
      </c>
      <c r="C20" s="200">
        <v>20.13</v>
      </c>
      <c r="D20" s="199">
        <f>IFERROR(C20/FX,"NM")</f>
        <v>20.13</v>
      </c>
      <c r="E20" s="194"/>
      <c r="F20" s="16" t="s">
        <v>557</v>
      </c>
      <c r="H20" s="201" t="str">
        <f>D57</f>
        <v>NA</v>
      </c>
      <c r="I20" s="184"/>
    </row>
    <row r="21" spans="1:24" ht="15" customHeight="1" x14ac:dyDescent="0.2">
      <c r="B21" s="125" t="s">
        <v>556</v>
      </c>
      <c r="C21" s="200">
        <v>19.09</v>
      </c>
      <c r="D21" s="199">
        <f>IFERROR(C21/FX,"NM")</f>
        <v>19.09</v>
      </c>
      <c r="E21" s="194"/>
      <c r="F21" s="16" t="s">
        <v>555</v>
      </c>
      <c r="H21" s="201" t="str">
        <f>D58</f>
        <v>NA</v>
      </c>
      <c r="I21" s="184"/>
    </row>
    <row r="22" spans="1:24" ht="15" customHeight="1" x14ac:dyDescent="0.2">
      <c r="B22" s="125" t="s">
        <v>554</v>
      </c>
      <c r="C22" s="200">
        <v>17.96</v>
      </c>
      <c r="D22" s="199">
        <f>IFERROR(C22/FX,"NM")</f>
        <v>17.96</v>
      </c>
      <c r="E22" s="184"/>
      <c r="F22" s="85"/>
      <c r="G22" s="183"/>
      <c r="H22" s="198"/>
    </row>
    <row r="23" spans="1:24" ht="15" customHeight="1" x14ac:dyDescent="0.2">
      <c r="B23" s="94" t="s">
        <v>553</v>
      </c>
      <c r="C23" s="73">
        <v>67.633769000000001</v>
      </c>
      <c r="E23" s="184"/>
      <c r="M23" s="165"/>
    </row>
    <row r="24" spans="1:24" ht="15" customHeight="1" x14ac:dyDescent="0.2">
      <c r="B24" s="94" t="s">
        <v>552</v>
      </c>
      <c r="C24" s="165">
        <f>E87</f>
        <v>0.73306720560747662</v>
      </c>
      <c r="E24" s="184"/>
      <c r="M24" s="165"/>
    </row>
    <row r="25" spans="1:24" ht="15" customHeight="1" x14ac:dyDescent="0.2">
      <c r="B25" s="94" t="s">
        <v>551</v>
      </c>
      <c r="C25" s="165">
        <f>C23+C24</f>
        <v>68.366836205607484</v>
      </c>
      <c r="E25" s="184"/>
      <c r="F25" s="165"/>
      <c r="G25" s="165"/>
      <c r="H25" s="165"/>
      <c r="I25" s="165"/>
      <c r="J25" s="165"/>
      <c r="K25" s="165"/>
      <c r="L25" s="165"/>
      <c r="M25" s="165"/>
    </row>
    <row r="26" spans="1:24" ht="15" customHeight="1" x14ac:dyDescent="0.2">
      <c r="B26" s="94" t="s">
        <v>550</v>
      </c>
      <c r="C26" s="165">
        <f>C25*C19</f>
        <v>1828.8128685000001</v>
      </c>
      <c r="D26" s="197">
        <f>C26/FX</f>
        <v>1828.8128685000001</v>
      </c>
      <c r="E26" s="184"/>
      <c r="F26" s="165"/>
      <c r="G26" s="165"/>
      <c r="H26" s="165"/>
      <c r="I26" s="165"/>
      <c r="J26" s="165"/>
      <c r="K26" s="165"/>
      <c r="L26" s="165"/>
      <c r="M26" s="165"/>
    </row>
    <row r="27" spans="1:24" ht="15" customHeight="1" x14ac:dyDescent="0.2">
      <c r="B27" s="125" t="s">
        <v>549</v>
      </c>
      <c r="C27" s="104">
        <v>1</v>
      </c>
      <c r="E27" s="184"/>
      <c r="F27" s="165"/>
      <c r="G27" s="165"/>
      <c r="H27" s="165"/>
      <c r="I27" s="165"/>
      <c r="J27" s="165"/>
      <c r="K27" s="165"/>
      <c r="L27" s="165"/>
      <c r="M27" s="165"/>
    </row>
    <row r="28" spans="1:24" ht="15" customHeight="1" x14ac:dyDescent="0.2">
      <c r="B28" s="125" t="s">
        <v>548</v>
      </c>
      <c r="C28" s="95">
        <f>1-C27</f>
        <v>0</v>
      </c>
      <c r="D28" s="165"/>
      <c r="E28" s="184"/>
      <c r="F28" s="165"/>
      <c r="G28" s="165"/>
      <c r="H28" s="165"/>
      <c r="I28" s="165"/>
      <c r="J28" s="165"/>
      <c r="K28" s="165"/>
      <c r="L28" s="165"/>
      <c r="M28" s="165"/>
    </row>
    <row r="29" spans="1:24" ht="15" customHeight="1" x14ac:dyDescent="0.2">
      <c r="A29" s="84"/>
      <c r="B29" s="183"/>
      <c r="C29" s="183"/>
      <c r="D29" s="183"/>
      <c r="E29" s="165"/>
      <c r="F29" s="165"/>
      <c r="G29" s="165"/>
    </row>
    <row r="30" spans="1:24" ht="15" customHeight="1" x14ac:dyDescent="0.2">
      <c r="A30" s="124" t="s">
        <v>547</v>
      </c>
      <c r="B30" s="182"/>
      <c r="D30" s="73" t="s">
        <v>161</v>
      </c>
      <c r="E30" s="165" t="s">
        <v>546</v>
      </c>
      <c r="F30" s="165"/>
      <c r="G30" s="165"/>
      <c r="X30" s="182" t="s">
        <v>47</v>
      </c>
    </row>
    <row r="31" spans="1:24" ht="15" customHeight="1" x14ac:dyDescent="0.2">
      <c r="B31" s="182"/>
      <c r="E31" s="165"/>
      <c r="F31" s="165"/>
      <c r="G31" s="165"/>
      <c r="X31" s="182" t="s">
        <v>161</v>
      </c>
    </row>
    <row r="32" spans="1:24" ht="15" customHeight="1" x14ac:dyDescent="0.2">
      <c r="A32" s="196" t="s">
        <v>545</v>
      </c>
      <c r="B32" s="179"/>
      <c r="C32" s="179" t="s">
        <v>541</v>
      </c>
      <c r="D32" s="179" t="s">
        <v>7</v>
      </c>
      <c r="E32" s="194"/>
      <c r="F32" s="196" t="s">
        <v>47</v>
      </c>
      <c r="G32" s="179"/>
      <c r="H32" s="179" t="s">
        <v>541</v>
      </c>
      <c r="I32" s="179" t="s">
        <v>7</v>
      </c>
      <c r="J32" s="184"/>
    </row>
    <row r="33" spans="1:12" ht="15" customHeight="1" x14ac:dyDescent="0.2">
      <c r="B33" s="125" t="str">
        <f>B26</f>
        <v>Fully diluted equity value</v>
      </c>
      <c r="C33" s="165">
        <f>C26</f>
        <v>1828.8128685000001</v>
      </c>
      <c r="D33" s="182">
        <f>D26</f>
        <v>1828.8128685000001</v>
      </c>
      <c r="E33" s="195"/>
      <c r="F33" s="125" t="s">
        <v>163</v>
      </c>
      <c r="H33" s="73">
        <v>0</v>
      </c>
      <c r="I33" s="182">
        <f>H33/FX</f>
        <v>0</v>
      </c>
      <c r="J33" s="184"/>
    </row>
    <row r="34" spans="1:12" ht="15" customHeight="1" x14ac:dyDescent="0.2">
      <c r="B34" s="125" t="s">
        <v>77</v>
      </c>
      <c r="C34" s="73">
        <f>'Tumi 1'!K8</f>
        <v>9.6289999999999996</v>
      </c>
      <c r="D34" s="182">
        <f t="shared" ref="D34:D42" si="0">C34/FX</f>
        <v>9.6289999999999996</v>
      </c>
      <c r="E34" s="194"/>
      <c r="F34" s="125" t="s">
        <v>544</v>
      </c>
      <c r="H34" s="73">
        <v>0</v>
      </c>
      <c r="I34" s="182">
        <f>H34/FX</f>
        <v>0</v>
      </c>
      <c r="J34" s="184"/>
    </row>
    <row r="35" spans="1:12" ht="15" customHeight="1" x14ac:dyDescent="0.2">
      <c r="B35" s="125" t="s">
        <v>71</v>
      </c>
      <c r="C35" s="73">
        <v>0</v>
      </c>
      <c r="D35" s="182">
        <f t="shared" si="0"/>
        <v>0</v>
      </c>
      <c r="E35" s="194"/>
      <c r="F35" s="125" t="s">
        <v>542</v>
      </c>
      <c r="H35" s="182">
        <f>SUM(H33:H34)</f>
        <v>0</v>
      </c>
      <c r="I35" s="182">
        <f>H35/FX</f>
        <v>0</v>
      </c>
      <c r="J35" s="184"/>
    </row>
    <row r="36" spans="1:12" ht="15" customHeight="1" x14ac:dyDescent="0.2">
      <c r="B36" s="125" t="s">
        <v>74</v>
      </c>
      <c r="C36" s="73">
        <v>0</v>
      </c>
      <c r="D36" s="182">
        <f t="shared" si="0"/>
        <v>0</v>
      </c>
      <c r="E36" s="184"/>
      <c r="F36" s="183"/>
      <c r="G36" s="183"/>
      <c r="H36" s="183"/>
      <c r="I36" s="183"/>
    </row>
    <row r="37" spans="1:12" ht="15" customHeight="1" x14ac:dyDescent="0.2">
      <c r="B37" s="125" t="s">
        <v>73</v>
      </c>
      <c r="C37" s="73">
        <v>0</v>
      </c>
      <c r="D37" s="182">
        <f t="shared" si="0"/>
        <v>0</v>
      </c>
      <c r="E37" s="192"/>
    </row>
    <row r="38" spans="1:12" ht="15" customHeight="1" x14ac:dyDescent="0.2">
      <c r="B38" s="125" t="s">
        <v>171</v>
      </c>
      <c r="C38" s="73">
        <v>0</v>
      </c>
      <c r="D38" s="182">
        <f t="shared" si="0"/>
        <v>0</v>
      </c>
      <c r="E38" s="192"/>
    </row>
    <row r="39" spans="1:12" ht="15" customHeight="1" x14ac:dyDescent="0.2">
      <c r="B39" s="125" t="s">
        <v>133</v>
      </c>
      <c r="C39" s="73">
        <v>0</v>
      </c>
      <c r="D39" s="182">
        <f t="shared" si="0"/>
        <v>0</v>
      </c>
      <c r="E39" s="192"/>
    </row>
    <row r="40" spans="1:12" ht="15" customHeight="1" x14ac:dyDescent="0.2">
      <c r="B40" s="125" t="s">
        <v>66</v>
      </c>
      <c r="C40" s="73">
        <f>'Tumi 1'!G8</f>
        <v>101.956</v>
      </c>
      <c r="D40" s="182">
        <f t="shared" si="0"/>
        <v>101.956</v>
      </c>
      <c r="E40" s="192"/>
    </row>
    <row r="41" spans="1:12" ht="15" customHeight="1" x14ac:dyDescent="0.2">
      <c r="B41" s="125" t="s">
        <v>68</v>
      </c>
      <c r="C41" s="73">
        <v>0</v>
      </c>
      <c r="D41" s="182">
        <f t="shared" si="0"/>
        <v>0</v>
      </c>
      <c r="E41" s="192"/>
    </row>
    <row r="42" spans="1:12" ht="15" customHeight="1" x14ac:dyDescent="0.2">
      <c r="B42" s="125" t="s">
        <v>543</v>
      </c>
      <c r="C42" s="73">
        <v>0</v>
      </c>
      <c r="D42" s="182">
        <f t="shared" si="0"/>
        <v>0</v>
      </c>
      <c r="E42" s="192"/>
    </row>
    <row r="43" spans="1:12" ht="15" customHeight="1" x14ac:dyDescent="0.2">
      <c r="B43" s="125" t="s">
        <v>542</v>
      </c>
      <c r="C43" s="193">
        <f>IFERROR(C33+SUM(C34:C39)-SUM(C40:C42),"NM")</f>
        <v>1736.4858685000002</v>
      </c>
      <c r="D43" s="193">
        <f>IFERROR(D33+SUM(D34:D39)-SUM(D40:D42),"NM")</f>
        <v>1736.4858685000002</v>
      </c>
      <c r="E43" s="192"/>
    </row>
    <row r="44" spans="1:12" ht="15" customHeight="1" x14ac:dyDescent="0.2">
      <c r="B44" s="85"/>
      <c r="C44" s="183"/>
      <c r="D44" s="183"/>
    </row>
    <row r="45" spans="1:12" ht="15" customHeight="1" x14ac:dyDescent="0.2">
      <c r="A45" s="187" t="s">
        <v>97</v>
      </c>
      <c r="B45" s="179"/>
      <c r="C45" s="179"/>
      <c r="D45" s="179"/>
      <c r="E45" s="179"/>
      <c r="F45" s="179"/>
      <c r="G45" s="179" t="s">
        <v>541</v>
      </c>
      <c r="H45" s="179" t="str">
        <f>C17</f>
        <v>USD</v>
      </c>
      <c r="I45" s="184"/>
      <c r="J45" s="165"/>
      <c r="K45" s="165"/>
      <c r="L45" s="165"/>
    </row>
    <row r="46" spans="1:12" ht="15" customHeight="1" x14ac:dyDescent="0.2">
      <c r="C46" s="191"/>
      <c r="D46" s="191" t="s">
        <v>99</v>
      </c>
      <c r="E46" s="191" t="s">
        <v>100</v>
      </c>
      <c r="F46" s="191"/>
      <c r="G46" s="191"/>
      <c r="I46" s="184"/>
      <c r="J46" s="165"/>
      <c r="K46" s="165"/>
      <c r="L46" s="165"/>
    </row>
    <row r="47" spans="1:12" ht="15" customHeight="1" x14ac:dyDescent="0.2">
      <c r="C47" s="191" t="s">
        <v>101</v>
      </c>
      <c r="D47" s="191" t="s">
        <v>102</v>
      </c>
      <c r="E47" s="191" t="s">
        <v>102</v>
      </c>
      <c r="F47" s="191" t="s">
        <v>103</v>
      </c>
      <c r="G47" s="191" t="s">
        <v>104</v>
      </c>
      <c r="H47" s="191" t="s">
        <v>104</v>
      </c>
      <c r="I47" s="184"/>
      <c r="J47" s="165"/>
      <c r="K47" s="165"/>
      <c r="L47" s="165"/>
    </row>
    <row r="48" spans="1:12" ht="15" customHeight="1" x14ac:dyDescent="0.2">
      <c r="B48" s="125" t="s">
        <v>3</v>
      </c>
      <c r="C48" s="190">
        <f>C14</f>
        <v>42369</v>
      </c>
      <c r="D48" s="190">
        <f>DATE(YEAR(E48)-1,MONTH(E48),DAY(E48))</f>
        <v>42094</v>
      </c>
      <c r="E48" s="190">
        <f>C15</f>
        <v>42460</v>
      </c>
      <c r="I48" s="184"/>
      <c r="J48" s="165"/>
      <c r="K48" s="165"/>
      <c r="L48" s="165"/>
    </row>
    <row r="49" spans="1:12" ht="15" customHeight="1" x14ac:dyDescent="0.2">
      <c r="B49" s="125" t="s">
        <v>110</v>
      </c>
      <c r="C49" s="136">
        <f>'Tumi 1'!C67</f>
        <v>547.65499999999997</v>
      </c>
      <c r="D49" s="136">
        <f>'Tumi 1'!D67</f>
        <v>110.461</v>
      </c>
      <c r="E49" s="136">
        <f>'Tumi 1'!E67</f>
        <v>118.342</v>
      </c>
      <c r="F49" s="136">
        <v>0</v>
      </c>
      <c r="G49" s="182">
        <f>C49-D49+E49+F49</f>
        <v>555.53599999999994</v>
      </c>
      <c r="H49" s="182">
        <f>G49/FX</f>
        <v>555.53599999999994</v>
      </c>
      <c r="I49" s="184"/>
      <c r="J49" s="165"/>
      <c r="K49" s="165"/>
      <c r="L49" s="165"/>
    </row>
    <row r="50" spans="1:12" ht="15" customHeight="1" x14ac:dyDescent="0.2">
      <c r="B50" s="125" t="s">
        <v>56</v>
      </c>
      <c r="C50" s="182">
        <f>C70</f>
        <v>101.54100000000001</v>
      </c>
      <c r="D50" s="182">
        <f>D70</f>
        <v>11.563000000000001</v>
      </c>
      <c r="E50" s="182">
        <f>E70</f>
        <v>8.3610000000000007</v>
      </c>
      <c r="F50" s="136">
        <v>0</v>
      </c>
      <c r="G50" s="182">
        <f>C50-D50+E50+F50</f>
        <v>98.339000000000013</v>
      </c>
      <c r="H50" s="182">
        <f>G50/FX</f>
        <v>98.339000000000013</v>
      </c>
      <c r="I50" s="184"/>
      <c r="J50" s="165"/>
      <c r="K50" s="165"/>
      <c r="L50" s="165"/>
    </row>
    <row r="51" spans="1:12" ht="15" customHeight="1" x14ac:dyDescent="0.2">
      <c r="B51" s="125" t="s">
        <v>55</v>
      </c>
      <c r="C51" s="182">
        <f>C50+C53</f>
        <v>123.03500000000001</v>
      </c>
      <c r="D51" s="182">
        <f>SUM(D53:D53)+D50</f>
        <v>16.597000000000001</v>
      </c>
      <c r="E51" s="182">
        <f>SUM(E53:E53)+E50</f>
        <v>14.147</v>
      </c>
      <c r="F51" s="136">
        <v>0</v>
      </c>
      <c r="G51" s="182">
        <f>C51-D51+E51+F51</f>
        <v>120.58500000000002</v>
      </c>
      <c r="H51" s="182">
        <f>G51/FX</f>
        <v>120.58500000000002</v>
      </c>
      <c r="I51" s="184"/>
      <c r="J51" s="165"/>
      <c r="K51" s="165"/>
      <c r="L51" s="165"/>
    </row>
    <row r="52" spans="1:12" ht="15" customHeight="1" x14ac:dyDescent="0.2">
      <c r="I52" s="184"/>
    </row>
    <row r="53" spans="1:12" ht="15" customHeight="1" x14ac:dyDescent="0.2">
      <c r="B53" s="125" t="s">
        <v>540</v>
      </c>
      <c r="C53" s="136">
        <f>'Tumi 1'!C72+'Tumi 1'!C73</f>
        <v>21.494</v>
      </c>
      <c r="D53" s="136">
        <f>'Tumi 1'!D72+'Tumi 1'!D73</f>
        <v>5.0339999999999998</v>
      </c>
      <c r="E53" s="136">
        <f>'Tumi 1'!E72+'Tumi 1'!E73</f>
        <v>5.7859999999999996</v>
      </c>
      <c r="F53" s="136">
        <v>0</v>
      </c>
      <c r="G53" s="182">
        <f>C53-D53+E53+F53</f>
        <v>22.246000000000002</v>
      </c>
      <c r="H53" s="182">
        <f>G53/FX</f>
        <v>22.246000000000002</v>
      </c>
      <c r="I53" s="184"/>
    </row>
    <row r="54" spans="1:12" ht="15" customHeight="1" x14ac:dyDescent="0.2">
      <c r="B54" s="136"/>
      <c r="C54" s="136"/>
      <c r="D54" s="136"/>
      <c r="E54" s="136"/>
      <c r="I54" s="184"/>
    </row>
    <row r="55" spans="1:12" ht="15" customHeight="1" x14ac:dyDescent="0.2">
      <c r="B55" s="136"/>
      <c r="C55" s="189" t="s">
        <v>539</v>
      </c>
      <c r="D55" s="189" t="s">
        <v>538</v>
      </c>
      <c r="E55" s="136"/>
      <c r="I55" s="184"/>
    </row>
    <row r="56" spans="1:12" ht="15" customHeight="1" x14ac:dyDescent="0.2">
      <c r="B56" s="125" t="s">
        <v>537</v>
      </c>
      <c r="C56" s="139" t="s">
        <v>36</v>
      </c>
      <c r="D56" s="136"/>
      <c r="E56" s="136"/>
      <c r="I56" s="184"/>
    </row>
    <row r="57" spans="1:12" ht="15" customHeight="1" x14ac:dyDescent="0.2">
      <c r="B57" s="125" t="s">
        <v>536</v>
      </c>
      <c r="C57" s="139" t="s">
        <v>36</v>
      </c>
      <c r="D57" s="188" t="str">
        <f>IFERROR(C57/C58,"NA")</f>
        <v>NA</v>
      </c>
      <c r="E57" s="136"/>
      <c r="I57" s="184"/>
    </row>
    <row r="58" spans="1:12" ht="15" customHeight="1" x14ac:dyDescent="0.2">
      <c r="B58" s="125" t="s">
        <v>535</v>
      </c>
      <c r="C58" s="165">
        <f>C49</f>
        <v>547.65499999999997</v>
      </c>
      <c r="D58" s="188" t="str">
        <f>IFERROR(C58/C59,"NA")</f>
        <v>NA</v>
      </c>
      <c r="E58" s="136"/>
      <c r="I58" s="184"/>
    </row>
    <row r="59" spans="1:12" ht="15" customHeight="1" x14ac:dyDescent="0.2">
      <c r="A59" s="84"/>
      <c r="B59" s="85"/>
      <c r="C59" s="183"/>
      <c r="D59" s="183"/>
      <c r="E59" s="183"/>
      <c r="F59" s="183"/>
      <c r="G59" s="183"/>
      <c r="H59" s="183"/>
    </row>
    <row r="60" spans="1:12" ht="15" customHeight="1" x14ac:dyDescent="0.2">
      <c r="A60" s="187" t="s">
        <v>534</v>
      </c>
      <c r="B60" s="179"/>
      <c r="C60" s="179"/>
      <c r="D60" s="179"/>
      <c r="E60" s="179"/>
      <c r="F60" s="179"/>
      <c r="G60" s="179"/>
      <c r="H60" s="184"/>
    </row>
    <row r="61" spans="1:12" ht="15" customHeight="1" x14ac:dyDescent="0.2">
      <c r="B61" s="125" t="s">
        <v>112</v>
      </c>
      <c r="C61" s="136">
        <f>'Tumi 1'!C79</f>
        <v>96.888000000000005</v>
      </c>
      <c r="D61" s="136">
        <f>'Tumi 1'!D79</f>
        <v>9.5630000000000006</v>
      </c>
      <c r="E61" s="136">
        <f>'Tumi 1'!E79</f>
        <v>7.7610000000000001</v>
      </c>
      <c r="F61" s="136">
        <v>0</v>
      </c>
      <c r="G61" s="182">
        <f t="shared" ref="G61:G70" si="1">C61-D61+E61+F61</f>
        <v>95.085999999999999</v>
      </c>
      <c r="H61" s="184"/>
    </row>
    <row r="62" spans="1:12" ht="15" customHeight="1" x14ac:dyDescent="0.2">
      <c r="B62" s="125" t="s">
        <v>113</v>
      </c>
      <c r="C62" s="136">
        <f>'Tumi 1'!C80</f>
        <v>0.753</v>
      </c>
      <c r="D62" s="136">
        <f>'Tumi 1'!D80</f>
        <v>0</v>
      </c>
      <c r="E62" s="136">
        <f>'Tumi 1'!E80</f>
        <v>0</v>
      </c>
      <c r="F62" s="136">
        <v>0</v>
      </c>
      <c r="G62" s="182">
        <f t="shared" si="1"/>
        <v>0.753</v>
      </c>
      <c r="H62" s="184"/>
    </row>
    <row r="63" spans="1:12" ht="15" customHeight="1" x14ac:dyDescent="0.2">
      <c r="B63" s="125" t="s">
        <v>114</v>
      </c>
      <c r="C63" s="136">
        <f>'Tumi 1'!C81</f>
        <v>2.5</v>
      </c>
      <c r="D63" s="136">
        <f>'Tumi 1'!D81</f>
        <v>2</v>
      </c>
      <c r="E63" s="136">
        <f>'Tumi 1'!E81</f>
        <v>0.6</v>
      </c>
      <c r="F63" s="136">
        <v>0</v>
      </c>
      <c r="G63" s="182">
        <f t="shared" si="1"/>
        <v>1.1000000000000001</v>
      </c>
      <c r="H63" s="184"/>
    </row>
    <row r="64" spans="1:12" ht="15" customHeight="1" x14ac:dyDescent="0.2">
      <c r="B64" s="125" t="s">
        <v>115</v>
      </c>
      <c r="C64" s="136">
        <f>'Tumi 1'!C82</f>
        <v>1.4</v>
      </c>
      <c r="D64" s="136">
        <f>'Tumi 1'!D82</f>
        <v>0</v>
      </c>
      <c r="E64" s="136">
        <f>'Tumi 1'!E82</f>
        <v>0</v>
      </c>
      <c r="F64" s="136">
        <v>0</v>
      </c>
      <c r="G64" s="182">
        <f t="shared" si="1"/>
        <v>1.4</v>
      </c>
      <c r="H64" s="184"/>
    </row>
    <row r="65" spans="1:8" ht="15" customHeight="1" x14ac:dyDescent="0.2">
      <c r="B65" s="125" t="s">
        <v>116</v>
      </c>
      <c r="C65" s="136">
        <v>0</v>
      </c>
      <c r="D65" s="136">
        <v>0</v>
      </c>
      <c r="E65" s="136">
        <v>0</v>
      </c>
      <c r="F65" s="136">
        <v>0</v>
      </c>
      <c r="G65" s="182">
        <f t="shared" si="1"/>
        <v>0</v>
      </c>
      <c r="H65" s="184"/>
    </row>
    <row r="66" spans="1:8" ht="15" customHeight="1" x14ac:dyDescent="0.2">
      <c r="B66" s="125" t="s">
        <v>117</v>
      </c>
      <c r="C66" s="136">
        <v>0</v>
      </c>
      <c r="D66" s="136">
        <v>0</v>
      </c>
      <c r="E66" s="136">
        <v>0</v>
      </c>
      <c r="F66" s="136">
        <v>0</v>
      </c>
      <c r="G66" s="182">
        <f t="shared" si="1"/>
        <v>0</v>
      </c>
      <c r="H66" s="184"/>
    </row>
    <row r="67" spans="1:8" ht="15" customHeight="1" x14ac:dyDescent="0.2">
      <c r="B67" s="125" t="s">
        <v>118</v>
      </c>
      <c r="C67" s="136">
        <v>0</v>
      </c>
      <c r="D67" s="136">
        <v>0</v>
      </c>
      <c r="E67" s="136">
        <v>0</v>
      </c>
      <c r="F67" s="136">
        <v>0</v>
      </c>
      <c r="G67" s="182">
        <f t="shared" si="1"/>
        <v>0</v>
      </c>
      <c r="H67" s="184"/>
    </row>
    <row r="68" spans="1:8" ht="15" customHeight="1" x14ac:dyDescent="0.2">
      <c r="B68" s="125" t="s">
        <v>119</v>
      </c>
      <c r="C68" s="136">
        <v>0</v>
      </c>
      <c r="D68" s="136">
        <v>0</v>
      </c>
      <c r="E68" s="136">
        <v>0</v>
      </c>
      <c r="F68" s="136">
        <v>0</v>
      </c>
      <c r="G68" s="182">
        <f t="shared" si="1"/>
        <v>0</v>
      </c>
      <c r="H68" s="184"/>
    </row>
    <row r="69" spans="1:8" ht="15" customHeight="1" x14ac:dyDescent="0.2">
      <c r="B69" s="125" t="s">
        <v>120</v>
      </c>
      <c r="C69" s="136">
        <v>0</v>
      </c>
      <c r="D69" s="136">
        <v>0</v>
      </c>
      <c r="E69" s="136">
        <v>0</v>
      </c>
      <c r="F69" s="136">
        <v>0</v>
      </c>
      <c r="G69" s="182">
        <f t="shared" si="1"/>
        <v>0</v>
      </c>
      <c r="H69" s="184"/>
    </row>
    <row r="70" spans="1:8" ht="15" customHeight="1" x14ac:dyDescent="0.2">
      <c r="B70" s="125" t="s">
        <v>56</v>
      </c>
      <c r="C70" s="182">
        <f>SUM(C61:C69)</f>
        <v>101.54100000000001</v>
      </c>
      <c r="D70" s="182">
        <f>SUM(D61:D69)</f>
        <v>11.563000000000001</v>
      </c>
      <c r="E70" s="182">
        <f>SUM(E61:E69)</f>
        <v>8.3610000000000007</v>
      </c>
      <c r="F70" s="182">
        <f>SUM(F61:F69)</f>
        <v>0</v>
      </c>
      <c r="G70" s="182">
        <f t="shared" si="1"/>
        <v>98.339000000000013</v>
      </c>
      <c r="H70" s="184"/>
    </row>
    <row r="71" spans="1:8" ht="15" customHeight="1" x14ac:dyDescent="0.2">
      <c r="A71" s="84"/>
      <c r="B71" s="85"/>
      <c r="C71" s="183"/>
      <c r="D71" s="183"/>
      <c r="E71" s="183"/>
      <c r="F71" s="183"/>
      <c r="G71" s="183"/>
    </row>
    <row r="72" spans="1:8" ht="15" customHeight="1" x14ac:dyDescent="0.2">
      <c r="A72" s="187" t="s">
        <v>121</v>
      </c>
      <c r="B72" s="179"/>
      <c r="C72" s="179"/>
      <c r="D72" s="179"/>
      <c r="E72" s="179"/>
      <c r="F72" s="184"/>
    </row>
    <row r="73" spans="1:8" ht="15" customHeight="1" x14ac:dyDescent="0.2">
      <c r="B73" s="186" t="s">
        <v>122</v>
      </c>
      <c r="C73" s="186" t="s">
        <v>123</v>
      </c>
      <c r="D73" s="186" t="s">
        <v>124</v>
      </c>
      <c r="E73" s="186" t="s">
        <v>125</v>
      </c>
      <c r="F73" s="184"/>
    </row>
    <row r="74" spans="1:8" ht="15" customHeight="1" x14ac:dyDescent="0.2">
      <c r="B74" s="125" t="str">
        <f>'Tumi 1'!B110</f>
        <v>Tranche 1</v>
      </c>
      <c r="C74" s="99">
        <v>1.056975</v>
      </c>
      <c r="D74" s="99">
        <f>'Tumi 1'!D110</f>
        <v>21.69</v>
      </c>
      <c r="E74" s="182">
        <f t="shared" ref="E74:E86" si="2">IFERROR(MAX(($C$19-D74)/$C$19*C74,0),"NM")</f>
        <v>0.1999362056074766</v>
      </c>
      <c r="F74" s="184"/>
    </row>
    <row r="75" spans="1:8" ht="15" customHeight="1" x14ac:dyDescent="0.2">
      <c r="B75" s="125" t="s">
        <v>465</v>
      </c>
      <c r="C75" s="99">
        <v>0.53313100000000002</v>
      </c>
      <c r="D75" s="99">
        <f>'Tumi 1'!D111</f>
        <v>0</v>
      </c>
      <c r="E75" s="182">
        <f t="shared" si="2"/>
        <v>0.53313100000000002</v>
      </c>
      <c r="F75" s="184"/>
    </row>
    <row r="76" spans="1:8" ht="15" customHeight="1" x14ac:dyDescent="0.2">
      <c r="B76" s="125" t="s">
        <v>138</v>
      </c>
      <c r="C76" s="99">
        <v>0</v>
      </c>
      <c r="D76" s="99">
        <f>'Tumi 1'!D112</f>
        <v>0</v>
      </c>
      <c r="E76" s="182">
        <f t="shared" si="2"/>
        <v>0</v>
      </c>
      <c r="F76" s="184"/>
    </row>
    <row r="77" spans="1:8" ht="15" customHeight="1" x14ac:dyDescent="0.2">
      <c r="B77" s="125" t="s">
        <v>139</v>
      </c>
      <c r="C77" s="185">
        <v>0</v>
      </c>
      <c r="D77" s="185">
        <v>0</v>
      </c>
      <c r="E77" s="182">
        <f t="shared" si="2"/>
        <v>0</v>
      </c>
      <c r="F77" s="184"/>
    </row>
    <row r="78" spans="1:8" ht="15" customHeight="1" x14ac:dyDescent="0.2">
      <c r="B78" s="125" t="s">
        <v>140</v>
      </c>
      <c r="C78" s="185">
        <v>0</v>
      </c>
      <c r="D78" s="185">
        <v>0</v>
      </c>
      <c r="E78" s="182">
        <f t="shared" si="2"/>
        <v>0</v>
      </c>
      <c r="F78" s="184"/>
    </row>
    <row r="79" spans="1:8" ht="15" customHeight="1" x14ac:dyDescent="0.2">
      <c r="B79" s="125" t="s">
        <v>141</v>
      </c>
      <c r="C79" s="185">
        <v>0</v>
      </c>
      <c r="D79" s="185">
        <v>0</v>
      </c>
      <c r="E79" s="182">
        <f t="shared" si="2"/>
        <v>0</v>
      </c>
      <c r="F79" s="184"/>
    </row>
    <row r="80" spans="1:8" ht="15" customHeight="1" x14ac:dyDescent="0.2">
      <c r="B80" s="125" t="s">
        <v>142</v>
      </c>
      <c r="C80" s="185">
        <v>0</v>
      </c>
      <c r="D80" s="185">
        <v>0</v>
      </c>
      <c r="E80" s="182">
        <f t="shared" si="2"/>
        <v>0</v>
      </c>
      <c r="F80" s="184"/>
    </row>
    <row r="81" spans="1:7" ht="15" customHeight="1" x14ac:dyDescent="0.2">
      <c r="B81" s="125" t="s">
        <v>143</v>
      </c>
      <c r="C81" s="185">
        <v>0</v>
      </c>
      <c r="D81" s="185">
        <v>0</v>
      </c>
      <c r="E81" s="182">
        <f t="shared" si="2"/>
        <v>0</v>
      </c>
      <c r="F81" s="184"/>
    </row>
    <row r="82" spans="1:7" ht="15" customHeight="1" x14ac:dyDescent="0.2">
      <c r="B82" s="125" t="s">
        <v>205</v>
      </c>
      <c r="C82" s="185">
        <v>0</v>
      </c>
      <c r="D82" s="185">
        <v>0</v>
      </c>
      <c r="E82" s="182">
        <f t="shared" si="2"/>
        <v>0</v>
      </c>
      <c r="F82" s="184"/>
    </row>
    <row r="83" spans="1:7" ht="15" customHeight="1" x14ac:dyDescent="0.2">
      <c r="B83" s="125" t="s">
        <v>206</v>
      </c>
      <c r="C83" s="185">
        <v>0</v>
      </c>
      <c r="D83" s="185">
        <v>0</v>
      </c>
      <c r="E83" s="182">
        <f t="shared" si="2"/>
        <v>0</v>
      </c>
      <c r="F83" s="184"/>
    </row>
    <row r="84" spans="1:7" ht="15" customHeight="1" x14ac:dyDescent="0.2">
      <c r="B84" s="125" t="s">
        <v>207</v>
      </c>
      <c r="C84" s="185">
        <v>0</v>
      </c>
      <c r="D84" s="185">
        <v>0</v>
      </c>
      <c r="E84" s="182">
        <f t="shared" si="2"/>
        <v>0</v>
      </c>
      <c r="F84" s="184"/>
    </row>
    <row r="85" spans="1:7" ht="15" customHeight="1" x14ac:dyDescent="0.2">
      <c r="B85" s="125" t="s">
        <v>208</v>
      </c>
      <c r="C85" s="185">
        <v>0</v>
      </c>
      <c r="D85" s="185">
        <v>0</v>
      </c>
      <c r="E85" s="182">
        <f t="shared" si="2"/>
        <v>0</v>
      </c>
      <c r="F85" s="184"/>
    </row>
    <row r="86" spans="1:7" ht="15" customHeight="1" x14ac:dyDescent="0.2">
      <c r="B86" s="125" t="s">
        <v>212</v>
      </c>
      <c r="C86" s="185">
        <v>0</v>
      </c>
      <c r="D86" s="185">
        <v>0</v>
      </c>
      <c r="E86" s="182">
        <f t="shared" si="2"/>
        <v>0</v>
      </c>
      <c r="F86" s="184"/>
    </row>
    <row r="87" spans="1:7" ht="15" customHeight="1" x14ac:dyDescent="0.2">
      <c r="B87" s="125" t="s">
        <v>126</v>
      </c>
      <c r="E87" s="182">
        <f>SUM(E74:E86)</f>
        <v>0.73306720560747662</v>
      </c>
      <c r="F87" s="184"/>
    </row>
    <row r="88" spans="1:7" ht="15" customHeight="1" x14ac:dyDescent="0.2">
      <c r="A88" s="84"/>
      <c r="B88" s="85"/>
      <c r="C88" s="183"/>
      <c r="D88" s="183"/>
      <c r="E88" s="183"/>
    </row>
    <row r="90" spans="1:7" ht="15" customHeight="1" x14ac:dyDescent="0.2">
      <c r="A90" s="165"/>
      <c r="B90" s="165"/>
      <c r="C90" s="165"/>
      <c r="D90" s="165"/>
      <c r="E90" s="165"/>
      <c r="F90" s="165"/>
      <c r="G90" s="165"/>
    </row>
    <row r="91" spans="1:7" ht="15" customHeight="1" x14ac:dyDescent="0.2">
      <c r="A91" s="165"/>
      <c r="B91" s="165"/>
      <c r="C91" s="165"/>
      <c r="D91" s="165"/>
      <c r="E91" s="165"/>
      <c r="F91" s="165"/>
      <c r="G91" s="165"/>
    </row>
    <row r="92" spans="1:7" ht="15" customHeight="1" x14ac:dyDescent="0.2">
      <c r="A92" s="165"/>
      <c r="B92" s="165"/>
      <c r="C92" s="165"/>
      <c r="D92" s="165"/>
      <c r="E92" s="165"/>
      <c r="F92" s="165"/>
      <c r="G92" s="165"/>
    </row>
    <row r="93" spans="1:7" ht="15" customHeight="1" x14ac:dyDescent="0.2">
      <c r="A93" s="165"/>
      <c r="B93" s="165"/>
      <c r="C93" s="165"/>
      <c r="D93" s="165"/>
      <c r="E93" s="165"/>
      <c r="F93" s="165"/>
      <c r="G93" s="165"/>
    </row>
    <row r="94" spans="1:7" ht="15" customHeight="1" x14ac:dyDescent="0.2">
      <c r="A94" s="165"/>
      <c r="B94" s="165"/>
      <c r="C94" s="165"/>
      <c r="D94" s="165"/>
      <c r="E94" s="165"/>
      <c r="F94" s="165"/>
      <c r="G94" s="165"/>
    </row>
  </sheetData>
  <dataValidations count="1">
    <dataValidation type="list" allowBlank="1" showInputMessage="1" showErrorMessage="1" sqref="D30" xr:uid="{00000000-0002-0000-0F00-000000000000}">
      <formula1>$X$30:$X$31</formula1>
    </dataValidation>
  </dataValidations>
  <pageMargins left="0.7" right="0.7" top="0.75" bottom="0.75" header="0.3" footer="0.3"/>
  <pageSetup paperSize="9" orientation="landscape" r:id="rId1"/>
  <headerFooter>
    <oddHeader xml:space="preserve">&amp;R&amp;10&amp;F 
&amp;A
</oddHeader>
    <oddFooter>&amp;L&amp;10© 2016&amp;C&amp;10Page &amp;P of &amp;N&amp;R&amp;G</oddFooter>
  </headerFooter>
  <legacyDrawing r:id="rId2"/>
  <legacyDrawingHF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4"/>
    <pageSetUpPr fitToPage="1"/>
  </sheetPr>
  <dimension ref="A1:N158"/>
  <sheetViews>
    <sheetView topLeftCell="A19" zoomScaleNormal="100" workbookViewId="0">
      <selection activeCell="K13" sqref="K13"/>
    </sheetView>
  </sheetViews>
  <sheetFormatPr baseColWidth="10" defaultColWidth="9.1640625" defaultRowHeight="15" customHeight="1" x14ac:dyDescent="0.2"/>
  <cols>
    <col min="1" max="1" width="1.5" style="15" customWidth="1"/>
    <col min="2" max="2" width="35.6640625" style="16" customWidth="1"/>
    <col min="3" max="10" width="11" customWidth="1"/>
    <col min="11" max="13" width="9.6640625" customWidth="1"/>
  </cols>
  <sheetData>
    <row r="1" spans="1:12" s="51" customFormat="1" ht="45" customHeight="1" x14ac:dyDescent="0.35">
      <c r="A1" s="5" t="str">
        <f>Welcome!A2</f>
        <v xml:space="preserve">Case In Point - Samsonite Acquiring Tumi </v>
      </c>
      <c r="B1" s="10"/>
      <c r="C1" s="12"/>
      <c r="D1" s="12"/>
      <c r="E1" s="12"/>
      <c r="F1" s="12"/>
      <c r="G1" s="12"/>
      <c r="H1" s="12"/>
      <c r="I1" s="12"/>
      <c r="J1" s="12"/>
      <c r="K1" s="12"/>
      <c r="L1" s="12"/>
    </row>
    <row r="2" spans="1:12" s="37" customFormat="1" ht="30" customHeight="1" x14ac:dyDescent="0.25">
      <c r="A2" s="14" t="s">
        <v>191</v>
      </c>
      <c r="B2" s="7"/>
      <c r="C2" s="11"/>
      <c r="D2" s="11"/>
      <c r="E2" s="11"/>
      <c r="F2" s="11"/>
      <c r="G2" s="11"/>
      <c r="H2" s="11"/>
      <c r="I2" s="11"/>
      <c r="J2" s="11"/>
      <c r="K2" s="11"/>
      <c r="L2" s="11"/>
    </row>
    <row r="4" spans="1:12" ht="15" customHeight="1" x14ac:dyDescent="0.2">
      <c r="B4" s="66" t="s">
        <v>19</v>
      </c>
      <c r="C4" s="67" t="s">
        <v>20</v>
      </c>
      <c r="E4" s="66" t="s">
        <v>21</v>
      </c>
      <c r="F4" s="68" t="s">
        <v>227</v>
      </c>
    </row>
    <row r="5" spans="1:12" ht="15" customHeight="1" x14ac:dyDescent="0.2">
      <c r="B5" s="66" t="s">
        <v>92</v>
      </c>
      <c r="E5" s="66" t="s">
        <v>3</v>
      </c>
      <c r="F5" s="74">
        <f>Info!N7</f>
        <v>42496</v>
      </c>
    </row>
    <row r="7" spans="1:12" ht="15" customHeight="1" x14ac:dyDescent="0.2">
      <c r="A7" s="72" t="s">
        <v>22</v>
      </c>
      <c r="B7" s="12"/>
      <c r="C7" s="12"/>
      <c r="D7" s="89"/>
      <c r="E7" s="88" t="str">
        <f>"Enterprise value calculation in "&amp;C16</f>
        <v>Enterprise value calculation in USD</v>
      </c>
      <c r="F7" s="88"/>
      <c r="G7" s="88"/>
      <c r="H7" s="88"/>
      <c r="I7" s="88"/>
      <c r="J7" s="88"/>
      <c r="K7" s="88"/>
      <c r="L7" s="80"/>
    </row>
    <row r="8" spans="1:12" ht="15" customHeight="1" x14ac:dyDescent="0.2">
      <c r="B8" s="16" t="s">
        <v>23</v>
      </c>
      <c r="C8" s="75" t="s">
        <v>24</v>
      </c>
      <c r="D8" s="89"/>
      <c r="E8" t="s">
        <v>40</v>
      </c>
      <c r="G8">
        <f>J32/FX</f>
        <v>101.956</v>
      </c>
      <c r="I8" t="s">
        <v>42</v>
      </c>
      <c r="K8">
        <f>G32/FX</f>
        <v>9.6289999999999996</v>
      </c>
      <c r="L8" s="80"/>
    </row>
    <row r="9" spans="1:12" ht="15" customHeight="1" x14ac:dyDescent="0.2">
      <c r="B9" s="16" t="s">
        <v>25</v>
      </c>
      <c r="C9" s="75" t="s">
        <v>26</v>
      </c>
      <c r="D9" s="89"/>
      <c r="E9" t="s">
        <v>41</v>
      </c>
      <c r="G9">
        <f>J33/FX</f>
        <v>0</v>
      </c>
      <c r="I9" t="s">
        <v>44</v>
      </c>
      <c r="K9">
        <f>G36/FX</f>
        <v>0</v>
      </c>
      <c r="L9" s="80"/>
    </row>
    <row r="10" spans="1:12" ht="15" customHeight="1" x14ac:dyDescent="0.2">
      <c r="B10" s="16" t="s">
        <v>27</v>
      </c>
      <c r="C10" s="74">
        <f>F5</f>
        <v>42496</v>
      </c>
      <c r="D10" s="89"/>
      <c r="E10" t="s">
        <v>43</v>
      </c>
      <c r="G10">
        <f>J34/FX</f>
        <v>0</v>
      </c>
      <c r="I10" t="s">
        <v>46</v>
      </c>
      <c r="K10">
        <f>G38/FX</f>
        <v>0</v>
      </c>
      <c r="L10" s="80"/>
    </row>
    <row r="11" spans="1:12" ht="15" customHeight="1" x14ac:dyDescent="0.2">
      <c r="B11" s="16" t="s">
        <v>28</v>
      </c>
      <c r="C11" s="76">
        <v>42369</v>
      </c>
      <c r="D11" s="154"/>
      <c r="E11" t="s">
        <v>45</v>
      </c>
      <c r="G11">
        <f>J35/FX</f>
        <v>0</v>
      </c>
      <c r="I11" t="s">
        <v>133</v>
      </c>
      <c r="K11">
        <f>SUM(G33:G35,G37)/FX</f>
        <v>0</v>
      </c>
      <c r="L11" s="80"/>
    </row>
    <row r="12" spans="1:12" ht="15" customHeight="1" x14ac:dyDescent="0.2">
      <c r="B12" s="16" t="s">
        <v>29</v>
      </c>
      <c r="C12" s="76">
        <v>42460</v>
      </c>
      <c r="D12" s="89"/>
      <c r="E12" t="s">
        <v>47</v>
      </c>
      <c r="G12">
        <f>SUM(K8:K12)-SUM(G8:G11)</f>
        <v>1257.7306936</v>
      </c>
      <c r="I12" t="s">
        <v>48</v>
      </c>
      <c r="K12">
        <f>D38/FX</f>
        <v>1350.0576936</v>
      </c>
      <c r="L12" s="80"/>
    </row>
    <row r="13" spans="1:12" ht="15" customHeight="1" x14ac:dyDescent="0.2">
      <c r="D13" s="80"/>
      <c r="E13" s="86"/>
      <c r="F13" s="86"/>
      <c r="G13" s="86"/>
      <c r="H13" s="86"/>
      <c r="I13" s="86"/>
      <c r="J13" s="86"/>
      <c r="K13" s="86"/>
      <c r="L13" s="87"/>
    </row>
    <row r="14" spans="1:12" ht="15" customHeight="1" x14ac:dyDescent="0.2">
      <c r="B14" s="16" t="s">
        <v>30</v>
      </c>
      <c r="C14" s="74">
        <f>Info!N8</f>
        <v>42369</v>
      </c>
      <c r="D14" s="80"/>
      <c r="E14" s="88" t="str">
        <f>"Calendarized numbers summary in "&amp;C16</f>
        <v>Calendarized numbers summary in USD</v>
      </c>
      <c r="F14" s="88"/>
      <c r="G14" s="88"/>
      <c r="H14" s="88"/>
      <c r="I14" s="88"/>
      <c r="J14" s="88"/>
      <c r="K14" s="88"/>
    </row>
    <row r="15" spans="1:12" ht="15" customHeight="1" x14ac:dyDescent="0.2">
      <c r="B15" s="16" t="s">
        <v>31</v>
      </c>
      <c r="C15" s="75" t="s">
        <v>7</v>
      </c>
      <c r="D15" s="89"/>
      <c r="G15" s="90" t="s">
        <v>49</v>
      </c>
      <c r="H15" s="90" t="str">
        <f>YEAR($C$14)+1&amp;"e"</f>
        <v>2016e</v>
      </c>
      <c r="I15" s="90" t="str">
        <f>YEAR($C$14)+2&amp;"e"</f>
        <v>2017e</v>
      </c>
      <c r="J15" s="90" t="str">
        <f>YEAR($C$14)+3&amp;"e"</f>
        <v>2018e</v>
      </c>
      <c r="K15" s="90" t="str">
        <f>YEAR($C$14)+4&amp;"e"</f>
        <v>2019e</v>
      </c>
      <c r="L15" s="80"/>
    </row>
    <row r="16" spans="1:12" ht="15" customHeight="1" x14ac:dyDescent="0.2">
      <c r="B16" s="16" t="s">
        <v>147</v>
      </c>
      <c r="C16" s="90" t="str">
        <f>Info!N9</f>
        <v>USD</v>
      </c>
      <c r="D16" s="89"/>
      <c r="E16" t="s">
        <v>54</v>
      </c>
      <c r="G16">
        <f>G67/FX</f>
        <v>555.53599999999994</v>
      </c>
      <c r="H16">
        <f>SUMPRODUCT(I67:K67,calendar)/FX</f>
        <v>576.9</v>
      </c>
      <c r="I16">
        <f>SUMPRODUCT(J67:L67,calendar)/FX</f>
        <v>618.9</v>
      </c>
      <c r="J16">
        <f>SUMPRODUCT(K67:M67,calendar)/FX</f>
        <v>664.7</v>
      </c>
      <c r="K16">
        <f>SUMPRODUCT(L67:N67,calendar)/FX</f>
        <v>0</v>
      </c>
      <c r="L16" s="80"/>
    </row>
    <row r="17" spans="1:12" ht="15" customHeight="1" x14ac:dyDescent="0.2">
      <c r="B17" s="16" t="s">
        <v>32</v>
      </c>
      <c r="C17" s="77">
        <v>1</v>
      </c>
      <c r="D17" s="89"/>
      <c r="E17" t="s">
        <v>55</v>
      </c>
      <c r="G17">
        <f>G69/FX</f>
        <v>120.58500000000001</v>
      </c>
      <c r="H17">
        <f>SUMPRODUCT(I69:K69,calendar)/FX</f>
        <v>116.5</v>
      </c>
      <c r="I17">
        <f>SUMPRODUCT(J69:L69,calendar)/FX</f>
        <v>124.9</v>
      </c>
      <c r="J17">
        <f>SUMPRODUCT(K69:M69,calendar)/FX</f>
        <v>147.1</v>
      </c>
      <c r="K17">
        <f>SUMPRODUCT(L69:N69,calendar)/FX</f>
        <v>0</v>
      </c>
      <c r="L17" s="80"/>
    </row>
    <row r="18" spans="1:12" ht="15" customHeight="1" x14ac:dyDescent="0.2">
      <c r="B18" s="16" t="str">
        <f>"Closing price as at "&amp;TEXT($C$10,"dd-mmm-yy")</f>
        <v>Closing price as at 06-May-16</v>
      </c>
      <c r="C18" s="78">
        <v>19.8</v>
      </c>
      <c r="D18" s="89"/>
      <c r="E18" t="s">
        <v>56</v>
      </c>
      <c r="G18">
        <f>G68/FX</f>
        <v>98.339000000000013</v>
      </c>
      <c r="H18">
        <f>SUMPRODUCT(I68:K68,calendar)/FX</f>
        <v>97.7</v>
      </c>
      <c r="I18">
        <f>SUMPRODUCT(J68:L68,calendar)/FX</f>
        <v>106.1</v>
      </c>
      <c r="J18">
        <f>SUMPRODUCT(K68:M68,calendar)/FX</f>
        <v>116.7</v>
      </c>
      <c r="K18">
        <f>SUMPRODUCT(L68:N68,calendar)/FX</f>
        <v>0</v>
      </c>
      <c r="L18" s="80"/>
    </row>
    <row r="19" spans="1:12" ht="15" customHeight="1" x14ac:dyDescent="0.2">
      <c r="B19" s="16" t="str">
        <f>"Closing price as at "&amp;TEXT($C$10,"dd-mmm-yy")&amp;" in USD"</f>
        <v>Closing price as at 06-May-16 in USD</v>
      </c>
      <c r="C19" s="107">
        <f>C18/FX</f>
        <v>19.8</v>
      </c>
      <c r="D19" s="89"/>
      <c r="E19" t="s">
        <v>223</v>
      </c>
      <c r="F19" s="134"/>
      <c r="G19" s="134"/>
      <c r="H19" s="107">
        <f>SUMPRODUCT(I70:K70,calendar)/FX</f>
        <v>0.97</v>
      </c>
      <c r="I19" s="107">
        <f>SUMPRODUCT(J70:L70,calendar)/FX</f>
        <v>1.08</v>
      </c>
      <c r="J19" s="107">
        <f>SUMPRODUCT(K70:M70,calendar)/FX</f>
        <v>1.22</v>
      </c>
      <c r="K19" s="107">
        <f>SUMPRODUCT(L70:N70,calendar)/FX</f>
        <v>0</v>
      </c>
      <c r="L19" s="80"/>
    </row>
    <row r="20" spans="1:12" ht="15" customHeight="1" x14ac:dyDescent="0.2">
      <c r="B20" s="16" t="s">
        <v>33</v>
      </c>
      <c r="C20" s="78">
        <v>15.01</v>
      </c>
      <c r="D20" s="80"/>
      <c r="E20" s="86"/>
      <c r="F20" s="86"/>
      <c r="G20" s="86"/>
      <c r="H20" s="86"/>
      <c r="I20" s="86"/>
      <c r="J20" s="86"/>
      <c r="K20" s="86"/>
      <c r="L20" s="87"/>
    </row>
    <row r="21" spans="1:12" ht="15" customHeight="1" x14ac:dyDescent="0.2">
      <c r="B21" s="16" t="s">
        <v>34</v>
      </c>
      <c r="C21" s="78">
        <v>27.84</v>
      </c>
      <c r="D21" s="80"/>
      <c r="E21" s="88" t="s">
        <v>61</v>
      </c>
      <c r="F21" s="88"/>
      <c r="G21" s="88"/>
      <c r="H21" s="88"/>
      <c r="I21" s="88"/>
      <c r="J21" s="88"/>
      <c r="K21" s="88"/>
    </row>
    <row r="22" spans="1:12" ht="15" customHeight="1" x14ac:dyDescent="0.2">
      <c r="B22" s="16" t="s">
        <v>197</v>
      </c>
      <c r="C22" s="95">
        <f>C18/C21</f>
        <v>0.7112068965517242</v>
      </c>
      <c r="D22" s="89"/>
      <c r="G22" s="90" t="s">
        <v>49</v>
      </c>
      <c r="H22" s="90" t="s">
        <v>50</v>
      </c>
      <c r="I22" s="90" t="s">
        <v>51</v>
      </c>
      <c r="J22" s="90" t="s">
        <v>52</v>
      </c>
      <c r="K22" s="90" t="s">
        <v>53</v>
      </c>
      <c r="L22" s="80"/>
    </row>
    <row r="23" spans="1:12" ht="15" customHeight="1" x14ac:dyDescent="0.2">
      <c r="B23" s="16" t="s">
        <v>35</v>
      </c>
      <c r="C23" s="138">
        <v>0</v>
      </c>
      <c r="D23" s="89"/>
      <c r="E23" t="s">
        <v>62</v>
      </c>
      <c r="G23" s="69">
        <f t="shared" ref="G23:K25" si="0">IFERROR($G$12/G16,"NA")</f>
        <v>2.2639949411019269</v>
      </c>
      <c r="H23" s="69">
        <f t="shared" si="0"/>
        <v>2.1801537417230024</v>
      </c>
      <c r="I23" s="69">
        <f t="shared" si="0"/>
        <v>2.0322034150912911</v>
      </c>
      <c r="J23" s="69">
        <f t="shared" si="0"/>
        <v>1.8921779653979238</v>
      </c>
      <c r="K23" s="114" t="str">
        <f t="shared" si="0"/>
        <v>NA</v>
      </c>
      <c r="L23" s="80"/>
    </row>
    <row r="24" spans="1:12" ht="15" customHeight="1" x14ac:dyDescent="0.2">
      <c r="B24" s="16" t="s">
        <v>37</v>
      </c>
      <c r="C24" s="78">
        <v>1.44</v>
      </c>
      <c r="D24" s="89"/>
      <c r="E24" t="s">
        <v>57</v>
      </c>
      <c r="G24" s="69">
        <f t="shared" si="0"/>
        <v>10.43024168511838</v>
      </c>
      <c r="H24" s="69">
        <f t="shared" si="0"/>
        <v>10.795971618884121</v>
      </c>
      <c r="I24" s="69">
        <f t="shared" si="0"/>
        <v>10.06990146997598</v>
      </c>
      <c r="J24" s="69">
        <f t="shared" si="0"/>
        <v>8.5501746675730796</v>
      </c>
      <c r="K24" s="114" t="str">
        <f t="shared" si="0"/>
        <v>NA</v>
      </c>
      <c r="L24" s="80"/>
    </row>
    <row r="25" spans="1:12" ht="15" customHeight="1" x14ac:dyDescent="0.2">
      <c r="D25" s="89"/>
      <c r="E25" t="s">
        <v>58</v>
      </c>
      <c r="G25" s="69">
        <f t="shared" si="0"/>
        <v>12.789744593701379</v>
      </c>
      <c r="H25" s="69">
        <f t="shared" si="0"/>
        <v>12.873395021494369</v>
      </c>
      <c r="I25" s="69">
        <f t="shared" si="0"/>
        <v>11.854200693685204</v>
      </c>
      <c r="J25" s="69">
        <f t="shared" si="0"/>
        <v>10.777469525278491</v>
      </c>
      <c r="K25" s="114" t="str">
        <f t="shared" si="0"/>
        <v>NA</v>
      </c>
      <c r="L25" s="80"/>
    </row>
    <row r="26" spans="1:12" ht="15" customHeight="1" x14ac:dyDescent="0.2">
      <c r="B26" s="16" t="s">
        <v>38</v>
      </c>
      <c r="C26" s="79" t="s">
        <v>36</v>
      </c>
      <c r="D26" s="89"/>
      <c r="E26" t="s">
        <v>59</v>
      </c>
      <c r="H26" s="69">
        <f>$C$19/H19</f>
        <v>20.412371134020621</v>
      </c>
      <c r="I26" s="69">
        <f>$C$19/I19</f>
        <v>18.333333333333332</v>
      </c>
      <c r="J26" s="69">
        <f>$C$19/J19</f>
        <v>16.229508196721312</v>
      </c>
      <c r="K26" s="114" t="str">
        <f>IFERROR($C$19/K19,"NA")</f>
        <v>NA</v>
      </c>
      <c r="L26" s="80"/>
    </row>
    <row r="27" spans="1:12" ht="15" customHeight="1" x14ac:dyDescent="0.2">
      <c r="B27" s="16" t="s">
        <v>192</v>
      </c>
      <c r="C27" s="83">
        <v>0.06</v>
      </c>
      <c r="D27" s="89"/>
      <c r="E27" t="s">
        <v>60</v>
      </c>
      <c r="G27" s="69">
        <f>G32/G69</f>
        <v>7.9852386283534429E-2</v>
      </c>
      <c r="L27" s="103"/>
    </row>
    <row r="28" spans="1:12" ht="15" customHeight="1" x14ac:dyDescent="0.2">
      <c r="A28" s="84"/>
      <c r="B28" s="85"/>
      <c r="C28" s="86"/>
      <c r="D28" s="87"/>
      <c r="E28" s="86"/>
      <c r="F28" s="86"/>
      <c r="G28" s="86"/>
      <c r="H28" s="86"/>
      <c r="I28" s="86"/>
      <c r="J28" s="86"/>
      <c r="K28" s="86"/>
      <c r="L28" s="87"/>
    </row>
    <row r="29" spans="1:12" ht="15" customHeight="1" x14ac:dyDescent="0.2">
      <c r="A29" s="72" t="s">
        <v>22</v>
      </c>
      <c r="B29" s="12"/>
      <c r="C29" s="12"/>
      <c r="D29" s="12"/>
      <c r="E29" s="12"/>
      <c r="F29" s="12"/>
      <c r="G29" s="12"/>
      <c r="H29" s="12"/>
      <c r="I29" s="12"/>
      <c r="J29" s="12"/>
      <c r="K29" s="12"/>
      <c r="L29" s="80"/>
    </row>
    <row r="30" spans="1:12" ht="15" customHeight="1" x14ac:dyDescent="0.2">
      <c r="B30" s="16" t="s">
        <v>63</v>
      </c>
      <c r="E30" s="16" t="s">
        <v>78</v>
      </c>
      <c r="H30" s="16" t="s">
        <v>80</v>
      </c>
      <c r="L30" s="80"/>
    </row>
    <row r="31" spans="1:12" ht="15" customHeight="1" x14ac:dyDescent="0.2">
      <c r="E31" s="16"/>
      <c r="H31" s="16"/>
      <c r="L31" s="80"/>
    </row>
    <row r="32" spans="1:12" ht="15" customHeight="1" x14ac:dyDescent="0.2">
      <c r="B32" s="16" t="s">
        <v>64</v>
      </c>
      <c r="D32" s="74">
        <f>C10</f>
        <v>42496</v>
      </c>
      <c r="E32" s="16" t="s">
        <v>77</v>
      </c>
      <c r="G32" s="73">
        <f>6.975+2.654</f>
        <v>9.6289999999999996</v>
      </c>
      <c r="H32" s="16" t="s">
        <v>66</v>
      </c>
      <c r="J32" s="73">
        <v>101.956</v>
      </c>
      <c r="L32" s="80"/>
    </row>
    <row r="33" spans="1:13" ht="15" customHeight="1" x14ac:dyDescent="0.2">
      <c r="B33" s="16" t="s">
        <v>65</v>
      </c>
      <c r="D33" s="73">
        <v>67.651600999999999</v>
      </c>
      <c r="E33" s="16" t="s">
        <v>71</v>
      </c>
      <c r="G33" s="73">
        <v>0</v>
      </c>
      <c r="H33" s="16" t="s">
        <v>68</v>
      </c>
      <c r="J33" s="73">
        <v>0</v>
      </c>
      <c r="L33" s="80"/>
    </row>
    <row r="34" spans="1:13" ht="15" customHeight="1" x14ac:dyDescent="0.2">
      <c r="B34" s="16" t="s">
        <v>67</v>
      </c>
      <c r="D34" s="73">
        <v>0</v>
      </c>
      <c r="E34" s="16" t="s">
        <v>74</v>
      </c>
      <c r="G34" s="73">
        <v>0</v>
      </c>
      <c r="H34" s="16" t="s">
        <v>43</v>
      </c>
      <c r="J34" s="73">
        <v>0</v>
      </c>
      <c r="L34" s="80"/>
    </row>
    <row r="35" spans="1:13" ht="15" customHeight="1" x14ac:dyDescent="0.2">
      <c r="B35" s="16" t="s">
        <v>69</v>
      </c>
      <c r="D35">
        <f>E123</f>
        <v>0.53313100000000002</v>
      </c>
      <c r="E35" s="16" t="s">
        <v>70</v>
      </c>
      <c r="G35" s="73">
        <v>0</v>
      </c>
      <c r="H35" s="16" t="s">
        <v>70</v>
      </c>
      <c r="J35" s="73">
        <v>0</v>
      </c>
      <c r="L35" s="80"/>
    </row>
    <row r="36" spans="1:13" ht="15" customHeight="1" x14ac:dyDescent="0.2">
      <c r="B36" s="16" t="s">
        <v>70</v>
      </c>
      <c r="D36" s="73">
        <v>0</v>
      </c>
      <c r="E36" s="16" t="s">
        <v>73</v>
      </c>
      <c r="G36" s="73">
        <v>0</v>
      </c>
      <c r="H36" s="16"/>
      <c r="L36" s="80"/>
    </row>
    <row r="37" spans="1:13" ht="15" customHeight="1" x14ac:dyDescent="0.2">
      <c r="B37" s="16" t="s">
        <v>72</v>
      </c>
      <c r="D37">
        <f>SUM(D33:D36)</f>
        <v>68.184731999999997</v>
      </c>
      <c r="E37" s="16" t="s">
        <v>171</v>
      </c>
      <c r="G37" s="73">
        <v>0</v>
      </c>
      <c r="H37" s="16"/>
      <c r="L37" s="80"/>
      <c r="M37" s="16"/>
    </row>
    <row r="38" spans="1:13" ht="15" customHeight="1" x14ac:dyDescent="0.2">
      <c r="B38" s="16" t="s">
        <v>48</v>
      </c>
      <c r="D38">
        <f>D37*C18</f>
        <v>1350.0576936</v>
      </c>
      <c r="E38" s="16" t="s">
        <v>133</v>
      </c>
      <c r="G38" s="73">
        <v>0</v>
      </c>
      <c r="H38" s="16"/>
      <c r="L38" s="80"/>
      <c r="M38" s="16"/>
    </row>
    <row r="39" spans="1:13" ht="15" customHeight="1" x14ac:dyDescent="0.2">
      <c r="A39" s="81"/>
      <c r="E39" s="16" t="s">
        <v>79</v>
      </c>
      <c r="G39">
        <f>SUM(G32:G38)</f>
        <v>9.6289999999999996</v>
      </c>
      <c r="H39" s="16" t="s">
        <v>80</v>
      </c>
      <c r="J39">
        <f>SUM(J32:J35)</f>
        <v>101.956</v>
      </c>
      <c r="L39" s="80"/>
      <c r="M39" s="16"/>
    </row>
    <row r="40" spans="1:13" ht="15" customHeight="1" x14ac:dyDescent="0.2">
      <c r="A40" s="84"/>
      <c r="B40" s="85"/>
      <c r="C40" s="86"/>
      <c r="D40" s="86"/>
      <c r="E40" s="86"/>
      <c r="F40" s="86"/>
      <c r="G40" s="86"/>
      <c r="H40" s="86"/>
      <c r="I40" s="86"/>
      <c r="J40" s="86"/>
      <c r="K40" s="86"/>
    </row>
    <row r="41" spans="1:13" ht="15" customHeight="1" x14ac:dyDescent="0.2">
      <c r="A41" s="72" t="s">
        <v>222</v>
      </c>
      <c r="B41" s="12"/>
      <c r="C41" s="12"/>
      <c r="D41" s="12"/>
      <c r="E41" s="12"/>
      <c r="F41" s="12"/>
      <c r="G41" s="12"/>
      <c r="H41" s="89"/>
      <c r="I41" s="71" t="s">
        <v>93</v>
      </c>
      <c r="J41" s="12"/>
      <c r="K41" s="12"/>
      <c r="L41" s="80"/>
    </row>
    <row r="42" spans="1:13" ht="15" customHeight="1" x14ac:dyDescent="0.2">
      <c r="A42" s="93"/>
      <c r="B42" s="16" t="s">
        <v>81</v>
      </c>
      <c r="D42">
        <f>J32</f>
        <v>101.956</v>
      </c>
      <c r="E42" s="16" t="s">
        <v>90</v>
      </c>
      <c r="G42" s="92">
        <f>G32</f>
        <v>9.6289999999999996</v>
      </c>
      <c r="H42" s="89"/>
      <c r="I42" s="16" t="s">
        <v>149</v>
      </c>
      <c r="K42" s="95">
        <f>(D43-G43)/G67</f>
        <v>0.15584768583854153</v>
      </c>
      <c r="L42" s="80"/>
    </row>
    <row r="43" spans="1:13" ht="15" customHeight="1" x14ac:dyDescent="0.2">
      <c r="A43" s="93"/>
      <c r="B43" s="16" t="s">
        <v>84</v>
      </c>
      <c r="D43" s="73">
        <f>254.209-D42</f>
        <v>152.25299999999999</v>
      </c>
      <c r="E43" s="94" t="s">
        <v>148</v>
      </c>
      <c r="G43" s="77">
        <f>75.303-G42</f>
        <v>65.673999999999992</v>
      </c>
      <c r="H43" s="89"/>
      <c r="I43" s="16" t="s">
        <v>152</v>
      </c>
      <c r="K43" s="121">
        <f>G67/G50</f>
        <v>1.3764996803655229</v>
      </c>
      <c r="L43" s="80"/>
    </row>
    <row r="44" spans="1:13" ht="15" customHeight="1" x14ac:dyDescent="0.2">
      <c r="A44" s="93"/>
      <c r="B44" s="16" t="s">
        <v>82</v>
      </c>
      <c r="D44" s="73">
        <f>86.588+0.094+130.963+11.128</f>
        <v>228.77299999999997</v>
      </c>
      <c r="E44" s="94" t="s">
        <v>87</v>
      </c>
      <c r="G44" s="77">
        <f>13.808+43.136</f>
        <v>56.944000000000003</v>
      </c>
      <c r="H44" s="89"/>
      <c r="I44" s="16" t="s">
        <v>150</v>
      </c>
      <c r="K44" s="95">
        <f>G68/G67</f>
        <v>0.17701643097837047</v>
      </c>
      <c r="L44" s="80"/>
      <c r="M44" s="95"/>
    </row>
    <row r="45" spans="1:13" ht="15" customHeight="1" x14ac:dyDescent="0.2">
      <c r="A45" s="93"/>
      <c r="B45" s="16" t="s">
        <v>83</v>
      </c>
      <c r="D45" s="73">
        <v>145.178</v>
      </c>
      <c r="E45" s="16" t="s">
        <v>88</v>
      </c>
      <c r="G45">
        <f>G36</f>
        <v>0</v>
      </c>
      <c r="H45" s="89"/>
      <c r="I45" s="16" t="s">
        <v>94</v>
      </c>
      <c r="K45" s="95">
        <f>K44*K43</f>
        <v>0.2436630606611726</v>
      </c>
      <c r="L45" s="80"/>
    </row>
    <row r="46" spans="1:13" ht="15" customHeight="1" x14ac:dyDescent="0.2">
      <c r="A46" s="93"/>
      <c r="B46" s="16" t="s">
        <v>214</v>
      </c>
      <c r="D46" s="73">
        <f>G175</f>
        <v>0</v>
      </c>
      <c r="E46" s="94" t="s">
        <v>89</v>
      </c>
      <c r="G46" s="77">
        <v>495.91300000000001</v>
      </c>
      <c r="H46" s="89"/>
      <c r="I46" s="16" t="s">
        <v>95</v>
      </c>
      <c r="K46" s="95">
        <f>C76</f>
        <v>0.35340112669697188</v>
      </c>
      <c r="L46" s="80"/>
    </row>
    <row r="47" spans="1:13" ht="15" customHeight="1" x14ac:dyDescent="0.2">
      <c r="E47" s="16" t="s">
        <v>75</v>
      </c>
      <c r="G47">
        <f>G37</f>
        <v>0</v>
      </c>
      <c r="H47" s="89"/>
      <c r="I47" s="94" t="s">
        <v>96</v>
      </c>
      <c r="K47" s="95">
        <f>K45*(1-K46)</f>
        <v>0.15755226048908161</v>
      </c>
      <c r="L47" s="80"/>
    </row>
    <row r="48" spans="1:13" ht="15" customHeight="1" x14ac:dyDescent="0.2">
      <c r="B48" s="16" t="s">
        <v>85</v>
      </c>
      <c r="D48">
        <f>SUM(D42:D46)</f>
        <v>628.16</v>
      </c>
      <c r="E48" s="94" t="s">
        <v>91</v>
      </c>
      <c r="G48">
        <f>SUM(G42:G47)</f>
        <v>628.16000000000008</v>
      </c>
      <c r="H48" s="80"/>
      <c r="I48" s="86"/>
      <c r="J48" s="86"/>
      <c r="K48" s="86"/>
    </row>
    <row r="49" spans="1:14" ht="15" customHeight="1" x14ac:dyDescent="0.2">
      <c r="H49" s="80"/>
    </row>
    <row r="50" spans="1:14" ht="15" customHeight="1" x14ac:dyDescent="0.2">
      <c r="B50" s="16" t="s">
        <v>86</v>
      </c>
      <c r="D50">
        <f>D43+D44+D45-G43-G44</f>
        <v>403.58599999999996</v>
      </c>
      <c r="E50" s="94" t="s">
        <v>76</v>
      </c>
      <c r="G50">
        <f>SUM(G42,G45:G47)-D42-D46</f>
        <v>403.58600000000001</v>
      </c>
      <c r="H50" s="80"/>
    </row>
    <row r="51" spans="1:14" ht="15" customHeight="1" x14ac:dyDescent="0.2">
      <c r="A51" s="96"/>
      <c r="B51" s="97"/>
      <c r="C51" s="98"/>
      <c r="D51" s="98"/>
      <c r="E51" s="98"/>
      <c r="F51" s="98"/>
      <c r="G51" s="98"/>
    </row>
    <row r="52" spans="1:14" ht="15" customHeight="1" x14ac:dyDescent="0.2">
      <c r="A52" s="126" t="str">
        <f>"Balance sheet data ("&amp;C16&amp;")"</f>
        <v>Balance sheet data (USD)</v>
      </c>
      <c r="B52" s="127"/>
      <c r="C52" s="127"/>
      <c r="D52" s="127"/>
      <c r="E52" s="127"/>
      <c r="F52" s="127"/>
      <c r="G52" s="127"/>
      <c r="H52" s="80"/>
    </row>
    <row r="53" spans="1:14" ht="15" customHeight="1" x14ac:dyDescent="0.2">
      <c r="A53" s="93"/>
      <c r="B53" s="125" t="s">
        <v>81</v>
      </c>
      <c r="C53" s="87"/>
      <c r="D53" s="87">
        <f>D42/FX</f>
        <v>101.956</v>
      </c>
      <c r="E53" s="125" t="s">
        <v>90</v>
      </c>
      <c r="F53" s="87"/>
      <c r="G53" s="87">
        <f t="shared" ref="G53:G58" si="1">G42/FX</f>
        <v>9.6289999999999996</v>
      </c>
      <c r="H53" s="80"/>
    </row>
    <row r="54" spans="1:14" ht="15" customHeight="1" x14ac:dyDescent="0.2">
      <c r="A54" s="93"/>
      <c r="B54" s="125" t="s">
        <v>84</v>
      </c>
      <c r="C54" s="87"/>
      <c r="D54" s="87">
        <f>D43/FX</f>
        <v>152.25299999999999</v>
      </c>
      <c r="E54" s="94" t="s">
        <v>148</v>
      </c>
      <c r="F54" s="87"/>
      <c r="G54" s="87">
        <f t="shared" si="1"/>
        <v>65.673999999999992</v>
      </c>
      <c r="H54" s="80"/>
    </row>
    <row r="55" spans="1:14" ht="15" customHeight="1" x14ac:dyDescent="0.2">
      <c r="A55" s="93"/>
      <c r="B55" s="125" t="s">
        <v>82</v>
      </c>
      <c r="C55" s="87"/>
      <c r="D55" s="87">
        <f>D44/FX</f>
        <v>228.77299999999997</v>
      </c>
      <c r="E55" s="94" t="s">
        <v>87</v>
      </c>
      <c r="F55" s="87"/>
      <c r="G55" s="87">
        <f t="shared" si="1"/>
        <v>56.944000000000003</v>
      </c>
      <c r="H55" s="80"/>
    </row>
    <row r="56" spans="1:14" ht="15" customHeight="1" x14ac:dyDescent="0.2">
      <c r="A56" s="93"/>
      <c r="B56" s="125" t="s">
        <v>83</v>
      </c>
      <c r="C56" s="87"/>
      <c r="D56" s="87">
        <f>D45/FX</f>
        <v>145.178</v>
      </c>
      <c r="E56" s="125" t="s">
        <v>88</v>
      </c>
      <c r="F56" s="87"/>
      <c r="G56" s="87">
        <f t="shared" si="1"/>
        <v>0</v>
      </c>
      <c r="H56" s="80"/>
    </row>
    <row r="57" spans="1:14" ht="15" customHeight="1" x14ac:dyDescent="0.2">
      <c r="A57" s="93"/>
      <c r="B57" s="125" t="s">
        <v>214</v>
      </c>
      <c r="C57" s="87"/>
      <c r="D57" s="87">
        <f>D46/FX</f>
        <v>0</v>
      </c>
      <c r="E57" s="94" t="s">
        <v>89</v>
      </c>
      <c r="F57" s="87"/>
      <c r="G57" s="87">
        <f t="shared" si="1"/>
        <v>495.91300000000001</v>
      </c>
      <c r="H57" s="80"/>
    </row>
    <row r="58" spans="1:14" ht="15" customHeight="1" x14ac:dyDescent="0.2">
      <c r="A58" s="130"/>
      <c r="B58" s="125"/>
      <c r="C58" s="87"/>
      <c r="D58" s="87"/>
      <c r="E58" s="125" t="s">
        <v>75</v>
      </c>
      <c r="F58" s="87"/>
      <c r="G58" s="87">
        <f t="shared" si="1"/>
        <v>0</v>
      </c>
      <c r="H58" s="80"/>
    </row>
    <row r="59" spans="1:14" ht="15" customHeight="1" x14ac:dyDescent="0.2">
      <c r="A59" s="130"/>
      <c r="B59" s="125" t="s">
        <v>85</v>
      </c>
      <c r="C59" s="87"/>
      <c r="D59" s="87">
        <f>SUM(D53:D57)</f>
        <v>628.16</v>
      </c>
      <c r="E59" s="94" t="s">
        <v>91</v>
      </c>
      <c r="F59" s="87"/>
      <c r="G59" s="87">
        <f>SUM(G53:G58)</f>
        <v>628.16000000000008</v>
      </c>
      <c r="H59" s="80"/>
    </row>
    <row r="60" spans="1:14" ht="15" customHeight="1" x14ac:dyDescent="0.2">
      <c r="A60" s="130"/>
      <c r="B60" s="125"/>
      <c r="C60" s="87"/>
      <c r="D60" s="87"/>
      <c r="E60" s="87"/>
      <c r="F60" s="87"/>
      <c r="G60" s="87"/>
      <c r="H60" s="80"/>
    </row>
    <row r="61" spans="1:14" ht="15" customHeight="1" x14ac:dyDescent="0.2">
      <c r="A61" s="131"/>
      <c r="B61" s="132" t="s">
        <v>86</v>
      </c>
      <c r="C61" s="82"/>
      <c r="D61" s="82">
        <f>D54+D55+D56-G54-G55</f>
        <v>403.58599999999996</v>
      </c>
      <c r="E61" s="133" t="s">
        <v>76</v>
      </c>
      <c r="F61" s="82"/>
      <c r="G61" s="82">
        <f>SUM(G53,G56:G58)-D53-D57</f>
        <v>403.58600000000001</v>
      </c>
      <c r="H61" s="80"/>
    </row>
    <row r="62" spans="1:14" ht="15" customHeight="1" x14ac:dyDescent="0.2">
      <c r="A62" s="124"/>
      <c r="B62" s="125"/>
      <c r="C62" s="87"/>
      <c r="D62" s="87"/>
      <c r="E62" s="87"/>
      <c r="F62" s="87"/>
      <c r="G62" s="87"/>
    </row>
    <row r="63" spans="1:14" ht="15" customHeight="1" x14ac:dyDescent="0.2">
      <c r="A63" s="71" t="s">
        <v>97</v>
      </c>
      <c r="B63" s="12"/>
      <c r="C63" s="12"/>
      <c r="D63" s="12"/>
      <c r="E63" s="12"/>
      <c r="F63" s="12"/>
      <c r="G63" s="12"/>
      <c r="H63" s="89"/>
      <c r="I63" s="71" t="s">
        <v>98</v>
      </c>
      <c r="J63" s="12"/>
      <c r="K63" s="12"/>
      <c r="L63" s="12"/>
      <c r="M63" s="12"/>
    </row>
    <row r="64" spans="1:14" ht="15" customHeight="1" x14ac:dyDescent="0.2">
      <c r="C64" s="146"/>
      <c r="D64" s="146" t="s">
        <v>99</v>
      </c>
      <c r="E64" s="146" t="s">
        <v>100</v>
      </c>
      <c r="F64" s="146"/>
      <c r="G64" s="146"/>
      <c r="H64" s="89"/>
      <c r="N64" s="80"/>
    </row>
    <row r="65" spans="1:14" ht="15" customHeight="1" x14ac:dyDescent="0.2">
      <c r="C65" s="146" t="s">
        <v>101</v>
      </c>
      <c r="D65" s="146" t="s">
        <v>102</v>
      </c>
      <c r="E65" s="146" t="s">
        <v>102</v>
      </c>
      <c r="F65" s="146" t="s">
        <v>103</v>
      </c>
      <c r="G65" s="146" t="s">
        <v>104</v>
      </c>
      <c r="H65" s="89"/>
      <c r="I65" s="147" t="s">
        <v>105</v>
      </c>
      <c r="J65" s="147" t="s">
        <v>106</v>
      </c>
      <c r="K65" s="147" t="s">
        <v>107</v>
      </c>
      <c r="L65" s="147" t="s">
        <v>108</v>
      </c>
      <c r="M65" s="147" t="s">
        <v>109</v>
      </c>
      <c r="N65" s="80"/>
    </row>
    <row r="66" spans="1:14" ht="15" customHeight="1" x14ac:dyDescent="0.2">
      <c r="B66" s="16" t="s">
        <v>3</v>
      </c>
      <c r="C66" s="145">
        <f>C11</f>
        <v>42369</v>
      </c>
      <c r="D66" s="145">
        <f>DATE(YEAR(E66)-1,MONTH(E66),DAY(E66))</f>
        <v>42094</v>
      </c>
      <c r="E66" s="145">
        <f>C12</f>
        <v>42460</v>
      </c>
      <c r="F66" s="125"/>
      <c r="G66" s="125"/>
      <c r="H66" s="89"/>
      <c r="I66" s="145">
        <v>42369</v>
      </c>
      <c r="J66" s="145">
        <v>42735</v>
      </c>
      <c r="K66" s="145">
        <v>43100</v>
      </c>
      <c r="L66" s="145">
        <v>43465</v>
      </c>
      <c r="M66" s="145">
        <v>43830</v>
      </c>
      <c r="N66" s="80"/>
    </row>
    <row r="67" spans="1:14" ht="15" customHeight="1" x14ac:dyDescent="0.2">
      <c r="B67" s="16" t="s">
        <v>110</v>
      </c>
      <c r="C67" s="91">
        <v>547.65499999999997</v>
      </c>
      <c r="D67" s="91">
        <v>110.461</v>
      </c>
      <c r="E67" s="91">
        <v>118.342</v>
      </c>
      <c r="F67" s="91">
        <v>0</v>
      </c>
      <c r="G67">
        <f>C67-D67+E67+F67</f>
        <v>555.53599999999994</v>
      </c>
      <c r="H67" s="89"/>
      <c r="I67">
        <f>C67</f>
        <v>547.65499999999997</v>
      </c>
      <c r="J67" s="91">
        <v>576.9</v>
      </c>
      <c r="K67" s="91">
        <v>618.9</v>
      </c>
      <c r="L67" s="91">
        <v>664.7</v>
      </c>
      <c r="M67" s="101"/>
      <c r="N67" s="103"/>
    </row>
    <row r="68" spans="1:14" ht="15" customHeight="1" x14ac:dyDescent="0.2">
      <c r="B68" s="16" t="s">
        <v>56</v>
      </c>
      <c r="C68">
        <f>C88</f>
        <v>101.54100000000001</v>
      </c>
      <c r="D68">
        <f>D88</f>
        <v>11.563000000000001</v>
      </c>
      <c r="E68">
        <f>E88</f>
        <v>8.3610000000000007</v>
      </c>
      <c r="F68" s="91">
        <v>0</v>
      </c>
      <c r="G68">
        <f>C68-D68+E68+F68</f>
        <v>98.339000000000013</v>
      </c>
      <c r="H68" s="89"/>
      <c r="I68">
        <f>C68</f>
        <v>101.54100000000001</v>
      </c>
      <c r="J68" s="91">
        <v>97.7</v>
      </c>
      <c r="K68" s="91">
        <v>106.1</v>
      </c>
      <c r="L68" s="91">
        <v>116.7</v>
      </c>
      <c r="M68" s="101"/>
      <c r="N68" s="103"/>
    </row>
    <row r="69" spans="1:14" ht="15" customHeight="1" x14ac:dyDescent="0.2">
      <c r="B69" s="16" t="s">
        <v>55</v>
      </c>
      <c r="C69">
        <f>SUM(C72:C73)+C68</f>
        <v>123.03500000000001</v>
      </c>
      <c r="D69">
        <f>SUM(D72:D73)+D68</f>
        <v>16.597000000000001</v>
      </c>
      <c r="E69">
        <f>SUM(E72:E73)+E68</f>
        <v>14.147</v>
      </c>
      <c r="F69" s="91">
        <v>0</v>
      </c>
      <c r="G69">
        <f>SUM(G72:G73)+G68</f>
        <v>120.58500000000001</v>
      </c>
      <c r="H69" s="89"/>
      <c r="I69">
        <f>C69</f>
        <v>123.03500000000001</v>
      </c>
      <c r="J69" s="91">
        <v>116.5</v>
      </c>
      <c r="K69" s="91">
        <v>124.9</v>
      </c>
      <c r="L69" s="91">
        <v>147.1</v>
      </c>
      <c r="M69" s="101"/>
      <c r="N69" s="103"/>
    </row>
    <row r="70" spans="1:14" ht="15" customHeight="1" x14ac:dyDescent="0.2">
      <c r="B70" s="16" t="s">
        <v>111</v>
      </c>
      <c r="H70" s="89"/>
      <c r="I70" s="107">
        <f>C106</f>
        <v>0.97212782830067435</v>
      </c>
      <c r="J70" s="99">
        <v>0.97</v>
      </c>
      <c r="K70" s="99">
        <v>1.08</v>
      </c>
      <c r="L70" s="99">
        <v>1.22</v>
      </c>
      <c r="M70" s="101"/>
      <c r="N70" s="103"/>
    </row>
    <row r="71" spans="1:14" ht="15" customHeight="1" x14ac:dyDescent="0.2">
      <c r="H71" s="80"/>
      <c r="I71" s="86"/>
      <c r="J71" s="86"/>
      <c r="K71" s="86"/>
      <c r="L71" s="86"/>
      <c r="M71" s="86"/>
      <c r="N71" s="105"/>
    </row>
    <row r="72" spans="1:14" ht="15" customHeight="1" x14ac:dyDescent="0.2">
      <c r="B72" s="16" t="s">
        <v>134</v>
      </c>
      <c r="C72" s="91">
        <v>21.48</v>
      </c>
      <c r="D72" s="91">
        <f>5.034-D73</f>
        <v>5.0199999999999996</v>
      </c>
      <c r="E72" s="91">
        <f>5.786-E73</f>
        <v>5.7489999999999997</v>
      </c>
      <c r="F72" s="91">
        <v>0</v>
      </c>
      <c r="G72">
        <f>C72-D72+E72+F72</f>
        <v>22.209</v>
      </c>
      <c r="H72" s="80"/>
      <c r="N72" s="87"/>
    </row>
    <row r="73" spans="1:14" ht="15" customHeight="1" x14ac:dyDescent="0.2">
      <c r="B73" s="16" t="s">
        <v>135</v>
      </c>
      <c r="C73" s="100">
        <v>1.4E-2</v>
      </c>
      <c r="D73" s="91">
        <v>1.4E-2</v>
      </c>
      <c r="E73" s="91">
        <v>3.6999999999999998E-2</v>
      </c>
      <c r="F73" s="91">
        <v>0</v>
      </c>
      <c r="G73">
        <f>C73-D73+E73+F73</f>
        <v>3.6999999999999998E-2</v>
      </c>
      <c r="H73" s="80"/>
      <c r="N73" s="87"/>
    </row>
    <row r="74" spans="1:14" ht="15" customHeight="1" x14ac:dyDescent="0.2">
      <c r="B74" s="16" t="s">
        <v>145</v>
      </c>
      <c r="C74" s="100">
        <v>0.34699999999999998</v>
      </c>
      <c r="D74" s="91">
        <v>0.105</v>
      </c>
      <c r="E74" s="91">
        <v>2.8000000000000001E-2</v>
      </c>
      <c r="F74" s="91">
        <v>0</v>
      </c>
      <c r="G74">
        <f>SUM(G73:G73)+G72</f>
        <v>22.245999999999999</v>
      </c>
      <c r="H74" s="80"/>
      <c r="N74" s="87"/>
    </row>
    <row r="75" spans="1:14" ht="15" customHeight="1" x14ac:dyDescent="0.2">
      <c r="B75" s="16" t="s">
        <v>151</v>
      </c>
      <c r="C75" s="104">
        <f>(34108+2272)/97453</f>
        <v>0.37330815880475715</v>
      </c>
      <c r="D75" s="91"/>
      <c r="E75" s="91"/>
      <c r="H75" s="80"/>
      <c r="N75" s="87"/>
    </row>
    <row r="76" spans="1:14" ht="15" customHeight="1" x14ac:dyDescent="0.2">
      <c r="B76" s="16" t="s">
        <v>95</v>
      </c>
      <c r="C76" s="104">
        <f>34440/97453</f>
        <v>0.35340112669697188</v>
      </c>
      <c r="D76" s="91"/>
      <c r="E76" s="91"/>
      <c r="H76" s="80"/>
      <c r="N76" s="87"/>
    </row>
    <row r="77" spans="1:14" ht="15" customHeight="1" x14ac:dyDescent="0.2">
      <c r="A77" s="84"/>
      <c r="B77" s="85"/>
      <c r="C77" s="86"/>
      <c r="D77" s="86"/>
      <c r="E77" s="86"/>
      <c r="F77" s="86"/>
      <c r="G77" s="86"/>
      <c r="H77" s="80"/>
    </row>
    <row r="78" spans="1:14" ht="15" customHeight="1" x14ac:dyDescent="0.2">
      <c r="A78" s="71" t="s">
        <v>228</v>
      </c>
      <c r="B78" s="12"/>
      <c r="C78" s="12"/>
      <c r="D78" s="12"/>
      <c r="E78" s="12"/>
      <c r="F78" s="12"/>
      <c r="G78" s="12"/>
      <c r="H78" s="80"/>
    </row>
    <row r="79" spans="1:14" ht="15" customHeight="1" x14ac:dyDescent="0.2">
      <c r="B79" s="16" t="s">
        <v>112</v>
      </c>
      <c r="C79" s="91">
        <v>96.888000000000005</v>
      </c>
      <c r="D79" s="91">
        <v>9.5630000000000006</v>
      </c>
      <c r="E79" s="91">
        <v>7.7610000000000001</v>
      </c>
      <c r="F79" s="91">
        <v>0</v>
      </c>
      <c r="G79">
        <f>C79-D79+E79+F79</f>
        <v>95.085999999999999</v>
      </c>
      <c r="H79" s="80"/>
    </row>
    <row r="80" spans="1:14" ht="15" customHeight="1" x14ac:dyDescent="0.2">
      <c r="B80" s="16" t="s">
        <v>113</v>
      </c>
      <c r="C80" s="91">
        <v>0.753</v>
      </c>
      <c r="D80" s="91">
        <v>0</v>
      </c>
      <c r="E80" s="91">
        <v>0</v>
      </c>
      <c r="F80" s="91">
        <v>0</v>
      </c>
      <c r="G80">
        <f t="shared" ref="G80:G88" si="2">C80-D80+E80+F80</f>
        <v>0.753</v>
      </c>
      <c r="H80" s="80"/>
    </row>
    <row r="81" spans="1:8" ht="15" customHeight="1" x14ac:dyDescent="0.2">
      <c r="B81" s="16" t="s">
        <v>114</v>
      </c>
      <c r="C81" s="91">
        <v>2.5</v>
      </c>
      <c r="D81" s="91">
        <f>0.7+1.3</f>
        <v>2</v>
      </c>
      <c r="E81" s="91">
        <f>0.1+0.5</f>
        <v>0.6</v>
      </c>
      <c r="F81" s="91">
        <v>0</v>
      </c>
      <c r="G81">
        <f t="shared" si="2"/>
        <v>1.1000000000000001</v>
      </c>
      <c r="H81" s="80"/>
    </row>
    <row r="82" spans="1:8" ht="15" customHeight="1" x14ac:dyDescent="0.2">
      <c r="B82" s="16" t="s">
        <v>115</v>
      </c>
      <c r="C82" s="91">
        <v>1.4</v>
      </c>
      <c r="D82" s="91">
        <v>0</v>
      </c>
      <c r="E82" s="91">
        <v>0</v>
      </c>
      <c r="F82" s="91">
        <v>0</v>
      </c>
      <c r="G82">
        <f t="shared" si="2"/>
        <v>1.4</v>
      </c>
      <c r="H82" s="80"/>
    </row>
    <row r="83" spans="1:8" ht="15" customHeight="1" x14ac:dyDescent="0.2">
      <c r="B83" s="16" t="s">
        <v>116</v>
      </c>
      <c r="C83" s="136">
        <v>0</v>
      </c>
      <c r="D83" s="91">
        <v>0</v>
      </c>
      <c r="E83" s="91">
        <v>0</v>
      </c>
      <c r="F83" s="91">
        <v>0</v>
      </c>
      <c r="G83">
        <f t="shared" si="2"/>
        <v>0</v>
      </c>
      <c r="H83" s="80"/>
    </row>
    <row r="84" spans="1:8" ht="15" customHeight="1" x14ac:dyDescent="0.2">
      <c r="B84" s="16" t="s">
        <v>117</v>
      </c>
      <c r="C84" s="91">
        <v>0</v>
      </c>
      <c r="D84" s="91">
        <v>0</v>
      </c>
      <c r="E84" s="91">
        <v>0</v>
      </c>
      <c r="F84" s="91">
        <v>0</v>
      </c>
      <c r="G84">
        <f t="shared" si="2"/>
        <v>0</v>
      </c>
      <c r="H84" s="80"/>
    </row>
    <row r="85" spans="1:8" ht="15" customHeight="1" x14ac:dyDescent="0.2">
      <c r="B85" s="16" t="s">
        <v>118</v>
      </c>
      <c r="C85" s="91">
        <v>0</v>
      </c>
      <c r="D85" s="91">
        <v>0</v>
      </c>
      <c r="E85" s="91">
        <v>0</v>
      </c>
      <c r="F85" s="91">
        <v>0</v>
      </c>
      <c r="G85">
        <f t="shared" si="2"/>
        <v>0</v>
      </c>
      <c r="H85" s="80"/>
    </row>
    <row r="86" spans="1:8" ht="15" customHeight="1" x14ac:dyDescent="0.2">
      <c r="B86" s="16" t="s">
        <v>119</v>
      </c>
      <c r="C86" s="91">
        <v>0</v>
      </c>
      <c r="D86" s="91">
        <v>0</v>
      </c>
      <c r="E86" s="91">
        <v>0</v>
      </c>
      <c r="F86" s="91">
        <v>0</v>
      </c>
      <c r="G86">
        <f t="shared" si="2"/>
        <v>0</v>
      </c>
      <c r="H86" s="80"/>
    </row>
    <row r="87" spans="1:8" ht="15" customHeight="1" x14ac:dyDescent="0.2">
      <c r="B87" s="16" t="s">
        <v>120</v>
      </c>
      <c r="C87" s="91">
        <v>0</v>
      </c>
      <c r="D87" s="91">
        <v>0</v>
      </c>
      <c r="E87" s="91">
        <v>0</v>
      </c>
      <c r="F87" s="91">
        <v>0</v>
      </c>
      <c r="G87">
        <f t="shared" si="2"/>
        <v>0</v>
      </c>
      <c r="H87" s="80"/>
    </row>
    <row r="88" spans="1:8" ht="15" customHeight="1" x14ac:dyDescent="0.2">
      <c r="B88" s="16" t="s">
        <v>56</v>
      </c>
      <c r="C88">
        <f>SUM(C79:C87)</f>
        <v>101.54100000000001</v>
      </c>
      <c r="D88">
        <f>SUM(D79:D87)</f>
        <v>11.563000000000001</v>
      </c>
      <c r="E88">
        <f>SUM(E79:E87)</f>
        <v>8.3610000000000007</v>
      </c>
      <c r="F88">
        <f>SUM(F79:F87)</f>
        <v>0</v>
      </c>
      <c r="G88">
        <f t="shared" si="2"/>
        <v>98.339000000000013</v>
      </c>
      <c r="H88" s="80"/>
    </row>
    <row r="89" spans="1:8" ht="15" customHeight="1" x14ac:dyDescent="0.2">
      <c r="A89" s="84"/>
      <c r="B89" s="85"/>
      <c r="C89" s="86"/>
      <c r="D89" s="86"/>
      <c r="E89" s="86"/>
      <c r="F89" s="86"/>
      <c r="G89" s="86"/>
    </row>
    <row r="90" spans="1:8" ht="15" customHeight="1" x14ac:dyDescent="0.2">
      <c r="A90" s="71" t="s">
        <v>229</v>
      </c>
      <c r="B90" s="12"/>
      <c r="C90" s="12"/>
      <c r="D90" s="80"/>
    </row>
    <row r="91" spans="1:8" ht="15" customHeight="1" x14ac:dyDescent="0.2">
      <c r="B91" s="16" t="s">
        <v>230</v>
      </c>
      <c r="C91" s="91">
        <v>63.012999999999998</v>
      </c>
      <c r="D91" s="80"/>
    </row>
    <row r="92" spans="1:8" ht="15" customHeight="1" x14ac:dyDescent="0.2">
      <c r="B92" s="16" t="s">
        <v>113</v>
      </c>
      <c r="C92">
        <f>C80*(1-$C$75)</f>
        <v>0.47189895642001789</v>
      </c>
      <c r="D92" s="80"/>
    </row>
    <row r="93" spans="1:8" ht="15" customHeight="1" x14ac:dyDescent="0.2">
      <c r="B93" s="16" t="s">
        <v>114</v>
      </c>
      <c r="C93" s="91">
        <v>1.6</v>
      </c>
      <c r="D93" s="80" t="s">
        <v>279</v>
      </c>
    </row>
    <row r="94" spans="1:8" ht="15" customHeight="1" x14ac:dyDescent="0.2">
      <c r="B94" s="16" t="s">
        <v>115</v>
      </c>
      <c r="C94" s="91">
        <v>0.9</v>
      </c>
      <c r="D94" s="80" t="s">
        <v>279</v>
      </c>
    </row>
    <row r="95" spans="1:8" ht="15" customHeight="1" x14ac:dyDescent="0.2">
      <c r="B95" s="16" t="s">
        <v>116</v>
      </c>
      <c r="C95" s="91">
        <v>0</v>
      </c>
      <c r="D95" s="80"/>
    </row>
    <row r="96" spans="1:8" ht="15" customHeight="1" x14ac:dyDescent="0.2">
      <c r="B96" s="16" t="s">
        <v>117</v>
      </c>
      <c r="C96" s="91">
        <v>0</v>
      </c>
      <c r="D96" s="80"/>
    </row>
    <row r="97" spans="1:7" ht="15" customHeight="1" x14ac:dyDescent="0.2">
      <c r="B97" s="16" t="s">
        <v>118</v>
      </c>
      <c r="C97" s="91">
        <v>0</v>
      </c>
      <c r="D97" s="80"/>
    </row>
    <row r="98" spans="1:7" ht="15" customHeight="1" x14ac:dyDescent="0.2">
      <c r="B98" s="16" t="s">
        <v>119</v>
      </c>
      <c r="C98" s="91">
        <v>0</v>
      </c>
      <c r="D98" s="80"/>
    </row>
    <row r="99" spans="1:7" ht="15" customHeight="1" x14ac:dyDescent="0.2">
      <c r="B99" s="16" t="s">
        <v>120</v>
      </c>
      <c r="C99" s="91">
        <v>0</v>
      </c>
      <c r="D99" s="80"/>
    </row>
    <row r="100" spans="1:7" ht="15" customHeight="1" x14ac:dyDescent="0.2">
      <c r="B100" s="16" t="s">
        <v>233</v>
      </c>
      <c r="C100" s="91">
        <v>0</v>
      </c>
      <c r="D100" s="80"/>
    </row>
    <row r="101" spans="1:7" ht="15" customHeight="1" x14ac:dyDescent="0.2">
      <c r="A101" s="124"/>
      <c r="B101" s="16" t="s">
        <v>234</v>
      </c>
      <c r="C101" s="91">
        <v>0</v>
      </c>
      <c r="D101" s="80"/>
    </row>
    <row r="102" spans="1:7" ht="15" customHeight="1" x14ac:dyDescent="0.2">
      <c r="A102" s="124"/>
      <c r="B102" s="16" t="s">
        <v>235</v>
      </c>
      <c r="C102" s="91">
        <v>0</v>
      </c>
      <c r="D102" s="80"/>
      <c r="E102" s="87"/>
      <c r="F102" s="87"/>
      <c r="G102" s="87"/>
    </row>
    <row r="103" spans="1:7" ht="15" customHeight="1" x14ac:dyDescent="0.2">
      <c r="A103" s="124"/>
      <c r="B103" s="16" t="s">
        <v>236</v>
      </c>
      <c r="C103" s="91">
        <v>0</v>
      </c>
      <c r="D103" s="80"/>
      <c r="E103" s="87"/>
      <c r="F103" s="87"/>
      <c r="G103" s="87"/>
    </row>
    <row r="104" spans="1:7" ht="15" customHeight="1" x14ac:dyDescent="0.2">
      <c r="A104" s="124"/>
      <c r="B104" s="16" t="s">
        <v>231</v>
      </c>
      <c r="C104">
        <f>SUM(C91:C103)</f>
        <v>65.984898956420025</v>
      </c>
      <c r="D104" s="80"/>
      <c r="E104" s="87"/>
      <c r="F104" s="87"/>
      <c r="G104" s="87"/>
    </row>
    <row r="105" spans="1:7" ht="15" customHeight="1" x14ac:dyDescent="0.2">
      <c r="A105" s="124"/>
      <c r="B105" s="125" t="s">
        <v>189</v>
      </c>
      <c r="C105" s="136">
        <v>67.876772000000003</v>
      </c>
      <c r="D105" s="80"/>
      <c r="E105" s="87"/>
      <c r="F105" s="87"/>
      <c r="G105" s="87"/>
    </row>
    <row r="106" spans="1:7" ht="15" customHeight="1" x14ac:dyDescent="0.2">
      <c r="A106" s="124"/>
      <c r="B106" s="125" t="s">
        <v>232</v>
      </c>
      <c r="C106" s="135">
        <f>C104/C105</f>
        <v>0.97212782830067435</v>
      </c>
      <c r="D106" s="80"/>
      <c r="E106" s="87"/>
      <c r="F106" s="87"/>
      <c r="G106" s="87"/>
    </row>
    <row r="107" spans="1:7" ht="15" customHeight="1" x14ac:dyDescent="0.2">
      <c r="A107" s="141"/>
      <c r="B107" s="85"/>
      <c r="C107" s="142"/>
      <c r="D107" s="87"/>
      <c r="E107" s="87"/>
      <c r="F107" s="87"/>
      <c r="G107" s="87"/>
    </row>
    <row r="108" spans="1:7" ht="15" customHeight="1" x14ac:dyDescent="0.2">
      <c r="A108" s="71" t="s">
        <v>121</v>
      </c>
      <c r="B108" s="12"/>
      <c r="C108" s="12"/>
      <c r="D108" s="12"/>
      <c r="E108" s="12"/>
      <c r="F108" s="80"/>
    </row>
    <row r="109" spans="1:7" ht="15" customHeight="1" x14ac:dyDescent="0.2">
      <c r="B109" s="70" t="s">
        <v>122</v>
      </c>
      <c r="C109" s="70" t="s">
        <v>123</v>
      </c>
      <c r="D109" s="70" t="s">
        <v>124</v>
      </c>
      <c r="E109" s="70" t="s">
        <v>125</v>
      </c>
      <c r="F109" s="80"/>
    </row>
    <row r="110" spans="1:7" ht="15" customHeight="1" x14ac:dyDescent="0.2">
      <c r="B110" s="16" t="s">
        <v>137</v>
      </c>
      <c r="C110" s="99">
        <v>1.046287</v>
      </c>
      <c r="D110" s="99">
        <v>21.69</v>
      </c>
      <c r="E110">
        <f>MAX(($C$18-D110)/$C$18*C110,0)</f>
        <v>0</v>
      </c>
      <c r="F110" s="80"/>
    </row>
    <row r="111" spans="1:7" ht="15" customHeight="1" x14ac:dyDescent="0.2">
      <c r="B111" s="16" t="s">
        <v>136</v>
      </c>
      <c r="C111" s="99">
        <v>0.28016099999999999</v>
      </c>
      <c r="D111" s="99">
        <v>0</v>
      </c>
      <c r="E111">
        <f>MAX(($C$18-D111)/$C$18*C111,0)</f>
        <v>0.28016099999999999</v>
      </c>
      <c r="F111" s="80"/>
    </row>
    <row r="112" spans="1:7" ht="15" customHeight="1" x14ac:dyDescent="0.2">
      <c r="B112" s="16" t="s">
        <v>144</v>
      </c>
      <c r="C112" s="99">
        <v>0.25296999999999997</v>
      </c>
      <c r="D112" s="99">
        <v>0</v>
      </c>
      <c r="E112">
        <f>MAX(($C$18-D112)/$C$18*C112,0)</f>
        <v>0.25296999999999997</v>
      </c>
      <c r="F112" s="80"/>
    </row>
    <row r="113" spans="1:8" ht="15" customHeight="1" x14ac:dyDescent="0.2">
      <c r="B113" s="16" t="s">
        <v>139</v>
      </c>
      <c r="C113" s="99">
        <v>0</v>
      </c>
      <c r="D113" s="99">
        <v>0</v>
      </c>
      <c r="E113">
        <f t="shared" ref="E113:E122" si="3">MAX(($C$18-D113)/$C$18*C113,0)</f>
        <v>0</v>
      </c>
      <c r="F113" s="80"/>
    </row>
    <row r="114" spans="1:8" ht="15" customHeight="1" x14ac:dyDescent="0.2">
      <c r="B114" s="16" t="s">
        <v>140</v>
      </c>
      <c r="C114" s="99">
        <v>0</v>
      </c>
      <c r="D114" s="99">
        <v>0</v>
      </c>
      <c r="E114">
        <f t="shared" si="3"/>
        <v>0</v>
      </c>
      <c r="F114" s="80"/>
    </row>
    <row r="115" spans="1:8" ht="15" customHeight="1" x14ac:dyDescent="0.2">
      <c r="B115" s="16" t="s">
        <v>141</v>
      </c>
      <c r="C115" s="99">
        <v>0</v>
      </c>
      <c r="D115" s="99">
        <v>0</v>
      </c>
      <c r="E115">
        <f t="shared" si="3"/>
        <v>0</v>
      </c>
      <c r="F115" s="80"/>
    </row>
    <row r="116" spans="1:8" ht="15" customHeight="1" x14ac:dyDescent="0.2">
      <c r="B116" s="16" t="s">
        <v>142</v>
      </c>
      <c r="C116" s="99">
        <v>0</v>
      </c>
      <c r="D116" s="99">
        <v>0</v>
      </c>
      <c r="E116">
        <f t="shared" si="3"/>
        <v>0</v>
      </c>
      <c r="F116" s="80"/>
    </row>
    <row r="117" spans="1:8" ht="15" customHeight="1" x14ac:dyDescent="0.2">
      <c r="B117" s="16" t="s">
        <v>143</v>
      </c>
      <c r="C117" s="99">
        <v>0</v>
      </c>
      <c r="D117" s="99">
        <v>0</v>
      </c>
      <c r="E117">
        <f t="shared" si="3"/>
        <v>0</v>
      </c>
      <c r="F117" s="80"/>
    </row>
    <row r="118" spans="1:8" ht="15" customHeight="1" x14ac:dyDescent="0.2">
      <c r="B118" s="16" t="s">
        <v>205</v>
      </c>
      <c r="C118" s="99">
        <v>0</v>
      </c>
      <c r="D118" s="99">
        <v>0</v>
      </c>
      <c r="E118">
        <f t="shared" si="3"/>
        <v>0</v>
      </c>
      <c r="F118" s="80"/>
    </row>
    <row r="119" spans="1:8" ht="15" customHeight="1" x14ac:dyDescent="0.2">
      <c r="B119" s="16" t="s">
        <v>206</v>
      </c>
      <c r="C119" s="99">
        <v>0</v>
      </c>
      <c r="D119" s="99">
        <v>0</v>
      </c>
      <c r="E119">
        <f t="shared" si="3"/>
        <v>0</v>
      </c>
      <c r="F119" s="80"/>
    </row>
    <row r="120" spans="1:8" ht="15" customHeight="1" x14ac:dyDescent="0.2">
      <c r="B120" s="16" t="s">
        <v>207</v>
      </c>
      <c r="C120" s="99">
        <v>0</v>
      </c>
      <c r="D120" s="99">
        <v>0</v>
      </c>
      <c r="E120">
        <f t="shared" si="3"/>
        <v>0</v>
      </c>
      <c r="F120" s="80"/>
    </row>
    <row r="121" spans="1:8" ht="15" customHeight="1" x14ac:dyDescent="0.2">
      <c r="B121" s="16" t="s">
        <v>208</v>
      </c>
      <c r="C121" s="99">
        <v>0</v>
      </c>
      <c r="D121" s="99">
        <v>0</v>
      </c>
      <c r="E121">
        <f t="shared" si="3"/>
        <v>0</v>
      </c>
      <c r="F121" s="80"/>
    </row>
    <row r="122" spans="1:8" ht="15" customHeight="1" x14ac:dyDescent="0.2">
      <c r="B122" s="16" t="s">
        <v>212</v>
      </c>
      <c r="C122" s="99">
        <v>0</v>
      </c>
      <c r="D122" s="99">
        <v>0</v>
      </c>
      <c r="E122">
        <f t="shared" si="3"/>
        <v>0</v>
      </c>
      <c r="F122" s="80"/>
    </row>
    <row r="123" spans="1:8" ht="15" customHeight="1" x14ac:dyDescent="0.2">
      <c r="B123" s="16" t="s">
        <v>126</v>
      </c>
      <c r="E123">
        <f>SUM(E110:E122)</f>
        <v>0.53313100000000002</v>
      </c>
      <c r="F123" s="80"/>
    </row>
    <row r="124" spans="1:8" ht="15" customHeight="1" x14ac:dyDescent="0.2">
      <c r="A124" s="84"/>
      <c r="B124" s="85"/>
      <c r="C124" s="86"/>
      <c r="D124" s="86"/>
      <c r="E124" s="86"/>
    </row>
    <row r="126" spans="1:8" ht="15" customHeight="1" x14ac:dyDescent="0.2">
      <c r="A126" s="71" t="s">
        <v>127</v>
      </c>
      <c r="B126" s="12"/>
      <c r="C126" s="12"/>
      <c r="D126" s="12"/>
      <c r="E126" s="12"/>
      <c r="F126" s="12"/>
      <c r="G126" s="12"/>
      <c r="H126" s="80"/>
    </row>
    <row r="127" spans="1:8" ht="15" customHeight="1" x14ac:dyDescent="0.2">
      <c r="B127" s="16" t="s">
        <v>128</v>
      </c>
      <c r="C127" s="74">
        <f>C11</f>
        <v>42369</v>
      </c>
      <c r="E127" s="70" t="s">
        <v>129</v>
      </c>
      <c r="F127" s="70" t="s">
        <v>130</v>
      </c>
      <c r="G127" s="70" t="s">
        <v>131</v>
      </c>
      <c r="H127" s="80"/>
    </row>
    <row r="128" spans="1:8" ht="15" customHeight="1" x14ac:dyDescent="0.2">
      <c r="B128" s="16" t="s">
        <v>30</v>
      </c>
      <c r="C128" s="74">
        <f>C14</f>
        <v>42369</v>
      </c>
      <c r="E128" s="95">
        <f>MAX(-C129/365,0)</f>
        <v>0</v>
      </c>
      <c r="F128" s="95">
        <f>1-E128-G128</f>
        <v>1</v>
      </c>
      <c r="G128" s="95">
        <f>MAX(0,C129/365)</f>
        <v>0</v>
      </c>
      <c r="H128" s="80"/>
    </row>
    <row r="129" spans="1:8" ht="15" customHeight="1" x14ac:dyDescent="0.2">
      <c r="B129" s="16" t="s">
        <v>146</v>
      </c>
      <c r="C129">
        <f>C127-C128</f>
        <v>0</v>
      </c>
      <c r="H129" s="80"/>
    </row>
    <row r="130" spans="1:8" ht="15" customHeight="1" x14ac:dyDescent="0.2">
      <c r="B130" s="16" t="s">
        <v>132</v>
      </c>
      <c r="C130" s="16"/>
      <c r="D130">
        <f>IF(E128&gt;0,0,1)</f>
        <v>1</v>
      </c>
      <c r="E130" s="91">
        <v>1</v>
      </c>
      <c r="F130" s="91">
        <v>1</v>
      </c>
      <c r="G130">
        <f>IF(G128&gt;0,0,1)</f>
        <v>1</v>
      </c>
      <c r="H130" s="80"/>
    </row>
    <row r="131" spans="1:8" ht="15" customHeight="1" x14ac:dyDescent="0.2">
      <c r="A131" s="84"/>
      <c r="B131" s="85"/>
      <c r="C131" s="86"/>
      <c r="D131" s="86"/>
      <c r="E131" s="86"/>
      <c r="F131" s="86"/>
      <c r="G131" s="86"/>
    </row>
    <row r="132" spans="1:8" ht="15" customHeight="1" x14ac:dyDescent="0.2">
      <c r="A132" s="15" t="s">
        <v>259</v>
      </c>
      <c r="C132" s="137" t="str">
        <f>Burberry!C65</f>
        <v>Annual</v>
      </c>
      <c r="D132" s="137" t="str">
        <f>Burberry!D65</f>
        <v>interim</v>
      </c>
      <c r="E132" s="137" t="str">
        <f>Burberry!E65</f>
        <v>interim</v>
      </c>
      <c r="F132" s="137"/>
      <c r="G132" s="137" t="str">
        <f>Burberry!G65</f>
        <v>Adj. LTM</v>
      </c>
    </row>
    <row r="133" spans="1:8" ht="15" customHeight="1" x14ac:dyDescent="0.2">
      <c r="A133" s="150" t="s">
        <v>267</v>
      </c>
      <c r="C133" s="148">
        <f>Burberry!C66</f>
        <v>42094</v>
      </c>
      <c r="D133" s="148">
        <f>Burberry!D66</f>
        <v>41912</v>
      </c>
      <c r="E133" s="148">
        <f>Burberry!E66</f>
        <v>42277</v>
      </c>
      <c r="F133" s="148"/>
      <c r="G133" s="148"/>
    </row>
    <row r="134" spans="1:8" ht="15" customHeight="1" x14ac:dyDescent="0.2">
      <c r="B134" s="16" t="s">
        <v>260</v>
      </c>
      <c r="C134" s="149">
        <v>39.268000000000001</v>
      </c>
      <c r="D134" s="149">
        <v>0</v>
      </c>
      <c r="E134" s="149">
        <v>0</v>
      </c>
    </row>
    <row r="135" spans="1:8" ht="15" customHeight="1" x14ac:dyDescent="0.2">
      <c r="B135" s="16" t="s">
        <v>55</v>
      </c>
      <c r="C135">
        <f>C69</f>
        <v>123.03500000000001</v>
      </c>
      <c r="D135">
        <f t="shared" ref="D135:E135" si="4">D69</f>
        <v>16.597000000000001</v>
      </c>
      <c r="E135">
        <f t="shared" si="4"/>
        <v>14.147</v>
      </c>
    </row>
    <row r="136" spans="1:8" ht="15" customHeight="1" x14ac:dyDescent="0.2">
      <c r="B136" s="16" t="s">
        <v>258</v>
      </c>
      <c r="C136">
        <f>C134+C135</f>
        <v>162.303</v>
      </c>
      <c r="D136">
        <f>D134+D135</f>
        <v>16.597000000000001</v>
      </c>
      <c r="E136">
        <f>E134+E135</f>
        <v>14.147</v>
      </c>
      <c r="G136">
        <f>C136-D136+E136</f>
        <v>159.85299999999998</v>
      </c>
    </row>
    <row r="138" spans="1:8" ht="15" customHeight="1" x14ac:dyDescent="0.2">
      <c r="B138" s="16" t="s">
        <v>261</v>
      </c>
      <c r="G138">
        <f>G12</f>
        <v>1257.7306936</v>
      </c>
    </row>
    <row r="139" spans="1:8" ht="15" customHeight="1" x14ac:dyDescent="0.2">
      <c r="B139" s="16" t="s">
        <v>262</v>
      </c>
      <c r="G139">
        <f>C134</f>
        <v>39.268000000000001</v>
      </c>
    </row>
    <row r="140" spans="1:8" ht="15" customHeight="1" x14ac:dyDescent="0.2">
      <c r="B140" s="16" t="s">
        <v>263</v>
      </c>
      <c r="G140" s="149">
        <v>8</v>
      </c>
    </row>
    <row r="141" spans="1:8" ht="15" customHeight="1" x14ac:dyDescent="0.2">
      <c r="B141" s="16" t="s">
        <v>264</v>
      </c>
      <c r="G141">
        <f>G139*G140</f>
        <v>314.14400000000001</v>
      </c>
    </row>
    <row r="142" spans="1:8" ht="15" customHeight="1" x14ac:dyDescent="0.2">
      <c r="B142" s="16" t="s">
        <v>265</v>
      </c>
      <c r="G142">
        <f>G138+G141</f>
        <v>1571.8746936</v>
      </c>
    </row>
    <row r="144" spans="1:8" ht="15" customHeight="1" x14ac:dyDescent="0.2">
      <c r="B144" s="16" t="s">
        <v>266</v>
      </c>
      <c r="G144" s="69">
        <f>G142/G136</f>
        <v>9.8332511344798039</v>
      </c>
    </row>
    <row r="146" spans="2:7" ht="15" customHeight="1" x14ac:dyDescent="0.2">
      <c r="B146" s="151" t="s">
        <v>268</v>
      </c>
    </row>
    <row r="147" spans="2:7" ht="15" customHeight="1" x14ac:dyDescent="0.2">
      <c r="B147" s="16" t="s">
        <v>258</v>
      </c>
      <c r="C147">
        <f>C136</f>
        <v>162.303</v>
      </c>
      <c r="D147">
        <f t="shared" ref="D147:E147" si="5">D136</f>
        <v>16.597000000000001</v>
      </c>
      <c r="E147">
        <f t="shared" si="5"/>
        <v>14.147</v>
      </c>
      <c r="G147">
        <f>C147-D147+E147</f>
        <v>159.85299999999998</v>
      </c>
    </row>
    <row r="148" spans="2:7" ht="15" customHeight="1" x14ac:dyDescent="0.2">
      <c r="B148" s="16" t="s">
        <v>273</v>
      </c>
      <c r="C148" s="149">
        <v>0</v>
      </c>
      <c r="D148" s="149">
        <v>0</v>
      </c>
      <c r="E148" s="149">
        <v>0</v>
      </c>
      <c r="G148">
        <f t="shared" ref="G148:G149" si="6">C148-D148+E148</f>
        <v>0</v>
      </c>
    </row>
    <row r="149" spans="2:7" ht="15" customHeight="1" x14ac:dyDescent="0.2">
      <c r="B149" s="16" t="s">
        <v>274</v>
      </c>
      <c r="C149" s="149">
        <v>0</v>
      </c>
      <c r="D149" s="149">
        <v>0</v>
      </c>
      <c r="E149" s="149">
        <v>0</v>
      </c>
      <c r="G149">
        <f t="shared" si="6"/>
        <v>0</v>
      </c>
    </row>
    <row r="150" spans="2:7" ht="15" customHeight="1" x14ac:dyDescent="0.2">
      <c r="B150" s="16" t="s">
        <v>275</v>
      </c>
      <c r="C150">
        <f>SUM(C147:C149)</f>
        <v>162.303</v>
      </c>
      <c r="G150">
        <f>SUM(G147:G149)</f>
        <v>159.85299999999998</v>
      </c>
    </row>
    <row r="152" spans="2:7" ht="15" customHeight="1" x14ac:dyDescent="0.2">
      <c r="B152" s="16" t="s">
        <v>269</v>
      </c>
      <c r="G152" s="149">
        <v>0</v>
      </c>
    </row>
    <row r="153" spans="2:7" ht="15" customHeight="1" x14ac:dyDescent="0.2">
      <c r="B153" s="16" t="s">
        <v>270</v>
      </c>
      <c r="G153" s="149">
        <v>0</v>
      </c>
    </row>
    <row r="154" spans="2:7" ht="15" customHeight="1" x14ac:dyDescent="0.2">
      <c r="B154" s="16" t="s">
        <v>271</v>
      </c>
      <c r="G154">
        <f>G152-G153</f>
        <v>0</v>
      </c>
    </row>
    <row r="155" spans="2:7" ht="15" customHeight="1" x14ac:dyDescent="0.2">
      <c r="B155" s="16" t="s">
        <v>272</v>
      </c>
      <c r="G155">
        <f>G154*(1-C75)</f>
        <v>0</v>
      </c>
    </row>
    <row r="156" spans="2:7" ht="15" customHeight="1" x14ac:dyDescent="0.2">
      <c r="B156" s="16" t="s">
        <v>265</v>
      </c>
      <c r="G156">
        <f>G155+G142</f>
        <v>1571.8746936</v>
      </c>
    </row>
    <row r="158" spans="2:7" ht="15" customHeight="1" x14ac:dyDescent="0.2">
      <c r="B158" s="16" t="s">
        <v>276</v>
      </c>
      <c r="G158" s="69">
        <f>G156/G150</f>
        <v>9.8332511344798039</v>
      </c>
    </row>
  </sheetData>
  <printOptions headings="1" gridLines="1"/>
  <pageMargins left="0.70866141732283472" right="0.70866141732283472" top="0.74803149606299213" bottom="0.74803149606299213" header="0.31496062992125984" footer="0.31496062992125984"/>
  <pageSetup paperSize="9" scale="52" fitToHeight="3" orientation="portrait" cellComments="asDisplayed" verticalDpi="300" r:id="rId1"/>
  <headerFooter>
    <oddHeader xml:space="preserve">&amp;R&amp;10&amp;F 
&amp;A
</oddHeader>
    <oddFooter>&amp;L&amp;10© 2016&amp;C&amp;10Page &amp;P of &amp;N&amp;R&amp;G</oddFooter>
  </headerFooter>
  <legacyDrawing r:id="rId2"/>
  <legacyDrawingHF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5"/>
  </sheetPr>
  <dimension ref="A1:L78"/>
  <sheetViews>
    <sheetView tabSelected="1" zoomScale="125" zoomScaleNormal="100" workbookViewId="0">
      <selection activeCell="J13" sqref="J13"/>
    </sheetView>
  </sheetViews>
  <sheetFormatPr baseColWidth="10" defaultColWidth="8.83203125" defaultRowHeight="15" x14ac:dyDescent="0.2"/>
  <cols>
    <col min="1" max="1" width="2.1640625" customWidth="1"/>
    <col min="2" max="2" width="27.83203125" customWidth="1"/>
    <col min="3" max="3" width="17.83203125" customWidth="1"/>
    <col min="4" max="9" width="10.5" customWidth="1"/>
  </cols>
  <sheetData>
    <row r="1" spans="1:12" ht="45" customHeight="1" x14ac:dyDescent="0.35">
      <c r="A1" s="5" t="s">
        <v>582</v>
      </c>
      <c r="B1" s="10"/>
      <c r="C1" s="12"/>
      <c r="D1" s="12"/>
      <c r="E1" s="12"/>
      <c r="F1" s="12"/>
      <c r="G1" s="12"/>
      <c r="H1" s="12"/>
      <c r="I1" s="12"/>
      <c r="J1" s="12"/>
      <c r="K1" s="12"/>
      <c r="L1" s="12"/>
    </row>
    <row r="2" spans="1:12" ht="30" customHeight="1" x14ac:dyDescent="0.25">
      <c r="A2" s="14" t="s">
        <v>310</v>
      </c>
      <c r="B2" s="7"/>
      <c r="C2" s="11"/>
      <c r="D2" s="11"/>
      <c r="E2" s="11"/>
      <c r="F2" s="11"/>
      <c r="G2" s="11"/>
      <c r="H2" s="11"/>
      <c r="I2" s="11"/>
      <c r="J2" s="11"/>
      <c r="K2" s="11"/>
      <c r="L2" s="11"/>
    </row>
    <row r="3" spans="1:12" ht="21" x14ac:dyDescent="0.25">
      <c r="A3" s="14" t="s">
        <v>583</v>
      </c>
      <c r="B3" s="7"/>
      <c r="C3" s="11"/>
      <c r="D3" s="11"/>
      <c r="E3" s="11"/>
      <c r="F3" s="11"/>
      <c r="G3" s="11"/>
      <c r="H3" s="11"/>
      <c r="I3" s="11"/>
      <c r="J3" s="11"/>
      <c r="K3" s="11"/>
      <c r="L3" s="11"/>
    </row>
    <row r="5" spans="1:12" x14ac:dyDescent="0.2">
      <c r="A5" s="163" t="s">
        <v>592</v>
      </c>
    </row>
    <row r="6" spans="1:12" x14ac:dyDescent="0.2">
      <c r="B6" t="str">
        <f>'Tumi 1'!E8</f>
        <v>Cash and equivalents</v>
      </c>
      <c r="C6">
        <f>'Tumi 1'!G8</f>
        <v>101.956</v>
      </c>
    </row>
    <row r="7" spans="1:12" x14ac:dyDescent="0.2">
      <c r="B7" t="str">
        <f>'Tumi 1'!E9</f>
        <v>Financial investments</v>
      </c>
      <c r="C7">
        <f>'Tumi 1'!G9</f>
        <v>0</v>
      </c>
    </row>
    <row r="8" spans="1:12" x14ac:dyDescent="0.2">
      <c r="B8" t="str">
        <f>'Tumi 1'!E10</f>
        <v>Non-core assets</v>
      </c>
      <c r="C8">
        <f>'Tumi 1'!G10</f>
        <v>0</v>
      </c>
    </row>
    <row r="9" spans="1:12" x14ac:dyDescent="0.2">
      <c r="B9" t="str">
        <f>'Tumi 1'!E11</f>
        <v>M&amp;A adj.</v>
      </c>
      <c r="C9">
        <f>'Tumi 1'!G11</f>
        <v>0</v>
      </c>
    </row>
    <row r="10" spans="1:12" x14ac:dyDescent="0.2">
      <c r="B10" t="str">
        <f>'Tumi 1'!I8</f>
        <v>Financial debt</v>
      </c>
      <c r="C10">
        <f>'Tumi 1'!K8</f>
        <v>9.6289999999999996</v>
      </c>
    </row>
    <row r="11" spans="1:12" x14ac:dyDescent="0.2">
      <c r="B11" t="str">
        <f>'Tumi 1'!I9</f>
        <v>Preference shares</v>
      </c>
      <c r="C11">
        <f>'Tumi 1'!K9</f>
        <v>0</v>
      </c>
    </row>
    <row r="12" spans="1:12" x14ac:dyDescent="0.2">
      <c r="B12" t="str">
        <f>'Tumi 1'!I10</f>
        <v>Non-controlling interests</v>
      </c>
      <c r="C12">
        <f>'Tumi 1'!K10</f>
        <v>0</v>
      </c>
    </row>
    <row r="13" spans="1:12" x14ac:dyDescent="0.2">
      <c r="B13" t="str">
        <f>'Tumi 1'!I11</f>
        <v>Other adjustments</v>
      </c>
      <c r="C13">
        <f>'Tumi 1'!K11</f>
        <v>0</v>
      </c>
    </row>
    <row r="15" spans="1:12" x14ac:dyDescent="0.2">
      <c r="B15" t="str">
        <f>'Tumi 1'!B37</f>
        <v>Diluted shares outstanding</v>
      </c>
      <c r="C15">
        <f>'Tumi 1'!D37</f>
        <v>68.184731999999997</v>
      </c>
    </row>
    <row r="17" spans="1:4" x14ac:dyDescent="0.2">
      <c r="A17" s="163" t="s">
        <v>600</v>
      </c>
      <c r="C17" s="137" t="s">
        <v>154</v>
      </c>
      <c r="D17" s="137" t="s">
        <v>193</v>
      </c>
    </row>
    <row r="18" spans="1:4" x14ac:dyDescent="0.2">
      <c r="B18" t="s">
        <v>593</v>
      </c>
      <c r="C18" s="228">
        <v>9</v>
      </c>
      <c r="D18" s="228">
        <v>10</v>
      </c>
    </row>
    <row r="19" spans="1:4" x14ac:dyDescent="0.2">
      <c r="B19" t="s">
        <v>594</v>
      </c>
      <c r="C19">
        <f>'Tumi 1'!$I$17</f>
        <v>124.9</v>
      </c>
      <c r="D19">
        <f>'Tumi 1'!$I$17</f>
        <v>124.9</v>
      </c>
    </row>
    <row r="20" spans="1:4" x14ac:dyDescent="0.2">
      <c r="B20" t="s">
        <v>595</v>
      </c>
      <c r="C20">
        <f>C19*C18</f>
        <v>1124.1000000000001</v>
      </c>
      <c r="D20">
        <f>D19*D18</f>
        <v>1249</v>
      </c>
    </row>
    <row r="21" spans="1:4" x14ac:dyDescent="0.2">
      <c r="B21" t="s">
        <v>596</v>
      </c>
      <c r="C21">
        <f>SUM($C$6:$C$9)</f>
        <v>101.956</v>
      </c>
      <c r="D21">
        <f>SUM($C$6:$C$9)</f>
        <v>101.956</v>
      </c>
    </row>
    <row r="22" spans="1:4" x14ac:dyDescent="0.2">
      <c r="B22" t="s">
        <v>597</v>
      </c>
      <c r="C22">
        <f>SUM(C10:$C$13)</f>
        <v>9.6289999999999996</v>
      </c>
      <c r="D22">
        <f>SUM($C10:D$13)</f>
        <v>9.6289999999999996</v>
      </c>
    </row>
    <row r="23" spans="1:4" x14ac:dyDescent="0.2">
      <c r="B23" t="s">
        <v>598</v>
      </c>
      <c r="C23">
        <f>C20+C21-C22</f>
        <v>1216.4270000000001</v>
      </c>
      <c r="D23">
        <f>D20+D21-D22</f>
        <v>1341.327</v>
      </c>
    </row>
    <row r="24" spans="1:4" x14ac:dyDescent="0.2">
      <c r="B24" t="s">
        <v>599</v>
      </c>
      <c r="C24" s="107">
        <f>C23/$C$15</f>
        <v>17.840166915960015</v>
      </c>
      <c r="D24" s="107">
        <f>D23/$C$15</f>
        <v>19.671955299318331</v>
      </c>
    </row>
    <row r="25" spans="1:4" x14ac:dyDescent="0.2">
      <c r="C25" s="107"/>
      <c r="D25" s="107"/>
    </row>
    <row r="26" spans="1:4" x14ac:dyDescent="0.2">
      <c r="C26" t="s">
        <v>604</v>
      </c>
    </row>
    <row r="27" spans="1:4" x14ac:dyDescent="0.2">
      <c r="A27" s="163" t="s">
        <v>601</v>
      </c>
      <c r="C27" s="137" t="s">
        <v>602</v>
      </c>
      <c r="D27" s="137" t="s">
        <v>154</v>
      </c>
    </row>
    <row r="28" spans="1:4" x14ac:dyDescent="0.2">
      <c r="B28" t="s">
        <v>603</v>
      </c>
      <c r="C28" s="229">
        <v>16.27</v>
      </c>
      <c r="D28" s="229">
        <v>16.440000000000001</v>
      </c>
    </row>
    <row r="29" spans="1:4" x14ac:dyDescent="0.2">
      <c r="B29" t="s">
        <v>605</v>
      </c>
      <c r="C29" s="107">
        <f>'Tumi 1'!$I$19</f>
        <v>1.08</v>
      </c>
      <c r="D29" s="107">
        <f>'Tumi 1'!$I$19</f>
        <v>1.08</v>
      </c>
    </row>
    <row r="30" spans="1:4" x14ac:dyDescent="0.2">
      <c r="B30" t="s">
        <v>599</v>
      </c>
      <c r="C30" s="107">
        <f>C29*C28</f>
        <v>17.5716</v>
      </c>
      <c r="D30" s="107">
        <f>D29*D28</f>
        <v>17.755200000000002</v>
      </c>
    </row>
    <row r="32" spans="1:4" x14ac:dyDescent="0.2">
      <c r="A32" s="163" t="s">
        <v>190</v>
      </c>
      <c r="C32" s="137" t="s">
        <v>606</v>
      </c>
      <c r="D32" s="137" t="s">
        <v>607</v>
      </c>
    </row>
    <row r="33" spans="1:4" x14ac:dyDescent="0.2">
      <c r="B33" t="s">
        <v>608</v>
      </c>
      <c r="C33" s="107">
        <f>FCF!D72</f>
        <v>20.234896366651373</v>
      </c>
      <c r="D33" s="107">
        <f>FCF!F74</f>
        <v>23.327818613834658</v>
      </c>
    </row>
    <row r="35" spans="1:4" x14ac:dyDescent="0.2">
      <c r="A35" s="163" t="s">
        <v>609</v>
      </c>
    </row>
    <row r="36" spans="1:4" x14ac:dyDescent="0.2">
      <c r="B36" t="s">
        <v>610</v>
      </c>
      <c r="C36" s="107">
        <f>'Tumi 1'!C20</f>
        <v>15.01</v>
      </c>
      <c r="D36" s="107">
        <f>'Tumi 1'!C21</f>
        <v>27.84</v>
      </c>
    </row>
    <row r="37" spans="1:4" x14ac:dyDescent="0.2">
      <c r="C37" s="107"/>
      <c r="D37" s="107"/>
    </row>
    <row r="38" spans="1:4" x14ac:dyDescent="0.2">
      <c r="C38" t="s">
        <v>613</v>
      </c>
    </row>
    <row r="39" spans="1:4" x14ac:dyDescent="0.2">
      <c r="A39" s="163" t="s">
        <v>611</v>
      </c>
      <c r="C39" t="s">
        <v>612</v>
      </c>
      <c r="D39" t="s">
        <v>513</v>
      </c>
    </row>
    <row r="40" spans="1:4" x14ac:dyDescent="0.2">
      <c r="B40" t="s">
        <v>625</v>
      </c>
      <c r="C40" s="229">
        <v>10</v>
      </c>
      <c r="D40" s="229">
        <v>15.7</v>
      </c>
    </row>
    <row r="41" spans="1:4" x14ac:dyDescent="0.2">
      <c r="B41" t="s">
        <v>165</v>
      </c>
      <c r="C41">
        <f>'Tumi 1'!$G$17</f>
        <v>120.58500000000001</v>
      </c>
      <c r="D41">
        <f>'Tumi 1'!$G$17</f>
        <v>120.58500000000001</v>
      </c>
    </row>
    <row r="42" spans="1:4" x14ac:dyDescent="0.2">
      <c r="B42" t="s">
        <v>614</v>
      </c>
      <c r="C42">
        <f>C41*C40</f>
        <v>1205.8500000000001</v>
      </c>
      <c r="D42">
        <f>D41*D40</f>
        <v>1893.1845000000001</v>
      </c>
    </row>
    <row r="43" spans="1:4" x14ac:dyDescent="0.2">
      <c r="B43" t="s">
        <v>615</v>
      </c>
      <c r="C43">
        <f>C21</f>
        <v>101.956</v>
      </c>
      <c r="D43">
        <f>D21</f>
        <v>101.956</v>
      </c>
    </row>
    <row r="44" spans="1:4" x14ac:dyDescent="0.2">
      <c r="B44" t="s">
        <v>616</v>
      </c>
      <c r="C44">
        <f>C22</f>
        <v>9.6289999999999996</v>
      </c>
      <c r="D44">
        <f>D22</f>
        <v>9.6289999999999996</v>
      </c>
    </row>
    <row r="45" spans="1:4" x14ac:dyDescent="0.2">
      <c r="B45" t="s">
        <v>598</v>
      </c>
      <c r="C45">
        <f>C42+C43-C44</f>
        <v>1298.1770000000001</v>
      </c>
      <c r="D45">
        <f>D42+D43-D44</f>
        <v>1985.5115000000001</v>
      </c>
    </row>
    <row r="46" spans="1:4" x14ac:dyDescent="0.2">
      <c r="B46" t="s">
        <v>599</v>
      </c>
      <c r="C46" s="107">
        <f>C45/$C$15</f>
        <v>19.039115677685736</v>
      </c>
      <c r="D46" s="107">
        <f>D45/$C$15</f>
        <v>29.119590878497551</v>
      </c>
    </row>
    <row r="48" spans="1:4" x14ac:dyDescent="0.2">
      <c r="A48" s="163" t="s">
        <v>617</v>
      </c>
    </row>
    <row r="49" spans="1:9" x14ac:dyDescent="0.2">
      <c r="B49" t="s">
        <v>618</v>
      </c>
      <c r="C49" s="107">
        <f>'Tumi 1'!$C$19</f>
        <v>19.8</v>
      </c>
      <c r="D49" s="107">
        <f>'Tumi 1'!$C$19</f>
        <v>19.8</v>
      </c>
    </row>
    <row r="50" spans="1:9" x14ac:dyDescent="0.2">
      <c r="B50" t="s">
        <v>564</v>
      </c>
      <c r="C50" s="162">
        <v>0.24</v>
      </c>
      <c r="D50" s="162">
        <v>0.34</v>
      </c>
    </row>
    <row r="51" spans="1:9" x14ac:dyDescent="0.2">
      <c r="B51" t="s">
        <v>599</v>
      </c>
      <c r="C51" s="107">
        <f>C49*(1+C50)</f>
        <v>24.552</v>
      </c>
      <c r="D51" s="107">
        <f>D49*(1+D50)</f>
        <v>26.532000000000004</v>
      </c>
    </row>
    <row r="53" spans="1:9" x14ac:dyDescent="0.2">
      <c r="A53" s="163" t="s">
        <v>627</v>
      </c>
    </row>
    <row r="54" spans="1:9" x14ac:dyDescent="0.2">
      <c r="B54" t="s">
        <v>619</v>
      </c>
      <c r="C54">
        <f>'Tumi 1'!$G$16*0.04</f>
        <v>22.221439999999998</v>
      </c>
      <c r="D54">
        <f>'Tumi 1'!$G$16*0.06</f>
        <v>33.332159999999995</v>
      </c>
    </row>
    <row r="55" spans="1:9" x14ac:dyDescent="0.2">
      <c r="B55" t="s">
        <v>620</v>
      </c>
      <c r="C55" s="232">
        <v>12.8</v>
      </c>
      <c r="D55" s="232">
        <v>12.8</v>
      </c>
    </row>
    <row r="56" spans="1:9" x14ac:dyDescent="0.2">
      <c r="B56" t="s">
        <v>621</v>
      </c>
      <c r="C56">
        <f>C54*C55</f>
        <v>284.43443199999996</v>
      </c>
      <c r="D56">
        <f>D54*D55</f>
        <v>426.65164799999997</v>
      </c>
    </row>
    <row r="57" spans="1:9" x14ac:dyDescent="0.2">
      <c r="B57" t="s">
        <v>622</v>
      </c>
      <c r="C57" s="149">
        <v>1285.5</v>
      </c>
      <c r="D57" s="149">
        <v>1498.4</v>
      </c>
    </row>
    <row r="58" spans="1:9" x14ac:dyDescent="0.2">
      <c r="B58" t="s">
        <v>623</v>
      </c>
      <c r="C58">
        <f>C57+C56</f>
        <v>1569.934432</v>
      </c>
      <c r="D58">
        <f>D57+D56</f>
        <v>1925.0516480000001</v>
      </c>
    </row>
    <row r="59" spans="1:9" x14ac:dyDescent="0.2">
      <c r="B59" t="str">
        <f>B43</f>
        <v>Plus Financial Assets</v>
      </c>
      <c r="C59">
        <f t="shared" ref="C59:D60" si="0">C43</f>
        <v>101.956</v>
      </c>
      <c r="D59">
        <f t="shared" si="0"/>
        <v>101.956</v>
      </c>
      <c r="H59" t="s">
        <v>632</v>
      </c>
      <c r="I59" t="s">
        <v>631</v>
      </c>
    </row>
    <row r="60" spans="1:9" x14ac:dyDescent="0.2">
      <c r="B60" t="str">
        <f>B44</f>
        <v xml:space="preserve">Less Financial Liabilities </v>
      </c>
      <c r="C60">
        <f t="shared" si="0"/>
        <v>9.6289999999999996</v>
      </c>
      <c r="D60">
        <f t="shared" si="0"/>
        <v>9.6289999999999996</v>
      </c>
      <c r="H60" t="s">
        <v>629</v>
      </c>
      <c r="I60" t="s">
        <v>630</v>
      </c>
    </row>
    <row r="61" spans="1:9" x14ac:dyDescent="0.2">
      <c r="B61" t="str">
        <f>B45</f>
        <v>Implied Equity Value</v>
      </c>
      <c r="C61">
        <f>C58+C59-C60</f>
        <v>1662.261432</v>
      </c>
      <c r="D61">
        <f>D58+D59-D60</f>
        <v>2017.3786480000001</v>
      </c>
      <c r="H61">
        <f>'Tumi 1'!$C$19</f>
        <v>19.8</v>
      </c>
      <c r="I61">
        <v>0</v>
      </c>
    </row>
    <row r="62" spans="1:9" x14ac:dyDescent="0.2">
      <c r="B62" t="s">
        <v>599</v>
      </c>
      <c r="C62" s="107">
        <f>C61/$C$15</f>
        <v>24.378792483924407</v>
      </c>
      <c r="D62" s="107">
        <f>D61/$C$15</f>
        <v>29.586955742526058</v>
      </c>
      <c r="H62">
        <f>'Tumi 1'!$C$19</f>
        <v>19.8</v>
      </c>
      <c r="I62">
        <v>7</v>
      </c>
    </row>
    <row r="63" spans="1:9" x14ac:dyDescent="0.2">
      <c r="C63" s="107"/>
      <c r="D63" s="107"/>
    </row>
    <row r="64" spans="1:9" x14ac:dyDescent="0.2">
      <c r="A64" s="163" t="s">
        <v>628</v>
      </c>
    </row>
    <row r="65" spans="1:9" x14ac:dyDescent="0.2">
      <c r="B65" t="s">
        <v>624</v>
      </c>
      <c r="C65" t="s">
        <v>606</v>
      </c>
      <c r="D65" t="s">
        <v>626</v>
      </c>
      <c r="E65" t="s">
        <v>633</v>
      </c>
      <c r="F65" t="s">
        <v>607</v>
      </c>
    </row>
    <row r="66" spans="1:9" x14ac:dyDescent="0.2">
      <c r="A66" s="233">
        <v>0</v>
      </c>
      <c r="B66" t="str">
        <f>A17</f>
        <v>EV / EBITDA CY 2</v>
      </c>
      <c r="C66" s="137">
        <f>C24</f>
        <v>17.840166915960015</v>
      </c>
      <c r="D66" s="137">
        <f t="shared" ref="D66:D72" si="1">F66-C66</f>
        <v>1.8317883833583153</v>
      </c>
      <c r="E66">
        <f>$I$62-A66-0.5</f>
        <v>6.5</v>
      </c>
      <c r="F66" s="137">
        <f>D24</f>
        <v>19.671955299318331</v>
      </c>
    </row>
    <row r="67" spans="1:9" x14ac:dyDescent="0.2">
      <c r="A67" s="233">
        <v>1</v>
      </c>
      <c r="B67" t="str">
        <f>A27</f>
        <v>PE CY 2</v>
      </c>
      <c r="C67" s="107">
        <f>C30</f>
        <v>17.5716</v>
      </c>
      <c r="D67" s="137">
        <f t="shared" si="1"/>
        <v>0.18360000000000198</v>
      </c>
      <c r="E67">
        <f t="shared" ref="E67:E72" si="2">$I$62-A67-0.5</f>
        <v>5.5</v>
      </c>
      <c r="F67" s="107">
        <f>D30</f>
        <v>17.755200000000002</v>
      </c>
    </row>
    <row r="68" spans="1:9" x14ac:dyDescent="0.2">
      <c r="A68" s="233">
        <v>2</v>
      </c>
      <c r="B68" t="str">
        <f>B33</f>
        <v>DCF (WACC 6.65% to 7.05% LT Growth)</v>
      </c>
      <c r="C68" s="107">
        <f>C33</f>
        <v>20.234896366651373</v>
      </c>
      <c r="D68" s="137">
        <f t="shared" si="1"/>
        <v>3.0929222471832851</v>
      </c>
      <c r="E68">
        <f t="shared" si="2"/>
        <v>4.5</v>
      </c>
      <c r="F68" s="107">
        <f>D33</f>
        <v>23.327818613834658</v>
      </c>
    </row>
    <row r="69" spans="1:9" x14ac:dyDescent="0.2">
      <c r="A69" s="233">
        <v>3</v>
      </c>
      <c r="B69" t="str">
        <f>B36</f>
        <v>52 Week High Low</v>
      </c>
      <c r="C69" s="107">
        <f>C36</f>
        <v>15.01</v>
      </c>
      <c r="D69" s="137">
        <f t="shared" si="1"/>
        <v>12.83</v>
      </c>
      <c r="E69">
        <f t="shared" si="2"/>
        <v>3.5</v>
      </c>
      <c r="F69" s="107">
        <f>D36</f>
        <v>27.84</v>
      </c>
    </row>
    <row r="70" spans="1:9" x14ac:dyDescent="0.2">
      <c r="A70" s="233">
        <v>4</v>
      </c>
      <c r="B70" t="str">
        <f>B40</f>
        <v>Transaction EV/LTM EBITDA</v>
      </c>
      <c r="C70" s="107">
        <f>C46</f>
        <v>19.039115677685736</v>
      </c>
      <c r="D70" s="137">
        <f t="shared" si="1"/>
        <v>10.080475200811815</v>
      </c>
      <c r="E70">
        <f t="shared" si="2"/>
        <v>2.5</v>
      </c>
      <c r="F70" s="107">
        <f>D46</f>
        <v>29.119590878497551</v>
      </c>
    </row>
    <row r="71" spans="1:9" x14ac:dyDescent="0.2">
      <c r="A71" s="233">
        <v>5</v>
      </c>
      <c r="B71" t="str">
        <f>A48</f>
        <v>Premium Paid</v>
      </c>
      <c r="C71" s="107">
        <f>C51</f>
        <v>24.552</v>
      </c>
      <c r="D71" s="137">
        <f t="shared" si="1"/>
        <v>1.980000000000004</v>
      </c>
      <c r="E71">
        <f t="shared" si="2"/>
        <v>1.5</v>
      </c>
      <c r="F71" s="107">
        <f>D51</f>
        <v>26.532000000000004</v>
      </c>
    </row>
    <row r="72" spans="1:9" x14ac:dyDescent="0.2">
      <c r="A72" s="233">
        <v>6</v>
      </c>
      <c r="B72" t="str">
        <f>A53</f>
        <v>DCF with Synergies 4% to 6% of LTM sales</v>
      </c>
      <c r="C72" s="107">
        <f>C62</f>
        <v>24.378792483924407</v>
      </c>
      <c r="D72" s="137">
        <f t="shared" si="1"/>
        <v>5.2081632586016511</v>
      </c>
      <c r="E72">
        <f t="shared" si="2"/>
        <v>0.5</v>
      </c>
      <c r="F72" s="107">
        <f>D62</f>
        <v>29.586955742526058</v>
      </c>
    </row>
    <row r="73" spans="1:9" x14ac:dyDescent="0.2">
      <c r="C73" s="107"/>
      <c r="F73" s="107"/>
    </row>
    <row r="76" spans="1:9" x14ac:dyDescent="0.2">
      <c r="H76" s="137"/>
      <c r="I76" s="137"/>
    </row>
    <row r="77" spans="1:9" x14ac:dyDescent="0.2">
      <c r="H77" s="149"/>
    </row>
    <row r="78" spans="1:9" x14ac:dyDescent="0.2">
      <c r="H78" s="149"/>
    </row>
  </sheetData>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24</vt:i4>
      </vt:variant>
    </vt:vector>
  </HeadingPairs>
  <TitlesOfParts>
    <vt:vector size="42" baseType="lpstr">
      <vt:lpstr>Welcome</vt:lpstr>
      <vt:lpstr>Info</vt:lpstr>
      <vt:lpstr>Samsonite</vt:lpstr>
      <vt:lpstr>LVMH</vt:lpstr>
      <vt:lpstr>Burberry</vt:lpstr>
      <vt:lpstr>Input</vt:lpstr>
      <vt:lpstr>Calc</vt:lpstr>
      <vt:lpstr>IS</vt:lpstr>
      <vt:lpstr>BS</vt:lpstr>
      <vt:lpstr>CFS</vt:lpstr>
      <vt:lpstr>WACC</vt:lpstr>
      <vt:lpstr>LoroPiana</vt:lpstr>
      <vt:lpstr>Comparables valuation</vt:lpstr>
      <vt:lpstr>FCF</vt:lpstr>
      <vt:lpstr>Transaction comparables</vt:lpstr>
      <vt:lpstr>Tumi</vt:lpstr>
      <vt:lpstr>Tumi 1</vt:lpstr>
      <vt:lpstr>Football field</vt:lpstr>
      <vt:lpstr>Burberry!calendar</vt:lpstr>
      <vt:lpstr>LoroPiana!calendar</vt:lpstr>
      <vt:lpstr>LVMH!calendar</vt:lpstr>
      <vt:lpstr>Samsonite!calendar</vt:lpstr>
      <vt:lpstr>Tumi!calendar</vt:lpstr>
      <vt:lpstr>'Tumi 1'!calendar</vt:lpstr>
      <vt:lpstr>WACC!calendar</vt:lpstr>
      <vt:lpstr>date</vt:lpstr>
      <vt:lpstr>Burberry!FX</vt:lpstr>
      <vt:lpstr>LoroPiana!FX</vt:lpstr>
      <vt:lpstr>LVMH!FX</vt:lpstr>
      <vt:lpstr>Samsonite!FX</vt:lpstr>
      <vt:lpstr>Tumi!FX</vt:lpstr>
      <vt:lpstr>'Tumi 1'!FX</vt:lpstr>
      <vt:lpstr>WACC!FXadj</vt:lpstr>
      <vt:lpstr>FXadj</vt:lpstr>
      <vt:lpstr>scenario_toggle</vt:lpstr>
      <vt:lpstr>switch</vt:lpstr>
      <vt:lpstr>'Football field'!Switch2</vt:lpstr>
      <vt:lpstr>Switch2</vt:lpstr>
      <vt:lpstr>Burberry!Ticker</vt:lpstr>
      <vt:lpstr>LVMH!Ticker</vt:lpstr>
      <vt:lpstr>Samsonite!Ticker</vt:lpstr>
      <vt:lpstr>'Tumi 1'!Ticker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 training</dc:creator>
  <cp:lastModifiedBy>Microsoft Office User</cp:lastModifiedBy>
  <cp:lastPrinted>2016-08-02T18:28:31Z</cp:lastPrinted>
  <dcterms:created xsi:type="dcterms:W3CDTF">2016-02-03T14:06:14Z</dcterms:created>
  <dcterms:modified xsi:type="dcterms:W3CDTF">2022-02-01T13:59:54Z</dcterms:modified>
</cp:coreProperties>
</file>