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ttysburg-my.sharepoint.com/personal/tranli01_gettysburg_edu/Documents/"/>
    </mc:Choice>
  </mc:AlternateContent>
  <xr:revisionPtr revIDLastSave="107" documentId="8_{34C1E122-828A-F744-B2A5-4FE75285EC6C}" xr6:coauthVersionLast="47" xr6:coauthVersionMax="47" xr10:uidLastSave="{843147BC-A4F7-D84F-AC1D-F6518B85727E}"/>
  <bookViews>
    <workbookView xWindow="0" yWindow="760" windowWidth="30240" windowHeight="18880" activeTab="1" xr2:uid="{1D3E8FD7-E0C1-44EF-8415-BAC47612C5DE}"/>
  </bookViews>
  <sheets>
    <sheet name="Assumptions &amp; Cash Flow" sheetId="1" r:id="rId1"/>
    <sheet name="Rent Roll" sheetId="3" r:id="rId2"/>
    <sheet name="Sources &amp; Uses" sheetId="2" r:id="rId3"/>
    <sheet name="Debt Siz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3" l="1"/>
  <c r="U22" i="3"/>
  <c r="M27" i="1"/>
  <c r="N27" i="1"/>
  <c r="O27" i="1"/>
  <c r="P27" i="1"/>
  <c r="Q27" i="1"/>
  <c r="R27" i="1"/>
  <c r="S27" i="1"/>
  <c r="T27" i="1"/>
  <c r="L27" i="1"/>
  <c r="M25" i="1"/>
  <c r="N25" i="1"/>
  <c r="O25" i="1"/>
  <c r="P25" i="1"/>
  <c r="Q25" i="1"/>
  <c r="R25" i="1"/>
  <c r="S25" i="1"/>
  <c r="T25" i="1"/>
  <c r="L25" i="1"/>
  <c r="N24" i="1"/>
  <c r="O24" i="1" s="1"/>
  <c r="P24" i="1" s="1"/>
  <c r="Q24" i="1" s="1"/>
  <c r="R24" i="1" s="1"/>
  <c r="S24" i="1" s="1"/>
  <c r="T24" i="1" s="1"/>
  <c r="U24" i="1" s="1"/>
  <c r="V24" i="1" s="1"/>
  <c r="M24" i="1"/>
  <c r="L24" i="1"/>
  <c r="N23" i="1"/>
  <c r="O23" i="1" s="1"/>
  <c r="P23" i="1" s="1"/>
  <c r="Q23" i="1" s="1"/>
  <c r="R23" i="1" s="1"/>
  <c r="S23" i="1" s="1"/>
  <c r="T23" i="1" s="1"/>
  <c r="U23" i="1" s="1"/>
  <c r="V23" i="1" s="1"/>
  <c r="M23" i="1"/>
  <c r="L23" i="1"/>
  <c r="M22" i="1"/>
  <c r="N22" i="1"/>
  <c r="O22" i="1"/>
  <c r="P22" i="1"/>
  <c r="Q22" i="1"/>
  <c r="R22" i="1"/>
  <c r="S22" i="1"/>
  <c r="T22" i="1"/>
  <c r="L22" i="1"/>
  <c r="M21" i="1"/>
  <c r="N21" i="1" s="1"/>
  <c r="O21" i="1" s="1"/>
  <c r="P21" i="1" s="1"/>
  <c r="Q21" i="1" s="1"/>
  <c r="R21" i="1" s="1"/>
  <c r="S21" i="1" s="1"/>
  <c r="T21" i="1" s="1"/>
  <c r="U21" i="1" s="1"/>
  <c r="V21" i="1" s="1"/>
  <c r="L21" i="1"/>
  <c r="N20" i="1"/>
  <c r="O20" i="1" s="1"/>
  <c r="P20" i="1" s="1"/>
  <c r="Q20" i="1" s="1"/>
  <c r="R20" i="1" s="1"/>
  <c r="S20" i="1" s="1"/>
  <c r="T20" i="1" s="1"/>
  <c r="U20" i="1" s="1"/>
  <c r="V20" i="1" s="1"/>
  <c r="M20" i="1"/>
  <c r="L20" i="1"/>
  <c r="N19" i="1"/>
  <c r="O19" i="1" s="1"/>
  <c r="P19" i="1" s="1"/>
  <c r="Q19" i="1" s="1"/>
  <c r="R19" i="1" s="1"/>
  <c r="S19" i="1" s="1"/>
  <c r="T19" i="1" s="1"/>
  <c r="U19" i="1" s="1"/>
  <c r="V19" i="1" s="1"/>
  <c r="M19" i="1"/>
  <c r="L19" i="1"/>
  <c r="N18" i="1"/>
  <c r="O18" i="1" s="1"/>
  <c r="P18" i="1" s="1"/>
  <c r="Q18" i="1" s="1"/>
  <c r="R18" i="1" s="1"/>
  <c r="S18" i="1" s="1"/>
  <c r="T18" i="1" s="1"/>
  <c r="U18" i="1" s="1"/>
  <c r="V18" i="1" s="1"/>
  <c r="M18" i="1"/>
  <c r="L18" i="1"/>
  <c r="L17" i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M16" i="1"/>
  <c r="N16" i="1" s="1"/>
  <c r="O16" i="1" s="1"/>
  <c r="P16" i="1" s="1"/>
  <c r="Q16" i="1" s="1"/>
  <c r="R16" i="1" s="1"/>
  <c r="S16" i="1" s="1"/>
  <c r="T16" i="1" s="1"/>
  <c r="U16" i="1" s="1"/>
  <c r="V16" i="1" s="1"/>
  <c r="L16" i="1"/>
  <c r="L12" i="1"/>
  <c r="M12" i="1" s="1"/>
  <c r="R11" i="1"/>
  <c r="S11" i="1"/>
  <c r="S22" i="3"/>
  <c r="T10" i="1" s="1"/>
  <c r="R22" i="3"/>
  <c r="S10" i="1" s="1"/>
  <c r="Q22" i="3"/>
  <c r="P22" i="3"/>
  <c r="Q10" i="1" s="1"/>
  <c r="O22" i="3"/>
  <c r="P10" i="1" s="1"/>
  <c r="N22" i="3"/>
  <c r="M22" i="3"/>
  <c r="L22" i="3"/>
  <c r="K22" i="3"/>
  <c r="L10" i="1" s="1"/>
  <c r="K18" i="3"/>
  <c r="L18" i="3"/>
  <c r="M18" i="3"/>
  <c r="N18" i="3"/>
  <c r="O9" i="1" s="1"/>
  <c r="O11" i="1" s="1"/>
  <c r="O18" i="3"/>
  <c r="P9" i="1" s="1"/>
  <c r="P11" i="1" s="1"/>
  <c r="P18" i="3"/>
  <c r="Q9" i="1" s="1"/>
  <c r="Q18" i="3"/>
  <c r="R9" i="1" s="1"/>
  <c r="R18" i="3"/>
  <c r="S18" i="3"/>
  <c r="T18" i="3"/>
  <c r="U18" i="3"/>
  <c r="J18" i="3"/>
  <c r="L17" i="3"/>
  <c r="M17" i="3" s="1"/>
  <c r="N17" i="3" s="1"/>
  <c r="O17" i="3" s="1"/>
  <c r="P17" i="3" s="1"/>
  <c r="Q17" i="3" s="1"/>
  <c r="R17" i="3" s="1"/>
  <c r="S17" i="3" s="1"/>
  <c r="T17" i="3" s="1"/>
  <c r="U17" i="3" s="1"/>
  <c r="K17" i="3"/>
  <c r="L16" i="3"/>
  <c r="M16" i="3" s="1"/>
  <c r="N16" i="3" s="1"/>
  <c r="O16" i="3" s="1"/>
  <c r="P16" i="3" s="1"/>
  <c r="Q16" i="3" s="1"/>
  <c r="R16" i="3" s="1"/>
  <c r="S16" i="3" s="1"/>
  <c r="T16" i="3" s="1"/>
  <c r="U16" i="3" s="1"/>
  <c r="K16" i="3"/>
  <c r="L15" i="3"/>
  <c r="M15" i="3" s="1"/>
  <c r="N15" i="3" s="1"/>
  <c r="O15" i="3" s="1"/>
  <c r="P15" i="3" s="1"/>
  <c r="Q15" i="3" s="1"/>
  <c r="R15" i="3" s="1"/>
  <c r="S15" i="3" s="1"/>
  <c r="T15" i="3" s="1"/>
  <c r="U15" i="3" s="1"/>
  <c r="K15" i="3"/>
  <c r="J17" i="3"/>
  <c r="J16" i="3"/>
  <c r="J15" i="3"/>
  <c r="J14" i="3"/>
  <c r="K14" i="3" s="1"/>
  <c r="V10" i="1"/>
  <c r="U10" i="1"/>
  <c r="R10" i="1"/>
  <c r="O10" i="1"/>
  <c r="N10" i="1"/>
  <c r="M10" i="1"/>
  <c r="V9" i="1"/>
  <c r="U9" i="1"/>
  <c r="T9" i="1"/>
  <c r="T11" i="1" s="1"/>
  <c r="S9" i="1"/>
  <c r="N9" i="1"/>
  <c r="N11" i="1" s="1"/>
  <c r="M9" i="1"/>
  <c r="M11" i="1" s="1"/>
  <c r="L9" i="1"/>
  <c r="L11" i="1" s="1"/>
  <c r="G49" i="1"/>
  <c r="G48" i="1" s="1"/>
  <c r="D16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39" i="3"/>
  <c r="F9" i="3"/>
  <c r="M13" i="1" l="1"/>
  <c r="N12" i="1"/>
  <c r="L13" i="1"/>
  <c r="V11" i="1"/>
  <c r="U11" i="1"/>
  <c r="Q11" i="1"/>
  <c r="J16" i="2"/>
  <c r="D15" i="2"/>
  <c r="J15" i="2" s="1"/>
  <c r="O12" i="1" l="1"/>
  <c r="N13" i="1"/>
  <c r="E40" i="3"/>
  <c r="D40" i="3"/>
  <c r="F40" i="3" s="1"/>
  <c r="C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L6" i="3"/>
  <c r="M6" i="3" s="1"/>
  <c r="N6" i="3" s="1"/>
  <c r="O6" i="3" s="1"/>
  <c r="P6" i="3" s="1"/>
  <c r="Q6" i="3" s="1"/>
  <c r="R6" i="3" s="1"/>
  <c r="S6" i="3" s="1"/>
  <c r="T6" i="3" s="1"/>
  <c r="U6" i="3" s="1"/>
  <c r="G13" i="1"/>
  <c r="K7" i="1"/>
  <c r="L6" i="1"/>
  <c r="L7" i="1" l="1"/>
  <c r="M7" i="1" s="1"/>
  <c r="N7" i="1" s="1"/>
  <c r="O7" i="1" s="1"/>
  <c r="P7" i="1" s="1"/>
  <c r="Q7" i="1" s="1"/>
  <c r="R7" i="1" s="1"/>
  <c r="S7" i="1" s="1"/>
  <c r="T7" i="1" s="1"/>
  <c r="U7" i="1" s="1"/>
  <c r="V7" i="1" s="1"/>
  <c r="J7" i="3"/>
  <c r="M6" i="1"/>
  <c r="P12" i="1"/>
  <c r="O13" i="1"/>
  <c r="L14" i="3"/>
  <c r="M14" i="3" s="1"/>
  <c r="N14" i="3" s="1"/>
  <c r="O14" i="3" s="1"/>
  <c r="P14" i="3" s="1"/>
  <c r="Q14" i="3" s="1"/>
  <c r="R14" i="3" s="1"/>
  <c r="S14" i="3" s="1"/>
  <c r="T14" i="3" s="1"/>
  <c r="U14" i="3" s="1"/>
  <c r="C6" i="2"/>
  <c r="D19" i="2" s="1"/>
  <c r="L31" i="1"/>
  <c r="L32" i="1"/>
  <c r="K7" i="3"/>
  <c r="L7" i="3" s="1"/>
  <c r="M7" i="3" s="1"/>
  <c r="N7" i="3" s="1"/>
  <c r="O7" i="3" s="1"/>
  <c r="P7" i="3" s="1"/>
  <c r="Q7" i="3" s="1"/>
  <c r="R7" i="3" s="1"/>
  <c r="S7" i="3" s="1"/>
  <c r="T7" i="3" s="1"/>
  <c r="U7" i="3" s="1"/>
  <c r="G40" i="3"/>
  <c r="N6" i="1"/>
  <c r="M31" i="1"/>
  <c r="M32" i="1"/>
  <c r="Q12" i="1" l="1"/>
  <c r="P13" i="1"/>
  <c r="H11" i="2"/>
  <c r="G19" i="2"/>
  <c r="J19" i="2" s="1"/>
  <c r="K19" i="2" s="1"/>
  <c r="K16" i="2"/>
  <c r="E15" i="2"/>
  <c r="H17" i="2"/>
  <c r="H16" i="2"/>
  <c r="H15" i="2"/>
  <c r="E16" i="2"/>
  <c r="K15" i="2"/>
  <c r="G18" i="2"/>
  <c r="G20" i="2" s="1"/>
  <c r="G12" i="2" s="1"/>
  <c r="H12" i="2" s="1"/>
  <c r="H13" i="2" s="1"/>
  <c r="D18" i="2"/>
  <c r="O6" i="1"/>
  <c r="N31" i="1"/>
  <c r="N32" i="1"/>
  <c r="R12" i="1" l="1"/>
  <c r="Q13" i="1"/>
  <c r="H20" i="2"/>
  <c r="J18" i="2"/>
  <c r="G39" i="1" s="1"/>
  <c r="I16" i="2"/>
  <c r="I15" i="2"/>
  <c r="I19" i="2"/>
  <c r="I17" i="2"/>
  <c r="I18" i="2"/>
  <c r="G13" i="2"/>
  <c r="I12" i="2" s="1"/>
  <c r="I20" i="2"/>
  <c r="P6" i="1"/>
  <c r="O30" i="1"/>
  <c r="O31" i="1"/>
  <c r="O32" i="1"/>
  <c r="S12" i="1" l="1"/>
  <c r="R13" i="1"/>
  <c r="K18" i="2"/>
  <c r="L30" i="1"/>
  <c r="L33" i="1" s="1"/>
  <c r="I11" i="2"/>
  <c r="I13" i="2"/>
  <c r="Q6" i="1"/>
  <c r="P30" i="1"/>
  <c r="P31" i="1"/>
  <c r="P32" i="1"/>
  <c r="O33" i="1"/>
  <c r="T12" i="1" l="1"/>
  <c r="S13" i="1"/>
  <c r="G17" i="1"/>
  <c r="M30" i="1"/>
  <c r="M33" i="1" s="1"/>
  <c r="N30" i="1"/>
  <c r="N33" i="1" s="1"/>
  <c r="P33" i="1"/>
  <c r="R6" i="1"/>
  <c r="Q30" i="1"/>
  <c r="Q31" i="1"/>
  <c r="Q32" i="1"/>
  <c r="U12" i="1" l="1"/>
  <c r="T13" i="1"/>
  <c r="Q33" i="1"/>
  <c r="S6" i="1"/>
  <c r="R31" i="1"/>
  <c r="R30" i="1"/>
  <c r="R32" i="1"/>
  <c r="V12" i="1" l="1"/>
  <c r="V13" i="1" s="1"/>
  <c r="U13" i="1"/>
  <c r="L48" i="1"/>
  <c r="T6" i="1"/>
  <c r="S31" i="1"/>
  <c r="S32" i="1"/>
  <c r="S30" i="1"/>
  <c r="M48" i="1"/>
  <c r="R33" i="1"/>
  <c r="U22" i="1" l="1"/>
  <c r="U25" i="1" s="1"/>
  <c r="U27" i="1"/>
  <c r="V22" i="1"/>
  <c r="V25" i="1" s="1"/>
  <c r="V27" i="1" s="1"/>
  <c r="S33" i="1"/>
  <c r="G46" i="1"/>
  <c r="G53" i="1" s="1"/>
  <c r="U6" i="1"/>
  <c r="T32" i="1"/>
  <c r="T30" i="1"/>
  <c r="T31" i="1"/>
  <c r="U38" i="1" l="1"/>
  <c r="U63" i="1" s="1"/>
  <c r="L38" i="1"/>
  <c r="L63" i="1" s="1"/>
  <c r="N38" i="1"/>
  <c r="N63" i="1" s="1"/>
  <c r="M38" i="1"/>
  <c r="M63" i="1" s="1"/>
  <c r="O38" i="1"/>
  <c r="O63" i="1" s="1"/>
  <c r="P38" i="1"/>
  <c r="P63" i="1" s="1"/>
  <c r="Q38" i="1"/>
  <c r="Q63" i="1" s="1"/>
  <c r="R38" i="1"/>
  <c r="R63" i="1" s="1"/>
  <c r="S38" i="1"/>
  <c r="S63" i="1" s="1"/>
  <c r="T38" i="1"/>
  <c r="T63" i="1" s="1"/>
  <c r="N62" i="1"/>
  <c r="P62" i="1"/>
  <c r="O62" i="1"/>
  <c r="L62" i="1"/>
  <c r="M62" i="1"/>
  <c r="D11" i="2"/>
  <c r="E11" i="2" s="1"/>
  <c r="V6" i="1"/>
  <c r="U32" i="1"/>
  <c r="U30" i="1"/>
  <c r="U31" i="1"/>
  <c r="T33" i="1"/>
  <c r="Q62" i="1"/>
  <c r="G60" i="1" l="1"/>
  <c r="U33" i="1"/>
  <c r="R62" i="1"/>
  <c r="J11" i="2"/>
  <c r="D17" i="2" s="1"/>
  <c r="K11" i="2" l="1"/>
  <c r="S62" i="1"/>
  <c r="J17" i="2" l="1"/>
  <c r="D20" i="2"/>
  <c r="E17" i="2"/>
  <c r="E20" i="2" s="1"/>
  <c r="T62" i="1"/>
  <c r="F17" i="2" l="1"/>
  <c r="F16" i="2"/>
  <c r="F19" i="2"/>
  <c r="F15" i="2"/>
  <c r="F20" i="2"/>
  <c r="F18" i="2"/>
  <c r="D12" i="2"/>
  <c r="K55" i="1" s="1"/>
  <c r="K17" i="2"/>
  <c r="K20" i="2" s="1"/>
  <c r="J20" i="2"/>
  <c r="U62" i="1"/>
  <c r="G57" i="1" l="1"/>
  <c r="G58" i="1" s="1"/>
  <c r="L17" i="2"/>
  <c r="L19" i="2"/>
  <c r="L16" i="2"/>
  <c r="L15" i="2"/>
  <c r="L18" i="2"/>
  <c r="J12" i="2"/>
  <c r="E12" i="2"/>
  <c r="E13" i="2" s="1"/>
  <c r="D13" i="2"/>
  <c r="T61" i="1" l="1"/>
  <c r="F12" i="2"/>
  <c r="F13" i="2"/>
  <c r="F11" i="2"/>
  <c r="P61" i="1"/>
  <c r="R61" i="1"/>
  <c r="N61" i="1"/>
  <c r="O61" i="1"/>
  <c r="M61" i="1"/>
  <c r="L61" i="1"/>
  <c r="Q61" i="1"/>
  <c r="K12" i="2"/>
  <c r="K13" i="2" s="1"/>
  <c r="J13" i="2"/>
  <c r="L11" i="2" s="1"/>
  <c r="S61" i="1"/>
  <c r="L20" i="2"/>
  <c r="S48" i="1" l="1"/>
  <c r="L12" i="2"/>
  <c r="L13" i="2" s="1"/>
  <c r="K67" i="1"/>
  <c r="U61" i="1"/>
  <c r="K66" i="1"/>
  <c r="P48" i="1" l="1"/>
  <c r="R48" i="1"/>
  <c r="Q48" i="1"/>
  <c r="T48" i="1"/>
  <c r="N48" i="1"/>
  <c r="O48" i="1"/>
  <c r="K51" i="1" l="1"/>
  <c r="K52" i="1"/>
  <c r="U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 Pesci</author>
  </authors>
  <commentList>
    <comment ref="J7" authorId="0" shapeId="0" xr:uid="{46E3F904-27AE-2C4B-8837-197BC210EA49}">
      <text>
        <r>
          <rPr>
            <b/>
            <sz val="9"/>
            <color rgb="FF000000"/>
            <rFont val="Tahoma"/>
            <family val="2"/>
          </rPr>
          <t>Jake Pesci: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Hyper growth for value add</t>
        </r>
      </text>
    </comment>
    <comment ref="K7" authorId="0" shapeId="0" xr:uid="{748F3D32-15E8-4C7A-9AB9-9F90C0EE97A3}">
      <text>
        <r>
          <rPr>
            <b/>
            <sz val="9"/>
            <color rgb="FF000000"/>
            <rFont val="Tahoma"/>
            <family val="2"/>
          </rPr>
          <t>Jake Pesci: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Hyper growth for value add</t>
        </r>
      </text>
    </comment>
  </commentList>
</comments>
</file>

<file path=xl/sharedStrings.xml><?xml version="1.0" encoding="utf-8"?>
<sst xmlns="http://schemas.openxmlformats.org/spreadsheetml/2006/main" count="210" uniqueCount="169">
  <si>
    <t>Assumptions &amp; Cash Flow</t>
  </si>
  <si>
    <t>General Assumptions</t>
  </si>
  <si>
    <t>Project Name</t>
  </si>
  <si>
    <t>Project Destined</t>
  </si>
  <si>
    <t xml:space="preserve">Underwriter </t>
  </si>
  <si>
    <t>Revenues</t>
  </si>
  <si>
    <t># of Units</t>
  </si>
  <si>
    <t>Square Footage</t>
  </si>
  <si>
    <t>Vacancy Rate</t>
  </si>
  <si>
    <t xml:space="preserve"> </t>
  </si>
  <si>
    <t>Purchase Date</t>
  </si>
  <si>
    <t>Credit Loss</t>
  </si>
  <si>
    <t>Total Hold Period</t>
  </si>
  <si>
    <t>Other Income</t>
  </si>
  <si>
    <t>Sale Date</t>
  </si>
  <si>
    <t>Effective Gross Income</t>
  </si>
  <si>
    <t>Property Purchase Price</t>
  </si>
  <si>
    <t>Closing Costs &amp; Permits</t>
  </si>
  <si>
    <t>Operating Expenses</t>
  </si>
  <si>
    <t>Debt Origination Costs (% of Debt)</t>
  </si>
  <si>
    <t>Payroll</t>
  </si>
  <si>
    <t>Revenue Assumptions</t>
  </si>
  <si>
    <t>Contracts</t>
  </si>
  <si>
    <t>Repairs &amp; Maintenance</t>
  </si>
  <si>
    <t>Administrative/G&amp;A</t>
  </si>
  <si>
    <t xml:space="preserve">Other Income Growth </t>
  </si>
  <si>
    <t>Insurance</t>
  </si>
  <si>
    <t>Management Fee (% of EGI)</t>
  </si>
  <si>
    <t>Real Estate Taxes</t>
  </si>
  <si>
    <t>Reserves</t>
  </si>
  <si>
    <t>Total Operating Expenses</t>
  </si>
  <si>
    <t>Repairs &amp; Maintenance (per unit per year)</t>
  </si>
  <si>
    <t>Net Operating Income</t>
  </si>
  <si>
    <t>Capital Expenses</t>
  </si>
  <si>
    <t>Renovation Schedule</t>
  </si>
  <si>
    <t>Reserves (per unit per year)</t>
  </si>
  <si>
    <t>Roof Replacement</t>
  </si>
  <si>
    <t>Expense Growth</t>
  </si>
  <si>
    <t>Total Capital Expenses</t>
  </si>
  <si>
    <t>Real Estate Tax Growth</t>
  </si>
  <si>
    <t>Net Cash Flow Before Debt</t>
  </si>
  <si>
    <t>Capital Expense Assumptions</t>
  </si>
  <si>
    <t>Debt Service</t>
  </si>
  <si>
    <t>Total Renovation Expense</t>
  </si>
  <si>
    <t>Total Debt Service</t>
  </si>
  <si>
    <t>Net Cash Flow After Debt</t>
  </si>
  <si>
    <t xml:space="preserve">Unlevered Analysis </t>
  </si>
  <si>
    <t>Purchase Price</t>
  </si>
  <si>
    <t>Permanent Debt Assumptions</t>
  </si>
  <si>
    <t>Unlevered Cashflow</t>
  </si>
  <si>
    <t>Loan Amount</t>
  </si>
  <si>
    <t>Sale Price</t>
  </si>
  <si>
    <t>Interest Only Term</t>
  </si>
  <si>
    <t>Cost of Sale</t>
  </si>
  <si>
    <t>Amortization Term</t>
  </si>
  <si>
    <t>Total Unlevered Cash Flow</t>
  </si>
  <si>
    <t>Total Term</t>
  </si>
  <si>
    <t>Cash-on-Cash</t>
  </si>
  <si>
    <t>Amortization Schedule</t>
  </si>
  <si>
    <t>Interest Rate</t>
  </si>
  <si>
    <t>IRR</t>
  </si>
  <si>
    <t>Annual Payment (I/O)</t>
  </si>
  <si>
    <t>Equity Multiple</t>
  </si>
  <si>
    <t>Annual Payment (Amortization)</t>
  </si>
  <si>
    <t>Profit</t>
  </si>
  <si>
    <t>Exit Assumptions</t>
  </si>
  <si>
    <t xml:space="preserve">Levered Analysis </t>
  </si>
  <si>
    <t>Exit Cap Rate</t>
  </si>
  <si>
    <t>Terminal NOI</t>
  </si>
  <si>
    <t>Levered Cashflow</t>
  </si>
  <si>
    <t>Terminal Value</t>
  </si>
  <si>
    <t>Debt Retirement Balance</t>
  </si>
  <si>
    <t xml:space="preserve">Debt Retirement </t>
  </si>
  <si>
    <t>Total Levered Cash Flow</t>
  </si>
  <si>
    <t xml:space="preserve">Debt Yield </t>
  </si>
  <si>
    <t>DSCR</t>
  </si>
  <si>
    <t>Sources &amp; Uses</t>
  </si>
  <si>
    <t>Property SF</t>
  </si>
  <si>
    <t>Sources</t>
  </si>
  <si>
    <t>Total</t>
  </si>
  <si>
    <t>PRSF</t>
  </si>
  <si>
    <t>Debt</t>
  </si>
  <si>
    <t xml:space="preserve">Equity </t>
  </si>
  <si>
    <t>Total Sources</t>
  </si>
  <si>
    <t>Uses</t>
  </si>
  <si>
    <t>Closing Costs</t>
  </si>
  <si>
    <t xml:space="preserve">Debt Origination </t>
  </si>
  <si>
    <t>Renovation Hard Costs</t>
  </si>
  <si>
    <t>Renovation Soft Costs</t>
  </si>
  <si>
    <t>Total Uses</t>
  </si>
  <si>
    <t>Property Rent Roll</t>
  </si>
  <si>
    <t>Year</t>
  </si>
  <si>
    <t>Unit</t>
  </si>
  <si>
    <t># of Bedrooms</t>
  </si>
  <si>
    <t>Unit SF</t>
  </si>
  <si>
    <t>Monthly Rent</t>
  </si>
  <si>
    <t>Date</t>
  </si>
  <si>
    <t>Common Area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</si>
  <si>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</si>
  <si>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</si>
  <si>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</si>
  <si>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</si>
  <si>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</si>
  <si>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</si>
  <si>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</si>
  <si>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</si>
  <si>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</si>
  <si>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</si>
  <si>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</si>
  <si>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</si>
  <si>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</si>
  <si>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</si>
  <si>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</si>
  <si>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</si>
  <si>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</si>
  <si>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</si>
  <si>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</si>
  <si>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</si>
  <si>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</si>
  <si>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</si>
  <si>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</si>
  <si>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</si>
  <si>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</si>
  <si>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</si>
  <si>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</si>
  <si>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</si>
  <si>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</si>
  <si>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</si>
  <si>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PH</t>
  </si>
  <si>
    <t>Debt Sizing</t>
  </si>
  <si>
    <t xml:space="preserve">DSCR </t>
  </si>
  <si>
    <t>Debt Yield</t>
  </si>
  <si>
    <t>LTV</t>
  </si>
  <si>
    <t>Loan Choice</t>
  </si>
  <si>
    <t>Day 1</t>
  </si>
  <si>
    <t>% Total</t>
  </si>
  <si>
    <t>Future Funding</t>
  </si>
  <si>
    <t>Total Stack</t>
  </si>
  <si>
    <t>Going in Cap Rate</t>
  </si>
  <si>
    <t>$ PSF</t>
  </si>
  <si>
    <t>Vacancy Allowance</t>
  </si>
  <si>
    <t>Façade Project</t>
  </si>
  <si>
    <t>Total Façade Expense</t>
  </si>
  <si>
    <t>Roof Replacement Project</t>
  </si>
  <si>
    <t>Total Roof Replacement Expense</t>
  </si>
  <si>
    <t>T-12 Annual Rent</t>
  </si>
  <si>
    <t>"T-12" Property Rent Roll</t>
  </si>
  <si>
    <t>Year 1 NOI</t>
  </si>
  <si>
    <t xml:space="preserve"> Expense Assumptions</t>
  </si>
  <si>
    <t>Payroll (Year 1)</t>
  </si>
  <si>
    <t>Utilities (Year 1)</t>
  </si>
  <si>
    <t>Contracts (Year 1)</t>
  </si>
  <si>
    <t>Administrative/G&amp;A (Year 1)</t>
  </si>
  <si>
    <t>Insurance (Year 1)</t>
  </si>
  <si>
    <t>Real Estate Taxes (Year 1)</t>
  </si>
  <si>
    <t>Studio Rent Growth Rate</t>
  </si>
  <si>
    <t>1 Bedroom Rent Growth Rate</t>
  </si>
  <si>
    <t>2 Bedroom Rent Rate</t>
  </si>
  <si>
    <t>Penthouse Rent Rate</t>
  </si>
  <si>
    <t>Annual Studio Rent</t>
  </si>
  <si>
    <t>Annual 1 Bedroom Rent</t>
  </si>
  <si>
    <t>Annual 2 Bedroom Rent</t>
  </si>
  <si>
    <t>Annual Penthouse Rent</t>
  </si>
  <si>
    <t>Utilities</t>
  </si>
  <si>
    <t>Year 1 Other Income (Per Unit Per Year)</t>
  </si>
  <si>
    <t># of years (Amortization Term)</t>
  </si>
  <si>
    <t>Gross Potential Rent</t>
  </si>
  <si>
    <t>Total Gross Potential Rent</t>
  </si>
  <si>
    <t>Linh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</si>
</sst>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;[Red]\-&quot;$&quot;#,##0"/>
    <numFmt numFmtId="165" formatCode="&quot;$&quot;#,##0.00;[Red]\-&quot;$&quot;#,##0.00"/>
    <numFmt numFmtId="166" formatCode="&quot;Year&quot;\ 0"/>
    <numFmt numFmtId="167" formatCode="0\ &quot;Units&quot;"/>
    <numFmt numFmtId="168" formatCode="#,##0.0_);[Red]\(#,##0.0\)"/>
    <numFmt numFmtId="169" formatCode="0\ &quot;Years&quot;"/>
    <numFmt numFmtId="170" formatCode="&quot;$&quot;#,##0"/>
    <numFmt numFmtId="171" formatCode="0.00&quot;x&quot;"/>
    <numFmt numFmtId="172" formatCode="&quot;$&quot;#,##0.00"/>
    <numFmt numFmtId="173" formatCode="0.00\x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9" fontId="17" fillId="0" borderId="0" applyFont="0" applyFill="0" applyBorder="0" applyAlignment="0" applyProtection="0"/>
  </cellStyleXfs>
  <cellXfs count="152">
    <xf numFmtId="0" fontId="0" fillId="0" borderId="0" xfId="0"/>
    <xf numFmtId="38" fontId="5" fillId="0" borderId="0" xfId="0" applyNumberFormat="1" applyFont="1" applyAlignment="1">
      <alignment horizontal="centerContinuous" vertical="center"/>
    </xf>
    <xf numFmtId="38" fontId="5" fillId="0" borderId="0" xfId="0" applyNumberFormat="1" applyFont="1" applyAlignment="1">
      <alignment horizontal="left" vertical="center"/>
    </xf>
    <xf numFmtId="38" fontId="0" fillId="0" borderId="0" xfId="0" applyNumberFormat="1"/>
    <xf numFmtId="38" fontId="0" fillId="0" borderId="0" xfId="0" applyNumberFormat="1" applyAlignment="1">
      <alignment horizontal="center"/>
    </xf>
    <xf numFmtId="38" fontId="0" fillId="2" borderId="0" xfId="0" applyNumberFormat="1" applyFill="1"/>
    <xf numFmtId="38" fontId="0" fillId="2" borderId="0" xfId="0" applyNumberFormat="1" applyFill="1" applyAlignment="1">
      <alignment horizontal="center"/>
    </xf>
    <xf numFmtId="38" fontId="0" fillId="0" borderId="0" xfId="0" applyNumberFormat="1" applyAlignment="1">
      <alignment horizontal="right"/>
    </xf>
    <xf numFmtId="38" fontId="3" fillId="0" borderId="0" xfId="0" applyNumberFormat="1" applyFont="1"/>
    <xf numFmtId="166" fontId="0" fillId="0" borderId="0" xfId="0" applyNumberFormat="1" applyAlignment="1">
      <alignment horizontal="center"/>
    </xf>
    <xf numFmtId="38" fontId="6" fillId="0" borderId="0" xfId="0" applyNumberFormat="1" applyFont="1" applyAlignment="1">
      <alignment horizontal="right"/>
    </xf>
    <xf numFmtId="14" fontId="0" fillId="0" borderId="0" xfId="0" applyNumberFormat="1" applyAlignment="1">
      <alignment horizontal="center"/>
    </xf>
    <xf numFmtId="167" fontId="7" fillId="0" borderId="0" xfId="0" applyNumberFormat="1" applyFont="1" applyAlignment="1">
      <alignment horizontal="right"/>
    </xf>
    <xf numFmtId="38" fontId="0" fillId="0" borderId="0" xfId="0" applyNumberFormat="1" applyAlignment="1">
      <alignment horizontal="left" indent="2"/>
    </xf>
    <xf numFmtId="38" fontId="7" fillId="0" borderId="0" xfId="0" applyNumberFormat="1" applyFont="1" applyAlignment="1">
      <alignment horizontal="center"/>
    </xf>
    <xf numFmtId="38" fontId="7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38" fontId="0" fillId="0" borderId="1" xfId="0" applyNumberFormat="1" applyBorder="1" applyAlignment="1">
      <alignment horizontal="left" indent="2"/>
    </xf>
    <xf numFmtId="38" fontId="0" fillId="0" borderId="1" xfId="0" applyNumberFormat="1" applyBorder="1" applyAlignment="1">
      <alignment horizontal="center"/>
    </xf>
    <xf numFmtId="38" fontId="8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38" fontId="3" fillId="0" borderId="0" xfId="0" applyNumberFormat="1" applyFont="1" applyAlignment="1">
      <alignment horizontal="center"/>
    </xf>
    <xf numFmtId="10" fontId="6" fillId="0" borderId="0" xfId="1" applyNumberFormat="1" applyFont="1" applyFill="1" applyAlignment="1">
      <alignment horizontal="right"/>
    </xf>
    <xf numFmtId="38" fontId="8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right"/>
    </xf>
    <xf numFmtId="38" fontId="0" fillId="0" borderId="0" xfId="0" applyNumberFormat="1" applyAlignment="1">
      <alignment horizontal="left" indent="1"/>
    </xf>
    <xf numFmtId="38" fontId="7" fillId="0" borderId="0" xfId="0" applyNumberFormat="1" applyFont="1"/>
    <xf numFmtId="169" fontId="8" fillId="0" borderId="0" xfId="0" applyNumberFormat="1" applyFont="1" applyAlignment="1">
      <alignment horizontal="right"/>
    </xf>
    <xf numFmtId="38" fontId="0" fillId="0" borderId="1" xfId="0" applyNumberFormat="1" applyBorder="1" applyAlignment="1">
      <alignment horizontal="left" indent="1"/>
    </xf>
    <xf numFmtId="38" fontId="0" fillId="0" borderId="1" xfId="0" applyNumberFormat="1" applyBorder="1"/>
    <xf numFmtId="169" fontId="8" fillId="0" borderId="1" xfId="0" applyNumberFormat="1" applyFont="1" applyBorder="1" applyAlignment="1">
      <alignment horizontal="right"/>
    </xf>
    <xf numFmtId="38" fontId="9" fillId="3" borderId="0" xfId="0" applyNumberFormat="1" applyFont="1" applyFill="1"/>
    <xf numFmtId="38" fontId="0" fillId="3" borderId="0" xfId="0" applyNumberFormat="1" applyFill="1" applyAlignment="1">
      <alignment horizontal="center"/>
    </xf>
    <xf numFmtId="10" fontId="9" fillId="3" borderId="0" xfId="1" applyNumberFormat="1" applyFont="1" applyFill="1" applyAlignment="1">
      <alignment horizontal="center"/>
    </xf>
    <xf numFmtId="38" fontId="3" fillId="4" borderId="2" xfId="0" applyNumberFormat="1" applyFont="1" applyFill="1" applyBorder="1"/>
    <xf numFmtId="10" fontId="3" fillId="4" borderId="3" xfId="1" applyNumberFormat="1" applyFont="1" applyFill="1" applyBorder="1" applyAlignment="1">
      <alignment horizontal="center"/>
    </xf>
    <xf numFmtId="38" fontId="3" fillId="4" borderId="4" xfId="0" applyNumberFormat="1" applyFont="1" applyFill="1" applyBorder="1"/>
    <xf numFmtId="171" fontId="3" fillId="4" borderId="5" xfId="0" applyNumberFormat="1" applyFont="1" applyFill="1" applyBorder="1" applyAlignment="1">
      <alignment horizontal="center"/>
    </xf>
    <xf numFmtId="38" fontId="3" fillId="4" borderId="6" xfId="0" applyNumberFormat="1" applyFont="1" applyFill="1" applyBorder="1"/>
    <xf numFmtId="38" fontId="3" fillId="4" borderId="7" xfId="0" applyNumberFormat="1" applyFont="1" applyFill="1" applyBorder="1" applyAlignment="1">
      <alignment horizontal="center"/>
    </xf>
    <xf numFmtId="10" fontId="6" fillId="0" borderId="0" xfId="1" applyNumberFormat="1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172" fontId="0" fillId="2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0" fontId="11" fillId="6" borderId="11" xfId="0" applyFont="1" applyFill="1" applyBorder="1"/>
    <xf numFmtId="172" fontId="13" fillId="6" borderId="12" xfId="3" applyNumberFormat="1" applyFont="1" applyFill="1" applyBorder="1" applyAlignment="1">
      <alignment horizontal="center"/>
    </xf>
    <xf numFmtId="38" fontId="0" fillId="0" borderId="11" xfId="0" applyNumberFormat="1" applyBorder="1"/>
    <xf numFmtId="38" fontId="3" fillId="7" borderId="11" xfId="0" applyNumberFormat="1" applyFont="1" applyFill="1" applyBorder="1"/>
    <xf numFmtId="38" fontId="0" fillId="0" borderId="13" xfId="0" applyNumberFormat="1" applyBorder="1"/>
    <xf numFmtId="38" fontId="2" fillId="5" borderId="8" xfId="0" applyNumberFormat="1" applyFont="1" applyFill="1" applyBorder="1"/>
    <xf numFmtId="166" fontId="2" fillId="5" borderId="9" xfId="0" applyNumberFormat="1" applyFont="1" applyFill="1" applyBorder="1" applyAlignment="1">
      <alignment horizontal="center"/>
    </xf>
    <xf numFmtId="166" fontId="2" fillId="5" borderId="10" xfId="0" applyNumberFormat="1" applyFont="1" applyFill="1" applyBorder="1" applyAlignment="1">
      <alignment horizontal="center"/>
    </xf>
    <xf numFmtId="38" fontId="2" fillId="5" borderId="18" xfId="0" applyNumberFormat="1" applyFont="1" applyFill="1" applyBorder="1" applyAlignment="1">
      <alignment horizontal="center"/>
    </xf>
    <xf numFmtId="38" fontId="2" fillId="5" borderId="19" xfId="0" applyNumberFormat="1" applyFont="1" applyFill="1" applyBorder="1" applyAlignment="1">
      <alignment horizontal="center"/>
    </xf>
    <xf numFmtId="38" fontId="2" fillId="5" borderId="20" xfId="0" applyNumberFormat="1" applyFont="1" applyFill="1" applyBorder="1" applyAlignment="1">
      <alignment horizontal="center"/>
    </xf>
    <xf numFmtId="38" fontId="10" fillId="0" borderId="11" xfId="0" applyNumberFormat="1" applyFont="1" applyBorder="1"/>
    <xf numFmtId="14" fontId="14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70" fontId="6" fillId="0" borderId="0" xfId="0" applyNumberFormat="1" applyFont="1" applyAlignment="1">
      <alignment horizontal="center"/>
    </xf>
    <xf numFmtId="170" fontId="8" fillId="0" borderId="12" xfId="0" applyNumberFormat="1" applyFont="1" applyBorder="1" applyAlignment="1">
      <alignment horizontal="center"/>
    </xf>
    <xf numFmtId="38" fontId="0" fillId="0" borderId="8" xfId="0" applyNumberFormat="1" applyBorder="1"/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10" fontId="6" fillId="0" borderId="12" xfId="1" applyNumberFormat="1" applyFon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3" fillId="4" borderId="21" xfId="0" applyNumberFormat="1" applyFont="1" applyFill="1" applyBorder="1"/>
    <xf numFmtId="38" fontId="3" fillId="4" borderId="22" xfId="0" applyNumberFormat="1" applyFont="1" applyFill="1" applyBorder="1" applyAlignment="1">
      <alignment horizontal="center"/>
    </xf>
    <xf numFmtId="38" fontId="3" fillId="4" borderId="23" xfId="0" applyNumberFormat="1" applyFont="1" applyFill="1" applyBorder="1" applyAlignment="1">
      <alignment horizontal="center"/>
    </xf>
    <xf numFmtId="38" fontId="0" fillId="3" borderId="21" xfId="0" applyNumberFormat="1" applyFill="1" applyBorder="1"/>
    <xf numFmtId="10" fontId="6" fillId="3" borderId="22" xfId="1" applyNumberFormat="1" applyFont="1" applyFill="1" applyBorder="1" applyAlignment="1">
      <alignment horizontal="center"/>
    </xf>
    <xf numFmtId="10" fontId="6" fillId="3" borderId="23" xfId="1" applyNumberFormat="1" applyFont="1" applyFill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70" fontId="8" fillId="0" borderId="14" xfId="0" applyNumberFormat="1" applyFont="1" applyBorder="1" applyAlignment="1">
      <alignment horizontal="center"/>
    </xf>
    <xf numFmtId="38" fontId="3" fillId="4" borderId="21" xfId="0" applyNumberFormat="1" applyFont="1" applyFill="1" applyBorder="1" applyAlignment="1">
      <alignment horizontal="center"/>
    </xf>
    <xf numFmtId="38" fontId="0" fillId="2" borderId="0" xfId="0" applyNumberFormat="1" applyFill="1" applyAlignment="1">
      <alignment horizontal="right"/>
    </xf>
    <xf numFmtId="164" fontId="7" fillId="8" borderId="0" xfId="0" applyNumberFormat="1" applyFont="1" applyFill="1"/>
    <xf numFmtId="171" fontId="15" fillId="0" borderId="0" xfId="0" applyNumberFormat="1" applyFont="1"/>
    <xf numFmtId="10" fontId="15" fillId="0" borderId="0" xfId="0" applyNumberFormat="1" applyFont="1"/>
    <xf numFmtId="164" fontId="8" fillId="0" borderId="0" xfId="0" applyNumberFormat="1" applyFont="1"/>
    <xf numFmtId="164" fontId="0" fillId="0" borderId="0" xfId="0" applyNumberFormat="1"/>
    <xf numFmtId="165" fontId="0" fillId="0" borderId="0" xfId="0" applyNumberFormat="1"/>
    <xf numFmtId="171" fontId="16" fillId="0" borderId="0" xfId="0" applyNumberFormat="1" applyFont="1"/>
    <xf numFmtId="10" fontId="16" fillId="0" borderId="0" xfId="0" applyNumberFormat="1" applyFont="1"/>
    <xf numFmtId="0" fontId="3" fillId="4" borderId="21" xfId="0" applyFont="1" applyFill="1" applyBorder="1"/>
    <xf numFmtId="164" fontId="3" fillId="4" borderId="23" xfId="0" applyNumberFormat="1" applyFont="1" applyFill="1" applyBorder="1"/>
    <xf numFmtId="38" fontId="3" fillId="0" borderId="9" xfId="0" applyNumberFormat="1" applyFont="1" applyBorder="1" applyAlignment="1">
      <alignment horizontal="center"/>
    </xf>
    <xf numFmtId="38" fontId="3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5" fillId="0" borderId="0" xfId="0" applyNumberFormat="1" applyFont="1" applyAlignment="1">
      <alignment vertical="center"/>
    </xf>
    <xf numFmtId="38" fontId="2" fillId="5" borderId="15" xfId="0" applyNumberFormat="1" applyFont="1" applyFill="1" applyBorder="1"/>
    <xf numFmtId="38" fontId="2" fillId="5" borderId="16" xfId="0" applyNumberFormat="1" applyFont="1" applyFill="1" applyBorder="1"/>
    <xf numFmtId="38" fontId="2" fillId="5" borderId="17" xfId="0" applyNumberFormat="1" applyFont="1" applyFill="1" applyBorder="1"/>
    <xf numFmtId="38" fontId="2" fillId="5" borderId="11" xfId="0" applyNumberFormat="1" applyFont="1" applyFill="1" applyBorder="1"/>
    <xf numFmtId="172" fontId="6" fillId="0" borderId="0" xfId="1" applyNumberFormat="1" applyFont="1" applyFill="1" applyBorder="1" applyAlignment="1">
      <alignment horizontal="center"/>
    </xf>
    <xf numFmtId="10" fontId="3" fillId="7" borderId="22" xfId="1" applyNumberFormat="1" applyFont="1" applyFill="1" applyBorder="1" applyAlignment="1">
      <alignment horizontal="center"/>
    </xf>
    <xf numFmtId="38" fontId="2" fillId="5" borderId="12" xfId="0" applyNumberFormat="1" applyFont="1" applyFill="1" applyBorder="1" applyAlignment="1">
      <alignment horizontal="centerContinuous"/>
    </xf>
    <xf numFmtId="38" fontId="3" fillId="7" borderId="21" xfId="0" applyNumberFormat="1" applyFont="1" applyFill="1" applyBorder="1"/>
    <xf numFmtId="38" fontId="3" fillId="7" borderId="22" xfId="0" applyNumberFormat="1" applyFont="1" applyFill="1" applyBorder="1"/>
    <xf numFmtId="38" fontId="3" fillId="7" borderId="22" xfId="0" applyNumberFormat="1" applyFont="1" applyFill="1" applyBorder="1" applyAlignment="1">
      <alignment horizontal="center"/>
    </xf>
    <xf numFmtId="172" fontId="3" fillId="7" borderId="22" xfId="0" applyNumberFormat="1" applyFont="1" applyFill="1" applyBorder="1" applyAlignment="1">
      <alignment horizontal="center"/>
    </xf>
    <xf numFmtId="38" fontId="2" fillId="5" borderId="24" xfId="0" applyNumberFormat="1" applyFont="1" applyFill="1" applyBorder="1" applyAlignment="1">
      <alignment horizontal="centerContinuous"/>
    </xf>
    <xf numFmtId="38" fontId="2" fillId="5" borderId="25" xfId="0" applyNumberFormat="1" applyFont="1" applyFill="1" applyBorder="1" applyAlignment="1">
      <alignment horizontal="centerContinuous"/>
    </xf>
    <xf numFmtId="0" fontId="13" fillId="6" borderId="11" xfId="2" applyFont="1" applyFill="1" applyBorder="1" applyAlignment="1">
      <alignment horizontal="center"/>
    </xf>
    <xf numFmtId="38" fontId="6" fillId="0" borderId="11" xfId="0" applyNumberFormat="1" applyFont="1" applyBorder="1" applyAlignment="1">
      <alignment horizontal="center"/>
    </xf>
    <xf numFmtId="38" fontId="3" fillId="7" borderId="11" xfId="0" applyNumberFormat="1" applyFont="1" applyFill="1" applyBorder="1" applyAlignment="1">
      <alignment horizontal="center"/>
    </xf>
    <xf numFmtId="3" fontId="13" fillId="6" borderId="11" xfId="3" applyNumberFormat="1" applyFont="1" applyFill="1" applyBorder="1" applyAlignment="1">
      <alignment horizontal="center"/>
    </xf>
    <xf numFmtId="38" fontId="3" fillId="7" borderId="21" xfId="0" applyNumberFormat="1" applyFont="1" applyFill="1" applyBorder="1" applyAlignment="1">
      <alignment horizontal="center"/>
    </xf>
    <xf numFmtId="38" fontId="2" fillId="5" borderId="26" xfId="0" applyNumberFormat="1" applyFont="1" applyFill="1" applyBorder="1" applyAlignment="1">
      <alignment horizontal="centerContinuous"/>
    </xf>
    <xf numFmtId="10" fontId="0" fillId="0" borderId="12" xfId="0" applyNumberFormat="1" applyBorder="1"/>
    <xf numFmtId="10" fontId="0" fillId="7" borderId="12" xfId="0" applyNumberFormat="1" applyFill="1" applyBorder="1"/>
    <xf numFmtId="38" fontId="11" fillId="6" borderId="12" xfId="0" applyNumberFormat="1" applyFont="1" applyFill="1" applyBorder="1"/>
    <xf numFmtId="10" fontId="3" fillId="7" borderId="23" xfId="1" applyNumberFormat="1" applyFont="1" applyFill="1" applyBorder="1" applyAlignment="1">
      <alignment horizontal="center"/>
    </xf>
    <xf numFmtId="172" fontId="13" fillId="6" borderId="0" xfId="3" applyNumberFormat="1" applyFont="1" applyFill="1" applyAlignment="1">
      <alignment horizontal="center"/>
    </xf>
    <xf numFmtId="172" fontId="8" fillId="0" borderId="0" xfId="0" applyNumberFormat="1" applyFont="1" applyAlignment="1">
      <alignment horizontal="center"/>
    </xf>
    <xf numFmtId="172" fontId="3" fillId="7" borderId="0" xfId="0" applyNumberFormat="1" applyFont="1" applyFill="1" applyAlignment="1">
      <alignment horizontal="center"/>
    </xf>
    <xf numFmtId="38" fontId="2" fillId="5" borderId="0" xfId="0" applyNumberFormat="1" applyFont="1" applyFill="1"/>
    <xf numFmtId="38" fontId="2" fillId="5" borderId="0" xfId="0" applyNumberFormat="1" applyFont="1" applyFill="1" applyAlignment="1">
      <alignment horizontal="centerContinuous"/>
    </xf>
    <xf numFmtId="38" fontId="11" fillId="6" borderId="0" xfId="0" applyNumberFormat="1" applyFont="1" applyFill="1"/>
    <xf numFmtId="0" fontId="13" fillId="6" borderId="0" xfId="2" applyFont="1" applyFill="1" applyAlignment="1">
      <alignment horizontal="center"/>
    </xf>
    <xf numFmtId="10" fontId="0" fillId="0" borderId="0" xfId="0" applyNumberFormat="1"/>
    <xf numFmtId="38" fontId="0" fillId="7" borderId="0" xfId="0" applyNumberFormat="1" applyFill="1"/>
    <xf numFmtId="38" fontId="3" fillId="7" borderId="0" xfId="0" applyNumberFormat="1" applyFont="1" applyFill="1" applyAlignment="1">
      <alignment horizontal="center"/>
    </xf>
    <xf numFmtId="10" fontId="3" fillId="7" borderId="12" xfId="1" applyNumberFormat="1" applyFont="1" applyFill="1" applyBorder="1" applyAlignment="1">
      <alignment horizontal="center"/>
    </xf>
    <xf numFmtId="3" fontId="13" fillId="6" borderId="0" xfId="3" applyNumberFormat="1" applyFont="1" applyFill="1" applyAlignment="1">
      <alignment horizontal="center"/>
    </xf>
    <xf numFmtId="10" fontId="13" fillId="6" borderId="12" xfId="1" applyNumberFormat="1" applyFont="1" applyFill="1" applyBorder="1" applyAlignment="1">
      <alignment horizontal="center"/>
    </xf>
    <xf numFmtId="10" fontId="1" fillId="0" borderId="12" xfId="1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3" fillId="7" borderId="0" xfId="0" applyNumberFormat="1" applyFont="1" applyFill="1"/>
    <xf numFmtId="10" fontId="18" fillId="0" borderId="0" xfId="0" applyNumberFormat="1" applyFont="1"/>
    <xf numFmtId="38" fontId="0" fillId="0" borderId="0" xfId="0" applyNumberFormat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5" fontId="3" fillId="4" borderId="22" xfId="0" applyNumberFormat="1" applyFont="1" applyFill="1" applyBorder="1" applyAlignment="1">
      <alignment horizontal="center"/>
    </xf>
    <xf numFmtId="38" fontId="2" fillId="5" borderId="8" xfId="0" applyNumberFormat="1" applyFont="1" applyFill="1" applyBorder="1" applyAlignment="1">
      <alignment horizontal="centerContinuous"/>
    </xf>
    <xf numFmtId="38" fontId="2" fillId="5" borderId="9" xfId="0" applyNumberFormat="1" applyFont="1" applyFill="1" applyBorder="1" applyAlignment="1">
      <alignment horizontal="centerContinuous"/>
    </xf>
    <xf numFmtId="38" fontId="2" fillId="5" borderId="10" xfId="0" applyNumberFormat="1" applyFont="1" applyFill="1" applyBorder="1" applyAlignment="1">
      <alignment horizontal="centerContinuous"/>
    </xf>
    <xf numFmtId="38" fontId="6" fillId="9" borderId="0" xfId="0" applyNumberFormat="1" applyFont="1" applyFill="1" applyAlignment="1">
      <alignment horizontal="right"/>
    </xf>
    <xf numFmtId="166" fontId="7" fillId="0" borderId="0" xfId="0" applyNumberFormat="1" applyFont="1" applyAlignment="1">
      <alignment horizontal="center"/>
    </xf>
    <xf numFmtId="164" fontId="18" fillId="0" borderId="0" xfId="0" applyNumberFormat="1" applyFont="1"/>
    <xf numFmtId="173" fontId="9" fillId="3" borderId="0" xfId="1" applyNumberFormat="1" applyFont="1" applyFill="1" applyAlignment="1">
      <alignment horizontal="center"/>
    </xf>
    <xf numFmtId="38" fontId="0" fillId="0" borderId="9" xfId="0" applyNumberFormat="1" applyBorder="1"/>
    <xf numFmtId="38" fontId="3" fillId="4" borderId="22" xfId="0" applyNumberFormat="1" applyFont="1" applyFill="1" applyBorder="1"/>
    <xf numFmtId="38" fontId="0" fillId="3" borderId="22" xfId="0" applyNumberFormat="1" applyFill="1" applyBorder="1"/>
    <xf numFmtId="38" fontId="5" fillId="0" borderId="0" xfId="0" applyNumberFormat="1" applyFont="1" applyAlignment="1">
      <alignment horizontal="left" vertical="center"/>
    </xf>
    <xf numFmtId="0" fontId="4" fillId="5" borderId="21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</cellXfs>
  <cellStyles count="6">
    <cellStyle name="Normal" xfId="0" builtinId="0"/>
    <cellStyle name="Normal 10" xfId="2" xr:uid="{4C6852C2-8615-4693-A99A-74B64155A0C9}"/>
    <cellStyle name="Normal 2" xfId="3" xr:uid="{D7CCDA33-3F7A-48BF-B167-3DEAC5101579}"/>
    <cellStyle name="Normal 2 2" xfId="4" xr:uid="{26E046CA-56F3-497A-9889-AC1ADFEC2151}"/>
    <cellStyle name="Percent" xfId="1" builtinId="5"/>
    <cellStyle name="Percent 2" xfId="5" xr:uid="{85D76C5F-A8E3-4A83-A3C5-D763C0526EF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6A71-CEC8-4175-B748-4F53EF9062DE}">
  <sheetPr>
    <tabColor theme="9" tint="0.79998168889431442"/>
  </sheetPr>
  <dimension ref="B1:V67"/>
  <sheetViews>
    <sheetView topLeftCell="D1" zoomScaleNormal="75" workbookViewId="0">
      <selection activeCell="V27" sqref="V27"/>
    </sheetView>
  </sheetViews>
  <sheetFormatPr baseColWidth="10" defaultColWidth="12.6640625" defaultRowHeight="15" x14ac:dyDescent="0.2"/>
  <cols>
    <col min="1" max="1" width="2.1640625" style="3" customWidth="1"/>
    <col min="2" max="2" width="24.5" style="3" customWidth="1"/>
    <col min="3" max="3" width="2.1640625" style="3" customWidth="1"/>
    <col min="4" max="4" width="39" style="3" bestFit="1" customWidth="1"/>
    <col min="5" max="5" width="2.1640625" style="3" customWidth="1"/>
    <col min="6" max="6" width="2.1640625" style="3" hidden="1" customWidth="1"/>
    <col min="7" max="7" width="30.1640625" style="3" customWidth="1"/>
    <col min="8" max="9" width="2.1640625" style="3" customWidth="1"/>
    <col min="10" max="10" width="33.5" style="3" bestFit="1" customWidth="1"/>
    <col min="11" max="14" width="12.6640625" style="4"/>
    <col min="15" max="15" width="14.5" style="4" bestFit="1" customWidth="1"/>
    <col min="16" max="22" width="12.6640625" style="4"/>
    <col min="23" max="16384" width="12.6640625" style="3"/>
  </cols>
  <sheetData>
    <row r="1" spans="2:22" ht="29" customHeight="1" x14ac:dyDescent="0.2">
      <c r="C1" s="1" t="s">
        <v>0</v>
      </c>
      <c r="D1" s="1"/>
      <c r="E1" s="1"/>
      <c r="F1" s="1"/>
      <c r="G1" s="2"/>
    </row>
    <row r="2" spans="2:22" s="5" customFormat="1" ht="3" customHeight="1" x14ac:dyDescent="0.2"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ht="3" customHeight="1" x14ac:dyDescent="0.2">
      <c r="G3" s="7"/>
    </row>
    <row r="4" spans="2:22" s="5" customFormat="1" ht="3" customHeight="1" x14ac:dyDescent="0.2"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22" x14ac:dyDescent="0.2">
      <c r="B5" s="8"/>
      <c r="G5" s="7"/>
    </row>
    <row r="6" spans="2:22" x14ac:dyDescent="0.2">
      <c r="C6" s="8" t="s">
        <v>1</v>
      </c>
      <c r="D6" s="8"/>
      <c r="K6" s="9">
        <v>0</v>
      </c>
      <c r="L6" s="9">
        <f>+K6+1</f>
        <v>1</v>
      </c>
      <c r="M6" s="9">
        <f t="shared" ref="M6:V6" si="0">+L6+1</f>
        <v>2</v>
      </c>
      <c r="N6" s="9">
        <f t="shared" si="0"/>
        <v>3</v>
      </c>
      <c r="O6" s="9">
        <f t="shared" si="0"/>
        <v>4</v>
      </c>
      <c r="P6" s="9">
        <f t="shared" si="0"/>
        <v>5</v>
      </c>
      <c r="Q6" s="9">
        <f t="shared" si="0"/>
        <v>6</v>
      </c>
      <c r="R6" s="9">
        <f t="shared" si="0"/>
        <v>7</v>
      </c>
      <c r="S6" s="9">
        <f t="shared" si="0"/>
        <v>8</v>
      </c>
      <c r="T6" s="9">
        <f t="shared" si="0"/>
        <v>9</v>
      </c>
      <c r="U6" s="9">
        <f t="shared" si="0"/>
        <v>10</v>
      </c>
      <c r="V6" s="9">
        <f t="shared" si="0"/>
        <v>11</v>
      </c>
    </row>
    <row r="7" spans="2:22" x14ac:dyDescent="0.2">
      <c r="D7" s="3" t="s">
        <v>2</v>
      </c>
      <c r="G7" s="10" t="s">
        <v>3</v>
      </c>
      <c r="K7" s="11">
        <f>+G11</f>
        <v>45657</v>
      </c>
      <c r="L7" s="11">
        <f>EDATE(K7,12)</f>
        <v>46022</v>
      </c>
      <c r="M7" s="11">
        <f t="shared" ref="M7:V7" si="1">EDATE(L7,12)</f>
        <v>46387</v>
      </c>
      <c r="N7" s="11">
        <f t="shared" si="1"/>
        <v>46752</v>
      </c>
      <c r="O7" s="11">
        <f t="shared" si="1"/>
        <v>47118</v>
      </c>
      <c r="P7" s="11">
        <f t="shared" si="1"/>
        <v>47483</v>
      </c>
      <c r="Q7" s="11">
        <f t="shared" si="1"/>
        <v>47848</v>
      </c>
      <c r="R7" s="11">
        <f t="shared" si="1"/>
        <v>48213</v>
      </c>
      <c r="S7" s="11">
        <f t="shared" si="1"/>
        <v>48579</v>
      </c>
      <c r="T7" s="11">
        <f t="shared" si="1"/>
        <v>48944</v>
      </c>
      <c r="U7" s="11">
        <f t="shared" si="1"/>
        <v>49309</v>
      </c>
      <c r="V7" s="11">
        <f t="shared" si="1"/>
        <v>49674</v>
      </c>
    </row>
    <row r="8" spans="2:22" x14ac:dyDescent="0.2">
      <c r="D8" s="3" t="s">
        <v>4</v>
      </c>
      <c r="G8" s="142" t="s">
        <v>168</v>
      </c>
      <c r="J8" s="8" t="s">
        <v>5</v>
      </c>
    </row>
    <row r="9" spans="2:22" x14ac:dyDescent="0.2">
      <c r="D9" s="3" t="s">
        <v>6</v>
      </c>
      <c r="G9" s="12">
        <v>31</v>
      </c>
      <c r="J9" s="13" t="s">
        <v>166</v>
      </c>
      <c r="L9" s="14">
        <f>'Rent Roll'!K18</f>
        <v>1679400</v>
      </c>
      <c r="M9" s="14">
        <f>'Rent Roll'!L18</f>
        <v>1751994</v>
      </c>
      <c r="N9" s="14">
        <f>'Rent Roll'!M18</f>
        <v>1810280.1600000001</v>
      </c>
      <c r="O9" s="14">
        <f>'Rent Roll'!N18</f>
        <v>1870582.5216000001</v>
      </c>
      <c r="P9" s="14">
        <f>'Rent Roll'!O18</f>
        <v>1932973.046784</v>
      </c>
      <c r="Q9" s="14">
        <f>'Rent Roll'!P18</f>
        <v>1997526.3308582401</v>
      </c>
      <c r="R9" s="14">
        <f>'Rent Roll'!Q18</f>
        <v>2064319.7007378817</v>
      </c>
      <c r="S9" s="14">
        <f>'Rent Roll'!R18</f>
        <v>2131304.4725184427</v>
      </c>
      <c r="T9" s="14">
        <f>'Rent Roll'!S18</f>
        <v>2200628.7253492475</v>
      </c>
      <c r="U9" s="14">
        <f>'Rent Roll'!T18</f>
        <v>2272377.1184843411</v>
      </c>
      <c r="V9" s="14">
        <f>'Rent Roll'!U18</f>
        <v>2346637.4427213585</v>
      </c>
    </row>
    <row r="10" spans="2:22" x14ac:dyDescent="0.2">
      <c r="D10" s="3" t="s">
        <v>7</v>
      </c>
      <c r="G10" s="15">
        <v>34300</v>
      </c>
      <c r="J10" s="13" t="s">
        <v>140</v>
      </c>
      <c r="L10" s="4">
        <f>'Rent Roll'!K22</f>
        <v>335880</v>
      </c>
      <c r="M10" s="4">
        <f>'Rent Roll'!L22</f>
        <v>350398.80000000005</v>
      </c>
      <c r="N10" s="4">
        <f>'Rent Roll'!M22</f>
        <v>271542.02400000003</v>
      </c>
      <c r="O10" s="4">
        <f>'Rent Roll'!N22</f>
        <v>187058.25216000003</v>
      </c>
      <c r="P10" s="4">
        <f>'Rent Roll'!O22</f>
        <v>57989.191403519995</v>
      </c>
      <c r="Q10" s="4">
        <f>'Rent Roll'!P22</f>
        <v>59925.789925747202</v>
      </c>
      <c r="R10" s="4">
        <f>'Rent Roll'!Q22</f>
        <v>61929.591022136447</v>
      </c>
      <c r="S10" s="4">
        <f>'Rent Roll'!R22</f>
        <v>63939.134175553278</v>
      </c>
      <c r="T10" s="4">
        <f>'Rent Roll'!S22</f>
        <v>110031.43626746238</v>
      </c>
      <c r="U10" s="4">
        <f>'Rent Roll'!T22</f>
        <v>113618.85592421706</v>
      </c>
      <c r="V10" s="4">
        <f>'Rent Roll'!U22</f>
        <v>117331.87213606793</v>
      </c>
    </row>
    <row r="11" spans="2:22" x14ac:dyDescent="0.2">
      <c r="C11" s="3" t="s">
        <v>9</v>
      </c>
      <c r="D11" s="3" t="s">
        <v>10</v>
      </c>
      <c r="G11" s="16">
        <v>45657</v>
      </c>
      <c r="J11" s="13" t="s">
        <v>11</v>
      </c>
      <c r="L11" s="4">
        <f>L9*$G$20</f>
        <v>8397</v>
      </c>
      <c r="M11" s="4">
        <f>M9*$G$20</f>
        <v>8759.9699999999993</v>
      </c>
      <c r="N11" s="4">
        <f>N9*$G$20</f>
        <v>9051.4008000000013</v>
      </c>
      <c r="O11" s="4">
        <f t="shared" ref="O11:V11" si="2">O9*$G$20</f>
        <v>9352.9126080000005</v>
      </c>
      <c r="P11" s="4">
        <f t="shared" si="2"/>
        <v>9664.8652339199998</v>
      </c>
      <c r="Q11" s="4">
        <f t="shared" si="2"/>
        <v>9987.6316542912009</v>
      </c>
      <c r="R11" s="4">
        <f t="shared" si="2"/>
        <v>10321.598503689409</v>
      </c>
      <c r="S11" s="4">
        <f t="shared" si="2"/>
        <v>10656.522362592214</v>
      </c>
      <c r="T11" s="4">
        <f t="shared" si="2"/>
        <v>11003.143626746238</v>
      </c>
      <c r="U11" s="4">
        <f t="shared" si="2"/>
        <v>11361.885592421706</v>
      </c>
      <c r="V11" s="4">
        <f t="shared" si="2"/>
        <v>11733.187213606792</v>
      </c>
    </row>
    <row r="12" spans="2:22" x14ac:dyDescent="0.2">
      <c r="D12" s="3" t="s">
        <v>12</v>
      </c>
      <c r="G12" s="17">
        <v>10</v>
      </c>
      <c r="J12" s="18" t="s">
        <v>13</v>
      </c>
      <c r="K12" s="19"/>
      <c r="L12" s="20">
        <f>G21*G9</f>
        <v>37200</v>
      </c>
      <c r="M12" s="20">
        <f>L12*$G$22+L12</f>
        <v>39060</v>
      </c>
      <c r="N12" s="20">
        <f t="shared" ref="N12:V12" si="3">M12*$G$22+M12</f>
        <v>41013</v>
      </c>
      <c r="O12" s="20">
        <f t="shared" si="3"/>
        <v>43063.65</v>
      </c>
      <c r="P12" s="20">
        <f t="shared" si="3"/>
        <v>45216.832500000004</v>
      </c>
      <c r="Q12" s="20">
        <f t="shared" si="3"/>
        <v>47477.674125000005</v>
      </c>
      <c r="R12" s="20">
        <f t="shared" si="3"/>
        <v>49851.557831250007</v>
      </c>
      <c r="S12" s="20">
        <f t="shared" si="3"/>
        <v>52344.135722812505</v>
      </c>
      <c r="T12" s="20">
        <f t="shared" si="3"/>
        <v>54961.34250895313</v>
      </c>
      <c r="U12" s="20">
        <f t="shared" si="3"/>
        <v>57709.409634400785</v>
      </c>
      <c r="V12" s="20">
        <f t="shared" si="3"/>
        <v>60594.880116120825</v>
      </c>
    </row>
    <row r="13" spans="2:22" x14ac:dyDescent="0.2">
      <c r="D13" s="3" t="s">
        <v>14</v>
      </c>
      <c r="G13" s="21">
        <f>EDATE(G11,G12*12)-1</f>
        <v>49308</v>
      </c>
      <c r="J13" s="8" t="s">
        <v>15</v>
      </c>
      <c r="L13" s="22">
        <f>L9+L12-L10-L11</f>
        <v>1372323</v>
      </c>
      <c r="M13" s="22">
        <f t="shared" ref="M13:S13" si="4">M9+M12-M10-M11</f>
        <v>1431895.23</v>
      </c>
      <c r="N13" s="22">
        <f t="shared" si="4"/>
        <v>1570699.7352000002</v>
      </c>
      <c r="O13" s="22">
        <f t="shared" si="4"/>
        <v>1717235.0068319999</v>
      </c>
      <c r="P13" s="22">
        <f t="shared" si="4"/>
        <v>1910535.8226465599</v>
      </c>
      <c r="Q13" s="22">
        <f t="shared" si="4"/>
        <v>1975090.5834032015</v>
      </c>
      <c r="R13" s="22">
        <f t="shared" si="4"/>
        <v>2041920.0690433057</v>
      </c>
      <c r="S13" s="22">
        <f t="shared" si="4"/>
        <v>2109052.9517031098</v>
      </c>
      <c r="T13" s="22">
        <f>T9+T12-T10-T11</f>
        <v>2134555.4879639917</v>
      </c>
      <c r="U13" s="22">
        <f t="shared" ref="U13" si="5">U9+U12-U10-U11</f>
        <v>2205105.7866021032</v>
      </c>
      <c r="V13" s="22">
        <f t="shared" ref="V13" si="6">V9+V12-V10-V11</f>
        <v>2278167.2634878047</v>
      </c>
    </row>
    <row r="14" spans="2:22" x14ac:dyDescent="0.2">
      <c r="D14" s="3" t="s">
        <v>16</v>
      </c>
      <c r="G14" s="10">
        <v>17000000</v>
      </c>
    </row>
    <row r="15" spans="2:22" x14ac:dyDescent="0.2">
      <c r="D15" s="3" t="s">
        <v>17</v>
      </c>
      <c r="G15" s="10">
        <v>400000</v>
      </c>
      <c r="I15" s="126"/>
      <c r="J15" s="8" t="s">
        <v>18</v>
      </c>
    </row>
    <row r="16" spans="2:22" x14ac:dyDescent="0.2">
      <c r="D16" s="3" t="s">
        <v>19</v>
      </c>
      <c r="G16" s="23">
        <v>1.2500000000000001E-2</v>
      </c>
      <c r="J16" s="13" t="s">
        <v>20</v>
      </c>
      <c r="L16" s="4">
        <f>55000</f>
        <v>55000</v>
      </c>
      <c r="M16" s="4">
        <f>L16+L16*$G$34</f>
        <v>56650</v>
      </c>
      <c r="N16" s="4">
        <f t="shared" ref="N16:V16" si="7">M16+M16*$G$34</f>
        <v>58349.5</v>
      </c>
      <c r="O16" s="4">
        <f t="shared" si="7"/>
        <v>60099.985000000001</v>
      </c>
      <c r="P16" s="4">
        <f t="shared" si="7"/>
        <v>61902.984550000001</v>
      </c>
      <c r="Q16" s="4">
        <f t="shared" si="7"/>
        <v>63760.074086500004</v>
      </c>
      <c r="R16" s="4">
        <f t="shared" si="7"/>
        <v>65672.876309095009</v>
      </c>
      <c r="S16" s="4">
        <f t="shared" si="7"/>
        <v>67643.062598367862</v>
      </c>
      <c r="T16" s="4">
        <f t="shared" si="7"/>
        <v>69672.354476318898</v>
      </c>
      <c r="U16" s="4">
        <f t="shared" si="7"/>
        <v>71762.525110608462</v>
      </c>
      <c r="V16" s="4">
        <f t="shared" si="7"/>
        <v>73915.400863926712</v>
      </c>
    </row>
    <row r="17" spans="3:22" x14ac:dyDescent="0.2">
      <c r="D17" s="3" t="s">
        <v>138</v>
      </c>
      <c r="G17" s="126">
        <f>L27/G14</f>
        <v>5.8317841764705884E-2</v>
      </c>
      <c r="J17" s="13" t="s">
        <v>163</v>
      </c>
      <c r="L17" s="4">
        <f>G26</f>
        <v>40000</v>
      </c>
      <c r="M17" s="4">
        <f>L17+L17*$G$34</f>
        <v>41200</v>
      </c>
      <c r="N17" s="4">
        <f>M17+M17*$G$34</f>
        <v>42436</v>
      </c>
      <c r="O17" s="4">
        <f t="shared" ref="O17:V17" si="8">N17+N17*$G$34</f>
        <v>43709.08</v>
      </c>
      <c r="P17" s="4">
        <f t="shared" si="8"/>
        <v>45020.352400000003</v>
      </c>
      <c r="Q17" s="4">
        <f t="shared" si="8"/>
        <v>46370.962972000001</v>
      </c>
      <c r="R17" s="4">
        <f t="shared" si="8"/>
        <v>47762.091861159999</v>
      </c>
      <c r="S17" s="4">
        <f t="shared" si="8"/>
        <v>49194.954616994801</v>
      </c>
      <c r="T17" s="4">
        <f t="shared" si="8"/>
        <v>50670.803255504645</v>
      </c>
      <c r="U17" s="4">
        <f t="shared" si="8"/>
        <v>52190.927353169784</v>
      </c>
      <c r="V17" s="4">
        <f t="shared" si="8"/>
        <v>53756.655173764877</v>
      </c>
    </row>
    <row r="18" spans="3:22" x14ac:dyDescent="0.2">
      <c r="J18" s="13" t="s">
        <v>22</v>
      </c>
      <c r="L18" s="4">
        <f>G27</f>
        <v>35000</v>
      </c>
      <c r="M18" s="4">
        <f>L18+L18*$G$34</f>
        <v>36050</v>
      </c>
      <c r="N18" s="4">
        <f t="shared" ref="N18:V18" si="9">M18+M18*$G$34</f>
        <v>37131.5</v>
      </c>
      <c r="O18" s="4">
        <f t="shared" si="9"/>
        <v>38245.445</v>
      </c>
      <c r="P18" s="4">
        <f t="shared" si="9"/>
        <v>39392.808349999999</v>
      </c>
      <c r="Q18" s="4">
        <f t="shared" si="9"/>
        <v>40574.5926005</v>
      </c>
      <c r="R18" s="4">
        <f t="shared" si="9"/>
        <v>41791.830378514998</v>
      </c>
      <c r="S18" s="4">
        <f t="shared" si="9"/>
        <v>43045.585289870447</v>
      </c>
      <c r="T18" s="4">
        <f t="shared" si="9"/>
        <v>44336.952848566558</v>
      </c>
      <c r="U18" s="4">
        <f t="shared" si="9"/>
        <v>45667.061434023555</v>
      </c>
      <c r="V18" s="4">
        <f t="shared" si="9"/>
        <v>47037.073277044263</v>
      </c>
    </row>
    <row r="19" spans="3:22" x14ac:dyDescent="0.2">
      <c r="C19" s="8" t="s">
        <v>21</v>
      </c>
      <c r="J19" s="13" t="s">
        <v>23</v>
      </c>
      <c r="L19" s="4">
        <f>G28*G9</f>
        <v>62000</v>
      </c>
      <c r="M19" s="4">
        <f>L19*$G$34+L19</f>
        <v>63860</v>
      </c>
      <c r="N19" s="4">
        <f t="shared" ref="N19:V19" si="10">M19*$G$34+M19</f>
        <v>65775.8</v>
      </c>
      <c r="O19" s="4">
        <f t="shared" si="10"/>
        <v>67749.074000000008</v>
      </c>
      <c r="P19" s="4">
        <f t="shared" si="10"/>
        <v>69781.546220000004</v>
      </c>
      <c r="Q19" s="4">
        <f t="shared" si="10"/>
        <v>71874.992606600004</v>
      </c>
      <c r="R19" s="4">
        <f t="shared" si="10"/>
        <v>74031.24238479801</v>
      </c>
      <c r="S19" s="4">
        <f t="shared" si="10"/>
        <v>76252.179656341948</v>
      </c>
      <c r="T19" s="4">
        <f t="shared" si="10"/>
        <v>78539.7450460322</v>
      </c>
      <c r="U19" s="4">
        <f t="shared" si="10"/>
        <v>80895.937397413159</v>
      </c>
      <c r="V19" s="4">
        <f t="shared" si="10"/>
        <v>83322.815519335549</v>
      </c>
    </row>
    <row r="20" spans="3:22" x14ac:dyDescent="0.2">
      <c r="D20" s="3" t="s">
        <v>11</v>
      </c>
      <c r="G20" s="23">
        <v>5.0000000000000001E-3</v>
      </c>
      <c r="J20" s="13" t="s">
        <v>24</v>
      </c>
      <c r="L20" s="4">
        <f>G29</f>
        <v>10000</v>
      </c>
      <c r="M20" s="4">
        <f>L20+L20*$G$34</f>
        <v>10300</v>
      </c>
      <c r="N20" s="4">
        <f t="shared" ref="N20:V21" si="11">M20+M20*$G$34</f>
        <v>10609</v>
      </c>
      <c r="O20" s="4">
        <f t="shared" si="11"/>
        <v>10927.27</v>
      </c>
      <c r="P20" s="4">
        <f t="shared" si="11"/>
        <v>11255.088100000001</v>
      </c>
      <c r="Q20" s="4">
        <f t="shared" si="11"/>
        <v>11592.740743</v>
      </c>
      <c r="R20" s="4">
        <f t="shared" si="11"/>
        <v>11940.52296529</v>
      </c>
      <c r="S20" s="4">
        <f t="shared" si="11"/>
        <v>12298.7386542487</v>
      </c>
      <c r="T20" s="4">
        <f t="shared" si="11"/>
        <v>12667.700813876161</v>
      </c>
      <c r="U20" s="4">
        <f t="shared" si="11"/>
        <v>13047.731838292446</v>
      </c>
      <c r="V20" s="4">
        <f t="shared" si="11"/>
        <v>13439.163793441219</v>
      </c>
    </row>
    <row r="21" spans="3:22" x14ac:dyDescent="0.2">
      <c r="D21" s="3" t="s">
        <v>164</v>
      </c>
      <c r="G21" s="10">
        <v>1200</v>
      </c>
      <c r="J21" s="13" t="s">
        <v>26</v>
      </c>
      <c r="L21" s="4">
        <f>G30</f>
        <v>30000</v>
      </c>
      <c r="M21" s="4">
        <f>L21+L21*G31</f>
        <v>30900</v>
      </c>
      <c r="N21" s="4">
        <f t="shared" si="11"/>
        <v>31827</v>
      </c>
      <c r="O21" s="4">
        <f t="shared" si="11"/>
        <v>32781.81</v>
      </c>
      <c r="P21" s="4">
        <f t="shared" si="11"/>
        <v>33765.264299999995</v>
      </c>
      <c r="Q21" s="4">
        <f t="shared" si="11"/>
        <v>34778.222228999992</v>
      </c>
      <c r="R21" s="4">
        <f t="shared" si="11"/>
        <v>35821.56889586999</v>
      </c>
      <c r="S21" s="4">
        <f t="shared" si="11"/>
        <v>36896.215962746093</v>
      </c>
      <c r="T21" s="4">
        <f t="shared" si="11"/>
        <v>38003.102441628478</v>
      </c>
      <c r="U21" s="4">
        <f t="shared" si="11"/>
        <v>39143.195514877334</v>
      </c>
      <c r="V21" s="4">
        <f t="shared" si="11"/>
        <v>40317.491380323656</v>
      </c>
    </row>
    <row r="22" spans="3:22" x14ac:dyDescent="0.2">
      <c r="D22" s="3" t="s">
        <v>25</v>
      </c>
      <c r="G22" s="23">
        <v>0.05</v>
      </c>
      <c r="J22" s="13" t="s">
        <v>27</v>
      </c>
      <c r="L22" s="4">
        <f>L13*$G$31</f>
        <v>41169.689999999995</v>
      </c>
      <c r="M22" s="4">
        <f t="shared" ref="M22:V22" si="12">M13*$G$31</f>
        <v>42956.856899999999</v>
      </c>
      <c r="N22" s="4">
        <f t="shared" si="12"/>
        <v>47120.992056000003</v>
      </c>
      <c r="O22" s="4">
        <f t="shared" si="12"/>
        <v>51517.050204959996</v>
      </c>
      <c r="P22" s="4">
        <f t="shared" si="12"/>
        <v>57316.074679396792</v>
      </c>
      <c r="Q22" s="4">
        <f t="shared" si="12"/>
        <v>59252.717502096042</v>
      </c>
      <c r="R22" s="4">
        <f t="shared" si="12"/>
        <v>61257.602071299167</v>
      </c>
      <c r="S22" s="4">
        <f t="shared" si="12"/>
        <v>63271.588551093293</v>
      </c>
      <c r="T22" s="4">
        <f t="shared" si="12"/>
        <v>64036.664638919749</v>
      </c>
      <c r="U22" s="4">
        <f t="shared" si="12"/>
        <v>66153.173598063091</v>
      </c>
      <c r="V22" s="4">
        <f t="shared" si="12"/>
        <v>68345.017904634136</v>
      </c>
    </row>
    <row r="23" spans="3:22" x14ac:dyDescent="0.2">
      <c r="G23" s="23"/>
      <c r="J23" s="13" t="s">
        <v>28</v>
      </c>
      <c r="L23" s="24">
        <f>G32</f>
        <v>100000</v>
      </c>
      <c r="M23" s="4">
        <f>L23+L23*$G$35</f>
        <v>104000</v>
      </c>
      <c r="N23" s="4">
        <f t="shared" ref="N23:V23" si="13">M23+M23*$G$35</f>
        <v>108160</v>
      </c>
      <c r="O23" s="4">
        <f t="shared" si="13"/>
        <v>112486.39999999999</v>
      </c>
      <c r="P23" s="4">
        <f t="shared" si="13"/>
        <v>116985.856</v>
      </c>
      <c r="Q23" s="4">
        <f t="shared" si="13"/>
        <v>121665.29024</v>
      </c>
      <c r="R23" s="4">
        <f t="shared" si="13"/>
        <v>126531.90184960001</v>
      </c>
      <c r="S23" s="4">
        <f t="shared" si="13"/>
        <v>131593.17792358401</v>
      </c>
      <c r="T23" s="4">
        <f t="shared" si="13"/>
        <v>136856.90504052737</v>
      </c>
      <c r="U23" s="4">
        <f t="shared" si="13"/>
        <v>142331.18124214848</v>
      </c>
      <c r="V23" s="4">
        <f t="shared" si="13"/>
        <v>148024.42849183441</v>
      </c>
    </row>
    <row r="24" spans="3:22" x14ac:dyDescent="0.2">
      <c r="C24" s="8" t="s">
        <v>148</v>
      </c>
      <c r="J24" s="18" t="s">
        <v>29</v>
      </c>
      <c r="K24" s="19"/>
      <c r="L24" s="24">
        <f>G33*G9</f>
        <v>7750</v>
      </c>
      <c r="M24" s="4">
        <f>L24+L24*$G$34</f>
        <v>7982.5</v>
      </c>
      <c r="N24" s="4">
        <f t="shared" ref="N24:V24" si="14">M24+M24*$G$34</f>
        <v>8221.9750000000004</v>
      </c>
      <c r="O24" s="4">
        <f t="shared" si="14"/>
        <v>8468.634250000001</v>
      </c>
      <c r="P24" s="4">
        <f t="shared" si="14"/>
        <v>8722.6932775000005</v>
      </c>
      <c r="Q24" s="4">
        <f t="shared" si="14"/>
        <v>8984.3740758250005</v>
      </c>
      <c r="R24" s="4">
        <f t="shared" si="14"/>
        <v>9253.9052980997512</v>
      </c>
      <c r="S24" s="4">
        <f t="shared" si="14"/>
        <v>9531.5224570427436</v>
      </c>
      <c r="T24" s="4">
        <f t="shared" si="14"/>
        <v>9817.468130754025</v>
      </c>
      <c r="U24" s="4">
        <f t="shared" si="14"/>
        <v>10111.992174676645</v>
      </c>
      <c r="V24" s="4">
        <f t="shared" si="14"/>
        <v>10415.351939916944</v>
      </c>
    </row>
    <row r="25" spans="3:22" x14ac:dyDescent="0.2">
      <c r="D25" s="3" t="s">
        <v>149</v>
      </c>
      <c r="G25" s="10">
        <v>55000</v>
      </c>
      <c r="J25" s="8" t="s">
        <v>30</v>
      </c>
      <c r="K25" s="22"/>
      <c r="L25" s="92">
        <f>SUM(L16:L24)</f>
        <v>380919.69</v>
      </c>
      <c r="M25" s="92">
        <f t="shared" ref="M25:V25" si="15">SUM(M16:M24)</f>
        <v>393899.35690000001</v>
      </c>
      <c r="N25" s="92">
        <f t="shared" si="15"/>
        <v>409631.76705599995</v>
      </c>
      <c r="O25" s="92">
        <f t="shared" si="15"/>
        <v>425984.74845496006</v>
      </c>
      <c r="P25" s="92">
        <f t="shared" si="15"/>
        <v>444142.6678768968</v>
      </c>
      <c r="Q25" s="92">
        <f t="shared" si="15"/>
        <v>458853.96705552103</v>
      </c>
      <c r="R25" s="92">
        <f t="shared" si="15"/>
        <v>474063.54201372695</v>
      </c>
      <c r="S25" s="92">
        <f t="shared" si="15"/>
        <v>489727.02571028995</v>
      </c>
      <c r="T25" s="92">
        <f t="shared" si="15"/>
        <v>504601.69669212803</v>
      </c>
      <c r="U25" s="92">
        <f t="shared" si="15"/>
        <v>521303.72566327301</v>
      </c>
      <c r="V25" s="92">
        <f t="shared" si="15"/>
        <v>538573.39834422176</v>
      </c>
    </row>
    <row r="26" spans="3:22" x14ac:dyDescent="0.2">
      <c r="D26" s="3" t="s">
        <v>150</v>
      </c>
      <c r="G26" s="10">
        <v>40000</v>
      </c>
    </row>
    <row r="27" spans="3:22" x14ac:dyDescent="0.2">
      <c r="D27" s="3" t="s">
        <v>151</v>
      </c>
      <c r="G27" s="10">
        <v>35000</v>
      </c>
      <c r="J27" s="8" t="s">
        <v>32</v>
      </c>
      <c r="L27" s="22">
        <f>L13-L25</f>
        <v>991403.31</v>
      </c>
      <c r="M27" s="22">
        <f t="shared" ref="M27:V27" si="16">M13-M25</f>
        <v>1037995.8731</v>
      </c>
      <c r="N27" s="22">
        <f t="shared" si="16"/>
        <v>1161067.9681440003</v>
      </c>
      <c r="O27" s="22">
        <f t="shared" si="16"/>
        <v>1291250.2583770398</v>
      </c>
      <c r="P27" s="22">
        <f t="shared" si="16"/>
        <v>1466393.1547696632</v>
      </c>
      <c r="Q27" s="22">
        <f t="shared" si="16"/>
        <v>1516236.6163476806</v>
      </c>
      <c r="R27" s="22">
        <f t="shared" si="16"/>
        <v>1567856.5270295788</v>
      </c>
      <c r="S27" s="22">
        <f t="shared" si="16"/>
        <v>1619325.9259928199</v>
      </c>
      <c r="T27" s="22">
        <f t="shared" si="16"/>
        <v>1629953.7912718637</v>
      </c>
      <c r="U27" s="22">
        <f t="shared" si="16"/>
        <v>1683802.06093883</v>
      </c>
      <c r="V27" s="22">
        <f t="shared" si="16"/>
        <v>1739593.8651435829</v>
      </c>
    </row>
    <row r="28" spans="3:22" x14ac:dyDescent="0.2">
      <c r="D28" s="3" t="s">
        <v>31</v>
      </c>
      <c r="G28" s="10">
        <v>2000</v>
      </c>
    </row>
    <row r="29" spans="3:22" x14ac:dyDescent="0.2">
      <c r="D29" s="3" t="s">
        <v>152</v>
      </c>
      <c r="G29" s="10">
        <v>10000</v>
      </c>
      <c r="J29" s="8" t="s">
        <v>33</v>
      </c>
    </row>
    <row r="30" spans="3:22" x14ac:dyDescent="0.2">
      <c r="D30" s="3" t="s">
        <v>153</v>
      </c>
      <c r="G30" s="10">
        <v>30000</v>
      </c>
      <c r="J30" s="13" t="s">
        <v>34</v>
      </c>
      <c r="L30" s="4">
        <f t="shared" ref="L30:U30" si="17">IF(L$6&lt;=$G$38,$G$39/$G$38,0)</f>
        <v>1715000</v>
      </c>
      <c r="M30" s="4">
        <f t="shared" si="17"/>
        <v>1715000</v>
      </c>
      <c r="N30" s="4">
        <f t="shared" si="17"/>
        <v>1715000</v>
      </c>
      <c r="O30" s="4">
        <f t="shared" si="17"/>
        <v>0</v>
      </c>
      <c r="P30" s="4">
        <f t="shared" si="17"/>
        <v>0</v>
      </c>
      <c r="Q30" s="4">
        <f t="shared" si="17"/>
        <v>0</v>
      </c>
      <c r="R30" s="4">
        <f t="shared" si="17"/>
        <v>0</v>
      </c>
      <c r="S30" s="4">
        <f t="shared" si="17"/>
        <v>0</v>
      </c>
      <c r="T30" s="4">
        <f t="shared" si="17"/>
        <v>0</v>
      </c>
      <c r="U30" s="4">
        <f t="shared" si="17"/>
        <v>0</v>
      </c>
    </row>
    <row r="31" spans="3:22" x14ac:dyDescent="0.2">
      <c r="D31" s="3" t="s">
        <v>27</v>
      </c>
      <c r="G31" s="23">
        <v>0.03</v>
      </c>
      <c r="J31" s="13" t="s">
        <v>141</v>
      </c>
      <c r="L31" s="4">
        <f t="shared" ref="L31:U31" si="18">IF(L$6=$G$40,$G$41,0)</f>
        <v>0</v>
      </c>
      <c r="M31" s="4">
        <f t="shared" si="18"/>
        <v>0</v>
      </c>
      <c r="N31" s="4">
        <f t="shared" si="18"/>
        <v>0</v>
      </c>
      <c r="O31" s="4">
        <f t="shared" si="18"/>
        <v>0</v>
      </c>
      <c r="P31" s="4">
        <f t="shared" si="18"/>
        <v>100000</v>
      </c>
      <c r="Q31" s="4">
        <f t="shared" si="18"/>
        <v>0</v>
      </c>
      <c r="R31" s="4">
        <f t="shared" si="18"/>
        <v>0</v>
      </c>
      <c r="S31" s="4">
        <f t="shared" si="18"/>
        <v>0</v>
      </c>
      <c r="T31" s="4">
        <f t="shared" si="18"/>
        <v>0</v>
      </c>
      <c r="U31" s="4">
        <f t="shared" si="18"/>
        <v>0</v>
      </c>
    </row>
    <row r="32" spans="3:22" x14ac:dyDescent="0.2">
      <c r="D32" s="3" t="s">
        <v>154</v>
      </c>
      <c r="G32" s="10">
        <v>100000</v>
      </c>
      <c r="J32" s="18" t="s">
        <v>36</v>
      </c>
      <c r="K32" s="19"/>
      <c r="L32" s="19">
        <f t="shared" ref="L32:U32" si="19">IF(L$6=$G$42,$G$43,0)</f>
        <v>0</v>
      </c>
      <c r="M32" s="19">
        <f t="shared" si="19"/>
        <v>0</v>
      </c>
      <c r="N32" s="19">
        <f t="shared" si="19"/>
        <v>0</v>
      </c>
      <c r="O32" s="19">
        <f t="shared" si="19"/>
        <v>0</v>
      </c>
      <c r="P32" s="19">
        <f t="shared" si="19"/>
        <v>0</v>
      </c>
      <c r="Q32" s="19">
        <f t="shared" si="19"/>
        <v>0</v>
      </c>
      <c r="R32" s="19">
        <f t="shared" si="19"/>
        <v>0</v>
      </c>
      <c r="S32" s="19">
        <f t="shared" si="19"/>
        <v>0</v>
      </c>
      <c r="T32" s="19">
        <f t="shared" si="19"/>
        <v>350000</v>
      </c>
      <c r="U32" s="19">
        <f t="shared" si="19"/>
        <v>0</v>
      </c>
    </row>
    <row r="33" spans="3:21" x14ac:dyDescent="0.2">
      <c r="D33" s="3" t="s">
        <v>35</v>
      </c>
      <c r="G33" s="10">
        <v>250</v>
      </c>
      <c r="J33" s="8" t="s">
        <v>38</v>
      </c>
      <c r="K33" s="22"/>
      <c r="L33" s="22">
        <f>+SUM(L30:L32)</f>
        <v>1715000</v>
      </c>
      <c r="M33" s="22">
        <f t="shared" ref="M33:U33" si="20">+SUM(M30:M32)</f>
        <v>1715000</v>
      </c>
      <c r="N33" s="22">
        <f t="shared" si="20"/>
        <v>1715000</v>
      </c>
      <c r="O33" s="22">
        <f t="shared" si="20"/>
        <v>0</v>
      </c>
      <c r="P33" s="22">
        <f t="shared" si="20"/>
        <v>100000</v>
      </c>
      <c r="Q33" s="22">
        <f t="shared" si="20"/>
        <v>0</v>
      </c>
      <c r="R33" s="22">
        <f t="shared" si="20"/>
        <v>0</v>
      </c>
      <c r="S33" s="22">
        <f t="shared" si="20"/>
        <v>0</v>
      </c>
      <c r="T33" s="22">
        <f t="shared" si="20"/>
        <v>350000</v>
      </c>
      <c r="U33" s="22">
        <f t="shared" si="20"/>
        <v>0</v>
      </c>
    </row>
    <row r="34" spans="3:21" x14ac:dyDescent="0.2">
      <c r="D34" s="3" t="s">
        <v>37</v>
      </c>
      <c r="G34" s="23">
        <v>0.03</v>
      </c>
    </row>
    <row r="35" spans="3:21" x14ac:dyDescent="0.2">
      <c r="D35" s="3" t="s">
        <v>39</v>
      </c>
      <c r="G35" s="23">
        <v>0.04</v>
      </c>
      <c r="J35" s="8" t="s">
        <v>40</v>
      </c>
    </row>
    <row r="37" spans="3:21" x14ac:dyDescent="0.2">
      <c r="C37" s="8" t="s">
        <v>41</v>
      </c>
      <c r="J37" s="8" t="s">
        <v>42</v>
      </c>
      <c r="L37" s="94"/>
      <c r="M37" s="94"/>
      <c r="N37" s="94"/>
      <c r="O37" s="94"/>
      <c r="P37" s="94"/>
      <c r="Q37" s="94"/>
      <c r="R37" s="94"/>
      <c r="S37" s="94"/>
      <c r="T37" s="94"/>
      <c r="U37" s="94"/>
    </row>
    <row r="38" spans="3:21" x14ac:dyDescent="0.2">
      <c r="C38" s="8"/>
      <c r="D38" s="3" t="s">
        <v>34</v>
      </c>
      <c r="G38" s="17">
        <v>3</v>
      </c>
      <c r="J38" s="13" t="s">
        <v>44</v>
      </c>
      <c r="L38" s="136" t="e">
        <f>IF(L6&lt;=$G$47,$G$52,$G$53)</f>
        <v>#NUM!</v>
      </c>
      <c r="M38" s="136" t="e">
        <f t="shared" ref="M38:U38" si="21">IF(M6&lt;=$G$47,$G$52,$G$53)</f>
        <v>#NUM!</v>
      </c>
      <c r="N38" s="136" t="e">
        <f t="shared" si="21"/>
        <v>#NUM!</v>
      </c>
      <c r="O38" s="136" t="e">
        <f t="shared" si="21"/>
        <v>#NUM!</v>
      </c>
      <c r="P38" s="136" t="e">
        <f t="shared" si="21"/>
        <v>#NUM!</v>
      </c>
      <c r="Q38" s="136" t="e">
        <f t="shared" si="21"/>
        <v>#NUM!</v>
      </c>
      <c r="R38" s="136" t="e">
        <f t="shared" si="21"/>
        <v>#NUM!</v>
      </c>
      <c r="S38" s="136" t="e">
        <f t="shared" si="21"/>
        <v>#NUM!</v>
      </c>
      <c r="T38" s="136" t="e">
        <f t="shared" si="21"/>
        <v>#NUM!</v>
      </c>
      <c r="U38" s="136" t="e">
        <f t="shared" si="21"/>
        <v>#NUM!</v>
      </c>
    </row>
    <row r="39" spans="3:21" x14ac:dyDescent="0.2">
      <c r="C39" s="8"/>
      <c r="D39" s="3" t="s">
        <v>43</v>
      </c>
      <c r="G39" s="15">
        <f>+'Sources &amp; Uses'!J18+'Sources &amp; Uses'!J19</f>
        <v>5145000</v>
      </c>
    </row>
    <row r="40" spans="3:21" x14ac:dyDescent="0.2">
      <c r="C40" s="8"/>
      <c r="D40" s="13" t="s">
        <v>141</v>
      </c>
      <c r="E40" s="8"/>
      <c r="G40" s="25">
        <v>5</v>
      </c>
      <c r="J40" s="8" t="s">
        <v>45</v>
      </c>
    </row>
    <row r="41" spans="3:21" x14ac:dyDescent="0.2">
      <c r="C41" s="8"/>
      <c r="D41" s="3" t="s">
        <v>142</v>
      </c>
      <c r="G41" s="10">
        <v>100000</v>
      </c>
      <c r="L41" s="93"/>
      <c r="M41" s="93"/>
      <c r="N41" s="93"/>
      <c r="O41" s="93"/>
      <c r="P41" s="93"/>
      <c r="Q41" s="93"/>
      <c r="R41" s="93"/>
      <c r="S41" s="93"/>
      <c r="T41" s="93"/>
      <c r="U41" s="93"/>
    </row>
    <row r="42" spans="3:21" x14ac:dyDescent="0.2">
      <c r="C42" s="8"/>
      <c r="D42" s="3" t="s">
        <v>143</v>
      </c>
      <c r="E42" s="8"/>
      <c r="G42" s="25">
        <v>9</v>
      </c>
      <c r="J42" s="8" t="s">
        <v>46</v>
      </c>
    </row>
    <row r="43" spans="3:21" x14ac:dyDescent="0.2">
      <c r="D43" s="3" t="s">
        <v>144</v>
      </c>
      <c r="G43" s="10">
        <v>350000</v>
      </c>
      <c r="J43" s="26" t="s">
        <v>47</v>
      </c>
    </row>
    <row r="44" spans="3:21" x14ac:dyDescent="0.2">
      <c r="G44" s="23"/>
      <c r="J44" s="26" t="s">
        <v>49</v>
      </c>
    </row>
    <row r="45" spans="3:21" x14ac:dyDescent="0.2">
      <c r="C45" s="8" t="s">
        <v>48</v>
      </c>
      <c r="J45" s="26" t="s">
        <v>51</v>
      </c>
    </row>
    <row r="46" spans="3:21" x14ac:dyDescent="0.2">
      <c r="D46" s="3" t="s">
        <v>50</v>
      </c>
      <c r="G46" s="27">
        <f>'Debt Sizing'!D16</f>
        <v>0</v>
      </c>
      <c r="J46" s="29" t="s">
        <v>53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3:21" x14ac:dyDescent="0.2">
      <c r="D47" s="3" t="s">
        <v>52</v>
      </c>
      <c r="G47" s="28">
        <v>0</v>
      </c>
      <c r="J47" s="8" t="s">
        <v>55</v>
      </c>
    </row>
    <row r="48" spans="3:21" x14ac:dyDescent="0.2">
      <c r="D48" s="30" t="s">
        <v>54</v>
      </c>
      <c r="E48" s="30"/>
      <c r="F48" s="30"/>
      <c r="G48" s="31">
        <f>+G49-G47</f>
        <v>10</v>
      </c>
      <c r="J48" s="32" t="s">
        <v>57</v>
      </c>
      <c r="K48" s="33"/>
      <c r="L48" s="34" t="e">
        <f>+L44/-SUMIF($K$47:L47,"&lt;0")</f>
        <v>#DIV/0!</v>
      </c>
      <c r="M48" s="34" t="e">
        <f>+M44/-SUMIF($K$47:M47,"&lt;0")</f>
        <v>#DIV/0!</v>
      </c>
      <c r="N48" s="34" t="e">
        <f>+N44/-SUMIF($K$47:N47,"&lt;0")</f>
        <v>#DIV/0!</v>
      </c>
      <c r="O48" s="34" t="e">
        <f>+O44/-SUMIF($K$47:O47,"&lt;0")</f>
        <v>#DIV/0!</v>
      </c>
      <c r="P48" s="34" t="e">
        <f>+P44/-SUMIF($K$47:P47,"&lt;0")</f>
        <v>#DIV/0!</v>
      </c>
      <c r="Q48" s="34" t="e">
        <f>+Q44/-SUMIF($K$47:Q47,"&lt;0")</f>
        <v>#DIV/0!</v>
      </c>
      <c r="R48" s="34" t="e">
        <f>+R44/-SUMIF($K$47:R47,"&lt;0")</f>
        <v>#DIV/0!</v>
      </c>
      <c r="S48" s="34" t="e">
        <f>+S44/-SUMIF($K$47:S47,"&lt;0")</f>
        <v>#DIV/0!</v>
      </c>
      <c r="T48" s="34" t="e">
        <f>+T44/-SUMIF($K$47:T47,"&lt;0")</f>
        <v>#DIV/0!</v>
      </c>
      <c r="U48" s="34" t="e">
        <f>+U44/-SUMIF($K$47:U47,"&lt;0")</f>
        <v>#DIV/0!</v>
      </c>
    </row>
    <row r="49" spans="3:21" ht="16" thickBot="1" x14ac:dyDescent="0.25">
      <c r="D49" s="3" t="s">
        <v>56</v>
      </c>
      <c r="G49" s="28">
        <f>+G12</f>
        <v>10</v>
      </c>
      <c r="L49" s="133"/>
      <c r="M49" s="133"/>
      <c r="N49" s="133"/>
      <c r="O49" s="133"/>
      <c r="P49" s="133"/>
      <c r="Q49" s="133"/>
      <c r="R49" s="133"/>
      <c r="S49" s="133"/>
      <c r="T49" s="133"/>
      <c r="U49" s="133"/>
    </row>
    <row r="50" spans="3:21" x14ac:dyDescent="0.2">
      <c r="D50" s="3" t="s">
        <v>58</v>
      </c>
      <c r="G50" s="17"/>
      <c r="J50" s="35" t="s">
        <v>60</v>
      </c>
      <c r="K50" s="36"/>
    </row>
    <row r="51" spans="3:21" x14ac:dyDescent="0.2">
      <c r="D51" s="3" t="s">
        <v>59</v>
      </c>
      <c r="G51" s="23">
        <v>7.0000000000000007E-2</v>
      </c>
      <c r="J51" s="37" t="s">
        <v>62</v>
      </c>
      <c r="K51" s="38" t="e">
        <f>+SUMIF(K47:U47,"&gt;0")/-SUMIF(K47:U47,"&lt;0")</f>
        <v>#DIV/0!</v>
      </c>
    </row>
    <row r="52" spans="3:21" ht="16" thickBot="1" x14ac:dyDescent="0.25">
      <c r="D52" s="3" t="s">
        <v>61</v>
      </c>
      <c r="J52" s="39" t="s">
        <v>64</v>
      </c>
      <c r="K52" s="40">
        <f>+SUM(K47:U47)</f>
        <v>0</v>
      </c>
    </row>
    <row r="53" spans="3:21" x14ac:dyDescent="0.2">
      <c r="D53" s="3" t="s">
        <v>63</v>
      </c>
      <c r="G53" s="3" t="e">
        <f>PMT(G51/12,G50*12,-G46,0)*12</f>
        <v>#NUM!</v>
      </c>
    </row>
    <row r="54" spans="3:21" x14ac:dyDescent="0.2">
      <c r="J54" s="8" t="s">
        <v>66</v>
      </c>
    </row>
    <row r="55" spans="3:21" x14ac:dyDescent="0.2">
      <c r="C55" s="8" t="s">
        <v>65</v>
      </c>
      <c r="J55" s="26" t="s">
        <v>47</v>
      </c>
      <c r="K55" s="4">
        <f>-'Sources &amp; Uses'!D12</f>
        <v>-17400000</v>
      </c>
    </row>
    <row r="56" spans="3:21" x14ac:dyDescent="0.2">
      <c r="D56" s="3" t="s">
        <v>67</v>
      </c>
      <c r="G56" s="23">
        <v>0.05</v>
      </c>
      <c r="J56" s="26" t="s">
        <v>69</v>
      </c>
    </row>
    <row r="57" spans="3:21" x14ac:dyDescent="0.2">
      <c r="D57" s="3" t="s">
        <v>68</v>
      </c>
      <c r="G57" s="3">
        <f>LOOKUP(G12+1,L6:V6,L27:V27)</f>
        <v>1739593.8651435829</v>
      </c>
      <c r="J57" s="26" t="s">
        <v>51</v>
      </c>
    </row>
    <row r="58" spans="3:21" x14ac:dyDescent="0.2">
      <c r="D58" s="3" t="s">
        <v>70</v>
      </c>
      <c r="G58" s="3">
        <f>G57/G56</f>
        <v>34791877.302871659</v>
      </c>
      <c r="J58" s="26" t="s">
        <v>53</v>
      </c>
      <c r="K58" s="3"/>
    </row>
    <row r="59" spans="3:21" x14ac:dyDescent="0.2">
      <c r="D59" s="3" t="s">
        <v>53</v>
      </c>
      <c r="G59" s="23">
        <v>0.04</v>
      </c>
      <c r="J59" s="29" t="s">
        <v>72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3:21" x14ac:dyDescent="0.2">
      <c r="D60" s="8" t="s">
        <v>71</v>
      </c>
      <c r="G60" s="3" t="e">
        <f>FV(G51/12,G48*12,G53/12,-G46)</f>
        <v>#NUM!</v>
      </c>
      <c r="J60" s="8" t="s">
        <v>73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spans="3:21" x14ac:dyDescent="0.2">
      <c r="J61" s="32" t="s">
        <v>57</v>
      </c>
      <c r="K61" s="33"/>
      <c r="L61" s="34" t="e">
        <f>L56/-SUMIF($K$60:L60,"&lt;0",$K$60:L60)</f>
        <v>#DIV/0!</v>
      </c>
      <c r="M61" s="34" t="e">
        <f>M56/-SUMIF($K$60:M60,"&lt;0",$K$60:M60)</f>
        <v>#DIV/0!</v>
      </c>
      <c r="N61" s="34" t="e">
        <f>N56/-SUMIF($K$60:N60,"&lt;0",$K$60:N60)</f>
        <v>#DIV/0!</v>
      </c>
      <c r="O61" s="34" t="e">
        <f>O56/-SUMIF($K$60:O60,"&lt;0",$K$60:O60)</f>
        <v>#DIV/0!</v>
      </c>
      <c r="P61" s="34" t="e">
        <f>P56/-SUMIF($K$60:P60,"&lt;0",$K$60:P60)</f>
        <v>#DIV/0!</v>
      </c>
      <c r="Q61" s="34" t="e">
        <f>Q56/-SUMIF($K$60:Q60,"&lt;0",$K$60:Q60)</f>
        <v>#DIV/0!</v>
      </c>
      <c r="R61" s="34" t="e">
        <f>R56/-SUMIF($K$60:R60,"&lt;0",$K$60:R60)</f>
        <v>#DIV/0!</v>
      </c>
      <c r="S61" s="34" t="e">
        <f>S56/-SUMIF($K$60:S60,"&lt;0",$K$60:S60)</f>
        <v>#DIV/0!</v>
      </c>
      <c r="T61" s="34" t="e">
        <f>T56/-SUMIF($K$60:T60,"&lt;0",$K$60:T60)</f>
        <v>#DIV/0!</v>
      </c>
      <c r="U61" s="34" t="e">
        <f>U56/-SUMIF($K$60:U60,"&lt;0",$K$60:U60)</f>
        <v>#DIV/0!</v>
      </c>
    </row>
    <row r="62" spans="3:21" x14ac:dyDescent="0.2">
      <c r="J62" s="32" t="s">
        <v>74</v>
      </c>
      <c r="K62" s="33"/>
      <c r="L62" s="34" t="e">
        <f t="shared" ref="L62:U62" si="22">L27/$G$46</f>
        <v>#DIV/0!</v>
      </c>
      <c r="M62" s="34" t="e">
        <f t="shared" si="22"/>
        <v>#DIV/0!</v>
      </c>
      <c r="N62" s="34" t="e">
        <f t="shared" si="22"/>
        <v>#DIV/0!</v>
      </c>
      <c r="O62" s="34" t="e">
        <f t="shared" si="22"/>
        <v>#DIV/0!</v>
      </c>
      <c r="P62" s="34" t="e">
        <f t="shared" si="22"/>
        <v>#DIV/0!</v>
      </c>
      <c r="Q62" s="34" t="e">
        <f t="shared" si="22"/>
        <v>#DIV/0!</v>
      </c>
      <c r="R62" s="34" t="e">
        <f t="shared" si="22"/>
        <v>#DIV/0!</v>
      </c>
      <c r="S62" s="34" t="e">
        <f t="shared" si="22"/>
        <v>#DIV/0!</v>
      </c>
      <c r="T62" s="34" t="e">
        <f t="shared" si="22"/>
        <v>#DIV/0!</v>
      </c>
      <c r="U62" s="34" t="e">
        <f t="shared" si="22"/>
        <v>#DIV/0!</v>
      </c>
    </row>
    <row r="63" spans="3:21" x14ac:dyDescent="0.2">
      <c r="J63" s="32" t="s">
        <v>75</v>
      </c>
      <c r="K63" s="33"/>
      <c r="L63" s="145" t="e">
        <f>L27/L38</f>
        <v>#NUM!</v>
      </c>
      <c r="M63" s="145" t="e">
        <f t="shared" ref="M63:U63" si="23">M27/M38</f>
        <v>#NUM!</v>
      </c>
      <c r="N63" s="145" t="e">
        <f t="shared" si="23"/>
        <v>#NUM!</v>
      </c>
      <c r="O63" s="145" t="e">
        <f t="shared" si="23"/>
        <v>#NUM!</v>
      </c>
      <c r="P63" s="145" t="e">
        <f t="shared" si="23"/>
        <v>#NUM!</v>
      </c>
      <c r="Q63" s="145" t="e">
        <f t="shared" si="23"/>
        <v>#NUM!</v>
      </c>
      <c r="R63" s="145" t="e">
        <f t="shared" si="23"/>
        <v>#NUM!</v>
      </c>
      <c r="S63" s="145" t="e">
        <f t="shared" si="23"/>
        <v>#NUM!</v>
      </c>
      <c r="T63" s="145" t="e">
        <f t="shared" si="23"/>
        <v>#NUM!</v>
      </c>
      <c r="U63" s="145" t="e">
        <f t="shared" si="23"/>
        <v>#NUM!</v>
      </c>
    </row>
    <row r="64" spans="3:21" ht="16" thickBot="1" x14ac:dyDescent="0.25"/>
    <row r="65" spans="10:12" x14ac:dyDescent="0.2">
      <c r="J65" s="35" t="s">
        <v>60</v>
      </c>
      <c r="K65" s="36"/>
      <c r="L65" s="133"/>
    </row>
    <row r="66" spans="10:12" x14ac:dyDescent="0.2">
      <c r="J66" s="37" t="s">
        <v>62</v>
      </c>
      <c r="K66" s="38" t="e">
        <f>SUMIF(K60:U60,"&gt;0")/-SUMIF(K60:U60,"&lt;0")</f>
        <v>#DIV/0!</v>
      </c>
    </row>
    <row r="67" spans="10:12" ht="16" thickBot="1" x14ac:dyDescent="0.25">
      <c r="J67" s="39" t="s">
        <v>64</v>
      </c>
      <c r="K67" s="40">
        <f>SUM(K60:U60)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E1A8-0E17-443F-8442-B9641472CB2C}">
  <sheetPr>
    <tabColor theme="9" tint="0.79998168889431442"/>
  </sheetPr>
  <dimension ref="B1:V71"/>
  <sheetViews>
    <sheetView tabSelected="1" topLeftCell="H1" zoomScale="119" workbookViewId="0">
      <selection activeCell="S22" sqref="S22:U22"/>
    </sheetView>
  </sheetViews>
  <sheetFormatPr baseColWidth="10" defaultColWidth="12.6640625" defaultRowHeight="15" x14ac:dyDescent="0.2"/>
  <cols>
    <col min="1" max="1" width="3.83203125" style="3" customWidth="1"/>
    <col min="2" max="2" width="13.6640625" style="3" bestFit="1" customWidth="1"/>
    <col min="3" max="3" width="13.83203125" style="4" customWidth="1"/>
    <col min="4" max="6" width="12.6640625" style="4"/>
    <col min="7" max="7" width="16" style="3" customWidth="1"/>
    <col min="8" max="8" width="4.83203125" style="3" customWidth="1"/>
    <col min="9" max="9" width="25.6640625" style="3" customWidth="1"/>
    <col min="10" max="10" width="11.1640625" style="3" customWidth="1"/>
    <col min="11" max="15" width="12.6640625" style="4"/>
    <col min="16" max="16" width="14.5" style="4" bestFit="1" customWidth="1"/>
    <col min="17" max="21" width="12.6640625" style="4"/>
    <col min="22" max="22" width="3.83203125" style="3" customWidth="1"/>
    <col min="23" max="16384" width="12.6640625" style="3"/>
  </cols>
  <sheetData>
    <row r="1" spans="2:22" ht="29" customHeight="1" x14ac:dyDescent="0.2">
      <c r="B1" s="95" t="s">
        <v>90</v>
      </c>
      <c r="C1" s="95"/>
      <c r="D1" s="95"/>
      <c r="E1" s="95"/>
      <c r="F1" s="95"/>
      <c r="G1" s="95"/>
    </row>
    <row r="2" spans="2:22" s="5" customFormat="1" ht="3" customHeight="1" x14ac:dyDescent="0.2">
      <c r="C2" s="6"/>
      <c r="D2" s="6"/>
      <c r="E2" s="6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2" ht="3" customHeight="1" x14ac:dyDescent="0.2">
      <c r="G3" s="7"/>
    </row>
    <row r="4" spans="2:22" s="5" customFormat="1" ht="3" customHeight="1" x14ac:dyDescent="0.2">
      <c r="C4" s="6"/>
      <c r="D4" s="6"/>
      <c r="E4" s="6"/>
      <c r="F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2:22" ht="15" customHeight="1" x14ac:dyDescent="0.2"/>
    <row r="6" spans="2:22" x14ac:dyDescent="0.2">
      <c r="B6" s="139" t="s">
        <v>146</v>
      </c>
      <c r="C6" s="140"/>
      <c r="D6" s="140"/>
      <c r="E6" s="140"/>
      <c r="F6" s="140"/>
      <c r="G6" s="141"/>
      <c r="I6" s="50" t="s">
        <v>91</v>
      </c>
      <c r="J6" s="51">
        <v>0</v>
      </c>
      <c r="K6" s="51">
        <v>1</v>
      </c>
      <c r="L6" s="51">
        <f>+K6+1</f>
        <v>2</v>
      </c>
      <c r="M6" s="51">
        <f t="shared" ref="M6:U6" si="0">+L6+1</f>
        <v>3</v>
      </c>
      <c r="N6" s="51">
        <f t="shared" si="0"/>
        <v>4</v>
      </c>
      <c r="O6" s="51">
        <f t="shared" si="0"/>
        <v>5</v>
      </c>
      <c r="P6" s="51">
        <f t="shared" si="0"/>
        <v>6</v>
      </c>
      <c r="Q6" s="51">
        <f t="shared" si="0"/>
        <v>7</v>
      </c>
      <c r="R6" s="51">
        <f t="shared" si="0"/>
        <v>8</v>
      </c>
      <c r="S6" s="51">
        <f t="shared" si="0"/>
        <v>9</v>
      </c>
      <c r="T6" s="51">
        <f t="shared" si="0"/>
        <v>10</v>
      </c>
      <c r="U6" s="52">
        <f t="shared" si="0"/>
        <v>11</v>
      </c>
    </row>
    <row r="7" spans="2:22" ht="16" thickBot="1" x14ac:dyDescent="0.25">
      <c r="B7" s="53" t="s">
        <v>92</v>
      </c>
      <c r="C7" s="54" t="s">
        <v>93</v>
      </c>
      <c r="D7" s="54" t="s">
        <v>94</v>
      </c>
      <c r="E7" s="54" t="s">
        <v>95</v>
      </c>
      <c r="F7" s="54" t="s">
        <v>139</v>
      </c>
      <c r="G7" s="55" t="s">
        <v>145</v>
      </c>
      <c r="I7" s="56" t="s">
        <v>96</v>
      </c>
      <c r="J7" s="57">
        <f>'Assumptions &amp; Cash Flow'!K7</f>
        <v>45657</v>
      </c>
      <c r="K7" s="57">
        <f>'Assumptions &amp; Cash Flow'!L7</f>
        <v>46022</v>
      </c>
      <c r="L7" s="58">
        <f>EDATE(K7,12)</f>
        <v>46387</v>
      </c>
      <c r="M7" s="58">
        <f t="shared" ref="M7:U7" si="1">EDATE(L7,12)</f>
        <v>46752</v>
      </c>
      <c r="N7" s="58">
        <f t="shared" si="1"/>
        <v>47118</v>
      </c>
      <c r="O7" s="58">
        <f t="shared" si="1"/>
        <v>47483</v>
      </c>
      <c r="P7" s="58">
        <f t="shared" si="1"/>
        <v>47848</v>
      </c>
      <c r="Q7" s="58">
        <f t="shared" si="1"/>
        <v>48213</v>
      </c>
      <c r="R7" s="58">
        <f t="shared" si="1"/>
        <v>48579</v>
      </c>
      <c r="S7" s="58">
        <f t="shared" si="1"/>
        <v>48944</v>
      </c>
      <c r="T7" s="58">
        <f t="shared" si="1"/>
        <v>49309</v>
      </c>
      <c r="U7" s="59">
        <f t="shared" si="1"/>
        <v>49674</v>
      </c>
    </row>
    <row r="8" spans="2:22" x14ac:dyDescent="0.2">
      <c r="B8" s="60" t="s">
        <v>97</v>
      </c>
      <c r="C8" s="42">
        <v>0</v>
      </c>
      <c r="D8" s="42">
        <v>3550</v>
      </c>
      <c r="E8" s="61">
        <v>0</v>
      </c>
      <c r="F8" s="61"/>
      <c r="G8" s="62">
        <f t="shared" ref="G8:G39" si="2">E8*12</f>
        <v>0</v>
      </c>
      <c r="I8" s="63"/>
      <c r="J8" s="146"/>
      <c r="K8" s="64"/>
      <c r="L8" s="64"/>
      <c r="M8" s="64"/>
      <c r="N8" s="64"/>
      <c r="O8" s="64"/>
      <c r="P8" s="64"/>
      <c r="Q8" s="64"/>
      <c r="R8" s="64"/>
      <c r="S8" s="64"/>
      <c r="T8" s="64"/>
      <c r="U8" s="65"/>
    </row>
    <row r="9" spans="2:22" x14ac:dyDescent="0.2">
      <c r="B9" s="66" t="s">
        <v>98</v>
      </c>
      <c r="C9" s="42">
        <v>1</v>
      </c>
      <c r="D9" s="42">
        <v>750</v>
      </c>
      <c r="E9" s="61">
        <v>3750</v>
      </c>
      <c r="F9" s="137">
        <f>+E9/D9</f>
        <v>5</v>
      </c>
      <c r="G9" s="62">
        <f t="shared" si="2"/>
        <v>45000</v>
      </c>
      <c r="I9" s="47" t="s">
        <v>155</v>
      </c>
      <c r="K9" s="67">
        <v>0.06</v>
      </c>
      <c r="L9" s="67">
        <v>0.04</v>
      </c>
      <c r="M9" s="67">
        <v>0.03</v>
      </c>
      <c r="N9" s="67">
        <v>0.03</v>
      </c>
      <c r="O9" s="67">
        <v>0.03</v>
      </c>
      <c r="P9" s="67">
        <v>0.03</v>
      </c>
      <c r="Q9" s="67">
        <v>0.03</v>
      </c>
      <c r="R9" s="67">
        <v>0.03</v>
      </c>
      <c r="S9" s="67">
        <v>0.03</v>
      </c>
      <c r="T9" s="67">
        <v>0.03</v>
      </c>
      <c r="U9" s="68">
        <v>0.03</v>
      </c>
    </row>
    <row r="10" spans="2:22" x14ac:dyDescent="0.2">
      <c r="B10" s="66" t="s">
        <v>99</v>
      </c>
      <c r="C10" s="42">
        <v>2</v>
      </c>
      <c r="D10" s="42">
        <v>1200</v>
      </c>
      <c r="E10" s="61">
        <v>5000</v>
      </c>
      <c r="F10" s="137">
        <f t="shared" ref="F10:F38" si="3">+E10/D10</f>
        <v>4.166666666666667</v>
      </c>
      <c r="G10" s="62">
        <f t="shared" si="2"/>
        <v>60000</v>
      </c>
      <c r="I10" s="47" t="s">
        <v>156</v>
      </c>
      <c r="K10" s="67">
        <v>0.08</v>
      </c>
      <c r="L10" s="67">
        <v>0.05</v>
      </c>
      <c r="M10" s="67">
        <v>0.04</v>
      </c>
      <c r="N10" s="67">
        <v>0.04</v>
      </c>
      <c r="O10" s="67">
        <v>0.04</v>
      </c>
      <c r="P10" s="67">
        <v>0.04</v>
      </c>
      <c r="Q10" s="67">
        <v>0.04</v>
      </c>
      <c r="R10" s="67">
        <v>0.04</v>
      </c>
      <c r="S10" s="67">
        <v>0.04</v>
      </c>
      <c r="T10" s="67">
        <v>0.04</v>
      </c>
      <c r="U10" s="68">
        <v>0.04</v>
      </c>
    </row>
    <row r="11" spans="2:22" x14ac:dyDescent="0.2">
      <c r="B11" s="66" t="s">
        <v>100</v>
      </c>
      <c r="C11" s="42">
        <v>1</v>
      </c>
      <c r="D11" s="42">
        <v>750</v>
      </c>
      <c r="E11" s="61">
        <v>3750</v>
      </c>
      <c r="F11" s="137">
        <f t="shared" si="3"/>
        <v>5</v>
      </c>
      <c r="G11" s="62">
        <f t="shared" si="2"/>
        <v>45000</v>
      </c>
      <c r="I11" s="47" t="s">
        <v>157</v>
      </c>
      <c r="K11" s="67">
        <v>0.06</v>
      </c>
      <c r="L11" s="67">
        <v>0.04</v>
      </c>
      <c r="M11" s="67">
        <v>0.03</v>
      </c>
      <c r="N11" s="67">
        <v>0.03</v>
      </c>
      <c r="O11" s="67">
        <v>0.03</v>
      </c>
      <c r="P11" s="67">
        <v>0.03</v>
      </c>
      <c r="Q11" s="67">
        <v>0.03</v>
      </c>
      <c r="R11" s="67">
        <v>0.03</v>
      </c>
      <c r="S11" s="67">
        <v>0.03</v>
      </c>
      <c r="T11" s="67">
        <v>0.03</v>
      </c>
      <c r="U11" s="68">
        <v>0.03</v>
      </c>
    </row>
    <row r="12" spans="2:22" x14ac:dyDescent="0.2">
      <c r="B12" s="66" t="s">
        <v>101</v>
      </c>
      <c r="C12" s="42">
        <v>0</v>
      </c>
      <c r="D12" s="42">
        <v>500</v>
      </c>
      <c r="E12" s="61">
        <v>2500</v>
      </c>
      <c r="F12" s="137">
        <f t="shared" si="3"/>
        <v>5</v>
      </c>
      <c r="G12" s="62">
        <f t="shared" si="2"/>
        <v>30000</v>
      </c>
      <c r="I12" s="47" t="s">
        <v>158</v>
      </c>
      <c r="K12" s="67">
        <v>0.04</v>
      </c>
      <c r="L12" s="67">
        <v>0.03</v>
      </c>
      <c r="M12" s="67">
        <v>0.02</v>
      </c>
      <c r="N12" s="67">
        <v>0.02</v>
      </c>
      <c r="O12" s="67">
        <v>0.02</v>
      </c>
      <c r="P12" s="67">
        <v>0.02</v>
      </c>
      <c r="Q12" s="67">
        <v>0.02</v>
      </c>
      <c r="R12" s="67">
        <v>0.01</v>
      </c>
      <c r="S12" s="67">
        <v>0.01</v>
      </c>
      <c r="T12" s="67">
        <v>0.01</v>
      </c>
      <c r="U12" s="68">
        <v>0.01</v>
      </c>
    </row>
    <row r="13" spans="2:22" x14ac:dyDescent="0.2">
      <c r="B13" s="66" t="s">
        <v>102</v>
      </c>
      <c r="C13" s="42">
        <v>2</v>
      </c>
      <c r="D13" s="42">
        <v>1200</v>
      </c>
      <c r="E13" s="61">
        <v>4500</v>
      </c>
      <c r="F13" s="137">
        <f t="shared" si="3"/>
        <v>3.75</v>
      </c>
      <c r="G13" s="62">
        <f t="shared" si="2"/>
        <v>54000</v>
      </c>
      <c r="I13" s="47"/>
      <c r="U13" s="69"/>
    </row>
    <row r="14" spans="2:22" x14ac:dyDescent="0.2">
      <c r="B14" s="66" t="s">
        <v>103</v>
      </c>
      <c r="C14" s="42">
        <v>1</v>
      </c>
      <c r="D14" s="42">
        <v>750</v>
      </c>
      <c r="E14" s="61">
        <v>3750</v>
      </c>
      <c r="F14" s="137">
        <f t="shared" si="3"/>
        <v>5</v>
      </c>
      <c r="G14" s="62">
        <f t="shared" si="2"/>
        <v>45000</v>
      </c>
      <c r="I14" s="47" t="s">
        <v>159</v>
      </c>
      <c r="J14" s="3">
        <f>SUMIF($C$9:$C$39,0,$G$9:$G$39)</f>
        <v>150000</v>
      </c>
      <c r="K14" s="4">
        <f>J14*(1+K9)</f>
        <v>159000</v>
      </c>
      <c r="L14" s="4">
        <f t="shared" ref="L14:U14" si="4">+K14*(1+L9)</f>
        <v>165360</v>
      </c>
      <c r="M14" s="4">
        <f t="shared" si="4"/>
        <v>170320.80000000002</v>
      </c>
      <c r="N14" s="4">
        <f t="shared" si="4"/>
        <v>175430.42400000003</v>
      </c>
      <c r="O14" s="4">
        <f t="shared" si="4"/>
        <v>180693.33672000002</v>
      </c>
      <c r="P14" s="4">
        <f t="shared" si="4"/>
        <v>186114.13682160003</v>
      </c>
      <c r="Q14" s="4">
        <f t="shared" si="4"/>
        <v>191697.56092624803</v>
      </c>
      <c r="R14" s="4">
        <f t="shared" si="4"/>
        <v>197448.48775403548</v>
      </c>
      <c r="S14" s="4">
        <f t="shared" si="4"/>
        <v>203371.94238665656</v>
      </c>
      <c r="T14" s="4">
        <f t="shared" si="4"/>
        <v>209473.10065825627</v>
      </c>
      <c r="U14" s="69">
        <f t="shared" si="4"/>
        <v>215757.29367800397</v>
      </c>
    </row>
    <row r="15" spans="2:22" x14ac:dyDescent="0.2">
      <c r="B15" s="66" t="s">
        <v>104</v>
      </c>
      <c r="C15" s="42">
        <v>1</v>
      </c>
      <c r="D15" s="42">
        <v>750</v>
      </c>
      <c r="E15" s="61">
        <v>3750</v>
      </c>
      <c r="F15" s="137">
        <f t="shared" si="3"/>
        <v>5</v>
      </c>
      <c r="G15" s="62">
        <f t="shared" si="2"/>
        <v>45000</v>
      </c>
      <c r="I15" s="47" t="s">
        <v>160</v>
      </c>
      <c r="J15" s="3">
        <f>SUMIF($C$9:$C$39,1,$G$9:$G$39)</f>
        <v>675000</v>
      </c>
      <c r="K15" s="4">
        <f>J15+J15*K10</f>
        <v>729000</v>
      </c>
      <c r="L15" s="4">
        <f t="shared" ref="L15:U15" si="5">K15+K15*L10</f>
        <v>765450</v>
      </c>
      <c r="M15" s="4">
        <f t="shared" si="5"/>
        <v>796068</v>
      </c>
      <c r="N15" s="4">
        <f t="shared" si="5"/>
        <v>827910.72</v>
      </c>
      <c r="O15" s="4">
        <f t="shared" si="5"/>
        <v>861027.14879999997</v>
      </c>
      <c r="P15" s="4">
        <f t="shared" si="5"/>
        <v>895468.23475199996</v>
      </c>
      <c r="Q15" s="4">
        <f t="shared" si="5"/>
        <v>931286.96414207993</v>
      </c>
      <c r="R15" s="4">
        <f t="shared" si="5"/>
        <v>968538.44270776317</v>
      </c>
      <c r="S15" s="4">
        <f t="shared" si="5"/>
        <v>1007279.9804160737</v>
      </c>
      <c r="T15" s="4">
        <f t="shared" si="5"/>
        <v>1047571.1796327167</v>
      </c>
      <c r="U15" s="4">
        <f t="shared" si="5"/>
        <v>1089474.0268180254</v>
      </c>
    </row>
    <row r="16" spans="2:22" x14ac:dyDescent="0.2">
      <c r="B16" s="66" t="s">
        <v>105</v>
      </c>
      <c r="C16" s="42">
        <v>2</v>
      </c>
      <c r="D16" s="42">
        <v>1200</v>
      </c>
      <c r="E16" s="61">
        <v>5000</v>
      </c>
      <c r="F16" s="137">
        <f t="shared" si="3"/>
        <v>4.166666666666667</v>
      </c>
      <c r="G16" s="62">
        <f t="shared" si="2"/>
        <v>60000</v>
      </c>
      <c r="I16" s="47" t="s">
        <v>161</v>
      </c>
      <c r="J16" s="3">
        <f>SUMIF($C$9:$C$39,2,$G$9:$G$39)</f>
        <v>570000</v>
      </c>
      <c r="K16" s="4">
        <f>J16+J16*K11</f>
        <v>604200</v>
      </c>
      <c r="L16" s="4">
        <f t="shared" ref="L16:U16" si="6">K16+K16*L11</f>
        <v>628368</v>
      </c>
      <c r="M16" s="4">
        <f t="shared" si="6"/>
        <v>647219.04</v>
      </c>
      <c r="N16" s="4">
        <f t="shared" si="6"/>
        <v>666635.61120000004</v>
      </c>
      <c r="O16" s="4">
        <f t="shared" si="6"/>
        <v>686634.67953600001</v>
      </c>
      <c r="P16" s="4">
        <f t="shared" si="6"/>
        <v>707233.71992208005</v>
      </c>
      <c r="Q16" s="4">
        <f t="shared" si="6"/>
        <v>728450.7315197424</v>
      </c>
      <c r="R16" s="4">
        <f t="shared" si="6"/>
        <v>750304.25346533465</v>
      </c>
      <c r="S16" s="4">
        <f t="shared" si="6"/>
        <v>772813.38106929464</v>
      </c>
      <c r="T16" s="4">
        <f t="shared" si="6"/>
        <v>795997.78250137344</v>
      </c>
      <c r="U16" s="4">
        <f t="shared" si="6"/>
        <v>819877.71597641462</v>
      </c>
      <c r="V16" s="4"/>
    </row>
    <row r="17" spans="2:21" x14ac:dyDescent="0.2">
      <c r="B17" s="66" t="s">
        <v>106</v>
      </c>
      <c r="C17" s="42">
        <v>1</v>
      </c>
      <c r="D17" s="42">
        <v>750</v>
      </c>
      <c r="E17" s="61">
        <v>3750</v>
      </c>
      <c r="F17" s="137">
        <f t="shared" si="3"/>
        <v>5</v>
      </c>
      <c r="G17" s="62">
        <f t="shared" si="2"/>
        <v>45000</v>
      </c>
      <c r="I17" s="49" t="s">
        <v>162</v>
      </c>
      <c r="J17" s="3">
        <f>SUMIF($C$9:$C$39,4,$G$9:$G$39)</f>
        <v>180000</v>
      </c>
      <c r="K17" s="4">
        <f>J17+J17*K12</f>
        <v>187200</v>
      </c>
      <c r="L17" s="4">
        <f t="shared" ref="L17:U17" si="7">K17+K17*L12</f>
        <v>192816</v>
      </c>
      <c r="M17" s="4">
        <f t="shared" si="7"/>
        <v>196672.32</v>
      </c>
      <c r="N17" s="4">
        <f t="shared" si="7"/>
        <v>200605.76639999999</v>
      </c>
      <c r="O17" s="4">
        <f t="shared" si="7"/>
        <v>204617.88172800001</v>
      </c>
      <c r="P17" s="4">
        <f t="shared" si="7"/>
        <v>208710.23936256001</v>
      </c>
      <c r="Q17" s="4">
        <f t="shared" si="7"/>
        <v>212884.4441498112</v>
      </c>
      <c r="R17" s="4">
        <f t="shared" si="7"/>
        <v>215013.28859130931</v>
      </c>
      <c r="S17" s="4">
        <f t="shared" si="7"/>
        <v>217163.42147722241</v>
      </c>
      <c r="T17" s="4">
        <f t="shared" si="7"/>
        <v>219335.05569199464</v>
      </c>
      <c r="U17" s="4">
        <f t="shared" si="7"/>
        <v>221528.40624891457</v>
      </c>
    </row>
    <row r="18" spans="2:21" x14ac:dyDescent="0.2">
      <c r="B18" s="66" t="s">
        <v>107</v>
      </c>
      <c r="C18" s="42">
        <v>0</v>
      </c>
      <c r="D18" s="42">
        <v>500</v>
      </c>
      <c r="E18" s="61">
        <v>2500</v>
      </c>
      <c r="F18" s="137">
        <f t="shared" si="3"/>
        <v>5</v>
      </c>
      <c r="G18" s="62">
        <f t="shared" si="2"/>
        <v>30000</v>
      </c>
      <c r="I18" s="70" t="s">
        <v>167</v>
      </c>
      <c r="J18" s="147">
        <f>SUM(J14:J17)</f>
        <v>1575000</v>
      </c>
      <c r="K18" s="147">
        <f t="shared" ref="K18:U18" si="8">SUM(K14:K17)</f>
        <v>1679400</v>
      </c>
      <c r="L18" s="147">
        <f t="shared" si="8"/>
        <v>1751994</v>
      </c>
      <c r="M18" s="147">
        <f t="shared" si="8"/>
        <v>1810280.1600000001</v>
      </c>
      <c r="N18" s="147">
        <f t="shared" si="8"/>
        <v>1870582.5216000001</v>
      </c>
      <c r="O18" s="147">
        <f t="shared" si="8"/>
        <v>1932973.046784</v>
      </c>
      <c r="P18" s="147">
        <f t="shared" si="8"/>
        <v>1997526.3308582401</v>
      </c>
      <c r="Q18" s="147">
        <f t="shared" si="8"/>
        <v>2064319.7007378817</v>
      </c>
      <c r="R18" s="147">
        <f t="shared" si="8"/>
        <v>2131304.4725184427</v>
      </c>
      <c r="S18" s="147">
        <f t="shared" si="8"/>
        <v>2200628.7253492475</v>
      </c>
      <c r="T18" s="147">
        <f t="shared" si="8"/>
        <v>2272377.1184843411</v>
      </c>
      <c r="U18" s="147">
        <f t="shared" si="8"/>
        <v>2346637.4427213585</v>
      </c>
    </row>
    <row r="19" spans="2:21" x14ac:dyDescent="0.2">
      <c r="B19" s="66" t="s">
        <v>108</v>
      </c>
      <c r="C19" s="42">
        <v>2</v>
      </c>
      <c r="D19" s="42">
        <v>1200</v>
      </c>
      <c r="E19" s="61">
        <v>4500</v>
      </c>
      <c r="F19" s="137">
        <f t="shared" si="3"/>
        <v>3.75</v>
      </c>
      <c r="G19" s="62">
        <f t="shared" si="2"/>
        <v>54000</v>
      </c>
    </row>
    <row r="20" spans="2:21" x14ac:dyDescent="0.2">
      <c r="B20" s="66" t="s">
        <v>109</v>
      </c>
      <c r="C20" s="42">
        <v>1</v>
      </c>
      <c r="D20" s="42">
        <v>750</v>
      </c>
      <c r="E20" s="61">
        <v>3750</v>
      </c>
      <c r="F20" s="137">
        <f t="shared" si="3"/>
        <v>5</v>
      </c>
      <c r="G20" s="62">
        <f t="shared" si="2"/>
        <v>45000</v>
      </c>
      <c r="I20" s="73" t="s">
        <v>8</v>
      </c>
      <c r="J20" s="148"/>
      <c r="K20" s="74">
        <v>0.2</v>
      </c>
      <c r="L20" s="74">
        <v>0.2</v>
      </c>
      <c r="M20" s="74">
        <v>0.15</v>
      </c>
      <c r="N20" s="74">
        <v>0.1</v>
      </c>
      <c r="O20" s="74">
        <v>0.03</v>
      </c>
      <c r="P20" s="74">
        <v>0.03</v>
      </c>
      <c r="Q20" s="74">
        <v>0.03</v>
      </c>
      <c r="R20" s="74">
        <v>0.03</v>
      </c>
      <c r="S20" s="74">
        <v>0.05</v>
      </c>
      <c r="T20" s="74">
        <v>0.05</v>
      </c>
      <c r="U20" s="75">
        <v>0.05</v>
      </c>
    </row>
    <row r="21" spans="2:21" x14ac:dyDescent="0.2">
      <c r="B21" s="66" t="s">
        <v>110</v>
      </c>
      <c r="C21" s="42">
        <v>1</v>
      </c>
      <c r="D21" s="42">
        <v>750</v>
      </c>
      <c r="E21" s="61">
        <v>3750</v>
      </c>
      <c r="F21" s="137">
        <f t="shared" si="3"/>
        <v>5</v>
      </c>
      <c r="G21" s="62">
        <f t="shared" si="2"/>
        <v>45000</v>
      </c>
    </row>
    <row r="22" spans="2:21" x14ac:dyDescent="0.2">
      <c r="B22" s="66" t="s">
        <v>111</v>
      </c>
      <c r="C22" s="42">
        <v>2</v>
      </c>
      <c r="D22" s="42">
        <v>1200</v>
      </c>
      <c r="E22" s="61">
        <v>5000</v>
      </c>
      <c r="F22" s="137">
        <f t="shared" si="3"/>
        <v>4.166666666666667</v>
      </c>
      <c r="G22" s="62">
        <f t="shared" si="2"/>
        <v>60000</v>
      </c>
      <c r="I22" s="70" t="s">
        <v>140</v>
      </c>
      <c r="J22" s="147"/>
      <c r="K22" s="71">
        <f>K18*K20</f>
        <v>335880</v>
      </c>
      <c r="L22" s="71">
        <f t="shared" ref="L22:U22" si="9">L18*L20</f>
        <v>350398.80000000005</v>
      </c>
      <c r="M22" s="71">
        <f t="shared" si="9"/>
        <v>271542.02400000003</v>
      </c>
      <c r="N22" s="71">
        <f t="shared" si="9"/>
        <v>187058.25216000003</v>
      </c>
      <c r="O22" s="71">
        <f t="shared" si="9"/>
        <v>57989.191403519995</v>
      </c>
      <c r="P22" s="71">
        <f t="shared" si="9"/>
        <v>59925.789925747202</v>
      </c>
      <c r="Q22" s="71">
        <f t="shared" si="9"/>
        <v>61929.591022136447</v>
      </c>
      <c r="R22" s="71">
        <f t="shared" si="9"/>
        <v>63939.134175553278</v>
      </c>
      <c r="S22" s="71">
        <f t="shared" si="9"/>
        <v>110031.43626746238</v>
      </c>
      <c r="T22" s="71">
        <f t="shared" si="9"/>
        <v>113618.85592421706</v>
      </c>
      <c r="U22" s="71">
        <f t="shared" si="9"/>
        <v>117331.87213606793</v>
      </c>
    </row>
    <row r="23" spans="2:21" x14ac:dyDescent="0.2">
      <c r="B23" s="66" t="s">
        <v>112</v>
      </c>
      <c r="C23" s="42">
        <v>1</v>
      </c>
      <c r="D23" s="42">
        <v>750</v>
      </c>
      <c r="E23" s="61">
        <v>3750</v>
      </c>
      <c r="F23" s="137">
        <f t="shared" si="3"/>
        <v>5</v>
      </c>
      <c r="G23" s="62">
        <f t="shared" si="2"/>
        <v>45000</v>
      </c>
    </row>
    <row r="24" spans="2:21" x14ac:dyDescent="0.2">
      <c r="B24" s="66" t="s">
        <v>113</v>
      </c>
      <c r="C24" s="42">
        <v>0</v>
      </c>
      <c r="D24" s="42">
        <v>500</v>
      </c>
      <c r="E24" s="61">
        <v>2500</v>
      </c>
      <c r="F24" s="137">
        <f t="shared" si="3"/>
        <v>5</v>
      </c>
      <c r="G24" s="62">
        <f t="shared" si="2"/>
        <v>30000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1" x14ac:dyDescent="0.2">
      <c r="B25" s="66" t="s">
        <v>114</v>
      </c>
      <c r="C25" s="42">
        <v>2</v>
      </c>
      <c r="D25" s="42">
        <v>1200</v>
      </c>
      <c r="E25" s="61">
        <v>4500</v>
      </c>
      <c r="F25" s="137">
        <f t="shared" si="3"/>
        <v>3.75</v>
      </c>
      <c r="G25" s="62">
        <f t="shared" si="2"/>
        <v>54000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 x14ac:dyDescent="0.2">
      <c r="B26" s="66" t="s">
        <v>115</v>
      </c>
      <c r="C26" s="42">
        <v>1</v>
      </c>
      <c r="D26" s="42">
        <v>750</v>
      </c>
      <c r="E26" s="61">
        <v>3750</v>
      </c>
      <c r="F26" s="137">
        <f t="shared" si="3"/>
        <v>5</v>
      </c>
      <c r="G26" s="62">
        <f t="shared" si="2"/>
        <v>45000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2:21" x14ac:dyDescent="0.2">
      <c r="B27" s="66" t="s">
        <v>116</v>
      </c>
      <c r="C27" s="42">
        <v>1</v>
      </c>
      <c r="D27" s="42">
        <v>750</v>
      </c>
      <c r="E27" s="61">
        <v>3750</v>
      </c>
      <c r="F27" s="137">
        <f t="shared" si="3"/>
        <v>5</v>
      </c>
      <c r="G27" s="62">
        <f t="shared" si="2"/>
        <v>45000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x14ac:dyDescent="0.2">
      <c r="B28" s="66" t="s">
        <v>117</v>
      </c>
      <c r="C28" s="42">
        <v>2</v>
      </c>
      <c r="D28" s="42">
        <v>1200</v>
      </c>
      <c r="E28" s="61">
        <v>5000</v>
      </c>
      <c r="F28" s="137">
        <f t="shared" si="3"/>
        <v>4.166666666666667</v>
      </c>
      <c r="G28" s="62">
        <f t="shared" si="2"/>
        <v>60000</v>
      </c>
    </row>
    <row r="29" spans="2:21" x14ac:dyDescent="0.2">
      <c r="B29" s="66" t="s">
        <v>118</v>
      </c>
      <c r="C29" s="42">
        <v>1</v>
      </c>
      <c r="D29" s="42">
        <v>750</v>
      </c>
      <c r="E29" s="61">
        <v>3750</v>
      </c>
      <c r="F29" s="137">
        <f t="shared" si="3"/>
        <v>5</v>
      </c>
      <c r="G29" s="62">
        <f t="shared" si="2"/>
        <v>45000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2:21" x14ac:dyDescent="0.2">
      <c r="B30" s="66" t="s">
        <v>119</v>
      </c>
      <c r="C30" s="42">
        <v>0</v>
      </c>
      <c r="D30" s="42">
        <v>500</v>
      </c>
      <c r="E30" s="61">
        <v>2500</v>
      </c>
      <c r="F30" s="137">
        <f t="shared" si="3"/>
        <v>5</v>
      </c>
      <c r="G30" s="62">
        <f t="shared" si="2"/>
        <v>30000</v>
      </c>
    </row>
    <row r="31" spans="2:21" x14ac:dyDescent="0.2">
      <c r="B31" s="66" t="s">
        <v>120</v>
      </c>
      <c r="C31" s="42">
        <v>2</v>
      </c>
      <c r="D31" s="42">
        <v>1200</v>
      </c>
      <c r="E31" s="61">
        <v>4500</v>
      </c>
      <c r="F31" s="137">
        <f t="shared" si="3"/>
        <v>3.75</v>
      </c>
      <c r="G31" s="62">
        <f t="shared" si="2"/>
        <v>54000</v>
      </c>
    </row>
    <row r="32" spans="2:21" x14ac:dyDescent="0.2">
      <c r="B32" s="66" t="s">
        <v>121</v>
      </c>
      <c r="C32" s="42">
        <v>1</v>
      </c>
      <c r="D32" s="42">
        <v>750</v>
      </c>
      <c r="E32" s="61">
        <v>3750</v>
      </c>
      <c r="F32" s="137">
        <f t="shared" si="3"/>
        <v>5</v>
      </c>
      <c r="G32" s="62">
        <f t="shared" si="2"/>
        <v>45000</v>
      </c>
    </row>
    <row r="33" spans="2:7" x14ac:dyDescent="0.2">
      <c r="B33" s="66" t="s">
        <v>122</v>
      </c>
      <c r="C33" s="42">
        <v>1</v>
      </c>
      <c r="D33" s="42">
        <v>750</v>
      </c>
      <c r="E33" s="61">
        <v>3750</v>
      </c>
      <c r="F33" s="137">
        <f t="shared" si="3"/>
        <v>5</v>
      </c>
      <c r="G33" s="62">
        <f t="shared" si="2"/>
        <v>45000</v>
      </c>
    </row>
    <row r="34" spans="2:7" x14ac:dyDescent="0.2">
      <c r="B34" s="66" t="s">
        <v>123</v>
      </c>
      <c r="C34" s="42">
        <v>2</v>
      </c>
      <c r="D34" s="42">
        <v>1200</v>
      </c>
      <c r="E34" s="61">
        <v>5000</v>
      </c>
      <c r="F34" s="137">
        <f t="shared" si="3"/>
        <v>4.166666666666667</v>
      </c>
      <c r="G34" s="62">
        <f t="shared" si="2"/>
        <v>60000</v>
      </c>
    </row>
    <row r="35" spans="2:7" x14ac:dyDescent="0.2">
      <c r="B35" s="66" t="s">
        <v>124</v>
      </c>
      <c r="C35" s="42">
        <v>1</v>
      </c>
      <c r="D35" s="42">
        <v>750</v>
      </c>
      <c r="E35" s="61">
        <v>3750</v>
      </c>
      <c r="F35" s="137">
        <f t="shared" si="3"/>
        <v>5</v>
      </c>
      <c r="G35" s="62">
        <f t="shared" si="2"/>
        <v>45000</v>
      </c>
    </row>
    <row r="36" spans="2:7" x14ac:dyDescent="0.2">
      <c r="B36" s="66" t="s">
        <v>125</v>
      </c>
      <c r="C36" s="42">
        <v>0</v>
      </c>
      <c r="D36" s="42">
        <v>500</v>
      </c>
      <c r="E36" s="61">
        <v>2500</v>
      </c>
      <c r="F36" s="137">
        <f t="shared" si="3"/>
        <v>5</v>
      </c>
      <c r="G36" s="62">
        <f t="shared" si="2"/>
        <v>30000</v>
      </c>
    </row>
    <row r="37" spans="2:7" x14ac:dyDescent="0.2">
      <c r="B37" s="66" t="s">
        <v>126</v>
      </c>
      <c r="C37" s="42">
        <v>2</v>
      </c>
      <c r="D37" s="42">
        <v>1200</v>
      </c>
      <c r="E37" s="61">
        <v>4500</v>
      </c>
      <c r="F37" s="137">
        <f t="shared" si="3"/>
        <v>3.75</v>
      </c>
      <c r="G37" s="62">
        <f t="shared" si="2"/>
        <v>54000</v>
      </c>
    </row>
    <row r="38" spans="2:7" x14ac:dyDescent="0.2">
      <c r="B38" s="66" t="s">
        <v>127</v>
      </c>
      <c r="C38" s="42">
        <v>1</v>
      </c>
      <c r="D38" s="42">
        <v>750</v>
      </c>
      <c r="E38" s="61">
        <v>3750</v>
      </c>
      <c r="F38" s="137">
        <f t="shared" si="3"/>
        <v>5</v>
      </c>
      <c r="G38" s="62">
        <f t="shared" si="2"/>
        <v>45000</v>
      </c>
    </row>
    <row r="39" spans="2:7" x14ac:dyDescent="0.2">
      <c r="B39" s="76" t="s">
        <v>128</v>
      </c>
      <c r="C39" s="77">
        <v>4</v>
      </c>
      <c r="D39" s="77">
        <v>5000</v>
      </c>
      <c r="E39" s="78">
        <v>15000</v>
      </c>
      <c r="F39" s="137">
        <f>+E39/D39</f>
        <v>3</v>
      </c>
      <c r="G39" s="79">
        <f t="shared" si="2"/>
        <v>180000</v>
      </c>
    </row>
    <row r="40" spans="2:7" x14ac:dyDescent="0.2">
      <c r="B40" s="80" t="s">
        <v>79</v>
      </c>
      <c r="C40" s="71">
        <f>COUNTA(C9:C39)</f>
        <v>31</v>
      </c>
      <c r="D40" s="71">
        <f>SUM(D8:D39)</f>
        <v>34300</v>
      </c>
      <c r="E40" s="71">
        <f>SUM(E8:E39)</f>
        <v>131250</v>
      </c>
      <c r="F40" s="138">
        <f>+SUMPRODUCT(F9:F39,D9:D39)/D40</f>
        <v>3.8265306122448979</v>
      </c>
      <c r="G40" s="72">
        <f>SUM(G8:G39)</f>
        <v>1575000</v>
      </c>
    </row>
    <row r="52" spans="2:6" x14ac:dyDescent="0.2">
      <c r="B52" s="8"/>
    </row>
    <row r="53" spans="2:6" x14ac:dyDescent="0.2">
      <c r="B53" s="8"/>
    </row>
    <row r="54" spans="2:6" x14ac:dyDescent="0.2">
      <c r="B54" s="8"/>
    </row>
    <row r="55" spans="2:6" x14ac:dyDescent="0.2">
      <c r="E55" s="41"/>
      <c r="F55" s="41"/>
    </row>
    <row r="59" spans="2:6" x14ac:dyDescent="0.2">
      <c r="B59" s="8"/>
    </row>
    <row r="71" spans="2:2" x14ac:dyDescent="0.2">
      <c r="B71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7153-B0D2-4DF5-AC2D-9FC11D489EEB}">
  <sheetPr>
    <tabColor theme="9" tint="0.79998168889431442"/>
  </sheetPr>
  <dimension ref="B1:L59"/>
  <sheetViews>
    <sheetView showGridLines="0" zoomScaleNormal="130" workbookViewId="0">
      <selection activeCell="J19" sqref="J19"/>
    </sheetView>
  </sheetViews>
  <sheetFormatPr baseColWidth="10" defaultColWidth="12.6640625" defaultRowHeight="15" x14ac:dyDescent="0.2"/>
  <cols>
    <col min="1" max="1" width="3.83203125" style="3" customWidth="1"/>
    <col min="2" max="9" width="12.6640625" style="3"/>
    <col min="10" max="11" width="12.6640625" style="4"/>
    <col min="12" max="12" width="12.6640625" style="44"/>
    <col min="13" max="13" width="4.33203125" style="3" customWidth="1"/>
    <col min="14" max="14" width="12.6640625" style="3"/>
    <col min="15" max="15" width="14.5" style="3" bestFit="1" customWidth="1"/>
    <col min="16" max="16384" width="12.6640625" style="3"/>
  </cols>
  <sheetData>
    <row r="1" spans="2:12" ht="24" x14ac:dyDescent="0.2">
      <c r="B1" s="95" t="s">
        <v>76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2:12" s="5" customFormat="1" ht="3" customHeight="1" x14ac:dyDescent="0.2">
      <c r="J2" s="6"/>
      <c r="K2" s="6"/>
      <c r="L2" s="43"/>
    </row>
    <row r="3" spans="2:12" ht="3" customHeight="1" x14ac:dyDescent="0.2"/>
    <row r="4" spans="2:12" s="5" customFormat="1" ht="3" customHeight="1" x14ac:dyDescent="0.2">
      <c r="J4" s="6"/>
      <c r="K4" s="6"/>
      <c r="L4" s="43"/>
    </row>
    <row r="6" spans="2:12" x14ac:dyDescent="0.2">
      <c r="B6" s="3" t="s">
        <v>77</v>
      </c>
      <c r="C6" s="27">
        <f>'Assumptions &amp; Cash Flow'!G10</f>
        <v>34300</v>
      </c>
      <c r="D6" s="27"/>
      <c r="E6" s="27"/>
      <c r="F6" s="27"/>
      <c r="G6" s="27"/>
      <c r="H6" s="27"/>
      <c r="I6" s="27"/>
    </row>
    <row r="8" spans="2:12" ht="16" thickBot="1" x14ac:dyDescent="0.25">
      <c r="B8" s="96" t="s">
        <v>76</v>
      </c>
      <c r="C8" s="97"/>
      <c r="D8" s="97"/>
      <c r="E8" s="97"/>
      <c r="F8" s="97"/>
      <c r="G8" s="97"/>
      <c r="H8" s="97"/>
      <c r="I8" s="97"/>
      <c r="J8" s="97"/>
      <c r="K8" s="97"/>
      <c r="L8" s="98"/>
    </row>
    <row r="9" spans="2:12" x14ac:dyDescent="0.2">
      <c r="B9" s="99"/>
      <c r="C9" s="122"/>
      <c r="D9" s="123" t="s">
        <v>134</v>
      </c>
      <c r="E9" s="123"/>
      <c r="F9" s="123"/>
      <c r="G9" s="107" t="s">
        <v>136</v>
      </c>
      <c r="H9" s="108"/>
      <c r="I9" s="114"/>
      <c r="J9" s="123" t="s">
        <v>137</v>
      </c>
      <c r="K9" s="123"/>
      <c r="L9" s="102"/>
    </row>
    <row r="10" spans="2:12" x14ac:dyDescent="0.2">
      <c r="B10" s="45" t="s">
        <v>78</v>
      </c>
      <c r="C10" s="124"/>
      <c r="D10" s="125" t="s">
        <v>79</v>
      </c>
      <c r="E10" s="125" t="s">
        <v>80</v>
      </c>
      <c r="F10" s="119" t="s">
        <v>135</v>
      </c>
      <c r="G10" s="109" t="s">
        <v>79</v>
      </c>
      <c r="H10" s="125" t="s">
        <v>80</v>
      </c>
      <c r="I10" s="46" t="s">
        <v>135</v>
      </c>
      <c r="J10" s="125" t="s">
        <v>79</v>
      </c>
      <c r="K10" s="125" t="s">
        <v>80</v>
      </c>
      <c r="L10" s="46" t="s">
        <v>135</v>
      </c>
    </row>
    <row r="11" spans="2:12" x14ac:dyDescent="0.2">
      <c r="B11" s="47" t="s">
        <v>81</v>
      </c>
      <c r="D11" s="14">
        <f>'Assumptions &amp; Cash Flow'!G46</f>
        <v>0</v>
      </c>
      <c r="E11" s="120">
        <f t="shared" ref="E11:E12" si="0">D11/$C$6</f>
        <v>0</v>
      </c>
      <c r="F11" s="126">
        <f>D11/D$13</f>
        <v>0</v>
      </c>
      <c r="G11" s="110">
        <v>0</v>
      </c>
      <c r="H11" s="120">
        <f t="shared" ref="H11:H12" si="1">G11/$C$6</f>
        <v>0</v>
      </c>
      <c r="I11" s="115">
        <f>G11/G$13</f>
        <v>0</v>
      </c>
      <c r="J11" s="24">
        <f>D11+G11</f>
        <v>0</v>
      </c>
      <c r="K11" s="120">
        <f>J11/$C$6</f>
        <v>0</v>
      </c>
      <c r="L11" s="132">
        <f>J11/$J$13</f>
        <v>0</v>
      </c>
    </row>
    <row r="12" spans="2:12" x14ac:dyDescent="0.2">
      <c r="B12" s="47" t="s">
        <v>82</v>
      </c>
      <c r="D12" s="4">
        <f>D20-D11</f>
        <v>17400000</v>
      </c>
      <c r="E12" s="120">
        <f t="shared" si="0"/>
        <v>507.28862973760931</v>
      </c>
      <c r="F12" s="126">
        <f>D12/D$13</f>
        <v>1</v>
      </c>
      <c r="G12" s="66">
        <f>G20-G11</f>
        <v>5145000</v>
      </c>
      <c r="H12" s="120">
        <f t="shared" si="1"/>
        <v>150</v>
      </c>
      <c r="I12" s="115">
        <f>G12/G$13</f>
        <v>1</v>
      </c>
      <c r="J12" s="4">
        <f>D12+G12</f>
        <v>22545000</v>
      </c>
      <c r="K12" s="120">
        <f>J12/$C$6</f>
        <v>657.28862973760931</v>
      </c>
      <c r="L12" s="132">
        <f>J12/$J$13</f>
        <v>1</v>
      </c>
    </row>
    <row r="13" spans="2:12" x14ac:dyDescent="0.2">
      <c r="B13" s="48" t="s">
        <v>83</v>
      </c>
      <c r="C13" s="127"/>
      <c r="D13" s="128">
        <f>SUM(D11:D12)</f>
        <v>17400000</v>
      </c>
      <c r="E13" s="121">
        <f>SUM(E11:E12)</f>
        <v>507.28862973760931</v>
      </c>
      <c r="F13" s="134">
        <f>D13/D$13</f>
        <v>1</v>
      </c>
      <c r="G13" s="111">
        <f>SUM(G11:G12)</f>
        <v>5145000</v>
      </c>
      <c r="H13" s="121">
        <f>SUM(H11:H12)</f>
        <v>150</v>
      </c>
      <c r="I13" s="116">
        <f>G13/G$13</f>
        <v>1</v>
      </c>
      <c r="J13" s="128">
        <f>SUM(J11:J12)</f>
        <v>22545000</v>
      </c>
      <c r="K13" s="121">
        <f>SUM(K11:K12)</f>
        <v>657.28862973760931</v>
      </c>
      <c r="L13" s="129">
        <f>SUM(L11:L12)</f>
        <v>1</v>
      </c>
    </row>
    <row r="14" spans="2:12" x14ac:dyDescent="0.2">
      <c r="B14" s="45" t="s">
        <v>84</v>
      </c>
      <c r="C14" s="124"/>
      <c r="D14" s="130" t="s">
        <v>79</v>
      </c>
      <c r="E14" s="119" t="s">
        <v>80</v>
      </c>
      <c r="F14" s="124" t="s">
        <v>135</v>
      </c>
      <c r="G14" s="112" t="s">
        <v>79</v>
      </c>
      <c r="H14" s="119" t="s">
        <v>80</v>
      </c>
      <c r="I14" s="117" t="s">
        <v>135</v>
      </c>
      <c r="J14" s="130" t="s">
        <v>79</v>
      </c>
      <c r="K14" s="119" t="s">
        <v>80</v>
      </c>
      <c r="L14" s="131" t="s">
        <v>79</v>
      </c>
    </row>
    <row r="15" spans="2:12" x14ac:dyDescent="0.2">
      <c r="B15" s="47" t="s">
        <v>16</v>
      </c>
      <c r="D15" s="14">
        <f>'Assumptions &amp; Cash Flow'!G14</f>
        <v>17000000</v>
      </c>
      <c r="E15" s="120">
        <f>D15/$C$6</f>
        <v>495.62682215743439</v>
      </c>
      <c r="F15" s="126">
        <f>D15/D$20</f>
        <v>0.97701149425287359</v>
      </c>
      <c r="G15" s="110">
        <v>0</v>
      </c>
      <c r="H15" s="120">
        <f>G15/$C$6</f>
        <v>0</v>
      </c>
      <c r="I15" s="115">
        <f>G15/G$20</f>
        <v>0</v>
      </c>
      <c r="J15" s="24">
        <f>D15+G15</f>
        <v>17000000</v>
      </c>
      <c r="K15" s="120">
        <f>J15/$C$6</f>
        <v>495.62682215743439</v>
      </c>
      <c r="L15" s="132">
        <f>J15/$J$20</f>
        <v>0.75404746063428696</v>
      </c>
    </row>
    <row r="16" spans="2:12" x14ac:dyDescent="0.2">
      <c r="B16" s="47" t="s">
        <v>85</v>
      </c>
      <c r="D16" s="14">
        <f>'Assumptions &amp; Cash Flow'!G15</f>
        <v>400000</v>
      </c>
      <c r="E16" s="120">
        <f>D16/$C$6</f>
        <v>11.661807580174926</v>
      </c>
      <c r="F16" s="126">
        <f t="shared" ref="F16:F20" si="2">D16/D$20</f>
        <v>2.2988505747126436E-2</v>
      </c>
      <c r="G16" s="110">
        <v>0</v>
      </c>
      <c r="H16" s="120">
        <f>G16/$C$6</f>
        <v>0</v>
      </c>
      <c r="I16" s="115">
        <f t="shared" ref="I16:I20" si="3">G16/G$20</f>
        <v>0</v>
      </c>
      <c r="J16" s="24">
        <f>D16+G16</f>
        <v>400000</v>
      </c>
      <c r="K16" s="120">
        <f>J16/$C$6</f>
        <v>11.661807580174926</v>
      </c>
      <c r="L16" s="132">
        <f>J16/$J$20</f>
        <v>1.7742293191394989E-2</v>
      </c>
    </row>
    <row r="17" spans="2:12" x14ac:dyDescent="0.2">
      <c r="B17" s="47" t="s">
        <v>86</v>
      </c>
      <c r="D17" s="14">
        <f>+J11*'Assumptions &amp; Cash Flow'!$G$16</f>
        <v>0</v>
      </c>
      <c r="E17" s="120">
        <f>D17/$C$6</f>
        <v>0</v>
      </c>
      <c r="F17" s="126">
        <f t="shared" si="2"/>
        <v>0</v>
      </c>
      <c r="G17" s="110">
        <v>0</v>
      </c>
      <c r="H17" s="120">
        <f>G17/$C$6</f>
        <v>0</v>
      </c>
      <c r="I17" s="115">
        <f t="shared" si="3"/>
        <v>0</v>
      </c>
      <c r="J17" s="24">
        <f>D17+G17</f>
        <v>0</v>
      </c>
      <c r="K17" s="120">
        <f>J17/$C$6</f>
        <v>0</v>
      </c>
      <c r="L17" s="132">
        <f>J17/$J$20</f>
        <v>0</v>
      </c>
    </row>
    <row r="18" spans="2:12" x14ac:dyDescent="0.2">
      <c r="B18" s="47" t="s">
        <v>87</v>
      </c>
      <c r="D18" s="4">
        <f>E18*$C$6</f>
        <v>0</v>
      </c>
      <c r="E18" s="100">
        <v>0</v>
      </c>
      <c r="F18" s="126">
        <f t="shared" si="2"/>
        <v>0</v>
      </c>
      <c r="G18" s="66">
        <f>H18*$C$6</f>
        <v>4287500</v>
      </c>
      <c r="H18" s="100">
        <v>125</v>
      </c>
      <c r="I18" s="115">
        <f t="shared" si="3"/>
        <v>0.83333333333333337</v>
      </c>
      <c r="J18" s="4">
        <f>D18+G18</f>
        <v>4287500</v>
      </c>
      <c r="K18" s="120">
        <f t="shared" ref="K18:K19" si="4">J18/$C$6</f>
        <v>125</v>
      </c>
      <c r="L18" s="132">
        <f>J18/$J$20</f>
        <v>0.19017520514526504</v>
      </c>
    </row>
    <row r="19" spans="2:12" x14ac:dyDescent="0.2">
      <c r="B19" s="47" t="s">
        <v>88</v>
      </c>
      <c r="D19" s="4">
        <f t="shared" ref="D19" si="5">E19*$C$6</f>
        <v>0</v>
      </c>
      <c r="E19" s="100">
        <v>0</v>
      </c>
      <c r="F19" s="126">
        <f t="shared" si="2"/>
        <v>0</v>
      </c>
      <c r="G19" s="66">
        <f t="shared" ref="G19" si="6">H19*$C$6</f>
        <v>857500</v>
      </c>
      <c r="H19" s="100">
        <v>25</v>
      </c>
      <c r="I19" s="115">
        <f t="shared" si="3"/>
        <v>0.16666666666666666</v>
      </c>
      <c r="J19" s="4">
        <f>D19+G19</f>
        <v>857500</v>
      </c>
      <c r="K19" s="120">
        <f t="shared" si="4"/>
        <v>25</v>
      </c>
      <c r="L19" s="132">
        <f>J19/$J$20</f>
        <v>3.8035041029053002E-2</v>
      </c>
    </row>
    <row r="20" spans="2:12" x14ac:dyDescent="0.2">
      <c r="B20" s="103" t="s">
        <v>89</v>
      </c>
      <c r="C20" s="104"/>
      <c r="D20" s="105">
        <f>SUM(D15:D19)</f>
        <v>17400000</v>
      </c>
      <c r="E20" s="106">
        <f>SUM(E15:E19)</f>
        <v>507.28862973760931</v>
      </c>
      <c r="F20" s="101">
        <f t="shared" si="2"/>
        <v>1</v>
      </c>
      <c r="G20" s="113">
        <f>SUM(G15:G19)</f>
        <v>5145000</v>
      </c>
      <c r="H20" s="106">
        <f>SUM(H15:H19)</f>
        <v>150</v>
      </c>
      <c r="I20" s="118">
        <f t="shared" si="3"/>
        <v>1</v>
      </c>
      <c r="J20" s="105">
        <f>SUM(J15:J19)</f>
        <v>22545000</v>
      </c>
      <c r="K20" s="106">
        <f>SUM(K15:K19)</f>
        <v>657.28862973760931</v>
      </c>
      <c r="L20" s="118">
        <f>SUM(L15:L19)</f>
        <v>0.99999999999999989</v>
      </c>
    </row>
    <row r="23" spans="2:12" x14ac:dyDescent="0.2">
      <c r="B23" s="8"/>
      <c r="C23" s="8"/>
      <c r="D23" s="8"/>
      <c r="E23" s="8"/>
      <c r="F23" s="8"/>
      <c r="G23" s="8"/>
      <c r="H23" s="8"/>
      <c r="I23" s="8"/>
    </row>
    <row r="24" spans="2:12" x14ac:dyDescent="0.2">
      <c r="B24" s="8"/>
      <c r="C24" s="8"/>
      <c r="D24" s="8"/>
      <c r="E24" s="8"/>
      <c r="F24" s="8"/>
      <c r="G24" s="8"/>
      <c r="H24" s="8"/>
      <c r="I24" s="8"/>
    </row>
    <row r="34" spans="2:2" x14ac:dyDescent="0.2">
      <c r="B34" s="8"/>
    </row>
    <row r="47" spans="2:2" x14ac:dyDescent="0.2">
      <c r="B47" s="8"/>
    </row>
    <row r="59" spans="2:2" x14ac:dyDescent="0.2">
      <c r="B59" s="8"/>
    </row>
  </sheetData>
  <pageMargins left="0.7" right="0.7" top="0.75" bottom="0.75" header="0.3" footer="0.3"/>
  <ignoredErrors>
    <ignoredError sqref="F13:L17 F20:L20 F18:G18 I18:L18 F19:G19 I19:L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DD7D-31FD-4863-97B1-114DEF1CCA90}">
  <sheetPr>
    <tabColor theme="9" tint="0.79998168889431442"/>
  </sheetPr>
  <dimension ref="B1:J18"/>
  <sheetViews>
    <sheetView zoomScale="108" workbookViewId="0">
      <selection activeCell="G41" sqref="G41"/>
    </sheetView>
  </sheetViews>
  <sheetFormatPr baseColWidth="10" defaultColWidth="12.6640625" defaultRowHeight="15" x14ac:dyDescent="0.2"/>
  <cols>
    <col min="1" max="2" width="3.83203125" style="3" customWidth="1"/>
    <col min="3" max="3" width="25" style="3" bestFit="1" customWidth="1"/>
    <col min="4" max="4" width="15.5" style="3" customWidth="1"/>
    <col min="5" max="5" width="3.5" style="3" customWidth="1"/>
    <col min="6" max="6" width="17.6640625" style="3" bestFit="1" customWidth="1"/>
    <col min="7" max="7" width="15.5" style="3" customWidth="1"/>
    <col min="8" max="8" width="3.5" style="3" customWidth="1"/>
    <col min="9" max="9" width="17.6640625" style="3" bestFit="1" customWidth="1"/>
    <col min="10" max="10" width="15.5" style="3" customWidth="1"/>
    <col min="11" max="11" width="4.83203125" style="3" customWidth="1"/>
    <col min="12" max="16384" width="12.6640625" style="3"/>
  </cols>
  <sheetData>
    <row r="1" spans="2:10" ht="24" x14ac:dyDescent="0.2">
      <c r="B1" s="149" t="s">
        <v>129</v>
      </c>
      <c r="C1" s="149"/>
      <c r="D1" s="149"/>
      <c r="E1" s="149"/>
      <c r="F1" s="149"/>
    </row>
    <row r="2" spans="2:10" s="5" customFormat="1" ht="3" customHeight="1" x14ac:dyDescent="0.2">
      <c r="F2" s="81"/>
    </row>
    <row r="3" spans="2:10" ht="3" customHeight="1" x14ac:dyDescent="0.2">
      <c r="F3" s="7"/>
    </row>
    <row r="4" spans="2:10" s="5" customFormat="1" ht="3" customHeight="1" x14ac:dyDescent="0.2">
      <c r="F4" s="81"/>
    </row>
    <row r="5" spans="2:10" x14ac:dyDescent="0.2">
      <c r="F5" s="7"/>
    </row>
    <row r="6" spans="2:10" x14ac:dyDescent="0.2">
      <c r="C6" s="8"/>
      <c r="D6" s="143"/>
      <c r="F6" s="7"/>
    </row>
    <row r="8" spans="2:10" x14ac:dyDescent="0.2">
      <c r="C8" s="150" t="s">
        <v>130</v>
      </c>
      <c r="D8" s="151"/>
      <c r="E8"/>
      <c r="F8" s="150" t="s">
        <v>131</v>
      </c>
      <c r="G8" s="151"/>
      <c r="H8"/>
      <c r="I8" s="150" t="s">
        <v>132</v>
      </c>
      <c r="J8" s="151"/>
    </row>
    <row r="9" spans="2:10" x14ac:dyDescent="0.2">
      <c r="C9" t="s">
        <v>147</v>
      </c>
      <c r="D9" s="82"/>
      <c r="E9"/>
      <c r="F9" t="s">
        <v>147</v>
      </c>
      <c r="G9" s="82"/>
      <c r="H9"/>
      <c r="I9" s="3" t="s">
        <v>16</v>
      </c>
      <c r="J9" s="144"/>
    </row>
    <row r="10" spans="2:10" x14ac:dyDescent="0.2">
      <c r="C10" t="s">
        <v>130</v>
      </c>
      <c r="D10" s="83"/>
      <c r="E10"/>
      <c r="F10" t="s">
        <v>131</v>
      </c>
      <c r="G10" s="84"/>
      <c r="H10"/>
      <c r="I10" t="s">
        <v>132</v>
      </c>
      <c r="J10" s="84"/>
    </row>
    <row r="11" spans="2:10" x14ac:dyDescent="0.2">
      <c r="C11" t="s">
        <v>42</v>
      </c>
      <c r="D11" s="85"/>
      <c r="E11"/>
      <c r="F11" t="s">
        <v>50</v>
      </c>
      <c r="G11" s="86"/>
      <c r="H11"/>
      <c r="I11" t="s">
        <v>50</v>
      </c>
      <c r="J11" s="86"/>
    </row>
    <row r="12" spans="2:10" x14ac:dyDescent="0.2">
      <c r="C12" t="s">
        <v>59</v>
      </c>
      <c r="D12" s="135"/>
      <c r="E12"/>
      <c r="F12"/>
      <c r="G12" s="87"/>
      <c r="H12"/>
      <c r="I12"/>
      <c r="J12" s="84"/>
    </row>
    <row r="13" spans="2:10" x14ac:dyDescent="0.2">
      <c r="C13" t="s">
        <v>165</v>
      </c>
      <c r="D13" s="17"/>
      <c r="E13"/>
      <c r="F13"/>
      <c r="G13" s="87"/>
      <c r="H13"/>
      <c r="I13"/>
      <c r="J13" s="86"/>
    </row>
    <row r="14" spans="2:10" x14ac:dyDescent="0.2">
      <c r="C14" t="s">
        <v>50</v>
      </c>
      <c r="D14" s="85"/>
      <c r="E14"/>
      <c r="F14"/>
      <c r="G14"/>
      <c r="H14"/>
      <c r="I14"/>
      <c r="J14"/>
    </row>
    <row r="15" spans="2:10" x14ac:dyDescent="0.2">
      <c r="C15"/>
      <c r="D15" s="88"/>
      <c r="E15"/>
      <c r="F15"/>
      <c r="G15"/>
      <c r="H15"/>
      <c r="I15"/>
      <c r="J15" s="89"/>
    </row>
    <row r="16" spans="2:10" x14ac:dyDescent="0.2">
      <c r="C16" s="90" t="s">
        <v>133</v>
      </c>
      <c r="D16" s="91"/>
      <c r="E16"/>
      <c r="F16"/>
      <c r="G16"/>
      <c r="H16"/>
      <c r="I16"/>
      <c r="J16" s="87"/>
    </row>
    <row r="17" spans="3:10" x14ac:dyDescent="0.2">
      <c r="C17"/>
      <c r="D17"/>
      <c r="E17"/>
      <c r="F17"/>
      <c r="G17"/>
      <c r="H17"/>
      <c r="I17"/>
      <c r="J17" s="87"/>
    </row>
    <row r="18" spans="3:10" x14ac:dyDescent="0.2">
      <c r="E18"/>
      <c r="F18"/>
      <c r="G18"/>
      <c r="H18"/>
      <c r="I18"/>
      <c r="J18"/>
    </row>
  </sheetData>
  <mergeCells count="4">
    <mergeCell ref="B1:F1"/>
    <mergeCell ref="C8:D8"/>
    <mergeCell ref="F8:G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 &amp; Cash Flow</vt:lpstr>
      <vt:lpstr>Rent Roll</vt:lpstr>
      <vt:lpstr>Sources &amp; Uses</vt:lpstr>
      <vt:lpstr>Debt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Pesci</dc:creator>
  <cp:lastModifiedBy>Linh P. Tran</cp:lastModifiedBy>
  <dcterms:created xsi:type="dcterms:W3CDTF">2023-06-08T12:12:42Z</dcterms:created>
  <dcterms:modified xsi:type="dcterms:W3CDTF">2025-03-25T03:19:37Z</dcterms:modified>
</cp:coreProperties>
</file>