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20170824" sheetId="4" r:id="rId1"/>
    <sheet name="20171023" sheetId="5" r:id="rId2"/>
    <sheet name="20171222" sheetId="6" r:id="rId3"/>
    <sheet name="20180220" sheetId="7" r:id="rId4"/>
    <sheet name="20180302" sheetId="8" r:id="rId5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43"/>
  <sheetViews>
    <sheetView tabSelected="1" workbookViewId="0">
      <pane ySplit="1" topLeftCell="A704" activePane="bottomLeft" state="frozen"/>
      <selection/>
      <selection pane="bottomLeft" activeCell="A723" sqref="A723:N743"/>
    </sheetView>
  </sheetViews>
  <sheetFormatPr defaultColWidth="9" defaultRowHeight="13.5"/>
  <cols>
    <col min="1" max="1" width="11" style="1" customWidth="1"/>
    <col min="2" max="2" width="10.5" style="1" customWidth="1"/>
    <col min="3" max="7" width="9" style="1"/>
    <col min="8" max="8" width="13.25" style="1" customWidth="1"/>
    <col min="9" max="9" width="11.375" style="1" customWidth="1"/>
    <col min="10" max="13" width="9" style="1"/>
    <col min="14" max="14" width="24.125" style="1" customWidth="1"/>
    <col min="15" max="16384" width="9" style="1"/>
  </cols>
  <sheetData>
    <row r="1" spans="1:14">
      <c r="A1" s="2" t="str">
        <f>"成交日期"</f>
        <v>成交日期</v>
      </c>
      <c r="B1" s="2" t="str">
        <f>"成交时间"</f>
        <v>成交时间</v>
      </c>
      <c r="C1" s="2" t="str">
        <f>"证券代码"</f>
        <v>证券代码</v>
      </c>
      <c r="D1" s="2" t="str">
        <f>"证券名称"</f>
        <v>证券名称</v>
      </c>
      <c r="E1" s="2" t="str">
        <f>"买卖标志"</f>
        <v>买卖标志</v>
      </c>
      <c r="F1" s="2" t="str">
        <f>"成交价格"</f>
        <v>成交价格</v>
      </c>
      <c r="G1" s="2" t="str">
        <f>"成交数量"</f>
        <v>成交数量</v>
      </c>
      <c r="H1" s="2" t="str">
        <f>"股东代码"</f>
        <v>股东代码</v>
      </c>
      <c r="I1" s="2" t="str">
        <f>"成交金额"</f>
        <v>成交金额</v>
      </c>
      <c r="J1" s="2" t="str">
        <f>"佣金"</f>
        <v>佣金</v>
      </c>
      <c r="K1" s="2" t="str">
        <f>"印花税"</f>
        <v>印花税</v>
      </c>
      <c r="L1" s="2" t="str">
        <f>"过户费"</f>
        <v>过户费</v>
      </c>
      <c r="M1" s="2" t="str">
        <f>"其他费"</f>
        <v>其他费</v>
      </c>
      <c r="N1" s="2" t="str">
        <f>"备注"</f>
        <v>备注</v>
      </c>
    </row>
    <row r="2" spans="1:15">
      <c r="A2" s="1" t="str">
        <f>"20170626"</f>
        <v>20170626</v>
      </c>
      <c r="B2" s="1" t="str">
        <f>"10:04:27"</f>
        <v>10:04:27</v>
      </c>
      <c r="C2" s="1" t="str">
        <f>"601611"</f>
        <v>601611</v>
      </c>
      <c r="D2" s="1" t="str">
        <f>"中国核建"</f>
        <v>中国核建</v>
      </c>
      <c r="E2" s="1" t="str">
        <f t="shared" ref="E2:E7" si="0">"买入"</f>
        <v>买入</v>
      </c>
      <c r="F2" s="1" t="str">
        <f>"12.080"</f>
        <v>12.080</v>
      </c>
      <c r="G2" s="1" t="str">
        <f>"200.00"</f>
        <v>200.00</v>
      </c>
      <c r="H2" s="1" t="str">
        <f t="shared" ref="H2:H13" si="1">"A850418317"</f>
        <v>A850418317</v>
      </c>
      <c r="I2" s="1" t="str">
        <f>"2416.00"</f>
        <v>2416.00</v>
      </c>
      <c r="J2" s="3" t="str">
        <f>"5.00"</f>
        <v>5.00</v>
      </c>
      <c r="K2" s="1" t="str">
        <f t="shared" ref="K2:K7" si="2">"0.00"</f>
        <v>0.00</v>
      </c>
      <c r="L2" s="1" t="str">
        <f>"0.05"</f>
        <v>0.05</v>
      </c>
      <c r="M2" s="1" t="str">
        <f t="shared" ref="M2:M66" si="3">"0.00"</f>
        <v>0.00</v>
      </c>
      <c r="N2" s="1" t="str">
        <f t="shared" ref="N2:N7" si="4">"证券买入"</f>
        <v>证券买入</v>
      </c>
      <c r="O2" s="1">
        <f>SUM(J2:J104)</f>
        <v>0</v>
      </c>
    </row>
    <row r="3" spans="1:14">
      <c r="A3" s="1" t="str">
        <f>"20170626"</f>
        <v>20170626</v>
      </c>
      <c r="B3" s="1" t="str">
        <f>"10:07:53"</f>
        <v>10:07:53</v>
      </c>
      <c r="C3" s="1" t="str">
        <f>"601611"</f>
        <v>601611</v>
      </c>
      <c r="D3" s="1" t="str">
        <f>"中国核建"</f>
        <v>中国核建</v>
      </c>
      <c r="E3" s="1" t="str">
        <f t="shared" si="0"/>
        <v>买入</v>
      </c>
      <c r="F3" s="1" t="str">
        <f>"12.080"</f>
        <v>12.080</v>
      </c>
      <c r="G3" s="1" t="str">
        <f>"600.00"</f>
        <v>600.00</v>
      </c>
      <c r="H3" s="1" t="str">
        <f t="shared" si="1"/>
        <v>A850418317</v>
      </c>
      <c r="I3" s="1" t="str">
        <f>"7248.00"</f>
        <v>7248.00</v>
      </c>
      <c r="J3" s="3" t="str">
        <f t="shared" ref="J2:J17" si="5">"5.00"</f>
        <v>5.00</v>
      </c>
      <c r="K3" s="1" t="str">
        <f t="shared" si="2"/>
        <v>0.00</v>
      </c>
      <c r="L3" s="1" t="str">
        <f>"0.14"</f>
        <v>0.14</v>
      </c>
      <c r="M3" s="1" t="str">
        <f t="shared" si="3"/>
        <v>0.00</v>
      </c>
      <c r="N3" s="1" t="str">
        <f t="shared" si="4"/>
        <v>证券买入</v>
      </c>
    </row>
    <row r="4" spans="1:14">
      <c r="A4" s="1" t="str">
        <f>"20170626"</f>
        <v>20170626</v>
      </c>
      <c r="B4" s="1" t="str">
        <f>"10:14:22"</f>
        <v>10:14:22</v>
      </c>
      <c r="C4" s="1" t="str">
        <f>"601988"</f>
        <v>601988</v>
      </c>
      <c r="D4" s="1" t="str">
        <f>"中国银行"</f>
        <v>中国银行</v>
      </c>
      <c r="E4" s="1" t="str">
        <f t="shared" si="0"/>
        <v>买入</v>
      </c>
      <c r="F4" s="1" t="str">
        <f>"3.690"</f>
        <v>3.690</v>
      </c>
      <c r="G4" s="1" t="str">
        <f>"100.00"</f>
        <v>100.00</v>
      </c>
      <c r="H4" s="1" t="str">
        <f t="shared" si="1"/>
        <v>A850418317</v>
      </c>
      <c r="I4" s="1" t="str">
        <f>"369.00"</f>
        <v>369.00</v>
      </c>
      <c r="J4" s="3" t="str">
        <f t="shared" si="5"/>
        <v>5.00</v>
      </c>
      <c r="K4" s="1" t="str">
        <f t="shared" si="2"/>
        <v>0.00</v>
      </c>
      <c r="L4" s="1" t="str">
        <f>"0.01"</f>
        <v>0.01</v>
      </c>
      <c r="M4" s="1" t="str">
        <f t="shared" si="3"/>
        <v>0.00</v>
      </c>
      <c r="N4" s="1" t="str">
        <f t="shared" si="4"/>
        <v>证券买入</v>
      </c>
    </row>
    <row r="5" spans="1:14">
      <c r="A5" s="1" t="str">
        <f>"20170626"</f>
        <v>20170626</v>
      </c>
      <c r="B5" s="1" t="str">
        <f>"15:00:00"</f>
        <v>15:00:00</v>
      </c>
      <c r="C5" s="1" t="str">
        <f>"799999"</f>
        <v>799999</v>
      </c>
      <c r="D5" s="1" t="str">
        <f>"登记指定"</f>
        <v>登记指定</v>
      </c>
      <c r="E5" s="1" t="str">
        <f t="shared" si="0"/>
        <v>买入</v>
      </c>
      <c r="F5" s="1" t="str">
        <f>"1.000"</f>
        <v>1.000</v>
      </c>
      <c r="G5" s="1" t="str">
        <f>"1.00"</f>
        <v>1.00</v>
      </c>
      <c r="H5" s="1" t="str">
        <f t="shared" si="1"/>
        <v>A850418317</v>
      </c>
      <c r="I5" s="1" t="str">
        <f t="shared" ref="I5:M5" si="6">"0.00"</f>
        <v>0.00</v>
      </c>
      <c r="J5" s="3" t="str">
        <f t="shared" si="6"/>
        <v>0.00</v>
      </c>
      <c r="K5" s="1" t="str">
        <f t="shared" si="6"/>
        <v>0.00</v>
      </c>
      <c r="L5" s="1" t="str">
        <f t="shared" si="6"/>
        <v>0.00</v>
      </c>
      <c r="M5" s="1" t="str">
        <f t="shared" si="6"/>
        <v>0.00</v>
      </c>
      <c r="N5" s="1" t="str">
        <f>"指定交易"</f>
        <v>指定交易</v>
      </c>
    </row>
    <row r="6" spans="1:14">
      <c r="A6" s="1" t="str">
        <f>"20170630"</f>
        <v>20170630</v>
      </c>
      <c r="B6" s="1" t="str">
        <f>"09:40:41"</f>
        <v>09:40:41</v>
      </c>
      <c r="C6" s="1" t="str">
        <f t="shared" ref="C6:C8" si="7">"601878"</f>
        <v>601878</v>
      </c>
      <c r="D6" s="1" t="str">
        <f t="shared" ref="D6:D8" si="8">"浙商证券"</f>
        <v>浙商证券</v>
      </c>
      <c r="E6" s="1" t="str">
        <f t="shared" si="0"/>
        <v>买入</v>
      </c>
      <c r="F6" s="1" t="str">
        <f>"16.780"</f>
        <v>16.780</v>
      </c>
      <c r="G6" s="1" t="str">
        <f t="shared" ref="G6:G11" si="9">"200.00"</f>
        <v>200.00</v>
      </c>
      <c r="H6" s="1" t="str">
        <f t="shared" si="1"/>
        <v>A850418317</v>
      </c>
      <c r="I6" s="1" t="str">
        <f>"3356.00"</f>
        <v>3356.00</v>
      </c>
      <c r="J6" s="3" t="str">
        <f t="shared" si="5"/>
        <v>5.00</v>
      </c>
      <c r="K6" s="1" t="str">
        <f t="shared" si="2"/>
        <v>0.00</v>
      </c>
      <c r="L6" s="1" t="str">
        <f>"0.07"</f>
        <v>0.07</v>
      </c>
      <c r="M6" s="1" t="str">
        <f t="shared" si="3"/>
        <v>0.00</v>
      </c>
      <c r="N6" s="1" t="str">
        <f t="shared" si="4"/>
        <v>证券买入</v>
      </c>
    </row>
    <row r="7" spans="1:14">
      <c r="A7" s="1" t="str">
        <f>"20170703"</f>
        <v>20170703</v>
      </c>
      <c r="B7" s="1" t="str">
        <f>"09:38:07"</f>
        <v>09:38:07</v>
      </c>
      <c r="C7" s="1" t="str">
        <f t="shared" si="7"/>
        <v>601878</v>
      </c>
      <c r="D7" s="1" t="str">
        <f t="shared" si="8"/>
        <v>浙商证券</v>
      </c>
      <c r="E7" s="1" t="str">
        <f t="shared" si="0"/>
        <v>买入</v>
      </c>
      <c r="F7" s="1" t="str">
        <f>"16.380"</f>
        <v>16.380</v>
      </c>
      <c r="G7" s="1" t="str">
        <f>"100.00"</f>
        <v>100.00</v>
      </c>
      <c r="H7" s="1" t="str">
        <f t="shared" si="1"/>
        <v>A850418317</v>
      </c>
      <c r="I7" s="1" t="str">
        <f>"1638.00"</f>
        <v>1638.00</v>
      </c>
      <c r="J7" s="3" t="str">
        <f t="shared" si="5"/>
        <v>5.00</v>
      </c>
      <c r="K7" s="1" t="str">
        <f t="shared" si="2"/>
        <v>0.00</v>
      </c>
      <c r="L7" s="1" t="str">
        <f>"0.03"</f>
        <v>0.03</v>
      </c>
      <c r="M7" s="1" t="str">
        <f t="shared" si="3"/>
        <v>0.00</v>
      </c>
      <c r="N7" s="1" t="str">
        <f t="shared" si="4"/>
        <v>证券买入</v>
      </c>
    </row>
    <row r="8" spans="1:14">
      <c r="A8" s="1" t="str">
        <f>"20170704"</f>
        <v>20170704</v>
      </c>
      <c r="B8" s="1" t="str">
        <f>"09:42:20"</f>
        <v>09:42:20</v>
      </c>
      <c r="C8" s="1" t="str">
        <f t="shared" si="7"/>
        <v>601878</v>
      </c>
      <c r="D8" s="1" t="str">
        <f t="shared" si="8"/>
        <v>浙商证券</v>
      </c>
      <c r="E8" s="1" t="str">
        <f t="shared" ref="E8:E13" si="10">"卖出"</f>
        <v>卖出</v>
      </c>
      <c r="F8" s="1" t="str">
        <f>"17.600"</f>
        <v>17.600</v>
      </c>
      <c r="G8" s="1" t="str">
        <f>"-300.00"</f>
        <v>-300.00</v>
      </c>
      <c r="H8" s="1" t="str">
        <f t="shared" si="1"/>
        <v>A850418317</v>
      </c>
      <c r="I8" s="1" t="str">
        <f>"5280.00"</f>
        <v>5280.00</v>
      </c>
      <c r="J8" s="3" t="str">
        <f t="shared" si="5"/>
        <v>5.00</v>
      </c>
      <c r="K8" s="1" t="str">
        <f>"5.28"</f>
        <v>5.28</v>
      </c>
      <c r="L8" s="1" t="str">
        <f>"0.11"</f>
        <v>0.11</v>
      </c>
      <c r="M8" s="1" t="str">
        <f t="shared" si="3"/>
        <v>0.00</v>
      </c>
      <c r="N8" s="1" t="str">
        <f t="shared" ref="N8:N13" si="11">"证券卖出"</f>
        <v>证券卖出</v>
      </c>
    </row>
    <row r="9" spans="1:14">
      <c r="A9" s="1" t="str">
        <f t="shared" ref="A9:A14" si="12">"20170706"</f>
        <v>20170706</v>
      </c>
      <c r="B9" s="1" t="str">
        <f>"10:42:21"</f>
        <v>10:42:21</v>
      </c>
      <c r="C9" s="1" t="str">
        <f t="shared" ref="C9:C11" si="13">"600196"</f>
        <v>600196</v>
      </c>
      <c r="D9" s="1" t="str">
        <f t="shared" ref="D9:D11" si="14">"复星医药"</f>
        <v>复星医药</v>
      </c>
      <c r="E9" s="1" t="str">
        <f t="shared" ref="E9:E11" si="15">"买入"</f>
        <v>买入</v>
      </c>
      <c r="F9" s="1" t="str">
        <f>"30.360"</f>
        <v>30.360</v>
      </c>
      <c r="G9" s="1" t="str">
        <f t="shared" si="9"/>
        <v>200.00</v>
      </c>
      <c r="H9" s="1" t="str">
        <f t="shared" si="1"/>
        <v>A850418317</v>
      </c>
      <c r="I9" s="1" t="str">
        <f>"6072.00"</f>
        <v>6072.00</v>
      </c>
      <c r="J9" s="3" t="str">
        <f t="shared" si="5"/>
        <v>5.00</v>
      </c>
      <c r="K9" s="1" t="str">
        <f t="shared" ref="K9:K11" si="16">"0.00"</f>
        <v>0.00</v>
      </c>
      <c r="L9" s="1" t="str">
        <f t="shared" ref="L9:L11" si="17">"0.12"</f>
        <v>0.12</v>
      </c>
      <c r="M9" s="1" t="str">
        <f t="shared" si="3"/>
        <v>0.00</v>
      </c>
      <c r="N9" s="1" t="str">
        <f t="shared" ref="N9:N11" si="18">"证券买入"</f>
        <v>证券买入</v>
      </c>
    </row>
    <row r="10" spans="1:14">
      <c r="A10" s="1" t="str">
        <f t="shared" si="12"/>
        <v>20170706</v>
      </c>
      <c r="B10" s="1" t="str">
        <f>"10:54:01"</f>
        <v>10:54:01</v>
      </c>
      <c r="C10" s="1" t="str">
        <f t="shared" si="13"/>
        <v>600196</v>
      </c>
      <c r="D10" s="1" t="str">
        <f t="shared" si="14"/>
        <v>复星医药</v>
      </c>
      <c r="E10" s="1" t="str">
        <f t="shared" si="15"/>
        <v>买入</v>
      </c>
      <c r="F10" s="1" t="str">
        <f>"29.680"</f>
        <v>29.680</v>
      </c>
      <c r="G10" s="1" t="str">
        <f t="shared" si="9"/>
        <v>200.00</v>
      </c>
      <c r="H10" s="1" t="str">
        <f t="shared" si="1"/>
        <v>A850418317</v>
      </c>
      <c r="I10" s="1" t="str">
        <f>"5936.00"</f>
        <v>5936.00</v>
      </c>
      <c r="J10" s="3" t="str">
        <f t="shared" si="5"/>
        <v>5.00</v>
      </c>
      <c r="K10" s="1" t="str">
        <f t="shared" si="16"/>
        <v>0.00</v>
      </c>
      <c r="L10" s="1" t="str">
        <f t="shared" si="17"/>
        <v>0.12</v>
      </c>
      <c r="M10" s="1" t="str">
        <f t="shared" si="3"/>
        <v>0.00</v>
      </c>
      <c r="N10" s="1" t="str">
        <f t="shared" si="18"/>
        <v>证券买入</v>
      </c>
    </row>
    <row r="11" spans="1:14">
      <c r="A11" s="1" t="str">
        <f t="shared" si="12"/>
        <v>20170706</v>
      </c>
      <c r="B11" s="1" t="str">
        <f>"11:10:20"</f>
        <v>11:10:20</v>
      </c>
      <c r="C11" s="1" t="str">
        <f t="shared" si="13"/>
        <v>600196</v>
      </c>
      <c r="D11" s="1" t="str">
        <f t="shared" si="14"/>
        <v>复星医药</v>
      </c>
      <c r="E11" s="1" t="str">
        <f t="shared" si="15"/>
        <v>买入</v>
      </c>
      <c r="F11" s="1" t="str">
        <f>"28.830"</f>
        <v>28.830</v>
      </c>
      <c r="G11" s="1" t="str">
        <f t="shared" si="9"/>
        <v>200.00</v>
      </c>
      <c r="H11" s="1" t="str">
        <f t="shared" si="1"/>
        <v>A850418317</v>
      </c>
      <c r="I11" s="1" t="str">
        <f>"5766.00"</f>
        <v>5766.00</v>
      </c>
      <c r="J11" s="3" t="str">
        <f t="shared" si="5"/>
        <v>5.00</v>
      </c>
      <c r="K11" s="1" t="str">
        <f t="shared" si="16"/>
        <v>0.00</v>
      </c>
      <c r="L11" s="1" t="str">
        <f t="shared" si="17"/>
        <v>0.12</v>
      </c>
      <c r="M11" s="1" t="str">
        <f t="shared" si="3"/>
        <v>0.00</v>
      </c>
      <c r="N11" s="1" t="str">
        <f t="shared" si="18"/>
        <v>证券买入</v>
      </c>
    </row>
    <row r="12" spans="1:14">
      <c r="A12" s="1" t="str">
        <f t="shared" si="12"/>
        <v>20170706</v>
      </c>
      <c r="B12" s="1" t="str">
        <f>"13:56:13"</f>
        <v>13:56:13</v>
      </c>
      <c r="C12" s="1" t="str">
        <f>"601611"</f>
        <v>601611</v>
      </c>
      <c r="D12" s="1" t="str">
        <f>"中国核建"</f>
        <v>中国核建</v>
      </c>
      <c r="E12" s="1" t="str">
        <f t="shared" si="10"/>
        <v>卖出</v>
      </c>
      <c r="F12" s="1" t="str">
        <f>"11.910"</f>
        <v>11.910</v>
      </c>
      <c r="G12" s="1" t="str">
        <f>"-800.00"</f>
        <v>-800.00</v>
      </c>
      <c r="H12" s="1" t="str">
        <f t="shared" si="1"/>
        <v>A850418317</v>
      </c>
      <c r="I12" s="1" t="str">
        <f>"9528.00"</f>
        <v>9528.00</v>
      </c>
      <c r="J12" s="3" t="str">
        <f t="shared" si="5"/>
        <v>5.00</v>
      </c>
      <c r="K12" s="1" t="str">
        <f>"9.53"</f>
        <v>9.53</v>
      </c>
      <c r="L12" s="1" t="str">
        <f>"0.19"</f>
        <v>0.19</v>
      </c>
      <c r="M12" s="1" t="str">
        <f t="shared" si="3"/>
        <v>0.00</v>
      </c>
      <c r="N12" s="1" t="str">
        <f t="shared" si="11"/>
        <v>证券卖出</v>
      </c>
    </row>
    <row r="13" spans="1:14">
      <c r="A13" s="1" t="str">
        <f t="shared" si="12"/>
        <v>20170706</v>
      </c>
      <c r="B13" s="1" t="str">
        <f>"13:56:34"</f>
        <v>13:56:34</v>
      </c>
      <c r="C13" s="1" t="str">
        <f>"601988"</f>
        <v>601988</v>
      </c>
      <c r="D13" s="1" t="str">
        <f>"中国银行"</f>
        <v>中国银行</v>
      </c>
      <c r="E13" s="1" t="str">
        <f t="shared" si="10"/>
        <v>卖出</v>
      </c>
      <c r="F13" s="1" t="str">
        <f>"3.670"</f>
        <v>3.670</v>
      </c>
      <c r="G13" s="1" t="str">
        <f>"-100.00"</f>
        <v>-100.00</v>
      </c>
      <c r="H13" s="1" t="str">
        <f t="shared" si="1"/>
        <v>A850418317</v>
      </c>
      <c r="I13" s="1" t="str">
        <f>"367.00"</f>
        <v>367.00</v>
      </c>
      <c r="J13" s="3" t="str">
        <f t="shared" si="5"/>
        <v>5.00</v>
      </c>
      <c r="K13" s="1" t="str">
        <f>"0.37"</f>
        <v>0.37</v>
      </c>
      <c r="L13" s="1" t="str">
        <f>"0.01"</f>
        <v>0.01</v>
      </c>
      <c r="M13" s="1" t="str">
        <f t="shared" si="3"/>
        <v>0.00</v>
      </c>
      <c r="N13" s="1" t="str">
        <f t="shared" si="11"/>
        <v>证券卖出</v>
      </c>
    </row>
    <row r="14" spans="1:14">
      <c r="A14" s="1" t="str">
        <f t="shared" si="12"/>
        <v>20170706</v>
      </c>
      <c r="B14" s="1" t="str">
        <f>"14:02:33"</f>
        <v>14:02:33</v>
      </c>
      <c r="C14" s="1" t="str">
        <f>"300184"</f>
        <v>300184</v>
      </c>
      <c r="D14" s="1" t="str">
        <f>"力源信息"</f>
        <v>力源信息</v>
      </c>
      <c r="E14" s="1" t="str">
        <f t="shared" ref="E14:E20" si="19">"买入"</f>
        <v>买入</v>
      </c>
      <c r="F14" s="1" t="str">
        <f>"13.420"</f>
        <v>13.420</v>
      </c>
      <c r="G14" s="1" t="str">
        <f>"700.00"</f>
        <v>700.00</v>
      </c>
      <c r="H14" s="1" t="str">
        <f t="shared" ref="H14:H18" si="20">"0104152129"</f>
        <v>0104152129</v>
      </c>
      <c r="I14" s="1" t="str">
        <f>"9394.00"</f>
        <v>9394.00</v>
      </c>
      <c r="J14" s="3" t="str">
        <f t="shared" si="5"/>
        <v>5.00</v>
      </c>
      <c r="K14" s="1" t="str">
        <f t="shared" ref="K14:K20" si="21">"0.00"</f>
        <v>0.00</v>
      </c>
      <c r="L14" s="1" t="str">
        <f>"0.19"</f>
        <v>0.19</v>
      </c>
      <c r="M14" s="1" t="str">
        <f t="shared" si="3"/>
        <v>0.00</v>
      </c>
      <c r="N14" s="1" t="str">
        <f t="shared" ref="N14:N20" si="22">"证券买入"</f>
        <v>证券买入</v>
      </c>
    </row>
    <row r="15" spans="1:14">
      <c r="A15" s="1" t="str">
        <f t="shared" ref="A15:A18" si="23">"20170707"</f>
        <v>20170707</v>
      </c>
      <c r="B15" s="1" t="str">
        <f>"10:19:01"</f>
        <v>10:19:01</v>
      </c>
      <c r="C15" s="1" t="str">
        <f>"600196"</f>
        <v>600196</v>
      </c>
      <c r="D15" s="1" t="str">
        <f>"复星医药"</f>
        <v>复星医药</v>
      </c>
      <c r="E15" s="1" t="str">
        <f>"卖出"</f>
        <v>卖出</v>
      </c>
      <c r="F15" s="1" t="str">
        <f>"29.680"</f>
        <v>29.680</v>
      </c>
      <c r="G15" s="1" t="str">
        <f>"-600.00"</f>
        <v>-600.00</v>
      </c>
      <c r="H15" s="1" t="str">
        <f t="shared" ref="H15:H19" si="24">"A850418317"</f>
        <v>A850418317</v>
      </c>
      <c r="I15" s="1" t="str">
        <f>"17808.00"</f>
        <v>17808.00</v>
      </c>
      <c r="J15" s="3" t="str">
        <f t="shared" si="5"/>
        <v>5.00</v>
      </c>
      <c r="K15" s="1" t="str">
        <f>"17.81"</f>
        <v>17.81</v>
      </c>
      <c r="L15" s="1" t="str">
        <f>"0.36"</f>
        <v>0.36</v>
      </c>
      <c r="M15" s="1" t="str">
        <f t="shared" si="3"/>
        <v>0.00</v>
      </c>
      <c r="N15" s="1" t="str">
        <f>"证券卖出"</f>
        <v>证券卖出</v>
      </c>
    </row>
    <row r="16" spans="1:14">
      <c r="A16" s="1" t="str">
        <f t="shared" si="23"/>
        <v>20170707</v>
      </c>
      <c r="B16" s="1" t="str">
        <f>"13:41:34"</f>
        <v>13:41:34</v>
      </c>
      <c r="C16" s="1" t="str">
        <f t="shared" ref="C16:C21" si="25">"600567"</f>
        <v>600567</v>
      </c>
      <c r="D16" s="1" t="str">
        <f>"XD山鹰纸"</f>
        <v>XD山鹰纸</v>
      </c>
      <c r="E16" s="1" t="str">
        <f t="shared" si="19"/>
        <v>买入</v>
      </c>
      <c r="F16" s="1" t="str">
        <f>"3.920"</f>
        <v>3.920</v>
      </c>
      <c r="G16" s="1" t="str">
        <f>"200.00"</f>
        <v>200.00</v>
      </c>
      <c r="H16" s="1" t="str">
        <f t="shared" si="24"/>
        <v>A850418317</v>
      </c>
      <c r="I16" s="1" t="str">
        <f>"784.00"</f>
        <v>784.00</v>
      </c>
      <c r="J16" s="3" t="str">
        <f t="shared" si="5"/>
        <v>5.00</v>
      </c>
      <c r="K16" s="1" t="str">
        <f t="shared" si="21"/>
        <v>0.00</v>
      </c>
      <c r="L16" s="1" t="str">
        <f>"0.02"</f>
        <v>0.02</v>
      </c>
      <c r="M16" s="1" t="str">
        <f t="shared" si="3"/>
        <v>0.00</v>
      </c>
      <c r="N16" s="1" t="str">
        <f t="shared" si="22"/>
        <v>证券买入</v>
      </c>
    </row>
    <row r="17" spans="1:14">
      <c r="A17" s="1" t="str">
        <f t="shared" si="23"/>
        <v>20170707</v>
      </c>
      <c r="B17" s="1" t="str">
        <f>"10:04:01"</f>
        <v>10:04:01</v>
      </c>
      <c r="C17" s="1" t="str">
        <f>"300184"</f>
        <v>300184</v>
      </c>
      <c r="D17" s="1" t="str">
        <f>"力源信息"</f>
        <v>力源信息</v>
      </c>
      <c r="E17" s="1" t="str">
        <f>"卖出"</f>
        <v>卖出</v>
      </c>
      <c r="F17" s="1" t="str">
        <f>"14.120"</f>
        <v>14.120</v>
      </c>
      <c r="G17" s="1" t="str">
        <f>"-700.00"</f>
        <v>-700.00</v>
      </c>
      <c r="H17" s="1" t="str">
        <f t="shared" si="20"/>
        <v>0104152129</v>
      </c>
      <c r="I17" s="1" t="str">
        <f>"9884.00"</f>
        <v>9884.00</v>
      </c>
      <c r="J17" s="3" t="str">
        <f t="shared" si="5"/>
        <v>5.00</v>
      </c>
      <c r="K17" s="1" t="str">
        <f>"9.88"</f>
        <v>9.88</v>
      </c>
      <c r="L17" s="1" t="str">
        <f>"0.20"</f>
        <v>0.20</v>
      </c>
      <c r="M17" s="1" t="str">
        <f t="shared" si="3"/>
        <v>0.00</v>
      </c>
      <c r="N17" s="1" t="str">
        <f>"证券卖出"</f>
        <v>证券卖出</v>
      </c>
    </row>
    <row r="18" spans="1:14">
      <c r="A18" s="1" t="str">
        <f t="shared" si="23"/>
        <v>20170707</v>
      </c>
      <c r="B18" s="1" t="str">
        <f>"13:33:36"</f>
        <v>13:33:36</v>
      </c>
      <c r="C18" s="1" t="str">
        <f>"300533"</f>
        <v>300533</v>
      </c>
      <c r="D18" s="1" t="str">
        <f>"冰川网络"</f>
        <v>冰川网络</v>
      </c>
      <c r="E18" s="1" t="str">
        <f t="shared" si="19"/>
        <v>买入</v>
      </c>
      <c r="F18" s="1" t="str">
        <f>"92.730"</f>
        <v>92.730</v>
      </c>
      <c r="G18" s="1" t="str">
        <f t="shared" ref="G18:G22" si="26">"300.00"</f>
        <v>300.00</v>
      </c>
      <c r="H18" s="1" t="str">
        <f t="shared" si="20"/>
        <v>0104152129</v>
      </c>
      <c r="I18" s="1" t="str">
        <f>"27819.00"</f>
        <v>27819.00</v>
      </c>
      <c r="J18" s="3" t="str">
        <f>"6.40"</f>
        <v>6.40</v>
      </c>
      <c r="K18" s="1" t="str">
        <f t="shared" si="21"/>
        <v>0.00</v>
      </c>
      <c r="L18" s="1" t="str">
        <f>"0.56"</f>
        <v>0.56</v>
      </c>
      <c r="M18" s="1" t="str">
        <f t="shared" si="3"/>
        <v>0.00</v>
      </c>
      <c r="N18" s="1" t="str">
        <f t="shared" si="22"/>
        <v>证券买入</v>
      </c>
    </row>
    <row r="19" spans="1:14">
      <c r="A19" s="1" t="str">
        <f>"20170710"</f>
        <v>20170710</v>
      </c>
      <c r="B19" s="1" t="str">
        <f>"13:49:04"</f>
        <v>13:49:04</v>
      </c>
      <c r="C19" s="1" t="str">
        <f t="shared" si="25"/>
        <v>600567</v>
      </c>
      <c r="D19" s="1" t="str">
        <f>"山鹰纸业"</f>
        <v>山鹰纸业</v>
      </c>
      <c r="E19" s="1" t="str">
        <f t="shared" si="19"/>
        <v>买入</v>
      </c>
      <c r="F19" s="1" t="str">
        <f>"3.890"</f>
        <v>3.890</v>
      </c>
      <c r="G19" s="1" t="str">
        <f t="shared" si="26"/>
        <v>300.00</v>
      </c>
      <c r="H19" s="1" t="str">
        <f t="shared" si="24"/>
        <v>A850418317</v>
      </c>
      <c r="I19" s="1" t="str">
        <f>"1167.00"</f>
        <v>1167.00</v>
      </c>
      <c r="J19" s="3" t="str">
        <f t="shared" ref="J19:J24" si="27">"5.00"</f>
        <v>5.00</v>
      </c>
      <c r="K19" s="1" t="str">
        <f t="shared" si="21"/>
        <v>0.00</v>
      </c>
      <c r="L19" s="1" t="str">
        <f>"0.02"</f>
        <v>0.02</v>
      </c>
      <c r="M19" s="1" t="str">
        <f t="shared" si="3"/>
        <v>0.00</v>
      </c>
      <c r="N19" s="1" t="str">
        <f t="shared" si="22"/>
        <v>证券买入</v>
      </c>
    </row>
    <row r="20" spans="1:14">
      <c r="A20" s="1" t="str">
        <f>"20170710"</f>
        <v>20170710</v>
      </c>
      <c r="B20" s="1" t="str">
        <f>"13:46:59"</f>
        <v>13:46:59</v>
      </c>
      <c r="C20" s="1" t="str">
        <f>"300533"</f>
        <v>300533</v>
      </c>
      <c r="D20" s="1" t="str">
        <f>"冰川网络"</f>
        <v>冰川网络</v>
      </c>
      <c r="E20" s="1" t="str">
        <f t="shared" si="19"/>
        <v>买入</v>
      </c>
      <c r="F20" s="1" t="str">
        <f>"89.280"</f>
        <v>89.280</v>
      </c>
      <c r="G20" s="1" t="str">
        <f>"100.00"</f>
        <v>100.00</v>
      </c>
      <c r="H20" s="1" t="str">
        <f t="shared" ref="H20:H24" si="28">"0104152129"</f>
        <v>0104152129</v>
      </c>
      <c r="I20" s="1" t="str">
        <f>"8928.00"</f>
        <v>8928.00</v>
      </c>
      <c r="J20" s="3" t="str">
        <f t="shared" si="27"/>
        <v>5.00</v>
      </c>
      <c r="K20" s="1" t="str">
        <f t="shared" si="21"/>
        <v>0.00</v>
      </c>
      <c r="L20" s="1" t="str">
        <f t="shared" ref="L20:L24" si="29">"0.18"</f>
        <v>0.18</v>
      </c>
      <c r="M20" s="1" t="str">
        <f t="shared" si="3"/>
        <v>0.00</v>
      </c>
      <c r="N20" s="1" t="str">
        <f t="shared" si="22"/>
        <v>证券买入</v>
      </c>
    </row>
    <row r="21" spans="1:14">
      <c r="A21" s="1" t="str">
        <f>"20170712"</f>
        <v>20170712</v>
      </c>
      <c r="B21" s="1" t="str">
        <f>"10:54:24"</f>
        <v>10:54:24</v>
      </c>
      <c r="C21" s="1" t="str">
        <f t="shared" si="25"/>
        <v>600567</v>
      </c>
      <c r="D21" s="1" t="str">
        <f>"山鹰纸业"</f>
        <v>山鹰纸业</v>
      </c>
      <c r="E21" s="1" t="str">
        <f t="shared" ref="E21:E26" si="30">"卖出"</f>
        <v>卖出</v>
      </c>
      <c r="F21" s="1" t="str">
        <f>"3.730"</f>
        <v>3.730</v>
      </c>
      <c r="G21" s="1" t="str">
        <f>"-500.00"</f>
        <v>-500.00</v>
      </c>
      <c r="H21" s="1" t="str">
        <f t="shared" ref="H21:H25" si="31">"A850418317"</f>
        <v>A850418317</v>
      </c>
      <c r="I21" s="1" t="str">
        <f>"1865.00"</f>
        <v>1865.00</v>
      </c>
      <c r="J21" s="3" t="str">
        <f t="shared" si="27"/>
        <v>5.00</v>
      </c>
      <c r="K21" s="1" t="str">
        <f>"1.87"</f>
        <v>1.87</v>
      </c>
      <c r="L21" s="1" t="str">
        <f>"0.04"</f>
        <v>0.04</v>
      </c>
      <c r="M21" s="1" t="str">
        <f t="shared" si="3"/>
        <v>0.00</v>
      </c>
      <c r="N21" s="1" t="str">
        <f t="shared" ref="N21:N26" si="32">"证券卖出"</f>
        <v>证券卖出</v>
      </c>
    </row>
    <row r="22" spans="1:14">
      <c r="A22" s="1" t="str">
        <f t="shared" ref="A22:A24" si="33">"20170713"</f>
        <v>20170713</v>
      </c>
      <c r="B22" s="1" t="str">
        <f>"10:24:13"</f>
        <v>10:24:13</v>
      </c>
      <c r="C22" s="1" t="str">
        <f>"600893"</f>
        <v>600893</v>
      </c>
      <c r="D22" s="1" t="str">
        <f>"航发动力"</f>
        <v>航发动力</v>
      </c>
      <c r="E22" s="1" t="str">
        <f t="shared" ref="E22:E25" si="34">"买入"</f>
        <v>买入</v>
      </c>
      <c r="F22" s="1" t="str">
        <f>"30.050"</f>
        <v>30.050</v>
      </c>
      <c r="G22" s="1" t="str">
        <f t="shared" si="26"/>
        <v>300.00</v>
      </c>
      <c r="H22" s="1" t="str">
        <f t="shared" si="31"/>
        <v>A850418317</v>
      </c>
      <c r="I22" s="1" t="str">
        <f>"9015.00"</f>
        <v>9015.00</v>
      </c>
      <c r="J22" s="3" t="str">
        <f t="shared" si="27"/>
        <v>5.00</v>
      </c>
      <c r="K22" s="1" t="str">
        <f t="shared" ref="K22:K25" si="35">"0.00"</f>
        <v>0.00</v>
      </c>
      <c r="L22" s="1" t="str">
        <f t="shared" si="29"/>
        <v>0.18</v>
      </c>
      <c r="M22" s="1" t="str">
        <f t="shared" si="3"/>
        <v>0.00</v>
      </c>
      <c r="N22" s="1" t="str">
        <f t="shared" ref="N22:N25" si="36">"证券买入"</f>
        <v>证券买入</v>
      </c>
    </row>
    <row r="23" spans="1:14">
      <c r="A23" s="1" t="str">
        <f t="shared" si="33"/>
        <v>20170713</v>
      </c>
      <c r="B23" s="1" t="str">
        <f>"10:01:51"</f>
        <v>10:01:51</v>
      </c>
      <c r="C23" s="1" t="str">
        <f>"000933"</f>
        <v>000933</v>
      </c>
      <c r="D23" s="1" t="str">
        <f>"神火股份"</f>
        <v>神火股份</v>
      </c>
      <c r="E23" s="1" t="str">
        <f t="shared" si="34"/>
        <v>买入</v>
      </c>
      <c r="F23" s="1" t="str">
        <f>"8.500"</f>
        <v>8.500</v>
      </c>
      <c r="G23" s="1" t="str">
        <f>"200.00"</f>
        <v>200.00</v>
      </c>
      <c r="H23" s="1" t="str">
        <f t="shared" si="28"/>
        <v>0104152129</v>
      </c>
      <c r="I23" s="1" t="str">
        <f>"1700.00"</f>
        <v>1700.00</v>
      </c>
      <c r="J23" s="3" t="str">
        <f t="shared" si="27"/>
        <v>5.00</v>
      </c>
      <c r="K23" s="1" t="str">
        <f t="shared" si="35"/>
        <v>0.00</v>
      </c>
      <c r="L23" s="1" t="str">
        <f>"0.03"</f>
        <v>0.03</v>
      </c>
      <c r="M23" s="1" t="str">
        <f t="shared" si="3"/>
        <v>0.00</v>
      </c>
      <c r="N23" s="1" t="str">
        <f t="shared" si="36"/>
        <v>证券买入</v>
      </c>
    </row>
    <row r="24" spans="1:14">
      <c r="A24" s="1" t="str">
        <f t="shared" si="33"/>
        <v>20170713</v>
      </c>
      <c r="B24" s="1" t="str">
        <f>"10:22:29"</f>
        <v>10:22:29</v>
      </c>
      <c r="C24" s="1" t="str">
        <f>"300533"</f>
        <v>300533</v>
      </c>
      <c r="D24" s="1" t="str">
        <f>"冰川网络"</f>
        <v>冰川网络</v>
      </c>
      <c r="E24" s="1" t="str">
        <f t="shared" si="30"/>
        <v>卖出</v>
      </c>
      <c r="F24" s="1" t="str">
        <f>"88.770"</f>
        <v>88.770</v>
      </c>
      <c r="G24" s="1" t="str">
        <f>"-100.00"</f>
        <v>-100.00</v>
      </c>
      <c r="H24" s="1" t="str">
        <f t="shared" si="28"/>
        <v>0104152129</v>
      </c>
      <c r="I24" s="1" t="str">
        <f>"8877.00"</f>
        <v>8877.00</v>
      </c>
      <c r="J24" s="3" t="str">
        <f t="shared" si="27"/>
        <v>5.00</v>
      </c>
      <c r="K24" s="1" t="str">
        <f>"8.88"</f>
        <v>8.88</v>
      </c>
      <c r="L24" s="1" t="str">
        <f t="shared" si="29"/>
        <v>0.18</v>
      </c>
      <c r="M24" s="1" t="str">
        <f t="shared" si="3"/>
        <v>0.00</v>
      </c>
      <c r="N24" s="1" t="str">
        <f t="shared" si="32"/>
        <v>证券卖出</v>
      </c>
    </row>
    <row r="25" spans="1:14">
      <c r="A25" s="1" t="str">
        <f t="shared" ref="A25:A27" si="37">"20170714"</f>
        <v>20170714</v>
      </c>
      <c r="B25" s="1" t="str">
        <f>"09:59:59"</f>
        <v>09:59:59</v>
      </c>
      <c r="C25" s="1" t="str">
        <f t="shared" ref="C25:C29" si="38">"600893"</f>
        <v>600893</v>
      </c>
      <c r="D25" s="1" t="str">
        <f t="shared" ref="D25:D29" si="39">"航发动力"</f>
        <v>航发动力</v>
      </c>
      <c r="E25" s="1" t="str">
        <f t="shared" si="34"/>
        <v>买入</v>
      </c>
      <c r="F25" s="1" t="str">
        <f>"30.580"</f>
        <v>30.580</v>
      </c>
      <c r="G25" s="1" t="str">
        <f>"800.00"</f>
        <v>800.00</v>
      </c>
      <c r="H25" s="1" t="str">
        <f t="shared" si="31"/>
        <v>A850418317</v>
      </c>
      <c r="I25" s="1" t="str">
        <f>"24464.00"</f>
        <v>24464.00</v>
      </c>
      <c r="J25" s="3" t="str">
        <f>"6.12"</f>
        <v>6.12</v>
      </c>
      <c r="K25" s="1" t="str">
        <f t="shared" si="35"/>
        <v>0.00</v>
      </c>
      <c r="L25" s="1" t="str">
        <f>"0.49"</f>
        <v>0.49</v>
      </c>
      <c r="M25" s="1" t="str">
        <f t="shared" si="3"/>
        <v>0.00</v>
      </c>
      <c r="N25" s="1" t="str">
        <f t="shared" si="36"/>
        <v>证券买入</v>
      </c>
    </row>
    <row r="26" spans="1:14">
      <c r="A26" s="1" t="str">
        <f t="shared" si="37"/>
        <v>20170714</v>
      </c>
      <c r="B26" s="1" t="str">
        <f>"09:30:27"</f>
        <v>09:30:27</v>
      </c>
      <c r="C26" s="1" t="str">
        <f>"300533"</f>
        <v>300533</v>
      </c>
      <c r="D26" s="1" t="str">
        <f>"冰川网络"</f>
        <v>冰川网络</v>
      </c>
      <c r="E26" s="1" t="str">
        <f t="shared" si="30"/>
        <v>卖出</v>
      </c>
      <c r="F26" s="1" t="str">
        <f>"85.190"</f>
        <v>85.190</v>
      </c>
      <c r="G26" s="1" t="str">
        <f>"-300.00"</f>
        <v>-300.00</v>
      </c>
      <c r="H26" s="1" t="str">
        <f>"0104152129"</f>
        <v>0104152129</v>
      </c>
      <c r="I26" s="1" t="str">
        <f>"25557.00"</f>
        <v>25557.00</v>
      </c>
      <c r="J26" s="3" t="str">
        <f>"5.88"</f>
        <v>5.88</v>
      </c>
      <c r="K26" s="1" t="str">
        <f>"25.56"</f>
        <v>25.56</v>
      </c>
      <c r="L26" s="1" t="str">
        <f>"0.51"</f>
        <v>0.51</v>
      </c>
      <c r="M26" s="1" t="str">
        <f t="shared" si="3"/>
        <v>0.00</v>
      </c>
      <c r="N26" s="1" t="str">
        <f t="shared" si="32"/>
        <v>证券卖出</v>
      </c>
    </row>
    <row r="27" spans="1:14">
      <c r="A27" s="1" t="str">
        <f t="shared" si="37"/>
        <v>20170714</v>
      </c>
      <c r="B27" s="1" t="str">
        <f>"09:59:43"</f>
        <v>09:59:43</v>
      </c>
      <c r="C27" s="1" t="str">
        <f>"000933"</f>
        <v>000933</v>
      </c>
      <c r="D27" s="1" t="str">
        <f>"神火股份"</f>
        <v>神火股份</v>
      </c>
      <c r="E27" s="1" t="str">
        <f t="shared" ref="E27:E31" si="40">"买入"</f>
        <v>买入</v>
      </c>
      <c r="F27" s="1" t="str">
        <f>"9.050"</f>
        <v>9.050</v>
      </c>
      <c r="G27" s="1" t="str">
        <f>"100.00"</f>
        <v>100.00</v>
      </c>
      <c r="H27" s="1" t="str">
        <f>"0104152129"</f>
        <v>0104152129</v>
      </c>
      <c r="I27" s="1" t="str">
        <f>"905.00"</f>
        <v>905.00</v>
      </c>
      <c r="J27" s="3" t="str">
        <f t="shared" ref="J27:J32" si="41">"5.00"</f>
        <v>5.00</v>
      </c>
      <c r="K27" s="1" t="str">
        <f t="shared" ref="K27:K31" si="42">"0.00"</f>
        <v>0.00</v>
      </c>
      <c r="L27" s="1" t="str">
        <f>"0.02"</f>
        <v>0.02</v>
      </c>
      <c r="M27" s="1" t="str">
        <f t="shared" si="3"/>
        <v>0.00</v>
      </c>
      <c r="N27" s="1" t="str">
        <f t="shared" ref="N27:N31" si="43">"证券买入"</f>
        <v>证券买入</v>
      </c>
    </row>
    <row r="28" spans="1:14">
      <c r="A28" s="1" t="str">
        <f t="shared" ref="A28:A32" si="44">"20170717"</f>
        <v>20170717</v>
      </c>
      <c r="B28" s="1" t="str">
        <f>"09:59:01"</f>
        <v>09:59:01</v>
      </c>
      <c r="C28" s="1" t="str">
        <f t="shared" si="38"/>
        <v>600893</v>
      </c>
      <c r="D28" s="1" t="str">
        <f t="shared" si="39"/>
        <v>航发动力</v>
      </c>
      <c r="E28" s="1" t="str">
        <f t="shared" ref="E28:E32" si="45">"卖出"</f>
        <v>卖出</v>
      </c>
      <c r="F28" s="1" t="str">
        <f>"29.030"</f>
        <v>29.030</v>
      </c>
      <c r="G28" s="1" t="str">
        <f>"-400.00"</f>
        <v>-400.00</v>
      </c>
      <c r="H28" s="1" t="str">
        <f t="shared" ref="H28:H31" si="46">"A850418317"</f>
        <v>A850418317</v>
      </c>
      <c r="I28" s="1" t="str">
        <f>"11612.00"</f>
        <v>11612.00</v>
      </c>
      <c r="J28" s="3" t="str">
        <f t="shared" si="41"/>
        <v>5.00</v>
      </c>
      <c r="K28" s="1" t="str">
        <f>"11.61"</f>
        <v>11.61</v>
      </c>
      <c r="L28" s="1" t="str">
        <f>"0.23"</f>
        <v>0.23</v>
      </c>
      <c r="M28" s="1" t="str">
        <f t="shared" si="3"/>
        <v>0.00</v>
      </c>
      <c r="N28" s="1" t="str">
        <f t="shared" ref="N28:N32" si="47">"证券卖出"</f>
        <v>证券卖出</v>
      </c>
    </row>
    <row r="29" spans="1:14">
      <c r="A29" s="1" t="str">
        <f t="shared" si="44"/>
        <v>20170717</v>
      </c>
      <c r="B29" s="1" t="str">
        <f>"10:01:28"</f>
        <v>10:01:28</v>
      </c>
      <c r="C29" s="1" t="str">
        <f t="shared" si="38"/>
        <v>600893</v>
      </c>
      <c r="D29" s="1" t="str">
        <f t="shared" si="39"/>
        <v>航发动力</v>
      </c>
      <c r="E29" s="1" t="str">
        <f t="shared" si="45"/>
        <v>卖出</v>
      </c>
      <c r="F29" s="1" t="str">
        <f>"29.010"</f>
        <v>29.010</v>
      </c>
      <c r="G29" s="1" t="str">
        <f>"-700.00"</f>
        <v>-700.00</v>
      </c>
      <c r="H29" s="1" t="str">
        <f t="shared" si="46"/>
        <v>A850418317</v>
      </c>
      <c r="I29" s="1" t="str">
        <f>"20307.00"</f>
        <v>20307.00</v>
      </c>
      <c r="J29" s="3" t="str">
        <f>"5.08"</f>
        <v>5.08</v>
      </c>
      <c r="K29" s="1" t="str">
        <f>"20.31"</f>
        <v>20.31</v>
      </c>
      <c r="L29" s="1" t="str">
        <f>"0.41"</f>
        <v>0.41</v>
      </c>
      <c r="M29" s="1" t="str">
        <f t="shared" si="3"/>
        <v>0.00</v>
      </c>
      <c r="N29" s="1" t="str">
        <f t="shared" si="47"/>
        <v>证券卖出</v>
      </c>
    </row>
    <row r="30" spans="1:14">
      <c r="A30" s="1" t="str">
        <f t="shared" si="44"/>
        <v>20170717</v>
      </c>
      <c r="B30" s="1" t="str">
        <f>"10:09:19"</f>
        <v>10:09:19</v>
      </c>
      <c r="C30" s="1" t="str">
        <f>"600230"</f>
        <v>600230</v>
      </c>
      <c r="D30" s="1" t="str">
        <f>"沧州大化"</f>
        <v>沧州大化</v>
      </c>
      <c r="E30" s="1" t="str">
        <f t="shared" si="40"/>
        <v>买入</v>
      </c>
      <c r="F30" s="1" t="str">
        <f>"33.416"</f>
        <v>33.416</v>
      </c>
      <c r="G30" s="1" t="str">
        <f>"1000.00"</f>
        <v>1000.00</v>
      </c>
      <c r="H30" s="1" t="str">
        <f t="shared" si="46"/>
        <v>A850418317</v>
      </c>
      <c r="I30" s="1" t="str">
        <f>"33416.00"</f>
        <v>33416.00</v>
      </c>
      <c r="J30" s="3" t="str">
        <f>"8.35"</f>
        <v>8.35</v>
      </c>
      <c r="K30" s="1" t="str">
        <f t="shared" si="42"/>
        <v>0.00</v>
      </c>
      <c r="L30" s="1" t="str">
        <f>"0.67"</f>
        <v>0.67</v>
      </c>
      <c r="M30" s="1" t="str">
        <f t="shared" si="3"/>
        <v>0.00</v>
      </c>
      <c r="N30" s="1" t="str">
        <f t="shared" si="43"/>
        <v>证券买入</v>
      </c>
    </row>
    <row r="31" spans="1:14">
      <c r="A31" s="1" t="str">
        <f t="shared" si="44"/>
        <v>20170717</v>
      </c>
      <c r="B31" s="1" t="str">
        <f>"13:57:31"</f>
        <v>13:57:31</v>
      </c>
      <c r="C31" s="1" t="str">
        <f>"601600"</f>
        <v>601600</v>
      </c>
      <c r="D31" s="1" t="str">
        <f>"中国铝业"</f>
        <v>中国铝业</v>
      </c>
      <c r="E31" s="1" t="str">
        <f t="shared" si="40"/>
        <v>买入</v>
      </c>
      <c r="F31" s="1" t="str">
        <f>"5.270"</f>
        <v>5.270</v>
      </c>
      <c r="G31" s="1" t="str">
        <f>"200.00"</f>
        <v>200.00</v>
      </c>
      <c r="H31" s="1" t="str">
        <f t="shared" si="46"/>
        <v>A850418317</v>
      </c>
      <c r="I31" s="1" t="str">
        <f>"1054.00"</f>
        <v>1054.00</v>
      </c>
      <c r="J31" s="3" t="str">
        <f t="shared" si="41"/>
        <v>5.00</v>
      </c>
      <c r="K31" s="1" t="str">
        <f t="shared" si="42"/>
        <v>0.00</v>
      </c>
      <c r="L31" s="1" t="str">
        <f>"0.02"</f>
        <v>0.02</v>
      </c>
      <c r="M31" s="1" t="str">
        <f t="shared" si="3"/>
        <v>0.00</v>
      </c>
      <c r="N31" s="1" t="str">
        <f t="shared" si="43"/>
        <v>证券买入</v>
      </c>
    </row>
    <row r="32" spans="1:14">
      <c r="A32" s="1" t="str">
        <f t="shared" si="44"/>
        <v>20170717</v>
      </c>
      <c r="B32" s="1" t="str">
        <f>"10:01:18"</f>
        <v>10:01:18</v>
      </c>
      <c r="C32" s="1" t="str">
        <f>"000933"</f>
        <v>000933</v>
      </c>
      <c r="D32" s="1" t="str">
        <f>"神火股份"</f>
        <v>神火股份</v>
      </c>
      <c r="E32" s="1" t="str">
        <f t="shared" si="45"/>
        <v>卖出</v>
      </c>
      <c r="F32" s="1" t="str">
        <f>"8.990"</f>
        <v>8.990</v>
      </c>
      <c r="G32" s="1" t="str">
        <f>"-300.00"</f>
        <v>-300.00</v>
      </c>
      <c r="H32" s="1" t="str">
        <f>"0104152129"</f>
        <v>0104152129</v>
      </c>
      <c r="I32" s="1" t="str">
        <f>"2697.00"</f>
        <v>2697.00</v>
      </c>
      <c r="J32" s="3" t="str">
        <f t="shared" si="41"/>
        <v>5.00</v>
      </c>
      <c r="K32" s="1" t="str">
        <f>"2.70"</f>
        <v>2.70</v>
      </c>
      <c r="L32" s="1" t="str">
        <f>"0.05"</f>
        <v>0.05</v>
      </c>
      <c r="M32" s="1" t="str">
        <f t="shared" si="3"/>
        <v>0.00</v>
      </c>
      <c r="N32" s="1" t="str">
        <f t="shared" si="47"/>
        <v>证券卖出</v>
      </c>
    </row>
    <row r="33" spans="1:14">
      <c r="A33" s="1" t="str">
        <f>"20170718"</f>
        <v>20170718</v>
      </c>
      <c r="B33" s="1" t="str">
        <f>"22:25:08"</f>
        <v>22:25:08</v>
      </c>
      <c r="C33" s="1" t="str">
        <f>"736730"</f>
        <v>736730</v>
      </c>
      <c r="D33" s="1" t="str">
        <f>"岱美配号"</f>
        <v>岱美配号</v>
      </c>
      <c r="E33" s="1" t="str">
        <f t="shared" ref="E33:E37" si="48">"买入"</f>
        <v>买入</v>
      </c>
      <c r="F33" s="1" t="str">
        <f t="shared" ref="F33:F37" si="49">"0.000"</f>
        <v>0.000</v>
      </c>
      <c r="G33" s="1" t="str">
        <f t="shared" ref="G33:G37" si="50">"1.00"</f>
        <v>1.00</v>
      </c>
      <c r="H33" s="1" t="str">
        <f t="shared" ref="H33:H47" si="51">"A850418317"</f>
        <v>A850418317</v>
      </c>
      <c r="I33" s="1" t="str">
        <f t="shared" ref="I33:L33" si="52">"0.00"</f>
        <v>0.00</v>
      </c>
      <c r="J33" s="3" t="str">
        <f t="shared" si="52"/>
        <v>0.00</v>
      </c>
      <c r="K33" s="1" t="str">
        <f t="shared" si="52"/>
        <v>0.00</v>
      </c>
      <c r="L33" s="1" t="str">
        <f t="shared" si="52"/>
        <v>0.00</v>
      </c>
      <c r="M33" s="1" t="str">
        <f t="shared" si="3"/>
        <v>0.00</v>
      </c>
      <c r="N33" s="1" t="str">
        <f>"起始配号:100007335456"</f>
        <v>起始配号:100007335456</v>
      </c>
    </row>
    <row r="34" spans="1:14">
      <c r="A34" s="1" t="str">
        <f>"20170718"</f>
        <v>20170718</v>
      </c>
      <c r="B34" s="1" t="str">
        <f>"22:25:08"</f>
        <v>22:25:08</v>
      </c>
      <c r="C34" s="1" t="str">
        <f>"736063"</f>
        <v>736063</v>
      </c>
      <c r="D34" s="1" t="str">
        <f>"禾望配号"</f>
        <v>禾望配号</v>
      </c>
      <c r="E34" s="1" t="str">
        <f t="shared" si="48"/>
        <v>买入</v>
      </c>
      <c r="F34" s="1" t="str">
        <f t="shared" si="49"/>
        <v>0.000</v>
      </c>
      <c r="G34" s="1" t="str">
        <f t="shared" si="50"/>
        <v>1.00</v>
      </c>
      <c r="H34" s="1" t="str">
        <f t="shared" si="51"/>
        <v>A850418317</v>
      </c>
      <c r="I34" s="1" t="str">
        <f t="shared" ref="I34:L34" si="53">"0.00"</f>
        <v>0.00</v>
      </c>
      <c r="J34" s="3" t="str">
        <f t="shared" si="53"/>
        <v>0.00</v>
      </c>
      <c r="K34" s="1" t="str">
        <f t="shared" si="53"/>
        <v>0.00</v>
      </c>
      <c r="L34" s="1" t="str">
        <f t="shared" si="53"/>
        <v>0.00</v>
      </c>
      <c r="M34" s="1" t="str">
        <f t="shared" si="3"/>
        <v>0.00</v>
      </c>
      <c r="N34" s="1" t="str">
        <f>"起始配号:100008392291"</f>
        <v>起始配号:100008392291</v>
      </c>
    </row>
    <row r="35" spans="1:14">
      <c r="A35" s="1" t="str">
        <f t="shared" ref="A35:A37" si="54">"20170719"</f>
        <v>20170719</v>
      </c>
      <c r="B35" s="1" t="str">
        <f>"14:52:35"</f>
        <v>14:52:35</v>
      </c>
      <c r="C35" s="1" t="str">
        <f>"601600"</f>
        <v>601600</v>
      </c>
      <c r="D35" s="1" t="str">
        <f>"中国铝业"</f>
        <v>中国铝业</v>
      </c>
      <c r="E35" s="1" t="str">
        <f t="shared" ref="E35:E40" si="55">"卖出"</f>
        <v>卖出</v>
      </c>
      <c r="F35" s="1" t="str">
        <f>"5.610"</f>
        <v>5.610</v>
      </c>
      <c r="G35" s="1" t="str">
        <f>"-200.00"</f>
        <v>-200.00</v>
      </c>
      <c r="H35" s="1" t="str">
        <f t="shared" si="51"/>
        <v>A850418317</v>
      </c>
      <c r="I35" s="1" t="str">
        <f>"1122.00"</f>
        <v>1122.00</v>
      </c>
      <c r="J35" s="3" t="str">
        <f t="shared" ref="J35:J43" si="56">"5.00"</f>
        <v>5.00</v>
      </c>
      <c r="K35" s="1" t="str">
        <f>"1.12"</f>
        <v>1.12</v>
      </c>
      <c r="L35" s="1" t="str">
        <f>"0.02"</f>
        <v>0.02</v>
      </c>
      <c r="M35" s="1" t="str">
        <f t="shared" si="3"/>
        <v>0.00</v>
      </c>
      <c r="N35" s="1" t="str">
        <f t="shared" ref="N35:N40" si="57">"证券卖出"</f>
        <v>证券卖出</v>
      </c>
    </row>
    <row r="36" spans="1:14">
      <c r="A36" s="1" t="str">
        <f t="shared" si="54"/>
        <v>20170719</v>
      </c>
      <c r="B36" s="1" t="str">
        <f>"14:58:42"</f>
        <v>14:58:42</v>
      </c>
      <c r="C36" s="1" t="str">
        <f t="shared" ref="C36:C40" si="58">"600230"</f>
        <v>600230</v>
      </c>
      <c r="D36" s="1" t="str">
        <f t="shared" ref="D36:D40" si="59">"沧州大化"</f>
        <v>沧州大化</v>
      </c>
      <c r="E36" s="1" t="str">
        <f t="shared" si="55"/>
        <v>卖出</v>
      </c>
      <c r="F36" s="1" t="str">
        <f>"37.240"</f>
        <v>37.240</v>
      </c>
      <c r="G36" s="1" t="str">
        <f>"-100.00"</f>
        <v>-100.00</v>
      </c>
      <c r="H36" s="1" t="str">
        <f t="shared" si="51"/>
        <v>A850418317</v>
      </c>
      <c r="I36" s="1" t="str">
        <f>"3724.00"</f>
        <v>3724.00</v>
      </c>
      <c r="J36" s="3" t="str">
        <f t="shared" si="56"/>
        <v>5.00</v>
      </c>
      <c r="K36" s="1" t="str">
        <f>"3.72"</f>
        <v>3.72</v>
      </c>
      <c r="L36" s="1" t="str">
        <f>"0.07"</f>
        <v>0.07</v>
      </c>
      <c r="M36" s="1" t="str">
        <f t="shared" si="3"/>
        <v>0.00</v>
      </c>
      <c r="N36" s="1" t="str">
        <f t="shared" si="57"/>
        <v>证券卖出</v>
      </c>
    </row>
    <row r="37" spans="1:14">
      <c r="A37" s="1" t="str">
        <f t="shared" si="54"/>
        <v>20170719</v>
      </c>
      <c r="B37" s="1" t="str">
        <f>"22:43:26"</f>
        <v>22:43:26</v>
      </c>
      <c r="C37" s="1" t="str">
        <f>"736233"</f>
        <v>736233</v>
      </c>
      <c r="D37" s="1" t="str">
        <f>"参林配号"</f>
        <v>参林配号</v>
      </c>
      <c r="E37" s="1" t="str">
        <f t="shared" si="48"/>
        <v>买入</v>
      </c>
      <c r="F37" s="1" t="str">
        <f t="shared" si="49"/>
        <v>0.000</v>
      </c>
      <c r="G37" s="1" t="str">
        <f t="shared" si="50"/>
        <v>1.00</v>
      </c>
      <c r="H37" s="1" t="str">
        <f t="shared" si="51"/>
        <v>A850418317</v>
      </c>
      <c r="I37" s="1" t="str">
        <f t="shared" ref="I37:L37" si="60">"0.00"</f>
        <v>0.00</v>
      </c>
      <c r="J37" s="3" t="str">
        <f t="shared" si="60"/>
        <v>0.00</v>
      </c>
      <c r="K37" s="1" t="str">
        <f t="shared" si="60"/>
        <v>0.00</v>
      </c>
      <c r="L37" s="1" t="str">
        <f t="shared" si="60"/>
        <v>0.00</v>
      </c>
      <c r="M37" s="1" t="str">
        <f t="shared" si="3"/>
        <v>0.00</v>
      </c>
      <c r="N37" s="1" t="str">
        <f>"起始配号:100006657526"</f>
        <v>起始配号:100006657526</v>
      </c>
    </row>
    <row r="38" spans="1:14">
      <c r="A38" s="1" t="str">
        <f t="shared" ref="A38:A44" si="61">"20170720"</f>
        <v>20170720</v>
      </c>
      <c r="B38" s="1" t="str">
        <f>"10:00:00"</f>
        <v>10:00:00</v>
      </c>
      <c r="C38" s="1" t="str">
        <f t="shared" si="58"/>
        <v>600230</v>
      </c>
      <c r="D38" s="1" t="str">
        <f t="shared" si="59"/>
        <v>沧州大化</v>
      </c>
      <c r="E38" s="1" t="str">
        <f t="shared" si="55"/>
        <v>卖出</v>
      </c>
      <c r="F38" s="1" t="str">
        <f>"39.420"</f>
        <v>39.420</v>
      </c>
      <c r="G38" s="1" t="str">
        <f t="shared" ref="G38:G40" si="62">"-300.00"</f>
        <v>-300.00</v>
      </c>
      <c r="H38" s="1" t="str">
        <f t="shared" si="51"/>
        <v>A850418317</v>
      </c>
      <c r="I38" s="1" t="str">
        <f>"11826.00"</f>
        <v>11826.00</v>
      </c>
      <c r="J38" s="3" t="str">
        <f t="shared" si="56"/>
        <v>5.00</v>
      </c>
      <c r="K38" s="1" t="str">
        <f>"11.83"</f>
        <v>11.83</v>
      </c>
      <c r="L38" s="1" t="str">
        <f>"0.24"</f>
        <v>0.24</v>
      </c>
      <c r="M38" s="1" t="str">
        <f t="shared" si="3"/>
        <v>0.00</v>
      </c>
      <c r="N38" s="1" t="str">
        <f t="shared" si="57"/>
        <v>证券卖出</v>
      </c>
    </row>
    <row r="39" spans="1:14">
      <c r="A39" s="1" t="str">
        <f t="shared" si="61"/>
        <v>20170720</v>
      </c>
      <c r="B39" s="1" t="str">
        <f>"10:24:06"</f>
        <v>10:24:06</v>
      </c>
      <c r="C39" s="1" t="str">
        <f t="shared" si="58"/>
        <v>600230</v>
      </c>
      <c r="D39" s="1" t="str">
        <f t="shared" si="59"/>
        <v>沧州大化</v>
      </c>
      <c r="E39" s="1" t="str">
        <f t="shared" si="55"/>
        <v>卖出</v>
      </c>
      <c r="F39" s="1" t="str">
        <f>"40.170"</f>
        <v>40.170</v>
      </c>
      <c r="G39" s="1" t="str">
        <f t="shared" si="62"/>
        <v>-300.00</v>
      </c>
      <c r="H39" s="1" t="str">
        <f t="shared" si="51"/>
        <v>A850418317</v>
      </c>
      <c r="I39" s="1" t="str">
        <f>"12051.00"</f>
        <v>12051.00</v>
      </c>
      <c r="J39" s="3" t="str">
        <f t="shared" si="56"/>
        <v>5.00</v>
      </c>
      <c r="K39" s="1" t="str">
        <f>"12.05"</f>
        <v>12.05</v>
      </c>
      <c r="L39" s="1" t="str">
        <f>"0.24"</f>
        <v>0.24</v>
      </c>
      <c r="M39" s="1" t="str">
        <f t="shared" si="3"/>
        <v>0.00</v>
      </c>
      <c r="N39" s="1" t="str">
        <f t="shared" si="57"/>
        <v>证券卖出</v>
      </c>
    </row>
    <row r="40" spans="1:14">
      <c r="A40" s="1" t="str">
        <f t="shared" si="61"/>
        <v>20170720</v>
      </c>
      <c r="B40" s="1" t="str">
        <f>"10:28:58"</f>
        <v>10:28:58</v>
      </c>
      <c r="C40" s="1" t="str">
        <f t="shared" si="58"/>
        <v>600230</v>
      </c>
      <c r="D40" s="1" t="str">
        <f t="shared" si="59"/>
        <v>沧州大化</v>
      </c>
      <c r="E40" s="1" t="str">
        <f t="shared" si="55"/>
        <v>卖出</v>
      </c>
      <c r="F40" s="1" t="str">
        <f>"40.900"</f>
        <v>40.900</v>
      </c>
      <c r="G40" s="1" t="str">
        <f t="shared" si="62"/>
        <v>-300.00</v>
      </c>
      <c r="H40" s="1" t="str">
        <f t="shared" si="51"/>
        <v>A850418317</v>
      </c>
      <c r="I40" s="1" t="str">
        <f>"12270.00"</f>
        <v>12270.00</v>
      </c>
      <c r="J40" s="3" t="str">
        <f t="shared" si="56"/>
        <v>5.00</v>
      </c>
      <c r="K40" s="1" t="str">
        <f>"12.27"</f>
        <v>12.27</v>
      </c>
      <c r="L40" s="1" t="str">
        <f>"0.25"</f>
        <v>0.25</v>
      </c>
      <c r="M40" s="1" t="str">
        <f t="shared" si="3"/>
        <v>0.00</v>
      </c>
      <c r="N40" s="1" t="str">
        <f t="shared" si="57"/>
        <v>证券卖出</v>
      </c>
    </row>
    <row r="41" spans="1:14">
      <c r="A41" s="1" t="str">
        <f t="shared" si="61"/>
        <v>20170720</v>
      </c>
      <c r="B41" s="1" t="str">
        <f>"11:09:47"</f>
        <v>11:09:47</v>
      </c>
      <c r="C41" s="1" t="str">
        <f t="shared" ref="C41:C43" si="63">"600133"</f>
        <v>600133</v>
      </c>
      <c r="D41" s="1" t="str">
        <f t="shared" ref="D41:D43" si="64">"东湖高新"</f>
        <v>东湖高新</v>
      </c>
      <c r="E41" s="1" t="str">
        <f t="shared" ref="E41:E44" si="65">"买入"</f>
        <v>买入</v>
      </c>
      <c r="F41" s="1" t="str">
        <f>"12.370"</f>
        <v>12.370</v>
      </c>
      <c r="G41" s="1" t="str">
        <f>"600.00"</f>
        <v>600.00</v>
      </c>
      <c r="H41" s="1" t="str">
        <f t="shared" si="51"/>
        <v>A850418317</v>
      </c>
      <c r="I41" s="1" t="str">
        <f>"7422.00"</f>
        <v>7422.00</v>
      </c>
      <c r="J41" s="3" t="str">
        <f t="shared" si="56"/>
        <v>5.00</v>
      </c>
      <c r="K41" s="1" t="str">
        <f t="shared" ref="K41:K44" si="66">"0.00"</f>
        <v>0.00</v>
      </c>
      <c r="L41" s="1" t="str">
        <f>"0.15"</f>
        <v>0.15</v>
      </c>
      <c r="M41" s="1" t="str">
        <f t="shared" si="3"/>
        <v>0.00</v>
      </c>
      <c r="N41" s="1" t="str">
        <f t="shared" ref="N41:N43" si="67">"证券买入"</f>
        <v>证券买入</v>
      </c>
    </row>
    <row r="42" spans="1:14">
      <c r="A42" s="1" t="str">
        <f t="shared" si="61"/>
        <v>20170720</v>
      </c>
      <c r="B42" s="1" t="str">
        <f>"11:10:55"</f>
        <v>11:10:55</v>
      </c>
      <c r="C42" s="1" t="str">
        <f t="shared" si="63"/>
        <v>600133</v>
      </c>
      <c r="D42" s="1" t="str">
        <f t="shared" si="64"/>
        <v>东湖高新</v>
      </c>
      <c r="E42" s="1" t="str">
        <f t="shared" si="65"/>
        <v>买入</v>
      </c>
      <c r="F42" s="1" t="str">
        <f>"12.300"</f>
        <v>12.300</v>
      </c>
      <c r="G42" s="1" t="str">
        <f>"500.00"</f>
        <v>500.00</v>
      </c>
      <c r="H42" s="1" t="str">
        <f t="shared" si="51"/>
        <v>A850418317</v>
      </c>
      <c r="I42" s="1" t="str">
        <f>"6150.00"</f>
        <v>6150.00</v>
      </c>
      <c r="J42" s="3" t="str">
        <f t="shared" si="56"/>
        <v>5.00</v>
      </c>
      <c r="K42" s="1" t="str">
        <f t="shared" si="66"/>
        <v>0.00</v>
      </c>
      <c r="L42" s="1" t="str">
        <f>"0.12"</f>
        <v>0.12</v>
      </c>
      <c r="M42" s="1" t="str">
        <f t="shared" si="3"/>
        <v>0.00</v>
      </c>
      <c r="N42" s="1" t="str">
        <f t="shared" si="67"/>
        <v>证券买入</v>
      </c>
    </row>
    <row r="43" spans="1:14">
      <c r="A43" s="1" t="str">
        <f t="shared" si="61"/>
        <v>20170720</v>
      </c>
      <c r="B43" s="1" t="str">
        <f>"11:17:38"</f>
        <v>11:17:38</v>
      </c>
      <c r="C43" s="1" t="str">
        <f t="shared" si="63"/>
        <v>600133</v>
      </c>
      <c r="D43" s="1" t="str">
        <f t="shared" si="64"/>
        <v>东湖高新</v>
      </c>
      <c r="E43" s="1" t="str">
        <f t="shared" si="65"/>
        <v>买入</v>
      </c>
      <c r="F43" s="1" t="str">
        <f>"12.270"</f>
        <v>12.270</v>
      </c>
      <c r="G43" s="1" t="str">
        <f>"500.00"</f>
        <v>500.00</v>
      </c>
      <c r="H43" s="1" t="str">
        <f t="shared" si="51"/>
        <v>A850418317</v>
      </c>
      <c r="I43" s="1" t="str">
        <f>"6135.00"</f>
        <v>6135.00</v>
      </c>
      <c r="J43" s="3" t="str">
        <f t="shared" si="56"/>
        <v>5.00</v>
      </c>
      <c r="K43" s="1" t="str">
        <f t="shared" si="66"/>
        <v>0.00</v>
      </c>
      <c r="L43" s="1" t="str">
        <f>"0.12"</f>
        <v>0.12</v>
      </c>
      <c r="M43" s="1" t="str">
        <f t="shared" si="3"/>
        <v>0.00</v>
      </c>
      <c r="N43" s="1" t="str">
        <f t="shared" si="67"/>
        <v>证券买入</v>
      </c>
    </row>
    <row r="44" spans="1:14">
      <c r="A44" s="1" t="str">
        <f t="shared" si="61"/>
        <v>20170720</v>
      </c>
      <c r="B44" s="1" t="str">
        <f>"22:51:29"</f>
        <v>22:51:29</v>
      </c>
      <c r="C44" s="1" t="str">
        <f>"736357"</f>
        <v>736357</v>
      </c>
      <c r="D44" s="1" t="str">
        <f>"设计配号"</f>
        <v>设计配号</v>
      </c>
      <c r="E44" s="1" t="str">
        <f t="shared" si="65"/>
        <v>买入</v>
      </c>
      <c r="F44" s="1" t="str">
        <f>"0.000"</f>
        <v>0.000</v>
      </c>
      <c r="G44" s="1" t="str">
        <f>"1.00"</f>
        <v>1.00</v>
      </c>
      <c r="H44" s="1" t="str">
        <f t="shared" si="51"/>
        <v>A850418317</v>
      </c>
      <c r="I44" s="1" t="str">
        <f t="shared" ref="I44:L44" si="68">"0.00"</f>
        <v>0.00</v>
      </c>
      <c r="J44" s="3" t="str">
        <f t="shared" si="68"/>
        <v>0.00</v>
      </c>
      <c r="K44" s="1" t="str">
        <f t="shared" si="66"/>
        <v>0.00</v>
      </c>
      <c r="L44" s="1" t="str">
        <f t="shared" si="68"/>
        <v>0.00</v>
      </c>
      <c r="M44" s="1" t="str">
        <f t="shared" si="3"/>
        <v>0.00</v>
      </c>
      <c r="N44" s="1" t="str">
        <f>"起始配号:100029347062"</f>
        <v>起始配号:100029347062</v>
      </c>
    </row>
    <row r="45" spans="1:14">
      <c r="A45" s="1" t="str">
        <f t="shared" ref="A45:A50" si="69">"20170721"</f>
        <v>20170721</v>
      </c>
      <c r="B45" s="1" t="str">
        <f>"09:46:40"</f>
        <v>09:46:40</v>
      </c>
      <c r="C45" s="1" t="str">
        <f>"600133"</f>
        <v>600133</v>
      </c>
      <c r="D45" s="1" t="str">
        <f>"东湖高新"</f>
        <v>东湖高新</v>
      </c>
      <c r="E45" s="1" t="str">
        <f>"卖出"</f>
        <v>卖出</v>
      </c>
      <c r="F45" s="1" t="str">
        <f>"13.300"</f>
        <v>13.300</v>
      </c>
      <c r="G45" s="1" t="str">
        <f>"-1600.00"</f>
        <v>-1600.00</v>
      </c>
      <c r="H45" s="1" t="str">
        <f t="shared" si="51"/>
        <v>A850418317</v>
      </c>
      <c r="I45" s="1" t="str">
        <f>"21280.00"</f>
        <v>21280.00</v>
      </c>
      <c r="J45" s="3" t="str">
        <f>"5.32"</f>
        <v>5.32</v>
      </c>
      <c r="K45" s="1" t="str">
        <f>"21.28"</f>
        <v>21.28</v>
      </c>
      <c r="L45" s="1" t="str">
        <f>"0.43"</f>
        <v>0.43</v>
      </c>
      <c r="M45" s="1" t="str">
        <f t="shared" si="3"/>
        <v>0.00</v>
      </c>
      <c r="N45" s="1" t="str">
        <f>"证券卖出"</f>
        <v>证券卖出</v>
      </c>
    </row>
    <row r="46" spans="1:14">
      <c r="A46" s="1" t="str">
        <f t="shared" si="69"/>
        <v>20170721</v>
      </c>
      <c r="B46" s="1" t="str">
        <f>"09:57:18"</f>
        <v>09:57:18</v>
      </c>
      <c r="C46" s="1" t="str">
        <f>"600291"</f>
        <v>600291</v>
      </c>
      <c r="D46" s="1" t="str">
        <f>"西水股份"</f>
        <v>西水股份</v>
      </c>
      <c r="E46" s="1" t="str">
        <f t="shared" ref="E46:E51" si="70">"买入"</f>
        <v>买入</v>
      </c>
      <c r="F46" s="1" t="str">
        <f>"32.170"</f>
        <v>32.170</v>
      </c>
      <c r="G46" s="1" t="str">
        <f>"700.00"</f>
        <v>700.00</v>
      </c>
      <c r="H46" s="1" t="str">
        <f t="shared" si="51"/>
        <v>A850418317</v>
      </c>
      <c r="I46" s="1" t="str">
        <f>"22519.00"</f>
        <v>22519.00</v>
      </c>
      <c r="J46" s="3" t="str">
        <f>"5.63"</f>
        <v>5.63</v>
      </c>
      <c r="K46" s="1" t="str">
        <f t="shared" ref="K46:K51" si="71">"0.00"</f>
        <v>0.00</v>
      </c>
      <c r="L46" s="1" t="str">
        <f>"0.45"</f>
        <v>0.45</v>
      </c>
      <c r="M46" s="1" t="str">
        <f t="shared" si="3"/>
        <v>0.00</v>
      </c>
      <c r="N46" s="1" t="str">
        <f t="shared" ref="N46:N48" si="72">"证券买入"</f>
        <v>证券买入</v>
      </c>
    </row>
    <row r="47" spans="1:14">
      <c r="A47" s="1" t="str">
        <f t="shared" si="69"/>
        <v>20170721</v>
      </c>
      <c r="B47" s="1" t="str">
        <f>"14:55:43"</f>
        <v>14:55:43</v>
      </c>
      <c r="C47" s="1" t="str">
        <f>"600354"</f>
        <v>600354</v>
      </c>
      <c r="D47" s="1" t="str">
        <f>"敦煌种业"</f>
        <v>敦煌种业</v>
      </c>
      <c r="E47" s="1" t="str">
        <f t="shared" si="70"/>
        <v>买入</v>
      </c>
      <c r="F47" s="1" t="str">
        <f>"9.390"</f>
        <v>9.390</v>
      </c>
      <c r="G47" s="1" t="str">
        <f>"100.00"</f>
        <v>100.00</v>
      </c>
      <c r="H47" s="1" t="str">
        <f t="shared" si="51"/>
        <v>A850418317</v>
      </c>
      <c r="I47" s="1" t="str">
        <f>"939.00"</f>
        <v>939.00</v>
      </c>
      <c r="J47" s="3" t="str">
        <f t="shared" ref="J47:J52" si="73">"5.00"</f>
        <v>5.00</v>
      </c>
      <c r="K47" s="1" t="str">
        <f t="shared" si="71"/>
        <v>0.00</v>
      </c>
      <c r="L47" s="1" t="str">
        <f>"0.02"</f>
        <v>0.02</v>
      </c>
      <c r="M47" s="1" t="str">
        <f t="shared" si="3"/>
        <v>0.00</v>
      </c>
      <c r="N47" s="1" t="str">
        <f t="shared" si="72"/>
        <v>证券买入</v>
      </c>
    </row>
    <row r="48" spans="1:14">
      <c r="A48" s="1" t="str">
        <f t="shared" si="69"/>
        <v>20170721</v>
      </c>
      <c r="B48" s="1" t="str">
        <f>"09:31:59"</f>
        <v>09:31:59</v>
      </c>
      <c r="C48" s="1" t="str">
        <f>"002230"</f>
        <v>002230</v>
      </c>
      <c r="D48" s="1" t="str">
        <f>"科大讯飞"</f>
        <v>科大讯飞</v>
      </c>
      <c r="E48" s="1" t="str">
        <f t="shared" si="70"/>
        <v>买入</v>
      </c>
      <c r="F48" s="1" t="str">
        <f>"47.770"</f>
        <v>47.770</v>
      </c>
      <c r="G48" s="1" t="str">
        <f>"300.00"</f>
        <v>300.00</v>
      </c>
      <c r="H48" s="1" t="str">
        <f>"0104152129"</f>
        <v>0104152129</v>
      </c>
      <c r="I48" s="1" t="str">
        <f>"14331.00"</f>
        <v>14331.00</v>
      </c>
      <c r="J48" s="3" t="str">
        <f t="shared" si="73"/>
        <v>5.00</v>
      </c>
      <c r="K48" s="1" t="str">
        <f t="shared" si="71"/>
        <v>0.00</v>
      </c>
      <c r="L48" s="1" t="str">
        <f>"0.29"</f>
        <v>0.29</v>
      </c>
      <c r="M48" s="1" t="str">
        <f t="shared" si="3"/>
        <v>0.00</v>
      </c>
      <c r="N48" s="1" t="str">
        <f t="shared" si="72"/>
        <v>证券买入</v>
      </c>
    </row>
    <row r="49" spans="1:14">
      <c r="A49" s="1" t="str">
        <f t="shared" si="69"/>
        <v>20170721</v>
      </c>
      <c r="B49" s="1" t="str">
        <f>"22:30:03"</f>
        <v>22:30:03</v>
      </c>
      <c r="C49" s="1" t="str">
        <f>"736825"</f>
        <v>736825</v>
      </c>
      <c r="D49" s="1" t="str">
        <f>"华扬配号"</f>
        <v>华扬配号</v>
      </c>
      <c r="E49" s="1" t="str">
        <f t="shared" si="70"/>
        <v>买入</v>
      </c>
      <c r="F49" s="1" t="str">
        <f>"0.000"</f>
        <v>0.000</v>
      </c>
      <c r="G49" s="1" t="str">
        <f>"1.00"</f>
        <v>1.00</v>
      </c>
      <c r="H49" s="1" t="str">
        <f t="shared" ref="H49:H53" si="74">"A850418317"</f>
        <v>A850418317</v>
      </c>
      <c r="I49" s="1" t="str">
        <f t="shared" ref="I49:L49" si="75">"0.00"</f>
        <v>0.00</v>
      </c>
      <c r="J49" s="3" t="str">
        <f t="shared" si="75"/>
        <v>0.00</v>
      </c>
      <c r="K49" s="1" t="str">
        <f t="shared" si="71"/>
        <v>0.00</v>
      </c>
      <c r="L49" s="1" t="str">
        <f t="shared" si="75"/>
        <v>0.00</v>
      </c>
      <c r="M49" s="1" t="str">
        <f t="shared" si="3"/>
        <v>0.00</v>
      </c>
      <c r="N49" s="1" t="str">
        <f>"起始配号:100003547222"</f>
        <v>起始配号:100003547222</v>
      </c>
    </row>
    <row r="50" spans="1:14">
      <c r="A50" s="1" t="str">
        <f t="shared" si="69"/>
        <v>20170721</v>
      </c>
      <c r="B50" s="1" t="str">
        <f>"22:30:03"</f>
        <v>22:30:03</v>
      </c>
      <c r="C50" s="1" t="str">
        <f>"736860"</f>
        <v>736860</v>
      </c>
      <c r="D50" s="1" t="str">
        <f>"中公配号"</f>
        <v>中公配号</v>
      </c>
      <c r="E50" s="1" t="str">
        <f t="shared" si="70"/>
        <v>买入</v>
      </c>
      <c r="F50" s="1" t="str">
        <f>"0.000"</f>
        <v>0.000</v>
      </c>
      <c r="G50" s="1" t="str">
        <f>"1.00"</f>
        <v>1.00</v>
      </c>
      <c r="H50" s="1" t="str">
        <f t="shared" si="74"/>
        <v>A850418317</v>
      </c>
      <c r="I50" s="1" t="str">
        <f t="shared" ref="I50:L50" si="76">"0.00"</f>
        <v>0.00</v>
      </c>
      <c r="J50" s="3" t="str">
        <f t="shared" si="76"/>
        <v>0.00</v>
      </c>
      <c r="K50" s="1" t="str">
        <f t="shared" si="71"/>
        <v>0.00</v>
      </c>
      <c r="L50" s="1" t="str">
        <f t="shared" si="76"/>
        <v>0.00</v>
      </c>
      <c r="M50" s="1" t="str">
        <f t="shared" si="3"/>
        <v>0.00</v>
      </c>
      <c r="N50" s="1" t="str">
        <f>"起始配号:100003528498"</f>
        <v>起始配号:100003528498</v>
      </c>
    </row>
    <row r="51" spans="1:14">
      <c r="A51" s="1" t="str">
        <f t="shared" ref="A51:A54" si="77">"20170724"</f>
        <v>20170724</v>
      </c>
      <c r="B51" s="1" t="str">
        <f>"09:46:14"</f>
        <v>09:46:14</v>
      </c>
      <c r="C51" s="1" t="str">
        <f>"601668"</f>
        <v>601668</v>
      </c>
      <c r="D51" s="1" t="str">
        <f>"中国建筑"</f>
        <v>中国建筑</v>
      </c>
      <c r="E51" s="1" t="str">
        <f t="shared" si="70"/>
        <v>买入</v>
      </c>
      <c r="F51" s="1" t="str">
        <f>"10.770"</f>
        <v>10.770</v>
      </c>
      <c r="G51" s="1" t="str">
        <f>"600.00"</f>
        <v>600.00</v>
      </c>
      <c r="H51" s="1" t="str">
        <f t="shared" si="74"/>
        <v>A850418317</v>
      </c>
      <c r="I51" s="1" t="str">
        <f>"6462.00"</f>
        <v>6462.00</v>
      </c>
      <c r="J51" s="3" t="str">
        <f t="shared" si="73"/>
        <v>5.00</v>
      </c>
      <c r="K51" s="1" t="str">
        <f t="shared" si="71"/>
        <v>0.00</v>
      </c>
      <c r="L51" s="1" t="str">
        <f>"0.13"</f>
        <v>0.13</v>
      </c>
      <c r="M51" s="1" t="str">
        <f t="shared" si="3"/>
        <v>0.00</v>
      </c>
      <c r="N51" s="1" t="str">
        <f>"证券买入"</f>
        <v>证券买入</v>
      </c>
    </row>
    <row r="52" spans="1:14">
      <c r="A52" s="1" t="str">
        <f t="shared" si="77"/>
        <v>20170724</v>
      </c>
      <c r="B52" s="1" t="str">
        <f>"11:23:17"</f>
        <v>11:23:17</v>
      </c>
      <c r="C52" s="1" t="str">
        <f>"600354"</f>
        <v>600354</v>
      </c>
      <c r="D52" s="1" t="str">
        <f>"敦煌种业"</f>
        <v>敦煌种业</v>
      </c>
      <c r="E52" s="1" t="str">
        <f t="shared" ref="E52:E55" si="78">"卖出"</f>
        <v>卖出</v>
      </c>
      <c r="F52" s="1" t="str">
        <f>"9.740"</f>
        <v>9.740</v>
      </c>
      <c r="G52" s="1" t="str">
        <f>"-100.00"</f>
        <v>-100.00</v>
      </c>
      <c r="H52" s="1" t="str">
        <f t="shared" si="74"/>
        <v>A850418317</v>
      </c>
      <c r="I52" s="1" t="str">
        <f>"974.00"</f>
        <v>974.00</v>
      </c>
      <c r="J52" s="3" t="str">
        <f t="shared" si="73"/>
        <v>5.00</v>
      </c>
      <c r="K52" s="1" t="str">
        <f>"0.97"</f>
        <v>0.97</v>
      </c>
      <c r="L52" s="1" t="str">
        <f>"0.02"</f>
        <v>0.02</v>
      </c>
      <c r="M52" s="1" t="str">
        <f t="shared" si="3"/>
        <v>0.00</v>
      </c>
      <c r="N52" s="1" t="str">
        <f t="shared" ref="N52:N55" si="79">"证券卖出"</f>
        <v>证券卖出</v>
      </c>
    </row>
    <row r="53" spans="1:14">
      <c r="A53" s="1" t="str">
        <f t="shared" si="77"/>
        <v>20170724</v>
      </c>
      <c r="B53" s="1" t="str">
        <f>"13:29:10"</f>
        <v>13:29:10</v>
      </c>
      <c r="C53" s="1" t="str">
        <f>"600291"</f>
        <v>600291</v>
      </c>
      <c r="D53" s="1" t="str">
        <f>"西水股份"</f>
        <v>西水股份</v>
      </c>
      <c r="E53" s="1" t="str">
        <f t="shared" si="78"/>
        <v>卖出</v>
      </c>
      <c r="F53" s="1" t="str">
        <f>"33.740"</f>
        <v>33.740</v>
      </c>
      <c r="G53" s="1" t="str">
        <f>"-700.00"</f>
        <v>-700.00</v>
      </c>
      <c r="H53" s="1" t="str">
        <f t="shared" si="74"/>
        <v>A850418317</v>
      </c>
      <c r="I53" s="1" t="str">
        <f>"23618.00"</f>
        <v>23618.00</v>
      </c>
      <c r="J53" s="3" t="str">
        <f>"5.90"</f>
        <v>5.90</v>
      </c>
      <c r="K53" s="1" t="str">
        <f>"23.62"</f>
        <v>23.62</v>
      </c>
      <c r="L53" s="1" t="str">
        <f>"0.47"</f>
        <v>0.47</v>
      </c>
      <c r="M53" s="1" t="str">
        <f t="shared" si="3"/>
        <v>0.00</v>
      </c>
      <c r="N53" s="1" t="str">
        <f t="shared" si="79"/>
        <v>证券卖出</v>
      </c>
    </row>
    <row r="54" spans="1:14">
      <c r="A54" s="1" t="str">
        <f t="shared" si="77"/>
        <v>20170724</v>
      </c>
      <c r="B54" s="1" t="str">
        <f>"09:44:10"</f>
        <v>09:44:10</v>
      </c>
      <c r="C54" s="1" t="str">
        <f>"002230"</f>
        <v>002230</v>
      </c>
      <c r="D54" s="1" t="str">
        <f>"科大讯飞"</f>
        <v>科大讯飞</v>
      </c>
      <c r="E54" s="1" t="str">
        <f t="shared" si="78"/>
        <v>卖出</v>
      </c>
      <c r="F54" s="1" t="str">
        <f>"46.210"</f>
        <v>46.210</v>
      </c>
      <c r="G54" s="1" t="str">
        <f>"-300.00"</f>
        <v>-300.00</v>
      </c>
      <c r="H54" s="1" t="str">
        <f>"0104152129"</f>
        <v>0104152129</v>
      </c>
      <c r="I54" s="1" t="str">
        <f>"13863.00"</f>
        <v>13863.00</v>
      </c>
      <c r="J54" s="3" t="str">
        <f t="shared" ref="J54:J60" si="80">"5.00"</f>
        <v>5.00</v>
      </c>
      <c r="K54" s="1" t="str">
        <f>"13.86"</f>
        <v>13.86</v>
      </c>
      <c r="L54" s="1" t="str">
        <f>"0.28"</f>
        <v>0.28</v>
      </c>
      <c r="M54" s="1" t="str">
        <f t="shared" si="3"/>
        <v>0.00</v>
      </c>
      <c r="N54" s="1" t="str">
        <f t="shared" si="79"/>
        <v>证券卖出</v>
      </c>
    </row>
    <row r="55" spans="1:14">
      <c r="A55" s="1" t="str">
        <f>"20170725"</f>
        <v>20170725</v>
      </c>
      <c r="B55" s="1" t="str">
        <f>"10:06:48"</f>
        <v>10:06:48</v>
      </c>
      <c r="C55" s="1" t="str">
        <f>"601668"</f>
        <v>601668</v>
      </c>
      <c r="D55" s="1" t="str">
        <f>"中国建筑"</f>
        <v>中国建筑</v>
      </c>
      <c r="E55" s="1" t="str">
        <f t="shared" si="78"/>
        <v>卖出</v>
      </c>
      <c r="F55" s="1" t="str">
        <f>"10.420"</f>
        <v>10.420</v>
      </c>
      <c r="G55" s="1" t="str">
        <f>"-600.00"</f>
        <v>-600.00</v>
      </c>
      <c r="H55" s="1" t="str">
        <f t="shared" ref="H55:H57" si="81">"A850418317"</f>
        <v>A850418317</v>
      </c>
      <c r="I55" s="1" t="str">
        <f>"6252.00"</f>
        <v>6252.00</v>
      </c>
      <c r="J55" s="3" t="str">
        <f t="shared" si="80"/>
        <v>5.00</v>
      </c>
      <c r="K55" s="1" t="str">
        <f>"6.25"</f>
        <v>6.25</v>
      </c>
      <c r="L55" s="1" t="str">
        <f>"0.13"</f>
        <v>0.13</v>
      </c>
      <c r="M55" s="1" t="str">
        <f t="shared" si="3"/>
        <v>0.00</v>
      </c>
      <c r="N55" s="1" t="str">
        <f t="shared" si="79"/>
        <v>证券卖出</v>
      </c>
    </row>
    <row r="56" spans="1:14">
      <c r="A56" s="1" t="str">
        <f t="shared" ref="A56:A58" si="82">"20170726"</f>
        <v>20170726</v>
      </c>
      <c r="B56" s="1" t="str">
        <f>"09:25:00"</f>
        <v>09:25:00</v>
      </c>
      <c r="C56" s="1" t="str">
        <f>"600291"</f>
        <v>600291</v>
      </c>
      <c r="D56" s="1" t="str">
        <f>"西水股份"</f>
        <v>西水股份</v>
      </c>
      <c r="E56" s="1" t="str">
        <f t="shared" ref="E56:E58" si="83">"买入"</f>
        <v>买入</v>
      </c>
      <c r="F56" s="1" t="str">
        <f>"37.070"</f>
        <v>37.070</v>
      </c>
      <c r="G56" s="1" t="str">
        <f>"300.00"</f>
        <v>300.00</v>
      </c>
      <c r="H56" s="1" t="str">
        <f t="shared" si="81"/>
        <v>A850418317</v>
      </c>
      <c r="I56" s="1" t="str">
        <f>"11121.00"</f>
        <v>11121.00</v>
      </c>
      <c r="J56" s="3" t="str">
        <f t="shared" si="80"/>
        <v>5.00</v>
      </c>
      <c r="K56" s="1" t="str">
        <f t="shared" ref="K56:K58" si="84">"0.00"</f>
        <v>0.00</v>
      </c>
      <c r="L56" s="1" t="str">
        <f>"0.22"</f>
        <v>0.22</v>
      </c>
      <c r="M56" s="1" t="str">
        <f t="shared" si="3"/>
        <v>0.00</v>
      </c>
      <c r="N56" s="1" t="str">
        <f t="shared" ref="N56:N58" si="85">"证券买入"</f>
        <v>证券买入</v>
      </c>
    </row>
    <row r="57" spans="1:14">
      <c r="A57" s="1" t="str">
        <f t="shared" si="82"/>
        <v>20170726</v>
      </c>
      <c r="B57" s="1" t="str">
        <f>"09:30:15"</f>
        <v>09:30:15</v>
      </c>
      <c r="C57" s="1" t="str">
        <f t="shared" ref="C57:C61" si="86">"600230"</f>
        <v>600230</v>
      </c>
      <c r="D57" s="1" t="str">
        <f t="shared" ref="D57:D61" si="87">"沧州大化"</f>
        <v>沧州大化</v>
      </c>
      <c r="E57" s="1" t="str">
        <f t="shared" si="83"/>
        <v>买入</v>
      </c>
      <c r="F57" s="1" t="str">
        <f>"47.320"</f>
        <v>47.320</v>
      </c>
      <c r="G57" s="1" t="str">
        <f>"200.00"</f>
        <v>200.00</v>
      </c>
      <c r="H57" s="1" t="str">
        <f t="shared" si="81"/>
        <v>A850418317</v>
      </c>
      <c r="I57" s="1" t="str">
        <f>"9464.00"</f>
        <v>9464.00</v>
      </c>
      <c r="J57" s="3" t="str">
        <f t="shared" si="80"/>
        <v>5.00</v>
      </c>
      <c r="K57" s="1" t="str">
        <f t="shared" si="84"/>
        <v>0.00</v>
      </c>
      <c r="L57" s="1" t="str">
        <f>"0.19"</f>
        <v>0.19</v>
      </c>
      <c r="M57" s="1" t="str">
        <f t="shared" si="3"/>
        <v>0.00</v>
      </c>
      <c r="N57" s="1" t="str">
        <f t="shared" si="85"/>
        <v>证券买入</v>
      </c>
    </row>
    <row r="58" spans="1:14">
      <c r="A58" s="1" t="str">
        <f t="shared" si="82"/>
        <v>20170726</v>
      </c>
      <c r="B58" s="1" t="str">
        <f>"09:31:33"</f>
        <v>09:31:33</v>
      </c>
      <c r="C58" s="1" t="str">
        <f>"000933"</f>
        <v>000933</v>
      </c>
      <c r="D58" s="1" t="str">
        <f>"神火股份"</f>
        <v>神火股份</v>
      </c>
      <c r="E58" s="1" t="str">
        <f t="shared" si="83"/>
        <v>买入</v>
      </c>
      <c r="F58" s="1" t="str">
        <f>"10.970"</f>
        <v>10.970</v>
      </c>
      <c r="G58" s="1" t="str">
        <f>"1600.00"</f>
        <v>1600.00</v>
      </c>
      <c r="H58" s="1" t="str">
        <f>"0104152129"</f>
        <v>0104152129</v>
      </c>
      <c r="I58" s="1" t="str">
        <f>"17552.00"</f>
        <v>17552.00</v>
      </c>
      <c r="J58" s="3" t="str">
        <f t="shared" si="80"/>
        <v>5.00</v>
      </c>
      <c r="K58" s="1" t="str">
        <f t="shared" si="84"/>
        <v>0.00</v>
      </c>
      <c r="L58" s="1" t="str">
        <f>"0.35"</f>
        <v>0.35</v>
      </c>
      <c r="M58" s="1" t="str">
        <f t="shared" si="3"/>
        <v>0.00</v>
      </c>
      <c r="N58" s="1" t="str">
        <f t="shared" si="85"/>
        <v>证券买入</v>
      </c>
    </row>
    <row r="59" spans="1:14">
      <c r="A59" s="1" t="str">
        <f t="shared" ref="A59:A64" si="88">"20170727"</f>
        <v>20170727</v>
      </c>
      <c r="B59" s="1" t="str">
        <f>"09:31:01"</f>
        <v>09:31:01</v>
      </c>
      <c r="C59" s="1" t="str">
        <f>"600291"</f>
        <v>600291</v>
      </c>
      <c r="D59" s="1" t="str">
        <f>"西水股份"</f>
        <v>西水股份</v>
      </c>
      <c r="E59" s="1" t="str">
        <f t="shared" ref="E59:E62" si="89">"卖出"</f>
        <v>卖出</v>
      </c>
      <c r="F59" s="1" t="str">
        <f>"35.953"</f>
        <v>35.953</v>
      </c>
      <c r="G59" s="1" t="str">
        <f>"-300.00"</f>
        <v>-300.00</v>
      </c>
      <c r="H59" s="1" t="str">
        <f t="shared" ref="H59:H61" si="90">"A850418317"</f>
        <v>A850418317</v>
      </c>
      <c r="I59" s="1" t="str">
        <f>"10786.00"</f>
        <v>10786.00</v>
      </c>
      <c r="J59" s="3" t="str">
        <f t="shared" si="80"/>
        <v>5.00</v>
      </c>
      <c r="K59" s="1" t="str">
        <f>"10.78"</f>
        <v>10.78</v>
      </c>
      <c r="L59" s="1" t="str">
        <f>"0.22"</f>
        <v>0.22</v>
      </c>
      <c r="M59" s="1" t="str">
        <f t="shared" si="3"/>
        <v>0.00</v>
      </c>
      <c r="N59" s="1" t="str">
        <f t="shared" ref="N59:N62" si="91">"证券卖出"</f>
        <v>证券卖出</v>
      </c>
    </row>
    <row r="60" spans="1:14">
      <c r="A60" s="1" t="str">
        <f t="shared" si="88"/>
        <v>20170727</v>
      </c>
      <c r="B60" s="1" t="str">
        <f>"09:37:21"</f>
        <v>09:37:21</v>
      </c>
      <c r="C60" s="1" t="str">
        <f t="shared" si="86"/>
        <v>600230</v>
      </c>
      <c r="D60" s="1" t="str">
        <f t="shared" si="87"/>
        <v>沧州大化</v>
      </c>
      <c r="E60" s="1" t="str">
        <f t="shared" si="89"/>
        <v>卖出</v>
      </c>
      <c r="F60" s="1" t="str">
        <f>"49.600"</f>
        <v>49.600</v>
      </c>
      <c r="G60" s="1" t="str">
        <f>"-200.00"</f>
        <v>-200.00</v>
      </c>
      <c r="H60" s="1" t="str">
        <f t="shared" si="90"/>
        <v>A850418317</v>
      </c>
      <c r="I60" s="1" t="str">
        <f>"9920.00"</f>
        <v>9920.00</v>
      </c>
      <c r="J60" s="3" t="str">
        <f t="shared" si="80"/>
        <v>5.00</v>
      </c>
      <c r="K60" s="1" t="str">
        <f>"9.92"</f>
        <v>9.92</v>
      </c>
      <c r="L60" s="1" t="str">
        <f>"0.20"</f>
        <v>0.20</v>
      </c>
      <c r="M60" s="1" t="str">
        <f t="shared" si="3"/>
        <v>0.00</v>
      </c>
      <c r="N60" s="1" t="str">
        <f t="shared" si="91"/>
        <v>证券卖出</v>
      </c>
    </row>
    <row r="61" spans="1:14">
      <c r="A61" s="1" t="str">
        <f t="shared" si="88"/>
        <v>20170727</v>
      </c>
      <c r="B61" s="1" t="str">
        <f>"09:47:49"</f>
        <v>09:47:49</v>
      </c>
      <c r="C61" s="1" t="str">
        <f t="shared" si="86"/>
        <v>600230</v>
      </c>
      <c r="D61" s="1" t="str">
        <f t="shared" si="87"/>
        <v>沧州大化</v>
      </c>
      <c r="E61" s="1" t="str">
        <f t="shared" ref="E61:E64" si="92">"买入"</f>
        <v>买入</v>
      </c>
      <c r="F61" s="1" t="str">
        <f>"50.700"</f>
        <v>50.700</v>
      </c>
      <c r="G61" s="1" t="str">
        <f>"700.00"</f>
        <v>700.00</v>
      </c>
      <c r="H61" s="1" t="str">
        <f t="shared" si="90"/>
        <v>A850418317</v>
      </c>
      <c r="I61" s="1" t="str">
        <f>"35490.00"</f>
        <v>35490.00</v>
      </c>
      <c r="J61" s="3" t="str">
        <f>"8.87"</f>
        <v>8.87</v>
      </c>
      <c r="K61" s="1" t="str">
        <f>"0.00"</f>
        <v>0.00</v>
      </c>
      <c r="L61" s="1" t="str">
        <f>"0.71"</f>
        <v>0.71</v>
      </c>
      <c r="M61" s="1" t="str">
        <f t="shared" si="3"/>
        <v>0.00</v>
      </c>
      <c r="N61" s="1" t="str">
        <f>"证券买入"</f>
        <v>证券买入</v>
      </c>
    </row>
    <row r="62" spans="1:14">
      <c r="A62" s="1" t="str">
        <f t="shared" si="88"/>
        <v>20170727</v>
      </c>
      <c r="B62" s="1" t="str">
        <f>"09:31:31"</f>
        <v>09:31:31</v>
      </c>
      <c r="C62" s="1" t="str">
        <f>"000933"</f>
        <v>000933</v>
      </c>
      <c r="D62" s="1" t="str">
        <f>"神火股份"</f>
        <v>神火股份</v>
      </c>
      <c r="E62" s="1" t="str">
        <f t="shared" si="89"/>
        <v>卖出</v>
      </c>
      <c r="F62" s="1" t="str">
        <f>"10.560"</f>
        <v>10.560</v>
      </c>
      <c r="G62" s="1" t="str">
        <f>"-1600.00"</f>
        <v>-1600.00</v>
      </c>
      <c r="H62" s="1" t="str">
        <f>"0104152129"</f>
        <v>0104152129</v>
      </c>
      <c r="I62" s="1" t="str">
        <f>"16896.00"</f>
        <v>16896.00</v>
      </c>
      <c r="J62" s="3" t="str">
        <f>"5.00"</f>
        <v>5.00</v>
      </c>
      <c r="K62" s="1" t="str">
        <f>"16.90"</f>
        <v>16.90</v>
      </c>
      <c r="L62" s="1" t="str">
        <f>"0.34"</f>
        <v>0.34</v>
      </c>
      <c r="M62" s="1" t="str">
        <f t="shared" si="3"/>
        <v>0.00</v>
      </c>
      <c r="N62" s="1" t="str">
        <f t="shared" si="91"/>
        <v>证券卖出</v>
      </c>
    </row>
    <row r="63" spans="1:14">
      <c r="A63" s="1" t="str">
        <f t="shared" si="88"/>
        <v>20170727</v>
      </c>
      <c r="B63" s="1" t="str">
        <f>"21:29:15"</f>
        <v>21:29:15</v>
      </c>
      <c r="C63" s="1" t="str">
        <f>"736535"</f>
        <v>736535</v>
      </c>
      <c r="D63" s="1" t="str">
        <f>"嘉诚配号"</f>
        <v>嘉诚配号</v>
      </c>
      <c r="E63" s="1" t="str">
        <f t="shared" si="92"/>
        <v>买入</v>
      </c>
      <c r="F63" s="1" t="str">
        <f t="shared" ref="F63:F67" si="93">"0.000"</f>
        <v>0.000</v>
      </c>
      <c r="G63" s="1" t="str">
        <f t="shared" ref="G63:G66" si="94">"1.00"</f>
        <v>1.00</v>
      </c>
      <c r="H63" s="1" t="str">
        <f t="shared" ref="H63:H66" si="95">"A850418317"</f>
        <v>A850418317</v>
      </c>
      <c r="I63" s="1" t="str">
        <f t="shared" ref="I63:L63" si="96">"0.00"</f>
        <v>0.00</v>
      </c>
      <c r="J63" s="3" t="str">
        <f t="shared" si="96"/>
        <v>0.00</v>
      </c>
      <c r="K63" s="1" t="str">
        <f t="shared" si="96"/>
        <v>0.00</v>
      </c>
      <c r="L63" s="1" t="str">
        <f t="shared" si="96"/>
        <v>0.00</v>
      </c>
      <c r="M63" s="1" t="str">
        <f t="shared" si="3"/>
        <v>0.00</v>
      </c>
      <c r="N63" s="1" t="str">
        <f>"起始配号:100004214289"</f>
        <v>起始配号:100004214289</v>
      </c>
    </row>
    <row r="64" spans="1:14">
      <c r="A64" s="1" t="str">
        <f t="shared" si="88"/>
        <v>20170727</v>
      </c>
      <c r="B64" s="1" t="str">
        <f>"21:29:15"</f>
        <v>21:29:15</v>
      </c>
      <c r="C64" s="1" t="str">
        <f>"736602"</f>
        <v>736602</v>
      </c>
      <c r="D64" s="1" t="str">
        <f>"纵横配号"</f>
        <v>纵横配号</v>
      </c>
      <c r="E64" s="1" t="str">
        <f t="shared" si="92"/>
        <v>买入</v>
      </c>
      <c r="F64" s="1" t="str">
        <f t="shared" si="93"/>
        <v>0.000</v>
      </c>
      <c r="G64" s="1" t="str">
        <f t="shared" si="94"/>
        <v>1.00</v>
      </c>
      <c r="H64" s="1" t="str">
        <f t="shared" si="95"/>
        <v>A850418317</v>
      </c>
      <c r="I64" s="1" t="str">
        <f t="shared" ref="I64:L64" si="97">"0.00"</f>
        <v>0.00</v>
      </c>
      <c r="J64" s="3" t="str">
        <f t="shared" si="97"/>
        <v>0.00</v>
      </c>
      <c r="K64" s="1" t="str">
        <f t="shared" si="97"/>
        <v>0.00</v>
      </c>
      <c r="L64" s="1" t="str">
        <f t="shared" si="97"/>
        <v>0.00</v>
      </c>
      <c r="M64" s="1" t="str">
        <f t="shared" si="3"/>
        <v>0.00</v>
      </c>
      <c r="N64" s="1" t="str">
        <f>"起始配号:100005009481"</f>
        <v>起始配号:100005009481</v>
      </c>
    </row>
    <row r="65" spans="1:14">
      <c r="A65" s="1" t="str">
        <f t="shared" ref="A65:A67" si="98">"20170728"</f>
        <v>20170728</v>
      </c>
      <c r="B65" s="1" t="str">
        <f>"09:53:18"</f>
        <v>09:53:18</v>
      </c>
      <c r="C65" s="1" t="str">
        <f>"600230"</f>
        <v>600230</v>
      </c>
      <c r="D65" s="1" t="str">
        <f>"沧州大化"</f>
        <v>沧州大化</v>
      </c>
      <c r="E65" s="1" t="str">
        <f>"卖出"</f>
        <v>卖出</v>
      </c>
      <c r="F65" s="1" t="str">
        <f>"49.106"</f>
        <v>49.106</v>
      </c>
      <c r="G65" s="1" t="str">
        <f>"-700.00"</f>
        <v>-700.00</v>
      </c>
      <c r="H65" s="1" t="str">
        <f t="shared" si="95"/>
        <v>A850418317</v>
      </c>
      <c r="I65" s="1" t="str">
        <f>"34374.00"</f>
        <v>34374.00</v>
      </c>
      <c r="J65" s="3" t="str">
        <f>"8.59"</f>
        <v>8.59</v>
      </c>
      <c r="K65" s="1" t="str">
        <f>"34.37"</f>
        <v>34.37</v>
      </c>
      <c r="L65" s="1" t="str">
        <f>"0.69"</f>
        <v>0.69</v>
      </c>
      <c r="M65" s="1" t="str">
        <f t="shared" si="3"/>
        <v>0.00</v>
      </c>
      <c r="N65" s="1" t="str">
        <f>"证券卖出"</f>
        <v>证券卖出</v>
      </c>
    </row>
    <row r="66" spans="1:14">
      <c r="A66" s="1" t="str">
        <f t="shared" si="98"/>
        <v>20170728</v>
      </c>
      <c r="B66" s="1" t="str">
        <f>"22:32:46"</f>
        <v>22:32:46</v>
      </c>
      <c r="C66" s="1" t="str">
        <f>"736458"</f>
        <v>736458</v>
      </c>
      <c r="D66" s="1" t="str">
        <f>"勘设配号"</f>
        <v>勘设配号</v>
      </c>
      <c r="E66" s="1" t="str">
        <f t="shared" ref="E66:E75" si="99">"买入"</f>
        <v>买入</v>
      </c>
      <c r="F66" s="1" t="str">
        <f t="shared" si="93"/>
        <v>0.000</v>
      </c>
      <c r="G66" s="1" t="str">
        <f t="shared" si="94"/>
        <v>1.00</v>
      </c>
      <c r="H66" s="1" t="str">
        <f t="shared" si="95"/>
        <v>A850418317</v>
      </c>
      <c r="I66" s="1" t="str">
        <f t="shared" ref="I66:L66" si="100">"0.00"</f>
        <v>0.00</v>
      </c>
      <c r="J66" s="3" t="str">
        <f t="shared" si="100"/>
        <v>0.00</v>
      </c>
      <c r="K66" s="1" t="str">
        <f t="shared" si="100"/>
        <v>0.00</v>
      </c>
      <c r="L66" s="1" t="str">
        <f t="shared" si="100"/>
        <v>0.00</v>
      </c>
      <c r="M66" s="1" t="str">
        <f t="shared" si="3"/>
        <v>0.00</v>
      </c>
      <c r="N66" s="1" t="str">
        <f>"起始配号:100020936575"</f>
        <v>起始配号:100020936575</v>
      </c>
    </row>
    <row r="67" spans="1:14">
      <c r="A67" s="1" t="str">
        <f t="shared" si="98"/>
        <v>20170728</v>
      </c>
      <c r="B67" s="1" t="str">
        <f>"22:32:46"</f>
        <v>22:32:46</v>
      </c>
      <c r="C67" s="1" t="str">
        <f>"300690"</f>
        <v>300690</v>
      </c>
      <c r="D67" s="1" t="str">
        <f>"双一科技"</f>
        <v>双一科技</v>
      </c>
      <c r="E67" s="1" t="str">
        <f t="shared" si="99"/>
        <v>买入</v>
      </c>
      <c r="F67" s="1" t="str">
        <f t="shared" si="93"/>
        <v>0.000</v>
      </c>
      <c r="G67" s="1" t="str">
        <f t="shared" ref="G67:G72" si="101">"2.00"</f>
        <v>2.00</v>
      </c>
      <c r="H67" s="1" t="str">
        <f t="shared" ref="H67:H72" si="102">"0104152129"</f>
        <v>0104152129</v>
      </c>
      <c r="I67" s="1" t="str">
        <f t="shared" ref="I67:M67" si="103">"0.00"</f>
        <v>0.00</v>
      </c>
      <c r="J67" s="3" t="str">
        <f t="shared" si="103"/>
        <v>0.00</v>
      </c>
      <c r="K67" s="1" t="str">
        <f t="shared" si="103"/>
        <v>0.00</v>
      </c>
      <c r="L67" s="1" t="str">
        <f t="shared" si="103"/>
        <v>0.00</v>
      </c>
      <c r="M67" s="1" t="str">
        <f t="shared" si="103"/>
        <v>0.00</v>
      </c>
      <c r="N67" s="1" t="str">
        <f>"起始配号:52983799"</f>
        <v>起始配号:52983799</v>
      </c>
    </row>
    <row r="68" spans="1:14">
      <c r="A68" s="1" t="str">
        <f t="shared" ref="A68:A72" si="104">"20170731"</f>
        <v>20170731</v>
      </c>
      <c r="B68" s="1" t="str">
        <f>"13:03:36"</f>
        <v>13:03:36</v>
      </c>
      <c r="C68" s="1" t="str">
        <f>"600309"</f>
        <v>600309</v>
      </c>
      <c r="D68" s="1" t="str">
        <f>"万华化学"</f>
        <v>万华化学</v>
      </c>
      <c r="E68" s="1" t="str">
        <f t="shared" si="99"/>
        <v>买入</v>
      </c>
      <c r="F68" s="1" t="str">
        <f>"33.234"</f>
        <v>33.234</v>
      </c>
      <c r="G68" s="1" t="str">
        <f>"300.00"</f>
        <v>300.00</v>
      </c>
      <c r="H68" s="1" t="str">
        <f t="shared" ref="H68:H70" si="105">"A850418317"</f>
        <v>A850418317</v>
      </c>
      <c r="I68" s="1" t="str">
        <f>"9970.08"</f>
        <v>9970.08</v>
      </c>
      <c r="J68" s="3" t="str">
        <f t="shared" ref="J68:J70" si="106">"5.00"</f>
        <v>5.00</v>
      </c>
      <c r="K68" s="1" t="str">
        <f t="shared" ref="K68:K75" si="107">"0.00"</f>
        <v>0.00</v>
      </c>
      <c r="L68" s="1" t="str">
        <f>"0.20"</f>
        <v>0.20</v>
      </c>
      <c r="M68" s="1" t="str">
        <f t="shared" ref="M68:M131" si="108">"0.00"</f>
        <v>0.00</v>
      </c>
      <c r="N68" s="1" t="str">
        <f t="shared" ref="N68:N70" si="109">"证券买入"</f>
        <v>证券买入</v>
      </c>
    </row>
    <row r="69" spans="1:14">
      <c r="A69" s="1" t="str">
        <f t="shared" si="104"/>
        <v>20170731</v>
      </c>
      <c r="B69" s="1" t="str">
        <f>"13:08:12"</f>
        <v>13:08:12</v>
      </c>
      <c r="C69" s="1" t="str">
        <f>"601600"</f>
        <v>601600</v>
      </c>
      <c r="D69" s="1" t="str">
        <f>"中国铝业"</f>
        <v>中国铝业</v>
      </c>
      <c r="E69" s="1" t="str">
        <f t="shared" si="99"/>
        <v>买入</v>
      </c>
      <c r="F69" s="1" t="str">
        <f>"5.800"</f>
        <v>5.800</v>
      </c>
      <c r="G69" s="1" t="str">
        <f>"2000.00"</f>
        <v>2000.00</v>
      </c>
      <c r="H69" s="1" t="str">
        <f t="shared" si="105"/>
        <v>A850418317</v>
      </c>
      <c r="I69" s="1" t="str">
        <f>"11600.00"</f>
        <v>11600.00</v>
      </c>
      <c r="J69" s="3" t="str">
        <f t="shared" si="106"/>
        <v>5.00</v>
      </c>
      <c r="K69" s="1" t="str">
        <f t="shared" si="107"/>
        <v>0.00</v>
      </c>
      <c r="L69" s="1" t="str">
        <f>"0.23"</f>
        <v>0.23</v>
      </c>
      <c r="M69" s="1" t="str">
        <f t="shared" si="108"/>
        <v>0.00</v>
      </c>
      <c r="N69" s="1" t="str">
        <f t="shared" si="109"/>
        <v>证券买入</v>
      </c>
    </row>
    <row r="70" spans="1:14">
      <c r="A70" s="1" t="str">
        <f t="shared" si="104"/>
        <v>20170731</v>
      </c>
      <c r="B70" s="1" t="str">
        <f>"13:15:54"</f>
        <v>13:15:54</v>
      </c>
      <c r="C70" s="1" t="str">
        <f>"600758"</f>
        <v>600758</v>
      </c>
      <c r="D70" s="1" t="str">
        <f>"红阳能源"</f>
        <v>红阳能源</v>
      </c>
      <c r="E70" s="1" t="str">
        <f t="shared" si="99"/>
        <v>买入</v>
      </c>
      <c r="F70" s="1" t="str">
        <f>"10.520"</f>
        <v>10.520</v>
      </c>
      <c r="G70" s="1" t="str">
        <f>"800.00"</f>
        <v>800.00</v>
      </c>
      <c r="H70" s="1" t="str">
        <f t="shared" si="105"/>
        <v>A850418317</v>
      </c>
      <c r="I70" s="1" t="str">
        <f>"8416.00"</f>
        <v>8416.00</v>
      </c>
      <c r="J70" s="3" t="str">
        <f t="shared" si="106"/>
        <v>5.00</v>
      </c>
      <c r="K70" s="1" t="str">
        <f t="shared" si="107"/>
        <v>0.00</v>
      </c>
      <c r="L70" s="1" t="str">
        <f>"0.17"</f>
        <v>0.17</v>
      </c>
      <c r="M70" s="1" t="str">
        <f t="shared" si="108"/>
        <v>0.00</v>
      </c>
      <c r="N70" s="1" t="str">
        <f t="shared" si="109"/>
        <v>证券买入</v>
      </c>
    </row>
    <row r="71" spans="1:14">
      <c r="A71" s="1" t="str">
        <f t="shared" si="104"/>
        <v>20170731</v>
      </c>
      <c r="B71" s="1" t="str">
        <f>"22:57:10"</f>
        <v>22:57:10</v>
      </c>
      <c r="C71" s="1" t="str">
        <f>"300689"</f>
        <v>300689</v>
      </c>
      <c r="D71" s="1" t="str">
        <f>"澄天伟业"</f>
        <v>澄天伟业</v>
      </c>
      <c r="E71" s="1" t="str">
        <f t="shared" si="99"/>
        <v>买入</v>
      </c>
      <c r="F71" s="1" t="str">
        <f t="shared" ref="F71:F75" si="110">"0.000"</f>
        <v>0.000</v>
      </c>
      <c r="G71" s="1" t="str">
        <f t="shared" si="101"/>
        <v>2.00</v>
      </c>
      <c r="H71" s="1" t="str">
        <f t="shared" si="102"/>
        <v>0104152129</v>
      </c>
      <c r="I71" s="1" t="str">
        <f t="shared" ref="I71:L71" si="111">"0.00"</f>
        <v>0.00</v>
      </c>
      <c r="J71" s="3" t="str">
        <f t="shared" si="111"/>
        <v>0.00</v>
      </c>
      <c r="K71" s="1" t="str">
        <f t="shared" si="107"/>
        <v>0.00</v>
      </c>
      <c r="L71" s="1" t="str">
        <f t="shared" si="111"/>
        <v>0.00</v>
      </c>
      <c r="M71" s="1" t="str">
        <f t="shared" si="108"/>
        <v>0.00</v>
      </c>
      <c r="N71" s="1" t="str">
        <f>"起始配号:205166960"</f>
        <v>起始配号:205166960</v>
      </c>
    </row>
    <row r="72" spans="1:14">
      <c r="A72" s="1" t="str">
        <f t="shared" si="104"/>
        <v>20170731</v>
      </c>
      <c r="B72" s="1" t="str">
        <f>"22:57:10"</f>
        <v>22:57:10</v>
      </c>
      <c r="C72" s="1" t="str">
        <f>"300688"</f>
        <v>300688</v>
      </c>
      <c r="D72" s="1" t="str">
        <f>"创业黑马"</f>
        <v>创业黑马</v>
      </c>
      <c r="E72" s="1" t="str">
        <f t="shared" si="99"/>
        <v>买入</v>
      </c>
      <c r="F72" s="1" t="str">
        <f t="shared" si="110"/>
        <v>0.000</v>
      </c>
      <c r="G72" s="1" t="str">
        <f t="shared" si="101"/>
        <v>2.00</v>
      </c>
      <c r="H72" s="1" t="str">
        <f t="shared" si="102"/>
        <v>0104152129</v>
      </c>
      <c r="I72" s="1" t="str">
        <f t="shared" ref="I72:L72" si="112">"0.00"</f>
        <v>0.00</v>
      </c>
      <c r="J72" s="3" t="str">
        <f t="shared" si="112"/>
        <v>0.00</v>
      </c>
      <c r="K72" s="1" t="str">
        <f t="shared" si="107"/>
        <v>0.00</v>
      </c>
      <c r="L72" s="1" t="str">
        <f t="shared" si="112"/>
        <v>0.00</v>
      </c>
      <c r="M72" s="1" t="str">
        <f t="shared" si="108"/>
        <v>0.00</v>
      </c>
      <c r="N72" s="1" t="str">
        <f>"起始配号:205964785"</f>
        <v>起始配号:205964785</v>
      </c>
    </row>
    <row r="73" spans="1:14">
      <c r="A73" s="1" t="str">
        <f>"20170801"</f>
        <v>20170801</v>
      </c>
      <c r="B73" s="1" t="str">
        <f>"21:44:37"</f>
        <v>21:44:37</v>
      </c>
      <c r="C73" s="1" t="str">
        <f>"736721"</f>
        <v>736721</v>
      </c>
      <c r="D73" s="1" t="str">
        <f>"中广配号"</f>
        <v>中广配号</v>
      </c>
      <c r="E73" s="1" t="str">
        <f t="shared" si="99"/>
        <v>买入</v>
      </c>
      <c r="F73" s="1" t="str">
        <f t="shared" si="110"/>
        <v>0.000</v>
      </c>
      <c r="G73" s="1" t="str">
        <f t="shared" ref="G73:G78" si="113">"1.00"</f>
        <v>1.00</v>
      </c>
      <c r="H73" s="1" t="str">
        <f t="shared" ref="H73:H81" si="114">"A850418317"</f>
        <v>A850418317</v>
      </c>
      <c r="I73" s="1" t="str">
        <f t="shared" ref="I73:L73" si="115">"0.00"</f>
        <v>0.00</v>
      </c>
      <c r="J73" s="3" t="str">
        <f t="shared" si="115"/>
        <v>0.00</v>
      </c>
      <c r="K73" s="1" t="str">
        <f t="shared" si="107"/>
        <v>0.00</v>
      </c>
      <c r="L73" s="1" t="str">
        <f t="shared" si="115"/>
        <v>0.00</v>
      </c>
      <c r="M73" s="1" t="str">
        <f t="shared" si="108"/>
        <v>0.00</v>
      </c>
      <c r="N73" s="1" t="str">
        <f>"起始配号:100038158878"</f>
        <v>起始配号:100038158878</v>
      </c>
    </row>
    <row r="74" spans="1:14">
      <c r="A74" s="1" t="str">
        <f>"20170802"</f>
        <v>20170802</v>
      </c>
      <c r="B74" s="1" t="str">
        <f>"21:29:25"</f>
        <v>21:29:25</v>
      </c>
      <c r="C74" s="1" t="str">
        <f>"736619"</f>
        <v>736619</v>
      </c>
      <c r="D74" s="1" t="str">
        <f>"中曼配号"</f>
        <v>中曼配号</v>
      </c>
      <c r="E74" s="1" t="str">
        <f t="shared" si="99"/>
        <v>买入</v>
      </c>
      <c r="F74" s="1" t="str">
        <f t="shared" si="110"/>
        <v>0.000</v>
      </c>
      <c r="G74" s="1" t="str">
        <f t="shared" si="113"/>
        <v>1.00</v>
      </c>
      <c r="H74" s="1" t="str">
        <f t="shared" si="114"/>
        <v>A850418317</v>
      </c>
      <c r="I74" s="1" t="str">
        <f t="shared" ref="I74:L74" si="116">"0.00"</f>
        <v>0.00</v>
      </c>
      <c r="J74" s="3" t="str">
        <f t="shared" si="116"/>
        <v>0.00</v>
      </c>
      <c r="K74" s="1" t="str">
        <f t="shared" si="107"/>
        <v>0.00</v>
      </c>
      <c r="L74" s="1" t="str">
        <f t="shared" si="116"/>
        <v>0.00</v>
      </c>
      <c r="M74" s="1" t="str">
        <f t="shared" si="108"/>
        <v>0.00</v>
      </c>
      <c r="N74" s="1" t="str">
        <f>"起始配号:100065507674"</f>
        <v>起始配号:100065507674</v>
      </c>
    </row>
    <row r="75" spans="1:14">
      <c r="A75" s="1" t="str">
        <f>"20170802"</f>
        <v>20170802</v>
      </c>
      <c r="B75" s="1" t="str">
        <f>"21:29:25"</f>
        <v>21:29:25</v>
      </c>
      <c r="C75" s="1" t="str">
        <f>"300691"</f>
        <v>300691</v>
      </c>
      <c r="D75" s="1" t="str">
        <f>"联合光电"</f>
        <v>联合光电</v>
      </c>
      <c r="E75" s="1" t="str">
        <f t="shared" si="99"/>
        <v>买入</v>
      </c>
      <c r="F75" s="1" t="str">
        <f t="shared" si="110"/>
        <v>0.000</v>
      </c>
      <c r="G75" s="1" t="str">
        <f>"2.00"</f>
        <v>2.00</v>
      </c>
      <c r="H75" s="1" t="str">
        <f>"0104152129"</f>
        <v>0104152129</v>
      </c>
      <c r="I75" s="1" t="str">
        <f t="shared" ref="I75:L75" si="117">"0.00"</f>
        <v>0.00</v>
      </c>
      <c r="J75" s="3" t="str">
        <f t="shared" si="117"/>
        <v>0.00</v>
      </c>
      <c r="K75" s="1" t="str">
        <f t="shared" si="107"/>
        <v>0.00</v>
      </c>
      <c r="L75" s="1" t="str">
        <f t="shared" si="117"/>
        <v>0.00</v>
      </c>
      <c r="M75" s="1" t="str">
        <f t="shared" si="108"/>
        <v>0.00</v>
      </c>
      <c r="N75" s="1" t="str">
        <f>"起始配号:107990090"</f>
        <v>起始配号:107990090</v>
      </c>
    </row>
    <row r="76" spans="1:14">
      <c r="A76" s="1" t="str">
        <f t="shared" ref="A76:A78" si="118">"20170804"</f>
        <v>20170804</v>
      </c>
      <c r="B76" s="1" t="str">
        <f>"09:45:04"</f>
        <v>09:45:04</v>
      </c>
      <c r="C76" s="1" t="str">
        <f>"600309"</f>
        <v>600309</v>
      </c>
      <c r="D76" s="1" t="str">
        <f>"万华化学"</f>
        <v>万华化学</v>
      </c>
      <c r="E76" s="1" t="str">
        <f t="shared" ref="E76:E80" si="119">"卖出"</f>
        <v>卖出</v>
      </c>
      <c r="F76" s="1" t="str">
        <f>"33.670"</f>
        <v>33.670</v>
      </c>
      <c r="G76" s="1" t="str">
        <f>"-300.00"</f>
        <v>-300.00</v>
      </c>
      <c r="H76" s="1" t="str">
        <f t="shared" si="114"/>
        <v>A850418317</v>
      </c>
      <c r="I76" s="1" t="str">
        <f>"10101.00"</f>
        <v>10101.00</v>
      </c>
      <c r="J76" s="3" t="str">
        <f t="shared" ref="J76:J79" si="120">"5.00"</f>
        <v>5.00</v>
      </c>
      <c r="K76" s="1" t="str">
        <f>"10.10"</f>
        <v>10.10</v>
      </c>
      <c r="L76" s="1" t="str">
        <f>"0.20"</f>
        <v>0.20</v>
      </c>
      <c r="M76" s="1" t="str">
        <f t="shared" si="108"/>
        <v>0.00</v>
      </c>
      <c r="N76" s="1" t="str">
        <f t="shared" ref="N76:N80" si="121">"证券卖出"</f>
        <v>证券卖出</v>
      </c>
    </row>
    <row r="77" spans="1:14">
      <c r="A77" s="1" t="str">
        <f t="shared" si="118"/>
        <v>20170804</v>
      </c>
      <c r="B77" s="1" t="str">
        <f>"10:09:35"</f>
        <v>10:09:35</v>
      </c>
      <c r="C77" s="1" t="str">
        <f t="shared" ref="C77:C81" si="122">"601600"</f>
        <v>601600</v>
      </c>
      <c r="D77" s="1" t="str">
        <f t="shared" ref="D77:D81" si="123">"中国铝业"</f>
        <v>中国铝业</v>
      </c>
      <c r="E77" s="1" t="str">
        <f t="shared" ref="E77:E84" si="124">"买入"</f>
        <v>买入</v>
      </c>
      <c r="F77" s="1" t="str">
        <f>"6.860"</f>
        <v>6.860</v>
      </c>
      <c r="G77" s="1" t="str">
        <f>"1500.00"</f>
        <v>1500.00</v>
      </c>
      <c r="H77" s="1" t="str">
        <f t="shared" si="114"/>
        <v>A850418317</v>
      </c>
      <c r="I77" s="1" t="str">
        <f>"10290.00"</f>
        <v>10290.00</v>
      </c>
      <c r="J77" s="3" t="str">
        <f t="shared" si="120"/>
        <v>5.00</v>
      </c>
      <c r="K77" s="1" t="str">
        <f t="shared" ref="K77:K84" si="125">"0.00"</f>
        <v>0.00</v>
      </c>
      <c r="L77" s="1" t="str">
        <f>"0.21"</f>
        <v>0.21</v>
      </c>
      <c r="M77" s="1" t="str">
        <f t="shared" si="108"/>
        <v>0.00</v>
      </c>
      <c r="N77" s="1" t="str">
        <f t="shared" ref="N77:N83" si="126">"证券买入"</f>
        <v>证券买入</v>
      </c>
    </row>
    <row r="78" spans="1:14">
      <c r="A78" s="1" t="str">
        <f t="shared" si="118"/>
        <v>20170804</v>
      </c>
      <c r="B78" s="1" t="str">
        <f>"21:38:40"</f>
        <v>21:38:40</v>
      </c>
      <c r="C78" s="1" t="str">
        <f>"791326"</f>
        <v>791326</v>
      </c>
      <c r="D78" s="1" t="str">
        <f>"秦港配号"</f>
        <v>秦港配号</v>
      </c>
      <c r="E78" s="1" t="str">
        <f t="shared" si="124"/>
        <v>买入</v>
      </c>
      <c r="F78" s="1" t="str">
        <f>"0.000"</f>
        <v>0.000</v>
      </c>
      <c r="G78" s="1" t="str">
        <f t="shared" si="113"/>
        <v>1.00</v>
      </c>
      <c r="H78" s="1" t="str">
        <f t="shared" si="114"/>
        <v>A850418317</v>
      </c>
      <c r="I78" s="1" t="str">
        <f t="shared" ref="I78:L78" si="127">"0.00"</f>
        <v>0.00</v>
      </c>
      <c r="J78" s="3" t="str">
        <f t="shared" si="127"/>
        <v>0.00</v>
      </c>
      <c r="K78" s="1" t="str">
        <f t="shared" si="127"/>
        <v>0.00</v>
      </c>
      <c r="L78" s="1" t="str">
        <f t="shared" si="127"/>
        <v>0.00</v>
      </c>
      <c r="M78" s="1" t="str">
        <f t="shared" si="108"/>
        <v>0.00</v>
      </c>
      <c r="N78" s="1" t="str">
        <f>"起始配号:100037302792"</f>
        <v>起始配号:100037302792</v>
      </c>
    </row>
    <row r="79" spans="1:14">
      <c r="A79" s="1" t="str">
        <f t="shared" ref="A79:A84" si="128">"20170807"</f>
        <v>20170807</v>
      </c>
      <c r="B79" s="1" t="str">
        <f>"09:58:58"</f>
        <v>09:58:58</v>
      </c>
      <c r="C79" s="1" t="str">
        <f>"600758"</f>
        <v>600758</v>
      </c>
      <c r="D79" s="1" t="str">
        <f>"红阳能源"</f>
        <v>红阳能源</v>
      </c>
      <c r="E79" s="1" t="str">
        <f t="shared" si="119"/>
        <v>卖出</v>
      </c>
      <c r="F79" s="1" t="str">
        <f>"9.870"</f>
        <v>9.870</v>
      </c>
      <c r="G79" s="1" t="str">
        <f>"-800.00"</f>
        <v>-800.00</v>
      </c>
      <c r="H79" s="1" t="str">
        <f t="shared" si="114"/>
        <v>A850418317</v>
      </c>
      <c r="I79" s="1" t="str">
        <f>"7896.00"</f>
        <v>7896.00</v>
      </c>
      <c r="J79" s="3" t="str">
        <f t="shared" si="120"/>
        <v>5.00</v>
      </c>
      <c r="K79" s="1" t="str">
        <f>"7.90"</f>
        <v>7.90</v>
      </c>
      <c r="L79" s="1" t="str">
        <f>"0.16"</f>
        <v>0.16</v>
      </c>
      <c r="M79" s="1" t="str">
        <f t="shared" si="108"/>
        <v>0.00</v>
      </c>
      <c r="N79" s="1" t="str">
        <f t="shared" si="121"/>
        <v>证券卖出</v>
      </c>
    </row>
    <row r="80" spans="1:14">
      <c r="A80" s="1" t="str">
        <f t="shared" si="128"/>
        <v>20170807</v>
      </c>
      <c r="B80" s="1" t="str">
        <f>"09:59:32"</f>
        <v>09:59:32</v>
      </c>
      <c r="C80" s="1" t="str">
        <f t="shared" si="122"/>
        <v>601600</v>
      </c>
      <c r="D80" s="1" t="str">
        <f t="shared" si="123"/>
        <v>中国铝业</v>
      </c>
      <c r="E80" s="1" t="str">
        <f t="shared" si="119"/>
        <v>卖出</v>
      </c>
      <c r="F80" s="1" t="str">
        <f>"6.570"</f>
        <v>6.570</v>
      </c>
      <c r="G80" s="1" t="str">
        <f>"-3500.00"</f>
        <v>-3500.00</v>
      </c>
      <c r="H80" s="1" t="str">
        <f t="shared" si="114"/>
        <v>A850418317</v>
      </c>
      <c r="I80" s="1" t="str">
        <f>"22995.00"</f>
        <v>22995.00</v>
      </c>
      <c r="J80" s="3" t="str">
        <f>"5.75"</f>
        <v>5.75</v>
      </c>
      <c r="K80" s="1" t="str">
        <f>"23.00"</f>
        <v>23.00</v>
      </c>
      <c r="L80" s="1" t="str">
        <f>"0.46"</f>
        <v>0.46</v>
      </c>
      <c r="M80" s="1" t="str">
        <f t="shared" si="108"/>
        <v>0.00</v>
      </c>
      <c r="N80" s="1" t="str">
        <f t="shared" si="121"/>
        <v>证券卖出</v>
      </c>
    </row>
    <row r="81" spans="1:14">
      <c r="A81" s="1" t="str">
        <f t="shared" si="128"/>
        <v>20170807</v>
      </c>
      <c r="B81" s="1" t="str">
        <f>"13:33:26"</f>
        <v>13:33:26</v>
      </c>
      <c r="C81" s="1" t="str">
        <f t="shared" si="122"/>
        <v>601600</v>
      </c>
      <c r="D81" s="1" t="str">
        <f t="shared" si="123"/>
        <v>中国铝业</v>
      </c>
      <c r="E81" s="1" t="str">
        <f t="shared" si="124"/>
        <v>买入</v>
      </c>
      <c r="F81" s="1" t="str">
        <f>"7.010"</f>
        <v>7.010</v>
      </c>
      <c r="G81" s="1" t="str">
        <f>"1400.00"</f>
        <v>1400.00</v>
      </c>
      <c r="H81" s="1" t="str">
        <f t="shared" si="114"/>
        <v>A850418317</v>
      </c>
      <c r="I81" s="1" t="str">
        <f>"9814.00"</f>
        <v>9814.00</v>
      </c>
      <c r="J81" s="3" t="str">
        <f t="shared" ref="J81:J83" si="129">"5.00"</f>
        <v>5.00</v>
      </c>
      <c r="K81" s="1" t="str">
        <f t="shared" si="125"/>
        <v>0.00</v>
      </c>
      <c r="L81" s="1" t="str">
        <f>"0.20"</f>
        <v>0.20</v>
      </c>
      <c r="M81" s="1" t="str">
        <f t="shared" si="108"/>
        <v>0.00</v>
      </c>
      <c r="N81" s="1" t="str">
        <f t="shared" si="126"/>
        <v>证券买入</v>
      </c>
    </row>
    <row r="82" spans="1:14">
      <c r="A82" s="1" t="str">
        <f t="shared" si="128"/>
        <v>20170807</v>
      </c>
      <c r="B82" s="1" t="str">
        <f>"13:32:48"</f>
        <v>13:32:48</v>
      </c>
      <c r="C82" s="1" t="str">
        <f t="shared" ref="C82:C86" si="130">"000933"</f>
        <v>000933</v>
      </c>
      <c r="D82" s="1" t="str">
        <f t="shared" ref="D82:D86" si="131">"神火股份"</f>
        <v>神火股份</v>
      </c>
      <c r="E82" s="1" t="str">
        <f t="shared" si="124"/>
        <v>买入</v>
      </c>
      <c r="F82" s="1" t="str">
        <f>"13.140"</f>
        <v>13.140</v>
      </c>
      <c r="G82" s="1" t="str">
        <f>"800.00"</f>
        <v>800.00</v>
      </c>
      <c r="H82" s="1" t="str">
        <f t="shared" ref="H82:H86" si="132">"0104152129"</f>
        <v>0104152129</v>
      </c>
      <c r="I82" s="1" t="str">
        <f>"10512.00"</f>
        <v>10512.00</v>
      </c>
      <c r="J82" s="3" t="str">
        <f t="shared" si="129"/>
        <v>5.00</v>
      </c>
      <c r="K82" s="1" t="str">
        <f t="shared" si="125"/>
        <v>0.00</v>
      </c>
      <c r="L82" s="1" t="str">
        <f t="shared" ref="L82:L85" si="133">"0.21"</f>
        <v>0.21</v>
      </c>
      <c r="M82" s="1" t="str">
        <f t="shared" si="108"/>
        <v>0.00</v>
      </c>
      <c r="N82" s="1" t="str">
        <f t="shared" si="126"/>
        <v>证券买入</v>
      </c>
    </row>
    <row r="83" spans="1:14">
      <c r="A83" s="1" t="str">
        <f t="shared" si="128"/>
        <v>20170807</v>
      </c>
      <c r="B83" s="1" t="str">
        <f>"13:32:55"</f>
        <v>13:32:55</v>
      </c>
      <c r="C83" s="1" t="str">
        <f t="shared" si="130"/>
        <v>000933</v>
      </c>
      <c r="D83" s="1" t="str">
        <f t="shared" si="131"/>
        <v>神火股份</v>
      </c>
      <c r="E83" s="1" t="str">
        <f t="shared" si="124"/>
        <v>买入</v>
      </c>
      <c r="F83" s="1" t="str">
        <f>"13.140"</f>
        <v>13.140</v>
      </c>
      <c r="G83" s="1" t="str">
        <f>"800.00"</f>
        <v>800.00</v>
      </c>
      <c r="H83" s="1" t="str">
        <f t="shared" si="132"/>
        <v>0104152129</v>
      </c>
      <c r="I83" s="1" t="str">
        <f>"10512.00"</f>
        <v>10512.00</v>
      </c>
      <c r="J83" s="3" t="str">
        <f t="shared" si="129"/>
        <v>5.00</v>
      </c>
      <c r="K83" s="1" t="str">
        <f t="shared" si="125"/>
        <v>0.00</v>
      </c>
      <c r="L83" s="1" t="str">
        <f t="shared" si="133"/>
        <v>0.21</v>
      </c>
      <c r="M83" s="1" t="str">
        <f t="shared" si="108"/>
        <v>0.00</v>
      </c>
      <c r="N83" s="1" t="str">
        <f t="shared" si="126"/>
        <v>证券买入</v>
      </c>
    </row>
    <row r="84" spans="1:14">
      <c r="A84" s="1" t="str">
        <f t="shared" si="128"/>
        <v>20170807</v>
      </c>
      <c r="B84" s="1" t="str">
        <f>"22:15:52"</f>
        <v>22:15:52</v>
      </c>
      <c r="C84" s="1" t="str">
        <f>"736776"</f>
        <v>736776</v>
      </c>
      <c r="D84" s="1" t="str">
        <f>"永安配号"</f>
        <v>永安配号</v>
      </c>
      <c r="E84" s="1" t="str">
        <f t="shared" si="124"/>
        <v>买入</v>
      </c>
      <c r="F84" s="1" t="str">
        <f t="shared" ref="F84:F88" si="134">"0.000"</f>
        <v>0.000</v>
      </c>
      <c r="G84" s="1" t="str">
        <f>"1.00"</f>
        <v>1.00</v>
      </c>
      <c r="H84" s="1" t="str">
        <f t="shared" ref="H84:H90" si="135">"A850418317"</f>
        <v>A850418317</v>
      </c>
      <c r="I84" s="1" t="str">
        <f t="shared" ref="I84:L84" si="136">"0.00"</f>
        <v>0.00</v>
      </c>
      <c r="J84" s="3" t="str">
        <f t="shared" si="136"/>
        <v>0.00</v>
      </c>
      <c r="K84" s="1" t="str">
        <f t="shared" si="125"/>
        <v>0.00</v>
      </c>
      <c r="L84" s="1" t="str">
        <f t="shared" si="136"/>
        <v>0.00</v>
      </c>
      <c r="M84" s="1" t="str">
        <f t="shared" si="108"/>
        <v>0.00</v>
      </c>
      <c r="N84" s="1" t="str">
        <f>"起始配号:100020752057"</f>
        <v>起始配号:100020752057</v>
      </c>
    </row>
    <row r="85" spans="1:14">
      <c r="A85" s="1" t="str">
        <f t="shared" ref="A85:A88" si="137">"20170808"</f>
        <v>20170808</v>
      </c>
      <c r="B85" s="1" t="str">
        <f>"10:19:45"</f>
        <v>10:19:45</v>
      </c>
      <c r="C85" s="1" t="str">
        <f>"601600"</f>
        <v>601600</v>
      </c>
      <c r="D85" s="1" t="str">
        <f>"中国铝业"</f>
        <v>中国铝业</v>
      </c>
      <c r="E85" s="1" t="str">
        <f>"卖出"</f>
        <v>卖出</v>
      </c>
      <c r="F85" s="1" t="str">
        <f>"7.550"</f>
        <v>7.550</v>
      </c>
      <c r="G85" s="1" t="str">
        <f>"-1400.00"</f>
        <v>-1400.00</v>
      </c>
      <c r="H85" s="1" t="str">
        <f t="shared" si="135"/>
        <v>A850418317</v>
      </c>
      <c r="I85" s="1" t="str">
        <f>"10570.00"</f>
        <v>10570.00</v>
      </c>
      <c r="J85" s="3" t="str">
        <f t="shared" ref="J85:J91" si="138">"5.00"</f>
        <v>5.00</v>
      </c>
      <c r="K85" s="1" t="str">
        <f>"10.57"</f>
        <v>10.57</v>
      </c>
      <c r="L85" s="1" t="str">
        <f t="shared" si="133"/>
        <v>0.21</v>
      </c>
      <c r="M85" s="1" t="str">
        <f t="shared" si="108"/>
        <v>0.00</v>
      </c>
      <c r="N85" s="1" t="str">
        <f>"证券卖出"</f>
        <v>证券卖出</v>
      </c>
    </row>
    <row r="86" spans="1:14">
      <c r="A86" s="1" t="str">
        <f t="shared" si="137"/>
        <v>20170808</v>
      </c>
      <c r="B86" s="1" t="str">
        <f>"10:20:09"</f>
        <v>10:20:09</v>
      </c>
      <c r="C86" s="1" t="str">
        <f t="shared" si="130"/>
        <v>000933</v>
      </c>
      <c r="D86" s="1" t="str">
        <f t="shared" si="131"/>
        <v>神火股份</v>
      </c>
      <c r="E86" s="1" t="str">
        <f>"卖出"</f>
        <v>卖出</v>
      </c>
      <c r="F86" s="1" t="str">
        <f>"14.500"</f>
        <v>14.500</v>
      </c>
      <c r="G86" s="1" t="str">
        <f>"-1600.00"</f>
        <v>-1600.00</v>
      </c>
      <c r="H86" s="1" t="str">
        <f t="shared" si="132"/>
        <v>0104152129</v>
      </c>
      <c r="I86" s="1" t="str">
        <f>"23200.00"</f>
        <v>23200.00</v>
      </c>
      <c r="J86" s="3" t="str">
        <f>"5.34"</f>
        <v>5.34</v>
      </c>
      <c r="K86" s="1" t="str">
        <f>"23.20"</f>
        <v>23.20</v>
      </c>
      <c r="L86" s="1" t="str">
        <f>"0.46"</f>
        <v>0.46</v>
      </c>
      <c r="M86" s="1" t="str">
        <f t="shared" si="108"/>
        <v>0.00</v>
      </c>
      <c r="N86" s="1" t="str">
        <f>"证券卖出"</f>
        <v>证券卖出</v>
      </c>
    </row>
    <row r="87" spans="1:14">
      <c r="A87" s="1" t="str">
        <f t="shared" si="137"/>
        <v>20170808</v>
      </c>
      <c r="B87" s="1" t="str">
        <f>"21:51:51"</f>
        <v>21:51:51</v>
      </c>
      <c r="C87" s="1" t="str">
        <f>"736129"</f>
        <v>736129</v>
      </c>
      <c r="D87" s="1" t="str">
        <f>"春风配号"</f>
        <v>春风配号</v>
      </c>
      <c r="E87" s="1" t="str">
        <f t="shared" ref="E87:E92" si="139">"买入"</f>
        <v>买入</v>
      </c>
      <c r="F87" s="1" t="str">
        <f t="shared" si="134"/>
        <v>0.000</v>
      </c>
      <c r="G87" s="1" t="str">
        <f t="shared" ref="G87:G92" si="140">"2.00"</f>
        <v>2.00</v>
      </c>
      <c r="H87" s="1" t="str">
        <f t="shared" si="135"/>
        <v>A850418317</v>
      </c>
      <c r="I87" s="1" t="str">
        <f t="shared" ref="I87:L87" si="141">"0.00"</f>
        <v>0.00</v>
      </c>
      <c r="J87" s="3" t="str">
        <f t="shared" si="141"/>
        <v>0.00</v>
      </c>
      <c r="K87" s="1" t="str">
        <f t="shared" si="141"/>
        <v>0.00</v>
      </c>
      <c r="L87" s="1" t="str">
        <f t="shared" si="141"/>
        <v>0.00</v>
      </c>
      <c r="M87" s="1" t="str">
        <f t="shared" si="108"/>
        <v>0.00</v>
      </c>
      <c r="N87" s="1" t="str">
        <f>"起始配号:100014419165"</f>
        <v>起始配号:100014419165</v>
      </c>
    </row>
    <row r="88" spans="1:14">
      <c r="A88" s="1" t="str">
        <f t="shared" si="137"/>
        <v>20170808</v>
      </c>
      <c r="B88" s="1" t="str">
        <f>"21:51:51"</f>
        <v>21:51:51</v>
      </c>
      <c r="C88" s="1" t="str">
        <f>"736557"</f>
        <v>736557</v>
      </c>
      <c r="D88" s="1" t="str">
        <f>"起步配号"</f>
        <v>起步配号</v>
      </c>
      <c r="E88" s="1" t="str">
        <f t="shared" si="139"/>
        <v>买入</v>
      </c>
      <c r="F88" s="1" t="str">
        <f t="shared" si="134"/>
        <v>0.000</v>
      </c>
      <c r="G88" s="1" t="str">
        <f t="shared" si="140"/>
        <v>2.00</v>
      </c>
      <c r="H88" s="1" t="str">
        <f t="shared" si="135"/>
        <v>A850418317</v>
      </c>
      <c r="I88" s="1" t="str">
        <f t="shared" ref="I88:L88" si="142">"0.00"</f>
        <v>0.00</v>
      </c>
      <c r="J88" s="3" t="str">
        <f t="shared" si="142"/>
        <v>0.00</v>
      </c>
      <c r="K88" s="1" t="str">
        <f t="shared" si="142"/>
        <v>0.00</v>
      </c>
      <c r="L88" s="1" t="str">
        <f t="shared" si="142"/>
        <v>0.00</v>
      </c>
      <c r="M88" s="1" t="str">
        <f t="shared" si="108"/>
        <v>0.00</v>
      </c>
      <c r="N88" s="1" t="str">
        <f>"起始配号:100014951576"</f>
        <v>起始配号:100014951576</v>
      </c>
    </row>
    <row r="89" spans="1:14">
      <c r="A89" s="1" t="str">
        <f t="shared" ref="A89:A92" si="143">"20170810"</f>
        <v>20170810</v>
      </c>
      <c r="B89" s="1" t="str">
        <f>"09:37:32"</f>
        <v>09:37:32</v>
      </c>
      <c r="C89" s="1" t="str">
        <f>"600197"</f>
        <v>600197</v>
      </c>
      <c r="D89" s="1" t="str">
        <f>"伊力特"</f>
        <v>伊力特</v>
      </c>
      <c r="E89" s="1" t="str">
        <f t="shared" si="139"/>
        <v>买入</v>
      </c>
      <c r="F89" s="1" t="str">
        <f>"22.400"</f>
        <v>22.400</v>
      </c>
      <c r="G89" s="1" t="str">
        <f>"400.00"</f>
        <v>400.00</v>
      </c>
      <c r="H89" s="1" t="str">
        <f t="shared" si="135"/>
        <v>A850418317</v>
      </c>
      <c r="I89" s="1" t="str">
        <f>"8960.00"</f>
        <v>8960.00</v>
      </c>
      <c r="J89" s="3" t="str">
        <f t="shared" si="138"/>
        <v>5.00</v>
      </c>
      <c r="K89" s="1" t="str">
        <f t="shared" ref="K89:K92" si="144">"0.00"</f>
        <v>0.00</v>
      </c>
      <c r="L89" s="1" t="str">
        <f>"0.18"</f>
        <v>0.18</v>
      </c>
      <c r="M89" s="1" t="str">
        <f t="shared" si="108"/>
        <v>0.00</v>
      </c>
      <c r="N89" s="1" t="str">
        <f t="shared" ref="N89:N91" si="145">"证券买入"</f>
        <v>证券买入</v>
      </c>
    </row>
    <row r="90" spans="1:14">
      <c r="A90" s="1" t="str">
        <f t="shared" si="143"/>
        <v>20170810</v>
      </c>
      <c r="B90" s="1" t="str">
        <f>"11:14:32"</f>
        <v>11:14:32</v>
      </c>
      <c r="C90" s="1" t="str">
        <f>"601600"</f>
        <v>601600</v>
      </c>
      <c r="D90" s="1" t="str">
        <f>"中国铝业"</f>
        <v>中国铝业</v>
      </c>
      <c r="E90" s="1" t="str">
        <f t="shared" si="139"/>
        <v>买入</v>
      </c>
      <c r="F90" s="1" t="str">
        <f>"7.350"</f>
        <v>7.350</v>
      </c>
      <c r="G90" s="1" t="str">
        <f>"1300.00"</f>
        <v>1300.00</v>
      </c>
      <c r="H90" s="1" t="str">
        <f t="shared" si="135"/>
        <v>A850418317</v>
      </c>
      <c r="I90" s="1" t="str">
        <f>"9555.00"</f>
        <v>9555.00</v>
      </c>
      <c r="J90" s="3" t="str">
        <f t="shared" si="138"/>
        <v>5.00</v>
      </c>
      <c r="K90" s="1" t="str">
        <f t="shared" si="144"/>
        <v>0.00</v>
      </c>
      <c r="L90" s="1" t="str">
        <f>"0.19"</f>
        <v>0.19</v>
      </c>
      <c r="M90" s="1" t="str">
        <f t="shared" si="108"/>
        <v>0.00</v>
      </c>
      <c r="N90" s="1" t="str">
        <f t="shared" si="145"/>
        <v>证券买入</v>
      </c>
    </row>
    <row r="91" spans="1:14">
      <c r="A91" s="1" t="str">
        <f t="shared" si="143"/>
        <v>20170810</v>
      </c>
      <c r="B91" s="1" t="str">
        <f>"09:25:00"</f>
        <v>09:25:00</v>
      </c>
      <c r="C91" s="1" t="str">
        <f>"300377"</f>
        <v>300377</v>
      </c>
      <c r="D91" s="1" t="str">
        <f>"赢时胜"</f>
        <v>赢时胜</v>
      </c>
      <c r="E91" s="1" t="str">
        <f t="shared" si="139"/>
        <v>买入</v>
      </c>
      <c r="F91" s="1" t="str">
        <f>"15.300"</f>
        <v>15.300</v>
      </c>
      <c r="G91" s="1" t="str">
        <f>"1000.00"</f>
        <v>1000.00</v>
      </c>
      <c r="H91" s="1" t="str">
        <f>"0104152129"</f>
        <v>0104152129</v>
      </c>
      <c r="I91" s="1" t="str">
        <f>"15300.00"</f>
        <v>15300.00</v>
      </c>
      <c r="J91" s="3" t="str">
        <f t="shared" si="138"/>
        <v>5.00</v>
      </c>
      <c r="K91" s="1" t="str">
        <f t="shared" si="144"/>
        <v>0.00</v>
      </c>
      <c r="L91" s="1" t="str">
        <f>"0.31"</f>
        <v>0.31</v>
      </c>
      <c r="M91" s="1" t="str">
        <f t="shared" si="108"/>
        <v>0.00</v>
      </c>
      <c r="N91" s="1" t="str">
        <f t="shared" si="145"/>
        <v>证券买入</v>
      </c>
    </row>
    <row r="92" spans="1:14">
      <c r="A92" s="1" t="str">
        <f t="shared" si="143"/>
        <v>20170810</v>
      </c>
      <c r="B92" s="1" t="str">
        <f>"21:51:52"</f>
        <v>21:51:52</v>
      </c>
      <c r="C92" s="1" t="str">
        <f>"736976"</f>
        <v>736976</v>
      </c>
      <c r="D92" s="1" t="str">
        <f>"正川配号"</f>
        <v>正川配号</v>
      </c>
      <c r="E92" s="1" t="str">
        <f t="shared" si="139"/>
        <v>买入</v>
      </c>
      <c r="F92" s="1" t="str">
        <f>"0.000"</f>
        <v>0.000</v>
      </c>
      <c r="G92" s="1" t="str">
        <f t="shared" si="140"/>
        <v>2.00</v>
      </c>
      <c r="H92" s="1" t="str">
        <f t="shared" ref="H92:H94" si="146">"A850418317"</f>
        <v>A850418317</v>
      </c>
      <c r="I92" s="1" t="str">
        <f t="shared" ref="I92:L92" si="147">"0.00"</f>
        <v>0.00</v>
      </c>
      <c r="J92" s="3" t="str">
        <f t="shared" si="147"/>
        <v>0.00</v>
      </c>
      <c r="K92" s="1" t="str">
        <f t="shared" si="144"/>
        <v>0.00</v>
      </c>
      <c r="L92" s="1" t="str">
        <f t="shared" si="147"/>
        <v>0.00</v>
      </c>
      <c r="M92" s="1" t="str">
        <f t="shared" si="108"/>
        <v>0.00</v>
      </c>
      <c r="N92" s="1" t="str">
        <f>"起始配号:100037650803"</f>
        <v>起始配号:100037650803</v>
      </c>
    </row>
    <row r="93" spans="1:14">
      <c r="A93" s="1" t="str">
        <f t="shared" ref="A93:A96" si="148">"20170811"</f>
        <v>20170811</v>
      </c>
      <c r="B93" s="1" t="str">
        <f>"13:50:08"</f>
        <v>13:50:08</v>
      </c>
      <c r="C93" s="1" t="str">
        <f>"601600"</f>
        <v>601600</v>
      </c>
      <c r="D93" s="1" t="str">
        <f>"中国铝业"</f>
        <v>中国铝业</v>
      </c>
      <c r="E93" s="1" t="str">
        <f t="shared" ref="E93:E95" si="149">"卖出"</f>
        <v>卖出</v>
      </c>
      <c r="F93" s="1" t="str">
        <f>"6.780"</f>
        <v>6.780</v>
      </c>
      <c r="G93" s="1" t="str">
        <f>"-1300.00"</f>
        <v>-1300.00</v>
      </c>
      <c r="H93" s="1" t="str">
        <f t="shared" si="146"/>
        <v>A850418317</v>
      </c>
      <c r="I93" s="1" t="str">
        <f>"8814.00"</f>
        <v>8814.00</v>
      </c>
      <c r="J93" s="3" t="str">
        <f t="shared" ref="J93:J95" si="150">"5.00"</f>
        <v>5.00</v>
      </c>
      <c r="K93" s="1" t="str">
        <f>"8.81"</f>
        <v>8.81</v>
      </c>
      <c r="L93" s="1" t="str">
        <f>"0.18"</f>
        <v>0.18</v>
      </c>
      <c r="M93" s="1" t="str">
        <f t="shared" si="108"/>
        <v>0.00</v>
      </c>
      <c r="N93" s="1" t="str">
        <f t="shared" ref="N93:N95" si="151">"证券卖出"</f>
        <v>证券卖出</v>
      </c>
    </row>
    <row r="94" spans="1:14">
      <c r="A94" s="1" t="str">
        <f t="shared" si="148"/>
        <v>20170811</v>
      </c>
      <c r="B94" s="1" t="str">
        <f>"13:50:30"</f>
        <v>13:50:30</v>
      </c>
      <c r="C94" s="1" t="str">
        <f>"600197"</f>
        <v>600197</v>
      </c>
      <c r="D94" s="1" t="str">
        <f>"伊力特"</f>
        <v>伊力特</v>
      </c>
      <c r="E94" s="1" t="str">
        <f t="shared" si="149"/>
        <v>卖出</v>
      </c>
      <c r="F94" s="1" t="str">
        <f>"21.260"</f>
        <v>21.260</v>
      </c>
      <c r="G94" s="1" t="str">
        <f>"-400.00"</f>
        <v>-400.00</v>
      </c>
      <c r="H94" s="1" t="str">
        <f t="shared" si="146"/>
        <v>A850418317</v>
      </c>
      <c r="I94" s="1" t="str">
        <f>"8504.00"</f>
        <v>8504.00</v>
      </c>
      <c r="J94" s="3" t="str">
        <f t="shared" si="150"/>
        <v>5.00</v>
      </c>
      <c r="K94" s="1" t="str">
        <f>"8.51"</f>
        <v>8.51</v>
      </c>
      <c r="L94" s="1" t="str">
        <f>"0.17"</f>
        <v>0.17</v>
      </c>
      <c r="M94" s="1" t="str">
        <f t="shared" si="108"/>
        <v>0.00</v>
      </c>
      <c r="N94" s="1" t="str">
        <f t="shared" si="151"/>
        <v>证券卖出</v>
      </c>
    </row>
    <row r="95" spans="1:14">
      <c r="A95" s="1" t="str">
        <f t="shared" si="148"/>
        <v>20170811</v>
      </c>
      <c r="B95" s="1" t="str">
        <f>"13:46:27"</f>
        <v>13:46:27</v>
      </c>
      <c r="C95" s="1" t="str">
        <f>"300377"</f>
        <v>300377</v>
      </c>
      <c r="D95" s="1" t="str">
        <f>"赢时胜"</f>
        <v>赢时胜</v>
      </c>
      <c r="E95" s="1" t="str">
        <f t="shared" si="149"/>
        <v>卖出</v>
      </c>
      <c r="F95" s="1" t="str">
        <f>"15.390"</f>
        <v>15.390</v>
      </c>
      <c r="G95" s="1" t="str">
        <f>"-1000.00"</f>
        <v>-1000.00</v>
      </c>
      <c r="H95" s="1" t="str">
        <f>"0104152129"</f>
        <v>0104152129</v>
      </c>
      <c r="I95" s="1" t="str">
        <f>"15390.00"</f>
        <v>15390.00</v>
      </c>
      <c r="J95" s="3" t="str">
        <f t="shared" si="150"/>
        <v>5.00</v>
      </c>
      <c r="K95" s="1" t="str">
        <f>"15.39"</f>
        <v>15.39</v>
      </c>
      <c r="L95" s="1" t="str">
        <f>"0.31"</f>
        <v>0.31</v>
      </c>
      <c r="M95" s="1" t="str">
        <f t="shared" si="108"/>
        <v>0.00</v>
      </c>
      <c r="N95" s="1" t="str">
        <f t="shared" si="151"/>
        <v>证券卖出</v>
      </c>
    </row>
    <row r="96" spans="1:14">
      <c r="A96" s="1" t="str">
        <f t="shared" si="148"/>
        <v>20170811</v>
      </c>
      <c r="B96" s="1" t="str">
        <f>"22:25:55"</f>
        <v>22:25:55</v>
      </c>
      <c r="C96" s="1" t="str">
        <f>"736079"</f>
        <v>736079</v>
      </c>
      <c r="D96" s="1" t="str">
        <f>"圣达配号"</f>
        <v>圣达配号</v>
      </c>
      <c r="E96" s="1" t="str">
        <f t="shared" ref="E96:E102" si="152">"买入"</f>
        <v>买入</v>
      </c>
      <c r="F96" s="1" t="str">
        <f>"0.000"</f>
        <v>0.000</v>
      </c>
      <c r="G96" s="1" t="str">
        <f>"2.00"</f>
        <v>2.00</v>
      </c>
      <c r="H96" s="1" t="str">
        <f t="shared" ref="H96:H98" si="153">"A850418317"</f>
        <v>A850418317</v>
      </c>
      <c r="I96" s="1" t="str">
        <f t="shared" ref="I96:L96" si="154">"0.00"</f>
        <v>0.00</v>
      </c>
      <c r="J96" s="3" t="str">
        <f t="shared" si="154"/>
        <v>0.00</v>
      </c>
      <c r="K96" s="1" t="str">
        <f t="shared" si="154"/>
        <v>0.00</v>
      </c>
      <c r="L96" s="1" t="str">
        <f t="shared" si="154"/>
        <v>0.00</v>
      </c>
      <c r="M96" s="1" t="str">
        <f t="shared" si="108"/>
        <v>0.00</v>
      </c>
      <c r="N96" s="1" t="str">
        <f>"起始配号:100021590822"</f>
        <v>起始配号:100021590822</v>
      </c>
    </row>
    <row r="97" spans="1:14">
      <c r="A97" s="1" t="str">
        <f t="shared" ref="A97:A99" si="155">"20170821"</f>
        <v>20170821</v>
      </c>
      <c r="B97" s="1" t="str">
        <f>"09:37:55"</f>
        <v>09:37:55</v>
      </c>
      <c r="C97" s="1" t="str">
        <f>"600567"</f>
        <v>600567</v>
      </c>
      <c r="D97" s="1" t="str">
        <f>"山鹰纸业"</f>
        <v>山鹰纸业</v>
      </c>
      <c r="E97" s="1" t="str">
        <f t="shared" si="152"/>
        <v>买入</v>
      </c>
      <c r="F97" s="1" t="str">
        <f>"4.720"</f>
        <v>4.720</v>
      </c>
      <c r="G97" s="1" t="str">
        <f>"300.00"</f>
        <v>300.00</v>
      </c>
      <c r="H97" s="1" t="str">
        <f t="shared" si="153"/>
        <v>A850418317</v>
      </c>
      <c r="I97" s="1" t="str">
        <f>"1416.00"</f>
        <v>1416.00</v>
      </c>
      <c r="J97" s="3" t="str">
        <f t="shared" ref="J97:J100" si="156">"5.00"</f>
        <v>5.00</v>
      </c>
      <c r="K97" s="1" t="str">
        <f t="shared" ref="K97:K102" si="157">"0.00"</f>
        <v>0.00</v>
      </c>
      <c r="L97" s="1" t="str">
        <f>"0.03"</f>
        <v>0.03</v>
      </c>
      <c r="M97" s="1" t="str">
        <f t="shared" si="108"/>
        <v>0.00</v>
      </c>
      <c r="N97" s="1" t="str">
        <f t="shared" ref="N97:N100" si="158">"证券买入"</f>
        <v>证券买入</v>
      </c>
    </row>
    <row r="98" spans="1:14">
      <c r="A98" s="1" t="str">
        <f t="shared" si="155"/>
        <v>20170821</v>
      </c>
      <c r="B98" s="1" t="str">
        <f>"09:56:53"</f>
        <v>09:56:53</v>
      </c>
      <c r="C98" s="1" t="str">
        <f>"600011"</f>
        <v>600011</v>
      </c>
      <c r="D98" s="1" t="str">
        <f>"华能国际"</f>
        <v>华能国际</v>
      </c>
      <c r="E98" s="1" t="str">
        <f t="shared" si="152"/>
        <v>买入</v>
      </c>
      <c r="F98" s="1" t="str">
        <f>"7.140"</f>
        <v>7.140</v>
      </c>
      <c r="G98" s="1" t="str">
        <f>"2000.00"</f>
        <v>2000.00</v>
      </c>
      <c r="H98" s="1" t="str">
        <f t="shared" si="153"/>
        <v>A850418317</v>
      </c>
      <c r="I98" s="1" t="str">
        <f>"14280.00"</f>
        <v>14280.00</v>
      </c>
      <c r="J98" s="3" t="str">
        <f t="shared" si="156"/>
        <v>5.00</v>
      </c>
      <c r="K98" s="1" t="str">
        <f t="shared" si="157"/>
        <v>0.00</v>
      </c>
      <c r="L98" s="1" t="str">
        <f>"0.29"</f>
        <v>0.29</v>
      </c>
      <c r="M98" s="1" t="str">
        <f t="shared" si="108"/>
        <v>0.00</v>
      </c>
      <c r="N98" s="1" t="str">
        <f t="shared" si="158"/>
        <v>证券买入</v>
      </c>
    </row>
    <row r="99" spans="1:14">
      <c r="A99" s="1" t="str">
        <f t="shared" si="155"/>
        <v>20170821</v>
      </c>
      <c r="B99" s="1" t="str">
        <f>"14:51:12"</f>
        <v>14:51:12</v>
      </c>
      <c r="C99" s="1" t="str">
        <f>"000933"</f>
        <v>000933</v>
      </c>
      <c r="D99" s="1" t="str">
        <f>"神火股份"</f>
        <v>神火股份</v>
      </c>
      <c r="E99" s="1" t="str">
        <f t="shared" si="152"/>
        <v>买入</v>
      </c>
      <c r="F99" s="1" t="str">
        <f>"13.670"</f>
        <v>13.670</v>
      </c>
      <c r="G99" s="1" t="str">
        <f>"1000.00"</f>
        <v>1000.00</v>
      </c>
      <c r="H99" s="1" t="str">
        <f>"0104152129"</f>
        <v>0104152129</v>
      </c>
      <c r="I99" s="1" t="str">
        <f>"13670.00"</f>
        <v>13670.00</v>
      </c>
      <c r="J99" s="3" t="str">
        <f t="shared" si="156"/>
        <v>5.00</v>
      </c>
      <c r="K99" s="1" t="str">
        <f t="shared" si="157"/>
        <v>0.00</v>
      </c>
      <c r="L99" s="1" t="str">
        <f>"0.27"</f>
        <v>0.27</v>
      </c>
      <c r="M99" s="1" t="str">
        <f t="shared" si="108"/>
        <v>0.00</v>
      </c>
      <c r="N99" s="1" t="str">
        <f t="shared" si="158"/>
        <v>证券买入</v>
      </c>
    </row>
    <row r="100" spans="1:14">
      <c r="A100" s="1" t="str">
        <f>"20170822"</f>
        <v>20170822</v>
      </c>
      <c r="B100" s="1" t="str">
        <f>"09:31:30"</f>
        <v>09:31:30</v>
      </c>
      <c r="C100" s="1" t="str">
        <f>"600103"</f>
        <v>600103</v>
      </c>
      <c r="D100" s="1" t="str">
        <f>"青山纸业"</f>
        <v>青山纸业</v>
      </c>
      <c r="E100" s="1" t="str">
        <f t="shared" si="152"/>
        <v>买入</v>
      </c>
      <c r="F100" s="1" t="str">
        <f>"5.010"</f>
        <v>5.010</v>
      </c>
      <c r="G100" s="1" t="str">
        <f>"100.00"</f>
        <v>100.00</v>
      </c>
      <c r="H100" s="1" t="str">
        <f t="shared" ref="H100:H102" si="159">"A850418317"</f>
        <v>A850418317</v>
      </c>
      <c r="I100" s="1" t="str">
        <f>"501.00"</f>
        <v>501.00</v>
      </c>
      <c r="J100" s="3" t="str">
        <f t="shared" si="156"/>
        <v>5.00</v>
      </c>
      <c r="K100" s="1" t="str">
        <f t="shared" si="157"/>
        <v>0.00</v>
      </c>
      <c r="L100" s="1" t="str">
        <f>"0.01"</f>
        <v>0.01</v>
      </c>
      <c r="M100" s="1" t="str">
        <f t="shared" si="108"/>
        <v>0.00</v>
      </c>
      <c r="N100" s="1" t="str">
        <f t="shared" si="158"/>
        <v>证券买入</v>
      </c>
    </row>
    <row r="101" spans="1:14">
      <c r="A101" s="1" t="str">
        <f>"20170822"</f>
        <v>20170822</v>
      </c>
      <c r="B101" s="1" t="str">
        <f>"21:44:48"</f>
        <v>21:44:48</v>
      </c>
      <c r="C101" s="1" t="str">
        <f>"736359"</f>
        <v>736359</v>
      </c>
      <c r="D101" s="1" t="str">
        <f>"东珠配号"</f>
        <v>东珠配号</v>
      </c>
      <c r="E101" s="1" t="str">
        <f t="shared" si="152"/>
        <v>买入</v>
      </c>
      <c r="F101" s="1" t="str">
        <f>"0.000"</f>
        <v>0.000</v>
      </c>
      <c r="G101" s="1" t="str">
        <f>"1.00"</f>
        <v>1.00</v>
      </c>
      <c r="H101" s="1" t="str">
        <f t="shared" si="159"/>
        <v>A850418317</v>
      </c>
      <c r="I101" s="1" t="str">
        <f t="shared" ref="I101:L101" si="160">"0.00"</f>
        <v>0.00</v>
      </c>
      <c r="J101" s="3" t="str">
        <f t="shared" si="160"/>
        <v>0.00</v>
      </c>
      <c r="K101" s="1" t="str">
        <f t="shared" si="157"/>
        <v>0.00</v>
      </c>
      <c r="L101" s="1" t="str">
        <f t="shared" si="160"/>
        <v>0.00</v>
      </c>
      <c r="M101" s="1" t="str">
        <f t="shared" si="108"/>
        <v>0.00</v>
      </c>
      <c r="N101" s="1" t="str">
        <f>"起始配号:100006052331"</f>
        <v>起始配号:100006052331</v>
      </c>
    </row>
    <row r="102" spans="1:14">
      <c r="A102" s="1" t="str">
        <f t="shared" ref="A102:A104" si="161">"20170823"</f>
        <v>20170823</v>
      </c>
      <c r="B102" s="1" t="str">
        <f>"10:54:52"</f>
        <v>10:54:52</v>
      </c>
      <c r="C102" s="1" t="str">
        <f>"601668"</f>
        <v>601668</v>
      </c>
      <c r="D102" s="1" t="str">
        <f>"中国建筑"</f>
        <v>中国建筑</v>
      </c>
      <c r="E102" s="1" t="str">
        <f t="shared" si="152"/>
        <v>买入</v>
      </c>
      <c r="F102" s="1" t="str">
        <f>"10.100"</f>
        <v>10.100</v>
      </c>
      <c r="G102" s="1" t="str">
        <f>"1200.00"</f>
        <v>1200.00</v>
      </c>
      <c r="H102" s="1" t="str">
        <f t="shared" si="159"/>
        <v>A850418317</v>
      </c>
      <c r="I102" s="1" t="str">
        <f>"12120.00"</f>
        <v>12120.00</v>
      </c>
      <c r="J102" s="3" t="str">
        <f t="shared" ref="J102:J106" si="162">"5.00"</f>
        <v>5.00</v>
      </c>
      <c r="K102" s="1" t="str">
        <f t="shared" si="157"/>
        <v>0.00</v>
      </c>
      <c r="L102" s="1" t="str">
        <f>"0.24"</f>
        <v>0.24</v>
      </c>
      <c r="M102" s="1" t="str">
        <f t="shared" si="108"/>
        <v>0.00</v>
      </c>
      <c r="N102" s="1" t="str">
        <f>"证券买入"</f>
        <v>证券买入</v>
      </c>
    </row>
    <row r="103" spans="1:14">
      <c r="A103" s="1" t="str">
        <f t="shared" si="161"/>
        <v>20170823</v>
      </c>
      <c r="B103" s="1" t="str">
        <f>"10:52:55"</f>
        <v>10:52:55</v>
      </c>
      <c r="C103" s="1" t="str">
        <f>"000933"</f>
        <v>000933</v>
      </c>
      <c r="D103" s="1" t="str">
        <f>"神火股份"</f>
        <v>神火股份</v>
      </c>
      <c r="E103" s="1" t="str">
        <f t="shared" ref="E103:E106" si="163">"卖出"</f>
        <v>卖出</v>
      </c>
      <c r="F103" s="1" t="str">
        <f>"12.430"</f>
        <v>12.430</v>
      </c>
      <c r="G103" s="1" t="str">
        <f>"-1000.00"</f>
        <v>-1000.00</v>
      </c>
      <c r="H103" s="1" t="str">
        <f>"0104152129"</f>
        <v>0104152129</v>
      </c>
      <c r="I103" s="1" t="str">
        <f>"12430.00"</f>
        <v>12430.00</v>
      </c>
      <c r="J103" s="3" t="str">
        <f t="shared" si="162"/>
        <v>5.00</v>
      </c>
      <c r="K103" s="1" t="str">
        <f>"12.43"</f>
        <v>12.43</v>
      </c>
      <c r="L103" s="1" t="str">
        <f>"0.25"</f>
        <v>0.25</v>
      </c>
      <c r="M103" s="1" t="str">
        <f t="shared" si="108"/>
        <v>0.00</v>
      </c>
      <c r="N103" s="1" t="str">
        <f t="shared" ref="N103:N106" si="164">"证券卖出"</f>
        <v>证券卖出</v>
      </c>
    </row>
    <row r="104" spans="1:14">
      <c r="A104" s="1" t="str">
        <f t="shared" si="161"/>
        <v>20170823</v>
      </c>
      <c r="B104" s="1" t="str">
        <f>"22:15:35"</f>
        <v>22:15:35</v>
      </c>
      <c r="C104" s="1" t="str">
        <f>"736500"</f>
        <v>736500</v>
      </c>
      <c r="D104" s="1" t="str">
        <f>"祥和配号"</f>
        <v>祥和配号</v>
      </c>
      <c r="E104" s="1" t="str">
        <f t="shared" ref="E104:E115" si="165">"买入"</f>
        <v>买入</v>
      </c>
      <c r="F104" s="1" t="str">
        <f t="shared" ref="F104:F109" si="166">"0.000"</f>
        <v>0.000</v>
      </c>
      <c r="G104" s="1" t="str">
        <f t="shared" ref="G104:G109" si="167">"1.00"</f>
        <v>1.00</v>
      </c>
      <c r="H104" s="1" t="str">
        <f t="shared" ref="H104:H109" si="168">"A850418317"</f>
        <v>A850418317</v>
      </c>
      <c r="I104" s="1" t="str">
        <f t="shared" ref="I104:L104" si="169">"0.00"</f>
        <v>0.00</v>
      </c>
      <c r="J104" s="3" t="str">
        <f t="shared" si="169"/>
        <v>0.00</v>
      </c>
      <c r="K104" s="1" t="str">
        <f t="shared" si="169"/>
        <v>0.00</v>
      </c>
      <c r="L104" s="1" t="str">
        <f t="shared" si="169"/>
        <v>0.00</v>
      </c>
      <c r="M104" s="1" t="str">
        <f t="shared" si="108"/>
        <v>0.00</v>
      </c>
      <c r="N104" s="1" t="str">
        <f>"起始配号:100017223487"</f>
        <v>起始配号:100017223487</v>
      </c>
    </row>
    <row r="105" spans="1:14">
      <c r="A105" s="1" t="str">
        <f t="shared" ref="A105:A108" si="170">"20170824"</f>
        <v>20170824</v>
      </c>
      <c r="B105" s="1" t="str">
        <f>"10:28:28"</f>
        <v>10:28:28</v>
      </c>
      <c r="C105" s="1" t="str">
        <f>"600103"</f>
        <v>600103</v>
      </c>
      <c r="D105" s="1" t="str">
        <f>"青山纸业"</f>
        <v>青山纸业</v>
      </c>
      <c r="E105" s="1" t="str">
        <f t="shared" si="163"/>
        <v>卖出</v>
      </c>
      <c r="F105" s="1" t="str">
        <f>"4.730"</f>
        <v>4.730</v>
      </c>
      <c r="G105" s="1" t="str">
        <f>"-100.00"</f>
        <v>-100.00</v>
      </c>
      <c r="H105" s="1" t="str">
        <f t="shared" si="168"/>
        <v>A850418317</v>
      </c>
      <c r="I105" s="1" t="str">
        <f>"473.00"</f>
        <v>473.00</v>
      </c>
      <c r="J105" s="1" t="str">
        <f t="shared" si="162"/>
        <v>5.00</v>
      </c>
      <c r="K105" s="1" t="str">
        <f>"0.47"</f>
        <v>0.47</v>
      </c>
      <c r="L105" s="1" t="str">
        <f>"0.01"</f>
        <v>0.01</v>
      </c>
      <c r="M105" s="1" t="str">
        <f t="shared" si="108"/>
        <v>0.00</v>
      </c>
      <c r="N105" s="1" t="str">
        <f t="shared" si="164"/>
        <v>证券卖出</v>
      </c>
    </row>
    <row r="106" spans="1:14">
      <c r="A106" s="1" t="str">
        <f t="shared" si="170"/>
        <v>20170824</v>
      </c>
      <c r="B106" s="1" t="str">
        <f>"10:28:50"</f>
        <v>10:28:50</v>
      </c>
      <c r="C106" s="1" t="str">
        <f>"600567"</f>
        <v>600567</v>
      </c>
      <c r="D106" s="1" t="str">
        <f>"山鹰纸业"</f>
        <v>山鹰纸业</v>
      </c>
      <c r="E106" s="1" t="str">
        <f t="shared" si="163"/>
        <v>卖出</v>
      </c>
      <c r="F106" s="1" t="str">
        <f>"4.580"</f>
        <v>4.580</v>
      </c>
      <c r="G106" s="1" t="str">
        <f>"-300.00"</f>
        <v>-300.00</v>
      </c>
      <c r="H106" s="1" t="str">
        <f t="shared" si="168"/>
        <v>A850418317</v>
      </c>
      <c r="I106" s="1" t="str">
        <f>"1374.00"</f>
        <v>1374.00</v>
      </c>
      <c r="J106" s="1" t="str">
        <f t="shared" si="162"/>
        <v>5.00</v>
      </c>
      <c r="K106" s="1" t="str">
        <f>"1.37"</f>
        <v>1.37</v>
      </c>
      <c r="L106" s="1" t="str">
        <f>"0.03"</f>
        <v>0.03</v>
      </c>
      <c r="M106" s="1" t="str">
        <f t="shared" si="108"/>
        <v>0.00</v>
      </c>
      <c r="N106" s="1" t="str">
        <f t="shared" si="164"/>
        <v>证券卖出</v>
      </c>
    </row>
    <row r="107" spans="1:14">
      <c r="A107" s="1" t="str">
        <f t="shared" si="170"/>
        <v>20170824</v>
      </c>
      <c r="B107" s="1" t="str">
        <f>"21:28:19"</f>
        <v>21:28:19</v>
      </c>
      <c r="C107" s="1" t="str">
        <f>"736183"</f>
        <v>736183</v>
      </c>
      <c r="D107" s="1" t="str">
        <f>"建研配号"</f>
        <v>建研配号</v>
      </c>
      <c r="E107" s="1" t="str">
        <f t="shared" si="165"/>
        <v>买入</v>
      </c>
      <c r="F107" s="1" t="str">
        <f t="shared" si="166"/>
        <v>0.000</v>
      </c>
      <c r="G107" s="1" t="str">
        <f t="shared" si="167"/>
        <v>1.00</v>
      </c>
      <c r="H107" s="1" t="str">
        <f t="shared" si="168"/>
        <v>A850418317</v>
      </c>
      <c r="I107" s="1" t="str">
        <f t="shared" ref="I107:L107" si="171">"0.00"</f>
        <v>0.00</v>
      </c>
      <c r="J107" s="1" t="str">
        <f t="shared" si="171"/>
        <v>0.00</v>
      </c>
      <c r="K107" s="1" t="str">
        <f t="shared" si="171"/>
        <v>0.00</v>
      </c>
      <c r="L107" s="1" t="str">
        <f t="shared" si="171"/>
        <v>0.00</v>
      </c>
      <c r="M107" s="1" t="str">
        <f t="shared" si="108"/>
        <v>0.00</v>
      </c>
      <c r="N107" s="1" t="str">
        <f>"起始配号:100033427750"</f>
        <v>起始配号:100033427750</v>
      </c>
    </row>
    <row r="108" spans="1:14">
      <c r="A108" s="1" t="str">
        <f t="shared" si="170"/>
        <v>20170824</v>
      </c>
      <c r="B108" s="1" t="str">
        <f>"21:29:22"</f>
        <v>21:29:22</v>
      </c>
      <c r="C108" s="1" t="str">
        <f>"736527"</f>
        <v>736527</v>
      </c>
      <c r="D108" s="1" t="str">
        <f>"众源配号"</f>
        <v>众源配号</v>
      </c>
      <c r="E108" s="1" t="str">
        <f t="shared" si="165"/>
        <v>买入</v>
      </c>
      <c r="F108" s="1" t="str">
        <f t="shared" si="166"/>
        <v>0.000</v>
      </c>
      <c r="G108" s="1" t="str">
        <f t="shared" si="167"/>
        <v>1.00</v>
      </c>
      <c r="H108" s="1" t="str">
        <f t="shared" si="168"/>
        <v>A850418317</v>
      </c>
      <c r="I108" s="1" t="str">
        <f t="shared" ref="I108:L108" si="172">"0.00"</f>
        <v>0.00</v>
      </c>
      <c r="J108" s="1" t="str">
        <f t="shared" si="172"/>
        <v>0.00</v>
      </c>
      <c r="K108" s="1" t="str">
        <f t="shared" si="172"/>
        <v>0.00</v>
      </c>
      <c r="L108" s="1" t="str">
        <f t="shared" si="172"/>
        <v>0.00</v>
      </c>
      <c r="M108" s="1" t="str">
        <f t="shared" si="108"/>
        <v>0.00</v>
      </c>
      <c r="N108" s="1" t="str">
        <f>"起始配号:100042545810"</f>
        <v>起始配号:100042545810</v>
      </c>
    </row>
    <row r="109" spans="1:14">
      <c r="A109" s="1" t="str">
        <f>"20170825"</f>
        <v>20170825</v>
      </c>
      <c r="B109" s="1" t="str">
        <f>"22:03:10"</f>
        <v>22:03:10</v>
      </c>
      <c r="C109" s="1" t="str">
        <f>"736725"</f>
        <v>736725</v>
      </c>
      <c r="D109" s="1" t="str">
        <f>"天安配号"</f>
        <v>天安配号</v>
      </c>
      <c r="E109" s="1" t="str">
        <f t="shared" si="165"/>
        <v>买入</v>
      </c>
      <c r="F109" s="1" t="str">
        <f t="shared" si="166"/>
        <v>0.000</v>
      </c>
      <c r="G109" s="1" t="str">
        <f t="shared" si="167"/>
        <v>1.00</v>
      </c>
      <c r="H109" s="1" t="str">
        <f t="shared" si="168"/>
        <v>A850418317</v>
      </c>
      <c r="I109" s="1" t="str">
        <f t="shared" ref="I109:L109" si="173">"0.00"</f>
        <v>0.00</v>
      </c>
      <c r="J109" s="1" t="str">
        <f t="shared" si="173"/>
        <v>0.00</v>
      </c>
      <c r="K109" s="1" t="str">
        <f t="shared" si="173"/>
        <v>0.00</v>
      </c>
      <c r="L109" s="1" t="str">
        <f t="shared" si="173"/>
        <v>0.00</v>
      </c>
      <c r="M109" s="1" t="str">
        <f t="shared" si="108"/>
        <v>0.00</v>
      </c>
      <c r="N109" s="1" t="str">
        <f>"起始配号:100015197309"</f>
        <v>起始配号:100015197309</v>
      </c>
    </row>
    <row r="110" spans="1:14">
      <c r="A110" s="1" t="str">
        <f>"20170829"</f>
        <v>20170829</v>
      </c>
      <c r="B110" s="1" t="str">
        <f>"09:30:15"</f>
        <v>09:30:15</v>
      </c>
      <c r="C110" s="1" t="str">
        <f>"002019"</f>
        <v>002019</v>
      </c>
      <c r="D110" s="1" t="str">
        <f>"亿帆医药"</f>
        <v>亿帆医药</v>
      </c>
      <c r="E110" s="1" t="str">
        <f t="shared" si="165"/>
        <v>买入</v>
      </c>
      <c r="F110" s="1" t="str">
        <f>"21.880"</f>
        <v>21.880</v>
      </c>
      <c r="G110" s="1" t="str">
        <f>"100.00"</f>
        <v>100.00</v>
      </c>
      <c r="H110" s="1" t="str">
        <f>"0104152129"</f>
        <v>0104152129</v>
      </c>
      <c r="I110" s="1" t="str">
        <f>"2188.00"</f>
        <v>2188.00</v>
      </c>
      <c r="J110" s="1" t="str">
        <f>"5.00"</f>
        <v>5.00</v>
      </c>
      <c r="K110" s="1" t="str">
        <f>"0.00"</f>
        <v>0.00</v>
      </c>
      <c r="L110" s="1" t="str">
        <f>"0.04"</f>
        <v>0.04</v>
      </c>
      <c r="M110" s="1" t="str">
        <f t="shared" si="108"/>
        <v>0.00</v>
      </c>
      <c r="N110" s="1" t="str">
        <f>"证券买入"</f>
        <v>证券买入</v>
      </c>
    </row>
    <row r="111" spans="1:14">
      <c r="A111" s="1" t="str">
        <f>"20170829"</f>
        <v>20170829</v>
      </c>
      <c r="B111" s="1" t="str">
        <f>"22:48:58"</f>
        <v>22:48:58</v>
      </c>
      <c r="C111" s="1" t="str">
        <f>"736882"</f>
        <v>736882</v>
      </c>
      <c r="D111" s="1" t="str">
        <f>"金域配号"</f>
        <v>金域配号</v>
      </c>
      <c r="E111" s="1" t="str">
        <f t="shared" si="165"/>
        <v>买入</v>
      </c>
      <c r="F111" s="1" t="str">
        <f t="shared" ref="F111:F114" si="174">"0.000"</f>
        <v>0.000</v>
      </c>
      <c r="G111" s="1" t="str">
        <f t="shared" ref="G111:G114" si="175">"1.00"</f>
        <v>1.00</v>
      </c>
      <c r="H111" s="1" t="str">
        <f t="shared" ref="H111:H115" si="176">"A850418317"</f>
        <v>A850418317</v>
      </c>
      <c r="I111" s="1" t="str">
        <f t="shared" ref="I111:L111" si="177">"0.00"</f>
        <v>0.00</v>
      </c>
      <c r="J111" s="1" t="str">
        <f t="shared" si="177"/>
        <v>0.00</v>
      </c>
      <c r="K111" s="1" t="str">
        <f t="shared" si="177"/>
        <v>0.00</v>
      </c>
      <c r="L111" s="1" t="str">
        <f t="shared" si="177"/>
        <v>0.00</v>
      </c>
      <c r="M111" s="1" t="str">
        <f t="shared" si="108"/>
        <v>0.00</v>
      </c>
      <c r="N111" s="1" t="str">
        <f>"起始配号:100013058268"</f>
        <v>起始配号:100013058268</v>
      </c>
    </row>
    <row r="112" spans="1:14">
      <c r="A112" s="1" t="str">
        <f>"20170830"</f>
        <v>20170830</v>
      </c>
      <c r="B112" s="1" t="str">
        <f>"21:59:38"</f>
        <v>21:59:38</v>
      </c>
      <c r="C112" s="1" t="str">
        <f>"736277"</f>
        <v>736277</v>
      </c>
      <c r="D112" s="1" t="str">
        <f>"银都配号"</f>
        <v>银都配号</v>
      </c>
      <c r="E112" s="1" t="str">
        <f t="shared" si="165"/>
        <v>买入</v>
      </c>
      <c r="F112" s="1" t="str">
        <f t="shared" si="174"/>
        <v>0.000</v>
      </c>
      <c r="G112" s="1" t="str">
        <f t="shared" si="175"/>
        <v>1.00</v>
      </c>
      <c r="H112" s="1" t="str">
        <f t="shared" si="176"/>
        <v>A850418317</v>
      </c>
      <c r="I112" s="1" t="str">
        <f t="shared" ref="I112:L112" si="178">"0.00"</f>
        <v>0.00</v>
      </c>
      <c r="J112" s="1" t="str">
        <f t="shared" si="178"/>
        <v>0.00</v>
      </c>
      <c r="K112" s="1" t="str">
        <f t="shared" si="178"/>
        <v>0.00</v>
      </c>
      <c r="L112" s="1" t="str">
        <f t="shared" si="178"/>
        <v>0.00</v>
      </c>
      <c r="M112" s="1" t="str">
        <f t="shared" si="108"/>
        <v>0.00</v>
      </c>
      <c r="N112" s="1" t="str">
        <f>"起始配号:100018974009"</f>
        <v>起始配号:100018974009</v>
      </c>
    </row>
    <row r="113" spans="1:14">
      <c r="A113" s="1" t="str">
        <f>"20170831"</f>
        <v>20170831</v>
      </c>
      <c r="B113" s="1" t="str">
        <f>"22:48:39"</f>
        <v>22:48:39</v>
      </c>
      <c r="C113" s="1" t="str">
        <f>"736386"</f>
        <v>736386</v>
      </c>
      <c r="D113" s="1" t="str">
        <f>"骏亚配号"</f>
        <v>骏亚配号</v>
      </c>
      <c r="E113" s="1" t="str">
        <f t="shared" si="165"/>
        <v>买入</v>
      </c>
      <c r="F113" s="1" t="str">
        <f t="shared" si="174"/>
        <v>0.000</v>
      </c>
      <c r="G113" s="1" t="str">
        <f t="shared" si="175"/>
        <v>1.00</v>
      </c>
      <c r="H113" s="1" t="str">
        <f t="shared" si="176"/>
        <v>A850418317</v>
      </c>
      <c r="I113" s="1" t="str">
        <f t="shared" ref="I113:L113" si="179">"0.00"</f>
        <v>0.00</v>
      </c>
      <c r="J113" s="1" t="str">
        <f t="shared" si="179"/>
        <v>0.00</v>
      </c>
      <c r="K113" s="1" t="str">
        <f t="shared" si="179"/>
        <v>0.00</v>
      </c>
      <c r="L113" s="1" t="str">
        <f t="shared" si="179"/>
        <v>0.00</v>
      </c>
      <c r="M113" s="1" t="str">
        <f t="shared" si="108"/>
        <v>0.00</v>
      </c>
      <c r="N113" s="1" t="str">
        <f>"起始配号:100056186500"</f>
        <v>起始配号:100056186500</v>
      </c>
    </row>
    <row r="114" spans="1:14">
      <c r="A114" s="1" t="str">
        <f>"20170901"</f>
        <v>20170901</v>
      </c>
      <c r="B114" s="1" t="str">
        <f>"22:18:56"</f>
        <v>22:18:56</v>
      </c>
      <c r="C114" s="1" t="str">
        <f>"736648"</f>
        <v>736648</v>
      </c>
      <c r="D114" s="1" t="str">
        <f>"畅联配号"</f>
        <v>畅联配号</v>
      </c>
      <c r="E114" s="1" t="str">
        <f t="shared" si="165"/>
        <v>买入</v>
      </c>
      <c r="F114" s="1" t="str">
        <f t="shared" si="174"/>
        <v>0.000</v>
      </c>
      <c r="G114" s="1" t="str">
        <f t="shared" si="175"/>
        <v>1.00</v>
      </c>
      <c r="H114" s="1" t="str">
        <f t="shared" si="176"/>
        <v>A850418317</v>
      </c>
      <c r="I114" s="1" t="str">
        <f t="shared" ref="I114:L114" si="180">"0.00"</f>
        <v>0.00</v>
      </c>
      <c r="J114" s="1" t="str">
        <f t="shared" si="180"/>
        <v>0.00</v>
      </c>
      <c r="K114" s="1" t="str">
        <f t="shared" si="180"/>
        <v>0.00</v>
      </c>
      <c r="L114" s="1" t="str">
        <f t="shared" si="180"/>
        <v>0.00</v>
      </c>
      <c r="M114" s="1" t="str">
        <f t="shared" si="108"/>
        <v>0.00</v>
      </c>
      <c r="N114" s="1" t="str">
        <f>"起始配号:100032376484"</f>
        <v>起始配号:100032376484</v>
      </c>
    </row>
    <row r="115" spans="1:14">
      <c r="A115" s="1" t="str">
        <f>"20170904"</f>
        <v>20170904</v>
      </c>
      <c r="B115" s="1" t="str">
        <f>"10:53:36"</f>
        <v>10:53:36</v>
      </c>
      <c r="C115" s="1" t="str">
        <f>"600797"</f>
        <v>600797</v>
      </c>
      <c r="D115" s="1" t="str">
        <f>"浙大网新"</f>
        <v>浙大网新</v>
      </c>
      <c r="E115" s="1" t="str">
        <f t="shared" si="165"/>
        <v>买入</v>
      </c>
      <c r="F115" s="1" t="str">
        <f>"16.660"</f>
        <v>16.660</v>
      </c>
      <c r="G115" s="1" t="str">
        <f>"100.00"</f>
        <v>100.00</v>
      </c>
      <c r="H115" s="1" t="str">
        <f t="shared" si="176"/>
        <v>A850418317</v>
      </c>
      <c r="I115" s="1" t="str">
        <f>"1666.00"</f>
        <v>1666.00</v>
      </c>
      <c r="J115" s="1" t="str">
        <f t="shared" ref="J115:J122" si="181">"5.00"</f>
        <v>5.00</v>
      </c>
      <c r="K115" s="1" t="str">
        <f>"0.00"</f>
        <v>0.00</v>
      </c>
      <c r="L115" s="1" t="str">
        <f>"0.03"</f>
        <v>0.03</v>
      </c>
      <c r="M115" s="1" t="str">
        <f t="shared" si="108"/>
        <v>0.00</v>
      </c>
      <c r="N115" s="1" t="str">
        <f>"证券买入"</f>
        <v>证券买入</v>
      </c>
    </row>
    <row r="116" spans="1:14">
      <c r="A116" s="1" t="str">
        <f>"20170904"</f>
        <v>20170904</v>
      </c>
      <c r="B116" s="1" t="str">
        <f>"10:51:17"</f>
        <v>10:51:17</v>
      </c>
      <c r="C116" s="1" t="str">
        <f>"002019"</f>
        <v>002019</v>
      </c>
      <c r="D116" s="1" t="str">
        <f>"亿帆医药"</f>
        <v>亿帆医药</v>
      </c>
      <c r="E116" s="1" t="str">
        <f t="shared" ref="E116:E122" si="182">"卖出"</f>
        <v>卖出</v>
      </c>
      <c r="F116" s="1" t="str">
        <f>"20.100"</f>
        <v>20.100</v>
      </c>
      <c r="G116" s="1" t="str">
        <f>"-100.00"</f>
        <v>-100.00</v>
      </c>
      <c r="H116" s="1" t="str">
        <f>"0104152129"</f>
        <v>0104152129</v>
      </c>
      <c r="I116" s="1" t="str">
        <f>"2010.00"</f>
        <v>2010.00</v>
      </c>
      <c r="J116" s="1" t="str">
        <f t="shared" si="181"/>
        <v>5.00</v>
      </c>
      <c r="K116" s="1" t="str">
        <f>"2.01"</f>
        <v>2.01</v>
      </c>
      <c r="L116" s="1" t="str">
        <f>"0.04"</f>
        <v>0.04</v>
      </c>
      <c r="M116" s="1" t="str">
        <f t="shared" si="108"/>
        <v>0.00</v>
      </c>
      <c r="N116" s="1" t="str">
        <f t="shared" ref="N116:N122" si="183">"证券卖出"</f>
        <v>证券卖出</v>
      </c>
    </row>
    <row r="117" spans="1:14">
      <c r="A117" s="1" t="str">
        <f>"20170906"</f>
        <v>20170906</v>
      </c>
      <c r="B117" s="1" t="str">
        <f>"21:34:56"</f>
        <v>21:34:56</v>
      </c>
      <c r="C117" s="1" t="str">
        <f>"736813"</f>
        <v>736813</v>
      </c>
      <c r="D117" s="1" t="str">
        <f>"原尚配号"</f>
        <v>原尚配号</v>
      </c>
      <c r="E117" s="1" t="str">
        <f t="shared" ref="E117:E119" si="184">"买入"</f>
        <v>买入</v>
      </c>
      <c r="F117" s="1" t="str">
        <f t="shared" ref="F117:F119" si="185">"0.000"</f>
        <v>0.000</v>
      </c>
      <c r="G117" s="1" t="str">
        <f t="shared" ref="G117:G119" si="186">"1.00"</f>
        <v>1.00</v>
      </c>
      <c r="H117" s="1" t="str">
        <f t="shared" ref="H117:H126" si="187">"A850418317"</f>
        <v>A850418317</v>
      </c>
      <c r="I117" s="1" t="str">
        <f t="shared" ref="I117:L117" si="188">"0.00"</f>
        <v>0.00</v>
      </c>
      <c r="J117" s="1" t="str">
        <f t="shared" si="188"/>
        <v>0.00</v>
      </c>
      <c r="K117" s="1" t="str">
        <f t="shared" si="188"/>
        <v>0.00</v>
      </c>
      <c r="L117" s="1" t="str">
        <f t="shared" si="188"/>
        <v>0.00</v>
      </c>
      <c r="M117" s="1" t="str">
        <f t="shared" si="108"/>
        <v>0.00</v>
      </c>
      <c r="N117" s="1" t="str">
        <f>"起始配号:100022216492"</f>
        <v>起始配号:100022216492</v>
      </c>
    </row>
    <row r="118" spans="1:14">
      <c r="A118" s="1" t="str">
        <f>"20170906"</f>
        <v>20170906</v>
      </c>
      <c r="B118" s="1" t="str">
        <f>"21:36:00"</f>
        <v>21:36:00</v>
      </c>
      <c r="C118" s="1" t="str">
        <f>"736321"</f>
        <v>736321</v>
      </c>
      <c r="D118" s="1" t="str">
        <f>"梅轮配号"</f>
        <v>梅轮配号</v>
      </c>
      <c r="E118" s="1" t="str">
        <f t="shared" si="184"/>
        <v>买入</v>
      </c>
      <c r="F118" s="1" t="str">
        <f t="shared" si="185"/>
        <v>0.000</v>
      </c>
      <c r="G118" s="1" t="str">
        <f t="shared" si="186"/>
        <v>1.00</v>
      </c>
      <c r="H118" s="1" t="str">
        <f t="shared" si="187"/>
        <v>A850418317</v>
      </c>
      <c r="I118" s="1" t="str">
        <f t="shared" ref="I118:L118" si="189">"0.00"</f>
        <v>0.00</v>
      </c>
      <c r="J118" s="1" t="str">
        <f t="shared" si="189"/>
        <v>0.00</v>
      </c>
      <c r="K118" s="1" t="str">
        <f t="shared" si="189"/>
        <v>0.00</v>
      </c>
      <c r="L118" s="1" t="str">
        <f t="shared" si="189"/>
        <v>0.00</v>
      </c>
      <c r="M118" s="1" t="str">
        <f t="shared" si="108"/>
        <v>0.00</v>
      </c>
      <c r="N118" s="1" t="str">
        <f>"起始配号:100044069032"</f>
        <v>起始配号:100044069032</v>
      </c>
    </row>
    <row r="119" spans="1:14">
      <c r="A119" s="1" t="str">
        <f>"20170907"</f>
        <v>20170907</v>
      </c>
      <c r="B119" s="1" t="str">
        <f>"22:05:05"</f>
        <v>22:05:05</v>
      </c>
      <c r="C119" s="1" t="str">
        <f>"736533"</f>
        <v>736533</v>
      </c>
      <c r="D119" s="1" t="str">
        <f>"掌阅配号"</f>
        <v>掌阅配号</v>
      </c>
      <c r="E119" s="1" t="str">
        <f t="shared" si="184"/>
        <v>买入</v>
      </c>
      <c r="F119" s="1" t="str">
        <f t="shared" si="185"/>
        <v>0.000</v>
      </c>
      <c r="G119" s="1" t="str">
        <f t="shared" si="186"/>
        <v>1.00</v>
      </c>
      <c r="H119" s="1" t="str">
        <f t="shared" si="187"/>
        <v>A850418317</v>
      </c>
      <c r="I119" s="1" t="str">
        <f t="shared" ref="I119:L119" si="190">"0.00"</f>
        <v>0.00</v>
      </c>
      <c r="J119" s="1" t="str">
        <f t="shared" si="190"/>
        <v>0.00</v>
      </c>
      <c r="K119" s="1" t="str">
        <f t="shared" si="190"/>
        <v>0.00</v>
      </c>
      <c r="L119" s="1" t="str">
        <f t="shared" si="190"/>
        <v>0.00</v>
      </c>
      <c r="M119" s="1" t="str">
        <f t="shared" si="108"/>
        <v>0.00</v>
      </c>
      <c r="N119" s="1" t="str">
        <f>"起始配号:100007269478"</f>
        <v>起始配号:100007269478</v>
      </c>
    </row>
    <row r="120" spans="1:14">
      <c r="A120" s="1" t="str">
        <f t="shared" ref="A120:A124" si="191">"20170908"</f>
        <v>20170908</v>
      </c>
      <c r="B120" s="1" t="str">
        <f>"10:07:55"</f>
        <v>10:07:55</v>
      </c>
      <c r="C120" s="1" t="str">
        <f>"601668"</f>
        <v>601668</v>
      </c>
      <c r="D120" s="1" t="str">
        <f>"中国建筑"</f>
        <v>中国建筑</v>
      </c>
      <c r="E120" s="1" t="str">
        <f t="shared" si="182"/>
        <v>卖出</v>
      </c>
      <c r="F120" s="1" t="str">
        <f>"9.740"</f>
        <v>9.740</v>
      </c>
      <c r="G120" s="1" t="str">
        <f>"-1200.00"</f>
        <v>-1200.00</v>
      </c>
      <c r="H120" s="1" t="str">
        <f t="shared" si="187"/>
        <v>A850418317</v>
      </c>
      <c r="I120" s="1" t="str">
        <f>"11688.00"</f>
        <v>11688.00</v>
      </c>
      <c r="J120" s="1" t="str">
        <f t="shared" si="181"/>
        <v>5.00</v>
      </c>
      <c r="K120" s="1" t="str">
        <f>"11.69"</f>
        <v>11.69</v>
      </c>
      <c r="L120" s="1" t="str">
        <f>"0.23"</f>
        <v>0.23</v>
      </c>
      <c r="M120" s="1" t="str">
        <f t="shared" si="108"/>
        <v>0.00</v>
      </c>
      <c r="N120" s="1" t="str">
        <f t="shared" si="183"/>
        <v>证券卖出</v>
      </c>
    </row>
    <row r="121" spans="1:14">
      <c r="A121" s="1" t="str">
        <f t="shared" si="191"/>
        <v>20170908</v>
      </c>
      <c r="B121" s="1" t="str">
        <f>"10:07:57"</f>
        <v>10:07:57</v>
      </c>
      <c r="C121" s="1" t="str">
        <f>"600011"</f>
        <v>600011</v>
      </c>
      <c r="D121" s="1" t="str">
        <f>"华能国际"</f>
        <v>华能国际</v>
      </c>
      <c r="E121" s="1" t="str">
        <f t="shared" si="182"/>
        <v>卖出</v>
      </c>
      <c r="F121" s="1" t="str">
        <f>"7.000"</f>
        <v>7.000</v>
      </c>
      <c r="G121" s="1" t="str">
        <f>"-2000.00"</f>
        <v>-2000.00</v>
      </c>
      <c r="H121" s="1" t="str">
        <f t="shared" si="187"/>
        <v>A850418317</v>
      </c>
      <c r="I121" s="1" t="str">
        <f>"14000.00"</f>
        <v>14000.00</v>
      </c>
      <c r="J121" s="1" t="str">
        <f t="shared" si="181"/>
        <v>5.00</v>
      </c>
      <c r="K121" s="1" t="str">
        <f>"14.00"</f>
        <v>14.00</v>
      </c>
      <c r="L121" s="1" t="str">
        <f>"0.28"</f>
        <v>0.28</v>
      </c>
      <c r="M121" s="1" t="str">
        <f t="shared" si="108"/>
        <v>0.00</v>
      </c>
      <c r="N121" s="1" t="str">
        <f t="shared" si="183"/>
        <v>证券卖出</v>
      </c>
    </row>
    <row r="122" spans="1:14">
      <c r="A122" s="1" t="str">
        <f t="shared" si="191"/>
        <v>20170908</v>
      </c>
      <c r="B122" s="1" t="str">
        <f>"10:08:14"</f>
        <v>10:08:14</v>
      </c>
      <c r="C122" s="1" t="str">
        <f>"600797"</f>
        <v>600797</v>
      </c>
      <c r="D122" s="1" t="str">
        <f>"浙大网新"</f>
        <v>浙大网新</v>
      </c>
      <c r="E122" s="1" t="str">
        <f t="shared" si="182"/>
        <v>卖出</v>
      </c>
      <c r="F122" s="1" t="str">
        <f>"16.040"</f>
        <v>16.040</v>
      </c>
      <c r="G122" s="1" t="str">
        <f>"-100.00"</f>
        <v>-100.00</v>
      </c>
      <c r="H122" s="1" t="str">
        <f t="shared" si="187"/>
        <v>A850418317</v>
      </c>
      <c r="I122" s="1" t="str">
        <f>"1604.00"</f>
        <v>1604.00</v>
      </c>
      <c r="J122" s="1" t="str">
        <f t="shared" si="181"/>
        <v>5.00</v>
      </c>
      <c r="K122" s="1" t="str">
        <f>"1.60"</f>
        <v>1.60</v>
      </c>
      <c r="L122" s="1" t="str">
        <f>"0.03"</f>
        <v>0.03</v>
      </c>
      <c r="M122" s="1" t="str">
        <f t="shared" si="108"/>
        <v>0.00</v>
      </c>
      <c r="N122" s="1" t="str">
        <f t="shared" si="183"/>
        <v>证券卖出</v>
      </c>
    </row>
    <row r="123" spans="1:14">
      <c r="A123" s="1" t="str">
        <f t="shared" si="191"/>
        <v>20170908</v>
      </c>
      <c r="B123" s="1" t="str">
        <f>"13:49:02"</f>
        <v>13:49:02</v>
      </c>
      <c r="C123" s="1" t="str">
        <f>"600641"</f>
        <v>600641</v>
      </c>
      <c r="D123" s="1" t="str">
        <f>"万业企业"</f>
        <v>万业企业</v>
      </c>
      <c r="E123" s="1" t="str">
        <f t="shared" ref="E123:E134" si="192">"买入"</f>
        <v>买入</v>
      </c>
      <c r="F123" s="1" t="str">
        <f>"14.490"</f>
        <v>14.490</v>
      </c>
      <c r="G123" s="1" t="str">
        <f>"1900.00"</f>
        <v>1900.00</v>
      </c>
      <c r="H123" s="1" t="str">
        <f t="shared" si="187"/>
        <v>A850418317</v>
      </c>
      <c r="I123" s="1" t="str">
        <f>"27531.00"</f>
        <v>27531.00</v>
      </c>
      <c r="J123" s="1" t="str">
        <f>"6.88"</f>
        <v>6.88</v>
      </c>
      <c r="K123" s="1" t="str">
        <f t="shared" ref="K123:K134" si="193">"0.00"</f>
        <v>0.00</v>
      </c>
      <c r="L123" s="1" t="str">
        <f>"0.55"</f>
        <v>0.55</v>
      </c>
      <c r="M123" s="1" t="str">
        <f t="shared" si="108"/>
        <v>0.00</v>
      </c>
      <c r="N123" s="1" t="str">
        <f>"证券买入"</f>
        <v>证券买入</v>
      </c>
    </row>
    <row r="124" spans="1:14">
      <c r="A124" s="1" t="str">
        <f t="shared" si="191"/>
        <v>20170908</v>
      </c>
      <c r="B124" s="1" t="str">
        <f>"22:23:13"</f>
        <v>22:23:13</v>
      </c>
      <c r="C124" s="1" t="str">
        <f>"736106"</f>
        <v>736106</v>
      </c>
      <c r="D124" s="1" t="str">
        <f>"恒银配号"</f>
        <v>恒银配号</v>
      </c>
      <c r="E124" s="1" t="str">
        <f t="shared" si="192"/>
        <v>买入</v>
      </c>
      <c r="F124" s="1" t="str">
        <f t="shared" ref="F124:F126" si="194">"0.000"</f>
        <v>0.000</v>
      </c>
      <c r="G124" s="1" t="str">
        <f t="shared" ref="G124:G126" si="195">"1.00"</f>
        <v>1.00</v>
      </c>
      <c r="H124" s="1" t="str">
        <f t="shared" si="187"/>
        <v>A850418317</v>
      </c>
      <c r="I124" s="1" t="str">
        <f t="shared" ref="I124:L124" si="196">"0.00"</f>
        <v>0.00</v>
      </c>
      <c r="J124" s="1" t="str">
        <f t="shared" si="196"/>
        <v>0.00</v>
      </c>
      <c r="K124" s="1" t="str">
        <f t="shared" si="196"/>
        <v>0.00</v>
      </c>
      <c r="L124" s="1" t="str">
        <f t="shared" si="196"/>
        <v>0.00</v>
      </c>
      <c r="M124" s="1" t="str">
        <f t="shared" si="108"/>
        <v>0.00</v>
      </c>
      <c r="N124" s="1" t="str">
        <f>"起始配号:100029319633"</f>
        <v>起始配号:100029319633</v>
      </c>
    </row>
    <row r="125" spans="1:14">
      <c r="A125" s="1" t="str">
        <f>"20170911"</f>
        <v>20170911</v>
      </c>
      <c r="B125" s="1" t="str">
        <f>"22:04:55"</f>
        <v>22:04:55</v>
      </c>
      <c r="C125" s="1" t="str">
        <f>"736055"</f>
        <v>736055</v>
      </c>
      <c r="D125" s="1" t="str">
        <f>"台华配号"</f>
        <v>台华配号</v>
      </c>
      <c r="E125" s="1" t="str">
        <f t="shared" si="192"/>
        <v>买入</v>
      </c>
      <c r="F125" s="1" t="str">
        <f t="shared" si="194"/>
        <v>0.000</v>
      </c>
      <c r="G125" s="1" t="str">
        <f t="shared" si="195"/>
        <v>1.00</v>
      </c>
      <c r="H125" s="1" t="str">
        <f t="shared" si="187"/>
        <v>A850418317</v>
      </c>
      <c r="I125" s="1" t="str">
        <f t="shared" ref="I125:L125" si="197">"0.00"</f>
        <v>0.00</v>
      </c>
      <c r="J125" s="1" t="str">
        <f t="shared" si="197"/>
        <v>0.00</v>
      </c>
      <c r="K125" s="1" t="str">
        <f t="shared" si="197"/>
        <v>0.00</v>
      </c>
      <c r="L125" s="1" t="str">
        <f t="shared" si="197"/>
        <v>0.00</v>
      </c>
      <c r="M125" s="1" t="str">
        <f t="shared" si="108"/>
        <v>0.00</v>
      </c>
      <c r="N125" s="1" t="str">
        <f>"起始配号:100017052535"</f>
        <v>起始配号:100017052535</v>
      </c>
    </row>
    <row r="126" spans="1:14">
      <c r="A126" s="1" t="str">
        <f>"20170912"</f>
        <v>20170912</v>
      </c>
      <c r="B126" s="1" t="str">
        <f>"22:11:59"</f>
        <v>22:11:59</v>
      </c>
      <c r="C126" s="1" t="str">
        <f>"736963"</f>
        <v>736963</v>
      </c>
      <c r="D126" s="1" t="str">
        <f>"理药配号"</f>
        <v>理药配号</v>
      </c>
      <c r="E126" s="1" t="str">
        <f t="shared" si="192"/>
        <v>买入</v>
      </c>
      <c r="F126" s="1" t="str">
        <f t="shared" si="194"/>
        <v>0.000</v>
      </c>
      <c r="G126" s="1" t="str">
        <f t="shared" si="195"/>
        <v>1.00</v>
      </c>
      <c r="H126" s="1" t="str">
        <f t="shared" si="187"/>
        <v>A850418317</v>
      </c>
      <c r="I126" s="1" t="str">
        <f t="shared" ref="I126:L126" si="198">"0.00"</f>
        <v>0.00</v>
      </c>
      <c r="J126" s="1" t="str">
        <f t="shared" si="198"/>
        <v>0.00</v>
      </c>
      <c r="K126" s="1" t="str">
        <f t="shared" si="198"/>
        <v>0.00</v>
      </c>
      <c r="L126" s="1" t="str">
        <f t="shared" si="198"/>
        <v>0.00</v>
      </c>
      <c r="M126" s="1" t="str">
        <f t="shared" si="108"/>
        <v>0.00</v>
      </c>
      <c r="N126" s="1" t="str">
        <f>"起始配号:100069717793"</f>
        <v>起始配号:100069717793</v>
      </c>
    </row>
    <row r="127" spans="1:14">
      <c r="A127" s="1" t="str">
        <f>"20170913"</f>
        <v>20170913</v>
      </c>
      <c r="B127" s="1" t="str">
        <f>"13:02:45"</f>
        <v>13:02:45</v>
      </c>
      <c r="C127" s="1" t="str">
        <f>"002128"</f>
        <v>002128</v>
      </c>
      <c r="D127" s="1" t="str">
        <f>"露天煤业"</f>
        <v>露天煤业</v>
      </c>
      <c r="E127" s="1" t="str">
        <f t="shared" si="192"/>
        <v>买入</v>
      </c>
      <c r="F127" s="1" t="str">
        <f>"14.310"</f>
        <v>14.310</v>
      </c>
      <c r="G127" s="1" t="str">
        <f>"700.00"</f>
        <v>700.00</v>
      </c>
      <c r="H127" s="1" t="str">
        <f>"0104152129"</f>
        <v>0104152129</v>
      </c>
      <c r="I127" s="1" t="str">
        <f>"10017.00"</f>
        <v>10017.00</v>
      </c>
      <c r="J127" s="1" t="str">
        <f>"5.00"</f>
        <v>5.00</v>
      </c>
      <c r="K127" s="1" t="str">
        <f t="shared" si="193"/>
        <v>0.00</v>
      </c>
      <c r="L127" s="1" t="str">
        <f>"0.20"</f>
        <v>0.20</v>
      </c>
      <c r="M127" s="1" t="str">
        <f t="shared" si="108"/>
        <v>0.00</v>
      </c>
      <c r="N127" s="1" t="str">
        <f>"证券买入"</f>
        <v>证券买入</v>
      </c>
    </row>
    <row r="128" spans="1:14">
      <c r="A128" s="1" t="str">
        <f>"20170913"</f>
        <v>20170913</v>
      </c>
      <c r="B128" s="1" t="str">
        <f>"22:11:27"</f>
        <v>22:11:27</v>
      </c>
      <c r="C128" s="1" t="str">
        <f>"736157"</f>
        <v>736157</v>
      </c>
      <c r="D128" s="1" t="str">
        <f>"拉夏配号"</f>
        <v>拉夏配号</v>
      </c>
      <c r="E128" s="1" t="str">
        <f t="shared" si="192"/>
        <v>买入</v>
      </c>
      <c r="F128" s="1" t="str">
        <f t="shared" ref="F128:F134" si="199">"0.000"</f>
        <v>0.000</v>
      </c>
      <c r="G128" s="1" t="str">
        <f t="shared" ref="G128:G134" si="200">"2.00"</f>
        <v>2.00</v>
      </c>
      <c r="H128" s="1" t="str">
        <f t="shared" ref="H128:H139" si="201">"A850418317"</f>
        <v>A850418317</v>
      </c>
      <c r="I128" s="1" t="str">
        <f t="shared" ref="I128:L128" si="202">"0.00"</f>
        <v>0.00</v>
      </c>
      <c r="J128" s="1" t="str">
        <f t="shared" si="202"/>
        <v>0.00</v>
      </c>
      <c r="K128" s="1" t="str">
        <f t="shared" si="193"/>
        <v>0.00</v>
      </c>
      <c r="L128" s="1" t="str">
        <f t="shared" si="202"/>
        <v>0.00</v>
      </c>
      <c r="M128" s="1" t="str">
        <f t="shared" si="108"/>
        <v>0.00</v>
      </c>
      <c r="N128" s="1" t="str">
        <f>"起始配号:100022005391"</f>
        <v>起始配号:100022005391</v>
      </c>
    </row>
    <row r="129" spans="1:14">
      <c r="A129" s="1" t="str">
        <f>"20170914"</f>
        <v>20170914</v>
      </c>
      <c r="B129" s="1" t="str">
        <f>"21:32:45"</f>
        <v>21:32:45</v>
      </c>
      <c r="C129" s="1" t="str">
        <f>"736363"</f>
        <v>736363</v>
      </c>
      <c r="D129" s="1" t="str">
        <f>"傲农配号"</f>
        <v>傲农配号</v>
      </c>
      <c r="E129" s="1" t="str">
        <f t="shared" si="192"/>
        <v>买入</v>
      </c>
      <c r="F129" s="1" t="str">
        <f t="shared" si="199"/>
        <v>0.000</v>
      </c>
      <c r="G129" s="1" t="str">
        <f t="shared" si="200"/>
        <v>2.00</v>
      </c>
      <c r="H129" s="1" t="str">
        <f t="shared" si="201"/>
        <v>A850418317</v>
      </c>
      <c r="I129" s="1" t="str">
        <f t="shared" ref="I129:L129" si="203">"0.00"</f>
        <v>0.00</v>
      </c>
      <c r="J129" s="1" t="str">
        <f t="shared" si="203"/>
        <v>0.00</v>
      </c>
      <c r="K129" s="1" t="str">
        <f t="shared" si="193"/>
        <v>0.00</v>
      </c>
      <c r="L129" s="1" t="str">
        <f t="shared" si="203"/>
        <v>0.00</v>
      </c>
      <c r="M129" s="1" t="str">
        <f t="shared" si="108"/>
        <v>0.00</v>
      </c>
      <c r="N129" s="1" t="str">
        <f>"起始配号:100039955395"</f>
        <v>起始配号:100039955395</v>
      </c>
    </row>
    <row r="130" spans="1:14">
      <c r="A130" s="1" t="str">
        <f>"20170915"</f>
        <v>20170915</v>
      </c>
      <c r="B130" s="1" t="str">
        <f>"21:59:31"</f>
        <v>21:59:31</v>
      </c>
      <c r="C130" s="1" t="str">
        <f>"736136"</f>
        <v>736136</v>
      </c>
      <c r="D130" s="1" t="str">
        <f>"天目配号"</f>
        <v>天目配号</v>
      </c>
      <c r="E130" s="1" t="str">
        <f t="shared" si="192"/>
        <v>买入</v>
      </c>
      <c r="F130" s="1" t="str">
        <f t="shared" si="199"/>
        <v>0.000</v>
      </c>
      <c r="G130" s="1" t="str">
        <f t="shared" si="200"/>
        <v>2.00</v>
      </c>
      <c r="H130" s="1" t="str">
        <f t="shared" si="201"/>
        <v>A850418317</v>
      </c>
      <c r="I130" s="1" t="str">
        <f t="shared" ref="I130:L130" si="204">"0.00"</f>
        <v>0.00</v>
      </c>
      <c r="J130" s="1" t="str">
        <f t="shared" si="204"/>
        <v>0.00</v>
      </c>
      <c r="K130" s="1" t="str">
        <f t="shared" si="193"/>
        <v>0.00</v>
      </c>
      <c r="L130" s="1" t="str">
        <f t="shared" si="204"/>
        <v>0.00</v>
      </c>
      <c r="M130" s="1" t="str">
        <f t="shared" si="108"/>
        <v>0.00</v>
      </c>
      <c r="N130" s="1" t="str">
        <f>"起始配号:100062231813"</f>
        <v>起始配号:100062231813</v>
      </c>
    </row>
    <row r="131" spans="1:14">
      <c r="A131" s="1" t="str">
        <f>"20170919"</f>
        <v>20170919</v>
      </c>
      <c r="B131" s="1" t="str">
        <f>"21:52:19"</f>
        <v>21:52:19</v>
      </c>
      <c r="C131" s="1" t="str">
        <f>"736378"</f>
        <v>736378</v>
      </c>
      <c r="D131" s="1" t="str">
        <f>"亚士配号"</f>
        <v>亚士配号</v>
      </c>
      <c r="E131" s="1" t="str">
        <f t="shared" si="192"/>
        <v>买入</v>
      </c>
      <c r="F131" s="1" t="str">
        <f t="shared" si="199"/>
        <v>0.000</v>
      </c>
      <c r="G131" s="1" t="str">
        <f t="shared" si="200"/>
        <v>2.00</v>
      </c>
      <c r="H131" s="1" t="str">
        <f t="shared" si="201"/>
        <v>A850418317</v>
      </c>
      <c r="I131" s="1" t="str">
        <f t="shared" ref="I131:L131" si="205">"0.00"</f>
        <v>0.00</v>
      </c>
      <c r="J131" s="1" t="str">
        <f t="shared" si="205"/>
        <v>0.00</v>
      </c>
      <c r="K131" s="1" t="str">
        <f t="shared" si="193"/>
        <v>0.00</v>
      </c>
      <c r="L131" s="1" t="str">
        <f t="shared" si="205"/>
        <v>0.00</v>
      </c>
      <c r="M131" s="1" t="str">
        <f t="shared" si="108"/>
        <v>0.00</v>
      </c>
      <c r="N131" s="1" t="str">
        <f>"起始配号:100013012602"</f>
        <v>起始配号:100013012602</v>
      </c>
    </row>
    <row r="132" spans="1:14">
      <c r="A132" s="1" t="str">
        <f>"20170919"</f>
        <v>20170919</v>
      </c>
      <c r="B132" s="1" t="str">
        <f>"21:53:48"</f>
        <v>21:53:48</v>
      </c>
      <c r="C132" s="1" t="str">
        <f>"736367"</f>
        <v>736367</v>
      </c>
      <c r="D132" s="1" t="str">
        <f>"辰欣配号"</f>
        <v>辰欣配号</v>
      </c>
      <c r="E132" s="1" t="str">
        <f t="shared" si="192"/>
        <v>买入</v>
      </c>
      <c r="F132" s="1" t="str">
        <f t="shared" si="199"/>
        <v>0.000</v>
      </c>
      <c r="G132" s="1" t="str">
        <f t="shared" si="200"/>
        <v>2.00</v>
      </c>
      <c r="H132" s="1" t="str">
        <f t="shared" si="201"/>
        <v>A850418317</v>
      </c>
      <c r="I132" s="1" t="str">
        <f t="shared" ref="I132:M132" si="206">"0.00"</f>
        <v>0.00</v>
      </c>
      <c r="J132" s="1" t="str">
        <f t="shared" si="206"/>
        <v>0.00</v>
      </c>
      <c r="K132" s="1" t="str">
        <f t="shared" si="193"/>
        <v>0.00</v>
      </c>
      <c r="L132" s="1" t="str">
        <f t="shared" si="206"/>
        <v>0.00</v>
      </c>
      <c r="M132" s="1" t="str">
        <f t="shared" si="206"/>
        <v>0.00</v>
      </c>
      <c r="N132" s="1" t="str">
        <f>"起始配号:100016021576"</f>
        <v>起始配号:100016021576</v>
      </c>
    </row>
    <row r="133" spans="1:14">
      <c r="A133" s="1" t="str">
        <f>"20170920"</f>
        <v>20170920</v>
      </c>
      <c r="B133" s="1" t="str">
        <f>"22:40:42"</f>
        <v>22:40:42</v>
      </c>
      <c r="C133" s="1" t="str">
        <f>"791086"</f>
        <v>791086</v>
      </c>
      <c r="D133" s="1" t="str">
        <f>"国芳配号"</f>
        <v>国芳配号</v>
      </c>
      <c r="E133" s="1" t="str">
        <f t="shared" si="192"/>
        <v>买入</v>
      </c>
      <c r="F133" s="1" t="str">
        <f t="shared" si="199"/>
        <v>0.000</v>
      </c>
      <c r="G133" s="1" t="str">
        <f t="shared" si="200"/>
        <v>2.00</v>
      </c>
      <c r="H133" s="1" t="str">
        <f t="shared" si="201"/>
        <v>A850418317</v>
      </c>
      <c r="I133" s="1" t="str">
        <f t="shared" ref="I133:M133" si="207">"0.00"</f>
        <v>0.00</v>
      </c>
      <c r="J133" s="1" t="str">
        <f t="shared" si="207"/>
        <v>0.00</v>
      </c>
      <c r="K133" s="1" t="str">
        <f t="shared" si="193"/>
        <v>0.00</v>
      </c>
      <c r="L133" s="1" t="str">
        <f t="shared" si="207"/>
        <v>0.00</v>
      </c>
      <c r="M133" s="1" t="str">
        <f t="shared" si="207"/>
        <v>0.00</v>
      </c>
      <c r="N133" s="1" t="str">
        <f>"起始配号:100120083964"</f>
        <v>起始配号:100120083964</v>
      </c>
    </row>
    <row r="134" spans="1:14">
      <c r="A134" s="1" t="str">
        <f>"20170922"</f>
        <v>20170922</v>
      </c>
      <c r="B134" s="1" t="str">
        <f>"21:54:27"</f>
        <v>21:54:27</v>
      </c>
      <c r="C134" s="1" t="str">
        <f>"736103"</f>
        <v>736103</v>
      </c>
      <c r="D134" s="1" t="str">
        <f>"横店配号"</f>
        <v>横店配号</v>
      </c>
      <c r="E134" s="1" t="str">
        <f t="shared" si="192"/>
        <v>买入</v>
      </c>
      <c r="F134" s="1" t="str">
        <f t="shared" si="199"/>
        <v>0.000</v>
      </c>
      <c r="G134" s="1" t="str">
        <f t="shared" si="200"/>
        <v>2.00</v>
      </c>
      <c r="H134" s="1" t="str">
        <f t="shared" si="201"/>
        <v>A850418317</v>
      </c>
      <c r="I134" s="1" t="str">
        <f t="shared" ref="I134:M134" si="208">"0.00"</f>
        <v>0.00</v>
      </c>
      <c r="J134" s="1" t="str">
        <f t="shared" si="208"/>
        <v>0.00</v>
      </c>
      <c r="K134" s="1" t="str">
        <f t="shared" si="193"/>
        <v>0.00</v>
      </c>
      <c r="L134" s="1" t="str">
        <f t="shared" si="208"/>
        <v>0.00</v>
      </c>
      <c r="M134" s="1" t="str">
        <f t="shared" si="208"/>
        <v>0.00</v>
      </c>
      <c r="N134" s="1" t="str">
        <f>"起始配号:100045317706"</f>
        <v>起始配号:100045317706</v>
      </c>
    </row>
    <row r="135" spans="1:14">
      <c r="A135" s="1" t="str">
        <f t="shared" ref="A135:A143" si="209">"20170925"</f>
        <v>20170925</v>
      </c>
      <c r="B135" s="1" t="str">
        <f>"09:25:01"</f>
        <v>09:25:01</v>
      </c>
      <c r="C135" s="1" t="str">
        <f>"600641"</f>
        <v>600641</v>
      </c>
      <c r="D135" s="1" t="str">
        <f>"万业企业"</f>
        <v>万业企业</v>
      </c>
      <c r="E135" s="1" t="str">
        <f t="shared" ref="E135:E140" si="210">"卖出"</f>
        <v>卖出</v>
      </c>
      <c r="F135" s="1" t="str">
        <f>"13.590"</f>
        <v>13.590</v>
      </c>
      <c r="G135" s="1" t="str">
        <f>"-1500.00"</f>
        <v>-1500.00</v>
      </c>
      <c r="H135" s="1" t="str">
        <f t="shared" si="201"/>
        <v>A850418317</v>
      </c>
      <c r="I135" s="1" t="str">
        <f>"20385.00"</f>
        <v>20385.00</v>
      </c>
      <c r="J135" s="1" t="str">
        <f>"5.10"</f>
        <v>5.10</v>
      </c>
      <c r="K135" s="1" t="str">
        <f>"20.39"</f>
        <v>20.39</v>
      </c>
      <c r="L135" s="1" t="str">
        <f>"0.41"</f>
        <v>0.41</v>
      </c>
      <c r="M135" s="1" t="str">
        <f t="shared" ref="M135:M198" si="211">"0.00"</f>
        <v>0.00</v>
      </c>
      <c r="N135" s="1" t="str">
        <f t="shared" ref="N135:N140" si="212">"证券卖出"</f>
        <v>证券卖出</v>
      </c>
    </row>
    <row r="136" spans="1:14">
      <c r="A136" s="1" t="str">
        <f t="shared" si="209"/>
        <v>20170925</v>
      </c>
      <c r="B136" s="1" t="str">
        <f>"09:30:00"</f>
        <v>09:30:00</v>
      </c>
      <c r="C136" s="1" t="str">
        <f>"603042"</f>
        <v>603042</v>
      </c>
      <c r="D136" s="1" t="str">
        <f>"华脉科技"</f>
        <v>华脉科技</v>
      </c>
      <c r="E136" s="1" t="str">
        <f t="shared" ref="E136:E139" si="213">"买入"</f>
        <v>买入</v>
      </c>
      <c r="F136" s="1" t="str">
        <f>"34.120"</f>
        <v>34.120</v>
      </c>
      <c r="G136" s="1" t="str">
        <f t="shared" ref="G136:G141" si="214">"100.00"</f>
        <v>100.00</v>
      </c>
      <c r="H136" s="1" t="str">
        <f t="shared" si="201"/>
        <v>A850418317</v>
      </c>
      <c r="I136" s="1" t="str">
        <f>"3412.00"</f>
        <v>3412.00</v>
      </c>
      <c r="J136" s="1" t="str">
        <f t="shared" ref="J136:J149" si="215">"5.00"</f>
        <v>5.00</v>
      </c>
      <c r="K136" s="1" t="str">
        <f t="shared" ref="K136:K139" si="216">"0.00"</f>
        <v>0.00</v>
      </c>
      <c r="L136" s="1" t="str">
        <f>"0.07"</f>
        <v>0.07</v>
      </c>
      <c r="M136" s="1" t="str">
        <f t="shared" si="211"/>
        <v>0.00</v>
      </c>
      <c r="N136" s="1" t="str">
        <f t="shared" ref="N136:N139" si="217">"证券买入"</f>
        <v>证券买入</v>
      </c>
    </row>
    <row r="137" spans="1:14">
      <c r="A137" s="1" t="str">
        <f t="shared" si="209"/>
        <v>20170925</v>
      </c>
      <c r="B137" s="1" t="str">
        <f>"09:39:20"</f>
        <v>09:39:20</v>
      </c>
      <c r="C137" s="1" t="str">
        <f>"600641"</f>
        <v>600641</v>
      </c>
      <c r="D137" s="1" t="str">
        <f>"万业企业"</f>
        <v>万业企业</v>
      </c>
      <c r="E137" s="1" t="str">
        <f t="shared" si="210"/>
        <v>卖出</v>
      </c>
      <c r="F137" s="1" t="str">
        <f>"13.360"</f>
        <v>13.360</v>
      </c>
      <c r="G137" s="1" t="str">
        <f>"-400.00"</f>
        <v>-400.00</v>
      </c>
      <c r="H137" s="1" t="str">
        <f t="shared" si="201"/>
        <v>A850418317</v>
      </c>
      <c r="I137" s="1" t="str">
        <f>"5344.00"</f>
        <v>5344.00</v>
      </c>
      <c r="J137" s="1" t="str">
        <f t="shared" si="215"/>
        <v>5.00</v>
      </c>
      <c r="K137" s="1" t="str">
        <f>"5.34"</f>
        <v>5.34</v>
      </c>
      <c r="L137" s="1" t="str">
        <f>"0.11"</f>
        <v>0.11</v>
      </c>
      <c r="M137" s="1" t="str">
        <f t="shared" si="211"/>
        <v>0.00</v>
      </c>
      <c r="N137" s="1" t="str">
        <f t="shared" si="212"/>
        <v>证券卖出</v>
      </c>
    </row>
    <row r="138" spans="1:14">
      <c r="A138" s="1" t="str">
        <f t="shared" si="209"/>
        <v>20170925</v>
      </c>
      <c r="B138" s="1" t="str">
        <f>"10:50:52"</f>
        <v>10:50:52</v>
      </c>
      <c r="C138" s="1" t="str">
        <f>"600309"</f>
        <v>600309</v>
      </c>
      <c r="D138" s="1" t="str">
        <f>"万华化学"</f>
        <v>万华化学</v>
      </c>
      <c r="E138" s="1" t="str">
        <f t="shared" si="213"/>
        <v>买入</v>
      </c>
      <c r="F138" s="1" t="str">
        <f>"40.200"</f>
        <v>40.200</v>
      </c>
      <c r="G138" s="1" t="str">
        <f t="shared" si="214"/>
        <v>100.00</v>
      </c>
      <c r="H138" s="1" t="str">
        <f t="shared" si="201"/>
        <v>A850418317</v>
      </c>
      <c r="I138" s="1" t="str">
        <f>"4020.00"</f>
        <v>4020.00</v>
      </c>
      <c r="J138" s="1" t="str">
        <f t="shared" si="215"/>
        <v>5.00</v>
      </c>
      <c r="K138" s="1" t="str">
        <f t="shared" si="216"/>
        <v>0.00</v>
      </c>
      <c r="L138" s="1" t="str">
        <f>"0.08"</f>
        <v>0.08</v>
      </c>
      <c r="M138" s="1" t="str">
        <f t="shared" si="211"/>
        <v>0.00</v>
      </c>
      <c r="N138" s="1" t="str">
        <f t="shared" si="217"/>
        <v>证券买入</v>
      </c>
    </row>
    <row r="139" spans="1:14">
      <c r="A139" s="1" t="str">
        <f t="shared" si="209"/>
        <v>20170925</v>
      </c>
      <c r="B139" s="1" t="str">
        <f>"14:53:33"</f>
        <v>14:53:33</v>
      </c>
      <c r="C139" s="1" t="str">
        <f>"601607"</f>
        <v>601607</v>
      </c>
      <c r="D139" s="1" t="str">
        <f>"上海医药"</f>
        <v>上海医药</v>
      </c>
      <c r="E139" s="1" t="str">
        <f t="shared" si="213"/>
        <v>买入</v>
      </c>
      <c r="F139" s="1" t="str">
        <f>"23.740"</f>
        <v>23.740</v>
      </c>
      <c r="G139" s="1" t="str">
        <f>"200.00"</f>
        <v>200.00</v>
      </c>
      <c r="H139" s="1" t="str">
        <f t="shared" si="201"/>
        <v>A850418317</v>
      </c>
      <c r="I139" s="1" t="str">
        <f>"4748.00"</f>
        <v>4748.00</v>
      </c>
      <c r="J139" s="1" t="str">
        <f t="shared" si="215"/>
        <v>5.00</v>
      </c>
      <c r="K139" s="1" t="str">
        <f t="shared" si="216"/>
        <v>0.00</v>
      </c>
      <c r="L139" s="1" t="str">
        <f>"0.09"</f>
        <v>0.09</v>
      </c>
      <c r="M139" s="1" t="str">
        <f t="shared" si="211"/>
        <v>0.00</v>
      </c>
      <c r="N139" s="1" t="str">
        <f t="shared" si="217"/>
        <v>证券买入</v>
      </c>
    </row>
    <row r="140" spans="1:14">
      <c r="A140" s="1" t="str">
        <f t="shared" si="209"/>
        <v>20170925</v>
      </c>
      <c r="B140" s="1" t="str">
        <f>"09:30:00"</f>
        <v>09:30:00</v>
      </c>
      <c r="C140" s="1" t="str">
        <f>"002128"</f>
        <v>002128</v>
      </c>
      <c r="D140" s="1" t="str">
        <f>"露天煤业"</f>
        <v>露天煤业</v>
      </c>
      <c r="E140" s="1" t="str">
        <f t="shared" si="210"/>
        <v>卖出</v>
      </c>
      <c r="F140" s="1" t="str">
        <f>"12.930"</f>
        <v>12.930</v>
      </c>
      <c r="G140" s="1" t="str">
        <f>"-500.00"</f>
        <v>-500.00</v>
      </c>
      <c r="H140" s="1" t="str">
        <f t="shared" ref="H140:H143" si="218">"0104152129"</f>
        <v>0104152129</v>
      </c>
      <c r="I140" s="1" t="str">
        <f>"6465.00"</f>
        <v>6465.00</v>
      </c>
      <c r="J140" s="1" t="str">
        <f t="shared" si="215"/>
        <v>5.00</v>
      </c>
      <c r="K140" s="1" t="str">
        <f>"6.47"</f>
        <v>6.47</v>
      </c>
      <c r="L140" s="1" t="str">
        <f>"0.13"</f>
        <v>0.13</v>
      </c>
      <c r="M140" s="1" t="str">
        <f t="shared" si="211"/>
        <v>0.00</v>
      </c>
      <c r="N140" s="1" t="str">
        <f t="shared" si="212"/>
        <v>证券卖出</v>
      </c>
    </row>
    <row r="141" spans="1:14">
      <c r="A141" s="1" t="str">
        <f t="shared" si="209"/>
        <v>20170925</v>
      </c>
      <c r="B141" s="1" t="str">
        <f>"09:30:01"</f>
        <v>09:30:01</v>
      </c>
      <c r="C141" s="1" t="str">
        <f>"002792"</f>
        <v>002792</v>
      </c>
      <c r="D141" s="1" t="str">
        <f>"通宇通讯"</f>
        <v>通宇通讯</v>
      </c>
      <c r="E141" s="1" t="str">
        <f t="shared" ref="E141:E144" si="219">"买入"</f>
        <v>买入</v>
      </c>
      <c r="F141" s="1" t="str">
        <f>"41.510"</f>
        <v>41.510</v>
      </c>
      <c r="G141" s="1" t="str">
        <f t="shared" si="214"/>
        <v>100.00</v>
      </c>
      <c r="H141" s="1" t="str">
        <f t="shared" si="218"/>
        <v>0104152129</v>
      </c>
      <c r="I141" s="1" t="str">
        <f>"4151.00"</f>
        <v>4151.00</v>
      </c>
      <c r="J141" s="1" t="str">
        <f t="shared" si="215"/>
        <v>5.00</v>
      </c>
      <c r="K141" s="1" t="str">
        <f t="shared" ref="K141:K144" si="220">"0.00"</f>
        <v>0.00</v>
      </c>
      <c r="L141" s="1" t="str">
        <f>"0.08"</f>
        <v>0.08</v>
      </c>
      <c r="M141" s="1" t="str">
        <f t="shared" si="211"/>
        <v>0.00</v>
      </c>
      <c r="N141" s="1" t="str">
        <f t="shared" ref="N141:N144" si="221">"证券买入"</f>
        <v>证券买入</v>
      </c>
    </row>
    <row r="142" spans="1:14">
      <c r="A142" s="1" t="str">
        <f t="shared" si="209"/>
        <v>20170925</v>
      </c>
      <c r="B142" s="1" t="str">
        <f>"09:30:02"</f>
        <v>09:30:02</v>
      </c>
      <c r="C142" s="1" t="str">
        <f>"300275"</f>
        <v>300275</v>
      </c>
      <c r="D142" s="1" t="str">
        <f>"梅安森"</f>
        <v>梅安森</v>
      </c>
      <c r="E142" s="1" t="str">
        <f t="shared" si="219"/>
        <v>买入</v>
      </c>
      <c r="F142" s="1" t="str">
        <f>"16.550"</f>
        <v>16.550</v>
      </c>
      <c r="G142" s="1" t="str">
        <f>"300.00"</f>
        <v>300.00</v>
      </c>
      <c r="H142" s="1" t="str">
        <f t="shared" si="218"/>
        <v>0104152129</v>
      </c>
      <c r="I142" s="1" t="str">
        <f>"4965.00"</f>
        <v>4965.00</v>
      </c>
      <c r="J142" s="1" t="str">
        <f t="shared" si="215"/>
        <v>5.00</v>
      </c>
      <c r="K142" s="1" t="str">
        <f t="shared" si="220"/>
        <v>0.00</v>
      </c>
      <c r="L142" s="1" t="str">
        <f>"0.10"</f>
        <v>0.10</v>
      </c>
      <c r="M142" s="1" t="str">
        <f t="shared" si="211"/>
        <v>0.00</v>
      </c>
      <c r="N142" s="1" t="str">
        <f t="shared" si="221"/>
        <v>证券买入</v>
      </c>
    </row>
    <row r="143" spans="1:14">
      <c r="A143" s="1" t="str">
        <f t="shared" si="209"/>
        <v>20170925</v>
      </c>
      <c r="B143" s="1" t="str">
        <f>"09:39:35"</f>
        <v>09:39:35</v>
      </c>
      <c r="C143" s="1" t="str">
        <f>"002128"</f>
        <v>002128</v>
      </c>
      <c r="D143" s="1" t="str">
        <f>"露天煤业"</f>
        <v>露天煤业</v>
      </c>
      <c r="E143" s="1" t="str">
        <f t="shared" ref="E143:E148" si="222">"卖出"</f>
        <v>卖出</v>
      </c>
      <c r="F143" s="1" t="str">
        <f>"12.890"</f>
        <v>12.890</v>
      </c>
      <c r="G143" s="1" t="str">
        <f>"-200.00"</f>
        <v>-200.00</v>
      </c>
      <c r="H143" s="1" t="str">
        <f t="shared" si="218"/>
        <v>0104152129</v>
      </c>
      <c r="I143" s="1" t="str">
        <f>"2578.00"</f>
        <v>2578.00</v>
      </c>
      <c r="J143" s="1" t="str">
        <f t="shared" si="215"/>
        <v>5.00</v>
      </c>
      <c r="K143" s="1" t="str">
        <f>"2.58"</f>
        <v>2.58</v>
      </c>
      <c r="L143" s="1" t="str">
        <f>"0.05"</f>
        <v>0.05</v>
      </c>
      <c r="M143" s="1" t="str">
        <f t="shared" si="211"/>
        <v>0.00</v>
      </c>
      <c r="N143" s="1" t="str">
        <f t="shared" ref="N143:N148" si="223">"证券卖出"</f>
        <v>证券卖出</v>
      </c>
    </row>
    <row r="144" spans="1:14">
      <c r="A144" s="1" t="str">
        <f t="shared" ref="A144:A150" si="224">"20170926"</f>
        <v>20170926</v>
      </c>
      <c r="B144" s="1" t="str">
        <f>"09:25:01"</f>
        <v>09:25:01</v>
      </c>
      <c r="C144" s="1" t="str">
        <f>"601607"</f>
        <v>601607</v>
      </c>
      <c r="D144" s="1" t="str">
        <f>"上海医药"</f>
        <v>上海医药</v>
      </c>
      <c r="E144" s="1" t="str">
        <f t="shared" si="219"/>
        <v>买入</v>
      </c>
      <c r="F144" s="1" t="str">
        <f>"23.870"</f>
        <v>23.870</v>
      </c>
      <c r="G144" s="1" t="str">
        <f>"200.00"</f>
        <v>200.00</v>
      </c>
      <c r="H144" s="1" t="str">
        <f t="shared" ref="H144:H146" si="225">"A850418317"</f>
        <v>A850418317</v>
      </c>
      <c r="I144" s="1" t="str">
        <f>"4774.00"</f>
        <v>4774.00</v>
      </c>
      <c r="J144" s="1" t="str">
        <f t="shared" si="215"/>
        <v>5.00</v>
      </c>
      <c r="K144" s="1" t="str">
        <f t="shared" si="220"/>
        <v>0.00</v>
      </c>
      <c r="L144" s="1" t="str">
        <f>"0.10"</f>
        <v>0.10</v>
      </c>
      <c r="M144" s="1" t="str">
        <f t="shared" si="211"/>
        <v>0.00</v>
      </c>
      <c r="N144" s="1" t="str">
        <f t="shared" si="221"/>
        <v>证券买入</v>
      </c>
    </row>
    <row r="145" spans="1:14">
      <c r="A145" s="1" t="str">
        <f t="shared" si="224"/>
        <v>20170926</v>
      </c>
      <c r="B145" s="1" t="str">
        <f>"09:30:15"</f>
        <v>09:30:15</v>
      </c>
      <c r="C145" s="1" t="str">
        <f>"603042"</f>
        <v>603042</v>
      </c>
      <c r="D145" s="1" t="str">
        <f>"华脉科技"</f>
        <v>华脉科技</v>
      </c>
      <c r="E145" s="1" t="str">
        <f t="shared" si="222"/>
        <v>卖出</v>
      </c>
      <c r="F145" s="1" t="str">
        <f>"36.910"</f>
        <v>36.910</v>
      </c>
      <c r="G145" s="1" t="str">
        <f>"-100.00"</f>
        <v>-100.00</v>
      </c>
      <c r="H145" s="1" t="str">
        <f t="shared" si="225"/>
        <v>A850418317</v>
      </c>
      <c r="I145" s="1" t="str">
        <f>"3691.00"</f>
        <v>3691.00</v>
      </c>
      <c r="J145" s="1" t="str">
        <f t="shared" si="215"/>
        <v>5.00</v>
      </c>
      <c r="K145" s="1" t="str">
        <f>"3.69"</f>
        <v>3.69</v>
      </c>
      <c r="L145" s="1" t="str">
        <f>"0.07"</f>
        <v>0.07</v>
      </c>
      <c r="M145" s="1" t="str">
        <f t="shared" si="211"/>
        <v>0.00</v>
      </c>
      <c r="N145" s="1" t="str">
        <f t="shared" si="223"/>
        <v>证券卖出</v>
      </c>
    </row>
    <row r="146" spans="1:14">
      <c r="A146" s="1" t="str">
        <f t="shared" si="224"/>
        <v>20170926</v>
      </c>
      <c r="B146" s="1" t="str">
        <f>"14:34:59"</f>
        <v>14:34:59</v>
      </c>
      <c r="C146" s="1" t="str">
        <f>"603559"</f>
        <v>603559</v>
      </c>
      <c r="D146" s="1" t="str">
        <f>"中通国脉"</f>
        <v>中通国脉</v>
      </c>
      <c r="E146" s="1" t="str">
        <f t="shared" ref="E146:E150" si="226">"买入"</f>
        <v>买入</v>
      </c>
      <c r="F146" s="1" t="str">
        <f>"37.680"</f>
        <v>37.680</v>
      </c>
      <c r="G146" s="1" t="str">
        <f>"100.00"</f>
        <v>100.00</v>
      </c>
      <c r="H146" s="1" t="str">
        <f t="shared" si="225"/>
        <v>A850418317</v>
      </c>
      <c r="I146" s="1" t="str">
        <f>"3768.00"</f>
        <v>3768.00</v>
      </c>
      <c r="J146" s="1" t="str">
        <f t="shared" si="215"/>
        <v>5.00</v>
      </c>
      <c r="K146" s="1" t="str">
        <f t="shared" ref="K146:K150" si="227">"0.00"</f>
        <v>0.00</v>
      </c>
      <c r="L146" s="1" t="str">
        <f>"0.08"</f>
        <v>0.08</v>
      </c>
      <c r="M146" s="1" t="str">
        <f t="shared" si="211"/>
        <v>0.00</v>
      </c>
      <c r="N146" s="1" t="str">
        <f>"证券买入"</f>
        <v>证券买入</v>
      </c>
    </row>
    <row r="147" spans="1:14">
      <c r="A147" s="1" t="str">
        <f t="shared" si="224"/>
        <v>20170926</v>
      </c>
      <c r="B147" s="1" t="str">
        <f t="shared" ref="B147:B149" si="228">"09:25:00"</f>
        <v>09:25:00</v>
      </c>
      <c r="C147" s="1" t="str">
        <f>"300275"</f>
        <v>300275</v>
      </c>
      <c r="D147" s="1" t="str">
        <f>"梅安森"</f>
        <v>梅安森</v>
      </c>
      <c r="E147" s="1" t="str">
        <f t="shared" si="222"/>
        <v>卖出</v>
      </c>
      <c r="F147" s="1" t="str">
        <f>"15.780"</f>
        <v>15.780</v>
      </c>
      <c r="G147" s="1" t="str">
        <f>"-300.00"</f>
        <v>-300.00</v>
      </c>
      <c r="H147" s="1" t="str">
        <f t="shared" ref="H147:H149" si="229">"0104152129"</f>
        <v>0104152129</v>
      </c>
      <c r="I147" s="1" t="str">
        <f>"4734.00"</f>
        <v>4734.00</v>
      </c>
      <c r="J147" s="1" t="str">
        <f t="shared" si="215"/>
        <v>5.00</v>
      </c>
      <c r="K147" s="1" t="str">
        <f>"4.74"</f>
        <v>4.74</v>
      </c>
      <c r="L147" s="1" t="str">
        <f>"0.09"</f>
        <v>0.09</v>
      </c>
      <c r="M147" s="1" t="str">
        <f t="shared" si="211"/>
        <v>0.00</v>
      </c>
      <c r="N147" s="1" t="str">
        <f t="shared" si="223"/>
        <v>证券卖出</v>
      </c>
    </row>
    <row r="148" spans="1:14">
      <c r="A148" s="1" t="str">
        <f t="shared" si="224"/>
        <v>20170926</v>
      </c>
      <c r="B148" s="1" t="str">
        <f t="shared" si="228"/>
        <v>09:25:00</v>
      </c>
      <c r="C148" s="1" t="str">
        <f>"002792"</f>
        <v>002792</v>
      </c>
      <c r="D148" s="1" t="str">
        <f>"通宇通讯"</f>
        <v>通宇通讯</v>
      </c>
      <c r="E148" s="1" t="str">
        <f t="shared" si="222"/>
        <v>卖出</v>
      </c>
      <c r="F148" s="1" t="str">
        <f>"39.560"</f>
        <v>39.560</v>
      </c>
      <c r="G148" s="1" t="str">
        <f>"-100.00"</f>
        <v>-100.00</v>
      </c>
      <c r="H148" s="1" t="str">
        <f t="shared" si="229"/>
        <v>0104152129</v>
      </c>
      <c r="I148" s="1" t="str">
        <f>"3956.00"</f>
        <v>3956.00</v>
      </c>
      <c r="J148" s="1" t="str">
        <f t="shared" si="215"/>
        <v>5.00</v>
      </c>
      <c r="K148" s="1" t="str">
        <f>"3.96"</f>
        <v>3.96</v>
      </c>
      <c r="L148" s="1" t="str">
        <f>"0.08"</f>
        <v>0.08</v>
      </c>
      <c r="M148" s="1" t="str">
        <f t="shared" si="211"/>
        <v>0.00</v>
      </c>
      <c r="N148" s="1" t="str">
        <f t="shared" si="223"/>
        <v>证券卖出</v>
      </c>
    </row>
    <row r="149" spans="1:14">
      <c r="A149" s="1" t="str">
        <f t="shared" si="224"/>
        <v>20170926</v>
      </c>
      <c r="B149" s="1" t="str">
        <f t="shared" si="228"/>
        <v>09:25:00</v>
      </c>
      <c r="C149" s="1" t="str">
        <f>"000078"</f>
        <v>000078</v>
      </c>
      <c r="D149" s="1" t="str">
        <f>"海王生物"</f>
        <v>海王生物</v>
      </c>
      <c r="E149" s="1" t="str">
        <f t="shared" si="226"/>
        <v>买入</v>
      </c>
      <c r="F149" s="1" t="str">
        <f>"6.840"</f>
        <v>6.840</v>
      </c>
      <c r="G149" s="1" t="str">
        <f>"700.00"</f>
        <v>700.00</v>
      </c>
      <c r="H149" s="1" t="str">
        <f t="shared" si="229"/>
        <v>0104152129</v>
      </c>
      <c r="I149" s="1" t="str">
        <f>"4788.00"</f>
        <v>4788.00</v>
      </c>
      <c r="J149" s="1" t="str">
        <f t="shared" si="215"/>
        <v>5.00</v>
      </c>
      <c r="K149" s="1" t="str">
        <f t="shared" si="227"/>
        <v>0.00</v>
      </c>
      <c r="L149" s="1" t="str">
        <f>"0.10"</f>
        <v>0.10</v>
      </c>
      <c r="M149" s="1" t="str">
        <f t="shared" si="211"/>
        <v>0.00</v>
      </c>
      <c r="N149" s="1" t="str">
        <f t="shared" ref="N149:N154" si="230">"证券买入"</f>
        <v>证券买入</v>
      </c>
    </row>
    <row r="150" spans="1:14">
      <c r="A150" s="1" t="str">
        <f t="shared" si="224"/>
        <v>20170926</v>
      </c>
      <c r="B150" s="1" t="str">
        <f>"23:23:12"</f>
        <v>23:23:12</v>
      </c>
      <c r="C150" s="1" t="str">
        <f>"736110"</f>
        <v>736110</v>
      </c>
      <c r="D150" s="1" t="str">
        <f>"东方配号"</f>
        <v>东方配号</v>
      </c>
      <c r="E150" s="1" t="str">
        <f t="shared" si="226"/>
        <v>买入</v>
      </c>
      <c r="F150" s="1" t="str">
        <f>"0.000"</f>
        <v>0.000</v>
      </c>
      <c r="G150" s="1" t="str">
        <f>"2.00"</f>
        <v>2.00</v>
      </c>
      <c r="H150" s="1" t="str">
        <f t="shared" ref="H150:H152" si="231">"A850418317"</f>
        <v>A850418317</v>
      </c>
      <c r="I150" s="1" t="str">
        <f t="shared" ref="I150:L150" si="232">"0.00"</f>
        <v>0.00</v>
      </c>
      <c r="J150" s="1" t="str">
        <f t="shared" si="232"/>
        <v>0.00</v>
      </c>
      <c r="K150" s="1" t="str">
        <f t="shared" si="227"/>
        <v>0.00</v>
      </c>
      <c r="L150" s="1" t="str">
        <f t="shared" si="232"/>
        <v>0.00</v>
      </c>
      <c r="M150" s="1" t="str">
        <f t="shared" si="211"/>
        <v>0.00</v>
      </c>
      <c r="N150" s="1" t="str">
        <f>"起始配号:100033112281"</f>
        <v>起始配号:100033112281</v>
      </c>
    </row>
    <row r="151" spans="1:14">
      <c r="A151" s="1" t="str">
        <f t="shared" ref="A151:A155" si="233">"20170927"</f>
        <v>20170927</v>
      </c>
      <c r="B151" s="1" t="str">
        <f>"10:27:22"</f>
        <v>10:27:22</v>
      </c>
      <c r="C151" s="1" t="str">
        <f>"603559"</f>
        <v>603559</v>
      </c>
      <c r="D151" s="1" t="str">
        <f>"中通国脉"</f>
        <v>中通国脉</v>
      </c>
      <c r="E151" s="1" t="str">
        <f t="shared" ref="E151:E156" si="234">"卖出"</f>
        <v>卖出</v>
      </c>
      <c r="F151" s="1" t="str">
        <f>"34.870"</f>
        <v>34.870</v>
      </c>
      <c r="G151" s="1" t="str">
        <f>"-100.00"</f>
        <v>-100.00</v>
      </c>
      <c r="H151" s="1" t="str">
        <f t="shared" si="231"/>
        <v>A850418317</v>
      </c>
      <c r="I151" s="1" t="str">
        <f>"3487.00"</f>
        <v>3487.00</v>
      </c>
      <c r="J151" s="1" t="str">
        <f t="shared" ref="J151:J154" si="235">"5.00"</f>
        <v>5.00</v>
      </c>
      <c r="K151" s="1" t="str">
        <f>"3.49"</f>
        <v>3.49</v>
      </c>
      <c r="L151" s="1" t="str">
        <f>"0.07"</f>
        <v>0.07</v>
      </c>
      <c r="M151" s="1" t="str">
        <f t="shared" si="211"/>
        <v>0.00</v>
      </c>
      <c r="N151" s="1" t="str">
        <f t="shared" ref="N151:N156" si="236">"证券卖出"</f>
        <v>证券卖出</v>
      </c>
    </row>
    <row r="152" spans="1:14">
      <c r="A152" s="1" t="str">
        <f t="shared" si="233"/>
        <v>20170927</v>
      </c>
      <c r="B152" s="1" t="str">
        <f>"10:29:49"</f>
        <v>10:29:49</v>
      </c>
      <c r="C152" s="1" t="str">
        <f>"600516"</f>
        <v>600516</v>
      </c>
      <c r="D152" s="1" t="str">
        <f>"方大炭素"</f>
        <v>方大炭素</v>
      </c>
      <c r="E152" s="1" t="str">
        <f t="shared" ref="E152:E155" si="237">"买入"</f>
        <v>买入</v>
      </c>
      <c r="F152" s="1" t="str">
        <f>"31.110"</f>
        <v>31.110</v>
      </c>
      <c r="G152" s="1" t="str">
        <f>"100.00"</f>
        <v>100.00</v>
      </c>
      <c r="H152" s="1" t="str">
        <f t="shared" si="231"/>
        <v>A850418317</v>
      </c>
      <c r="I152" s="1" t="str">
        <f>"3111.00"</f>
        <v>3111.00</v>
      </c>
      <c r="J152" s="1" t="str">
        <f t="shared" si="235"/>
        <v>5.00</v>
      </c>
      <c r="K152" s="1" t="str">
        <f t="shared" ref="K152:K155" si="238">"0.00"</f>
        <v>0.00</v>
      </c>
      <c r="L152" s="1" t="str">
        <f>"0.06"</f>
        <v>0.06</v>
      </c>
      <c r="M152" s="1" t="str">
        <f t="shared" si="211"/>
        <v>0.00</v>
      </c>
      <c r="N152" s="1" t="str">
        <f t="shared" si="230"/>
        <v>证券买入</v>
      </c>
    </row>
    <row r="153" spans="1:14">
      <c r="A153" s="1" t="str">
        <f t="shared" si="233"/>
        <v>20170927</v>
      </c>
      <c r="B153" s="1" t="str">
        <f>"09:59:35"</f>
        <v>09:59:35</v>
      </c>
      <c r="C153" s="1" t="str">
        <f>"000078"</f>
        <v>000078</v>
      </c>
      <c r="D153" s="1" t="str">
        <f>"海王生物"</f>
        <v>海王生物</v>
      </c>
      <c r="E153" s="1" t="str">
        <f t="shared" si="234"/>
        <v>卖出</v>
      </c>
      <c r="F153" s="1" t="str">
        <f>"6.490"</f>
        <v>6.490</v>
      </c>
      <c r="G153" s="1" t="str">
        <f>"-700.00"</f>
        <v>-700.00</v>
      </c>
      <c r="H153" s="1" t="str">
        <f t="shared" ref="H153:H158" si="239">"0104152129"</f>
        <v>0104152129</v>
      </c>
      <c r="I153" s="1" t="str">
        <f>"4543.00"</f>
        <v>4543.00</v>
      </c>
      <c r="J153" s="1" t="str">
        <f t="shared" si="235"/>
        <v>5.00</v>
      </c>
      <c r="K153" s="1" t="str">
        <f>"4.54"</f>
        <v>4.54</v>
      </c>
      <c r="L153" s="1" t="str">
        <f t="shared" ref="L153:L158" si="240">"0.09"</f>
        <v>0.09</v>
      </c>
      <c r="M153" s="1" t="str">
        <f t="shared" si="211"/>
        <v>0.00</v>
      </c>
      <c r="N153" s="1" t="str">
        <f t="shared" si="236"/>
        <v>证券卖出</v>
      </c>
    </row>
    <row r="154" spans="1:14">
      <c r="A154" s="1" t="str">
        <f t="shared" si="233"/>
        <v>20170927</v>
      </c>
      <c r="B154" s="1" t="str">
        <f>"14:45:45"</f>
        <v>14:45:45</v>
      </c>
      <c r="C154" s="1" t="str">
        <f>"002847"</f>
        <v>002847</v>
      </c>
      <c r="D154" s="1" t="str">
        <f>"盐津铺子"</f>
        <v>盐津铺子</v>
      </c>
      <c r="E154" s="1" t="str">
        <f t="shared" si="237"/>
        <v>买入</v>
      </c>
      <c r="F154" s="1" t="str">
        <f>"44.600"</f>
        <v>44.600</v>
      </c>
      <c r="G154" s="1" t="str">
        <f>"100.00"</f>
        <v>100.00</v>
      </c>
      <c r="H154" s="1" t="str">
        <f t="shared" si="239"/>
        <v>0104152129</v>
      </c>
      <c r="I154" s="1" t="str">
        <f>"4460.00"</f>
        <v>4460.00</v>
      </c>
      <c r="J154" s="1" t="str">
        <f t="shared" si="235"/>
        <v>5.00</v>
      </c>
      <c r="K154" s="1" t="str">
        <f t="shared" si="238"/>
        <v>0.00</v>
      </c>
      <c r="L154" s="1" t="str">
        <f t="shared" si="240"/>
        <v>0.09</v>
      </c>
      <c r="M154" s="1" t="str">
        <f t="shared" si="211"/>
        <v>0.00</v>
      </c>
      <c r="N154" s="1" t="str">
        <f t="shared" si="230"/>
        <v>证券买入</v>
      </c>
    </row>
    <row r="155" spans="1:14">
      <c r="A155" s="1" t="str">
        <f t="shared" si="233"/>
        <v>20170927</v>
      </c>
      <c r="B155" s="1" t="str">
        <f>"22:16:56"</f>
        <v>22:16:56</v>
      </c>
      <c r="C155" s="1" t="str">
        <f>"736499"</f>
        <v>736499</v>
      </c>
      <c r="D155" s="1" t="str">
        <f>"翔港配号"</f>
        <v>翔港配号</v>
      </c>
      <c r="E155" s="1" t="str">
        <f t="shared" si="237"/>
        <v>买入</v>
      </c>
      <c r="F155" s="1" t="str">
        <f>"0.000"</f>
        <v>0.000</v>
      </c>
      <c r="G155" s="1" t="str">
        <f>"2.00"</f>
        <v>2.00</v>
      </c>
      <c r="H155" s="1" t="str">
        <f t="shared" ref="H155:H157" si="241">"A850418317"</f>
        <v>A850418317</v>
      </c>
      <c r="I155" s="1" t="str">
        <f t="shared" ref="I155:L155" si="242">"0.00"</f>
        <v>0.00</v>
      </c>
      <c r="J155" s="1" t="str">
        <f t="shared" si="242"/>
        <v>0.00</v>
      </c>
      <c r="K155" s="1" t="str">
        <f t="shared" si="238"/>
        <v>0.00</v>
      </c>
      <c r="L155" s="1" t="str">
        <f t="shared" si="242"/>
        <v>0.00</v>
      </c>
      <c r="M155" s="1" t="str">
        <f t="shared" si="211"/>
        <v>0.00</v>
      </c>
      <c r="N155" s="1" t="str">
        <f>"起始配号:100040545763"</f>
        <v>起始配号:100040545763</v>
      </c>
    </row>
    <row r="156" spans="1:14">
      <c r="A156" s="1" t="str">
        <f t="shared" ref="A156:A159" si="243">"20170928"</f>
        <v>20170928</v>
      </c>
      <c r="B156" s="1" t="str">
        <f>"14:44:23"</f>
        <v>14:44:23</v>
      </c>
      <c r="C156" s="1" t="str">
        <f>"600516"</f>
        <v>600516</v>
      </c>
      <c r="D156" s="1" t="str">
        <f>"方大炭素"</f>
        <v>方大炭素</v>
      </c>
      <c r="E156" s="1" t="str">
        <f t="shared" si="234"/>
        <v>卖出</v>
      </c>
      <c r="F156" s="1" t="str">
        <f>"30.150"</f>
        <v>30.150</v>
      </c>
      <c r="G156" s="1" t="str">
        <f>"-100.00"</f>
        <v>-100.00</v>
      </c>
      <c r="H156" s="1" t="str">
        <f t="shared" si="241"/>
        <v>A850418317</v>
      </c>
      <c r="I156" s="1" t="str">
        <f>"3015.00"</f>
        <v>3015.00</v>
      </c>
      <c r="J156" s="1" t="str">
        <f t="shared" ref="J156:J158" si="244">"5.00"</f>
        <v>5.00</v>
      </c>
      <c r="K156" s="1" t="str">
        <f>"3.02"</f>
        <v>3.02</v>
      </c>
      <c r="L156" s="1" t="str">
        <f>"0.06"</f>
        <v>0.06</v>
      </c>
      <c r="M156" s="1" t="str">
        <f t="shared" si="211"/>
        <v>0.00</v>
      </c>
      <c r="N156" s="1" t="str">
        <f t="shared" si="236"/>
        <v>证券卖出</v>
      </c>
    </row>
    <row r="157" spans="1:14">
      <c r="A157" s="1" t="str">
        <f t="shared" si="243"/>
        <v>20170928</v>
      </c>
      <c r="B157" s="1" t="str">
        <f>"14:44:49"</f>
        <v>14:44:49</v>
      </c>
      <c r="C157" s="1" t="str">
        <f>"601607"</f>
        <v>601607</v>
      </c>
      <c r="D157" s="1" t="str">
        <f>"上海医药"</f>
        <v>上海医药</v>
      </c>
      <c r="E157" s="1" t="str">
        <f t="shared" ref="E157:E161" si="245">"买入"</f>
        <v>买入</v>
      </c>
      <c r="F157" s="1" t="str">
        <f>"23.580"</f>
        <v>23.580</v>
      </c>
      <c r="G157" s="1" t="str">
        <f>"200.00"</f>
        <v>200.00</v>
      </c>
      <c r="H157" s="1" t="str">
        <f t="shared" si="241"/>
        <v>A850418317</v>
      </c>
      <c r="I157" s="1" t="str">
        <f>"4716.00"</f>
        <v>4716.00</v>
      </c>
      <c r="J157" s="1" t="str">
        <f t="shared" si="244"/>
        <v>5.00</v>
      </c>
      <c r="K157" s="1" t="str">
        <f t="shared" ref="K157:K161" si="246">"0.00"</f>
        <v>0.00</v>
      </c>
      <c r="L157" s="1" t="str">
        <f t="shared" si="240"/>
        <v>0.09</v>
      </c>
      <c r="M157" s="1" t="str">
        <f t="shared" si="211"/>
        <v>0.00</v>
      </c>
      <c r="N157" s="1" t="str">
        <f t="shared" ref="N157:N161" si="247">"证券买入"</f>
        <v>证券买入</v>
      </c>
    </row>
    <row r="158" spans="1:14">
      <c r="A158" s="1" t="str">
        <f t="shared" si="243"/>
        <v>20170928</v>
      </c>
      <c r="B158" s="1" t="str">
        <f>"09:40:16"</f>
        <v>09:40:16</v>
      </c>
      <c r="C158" s="1" t="str">
        <f t="shared" ref="C158:C163" si="248">"002847"</f>
        <v>002847</v>
      </c>
      <c r="D158" s="1" t="str">
        <f t="shared" ref="D158:D163" si="249">"盐津铺子"</f>
        <v>盐津铺子</v>
      </c>
      <c r="E158" s="1" t="str">
        <f t="shared" si="245"/>
        <v>买入</v>
      </c>
      <c r="F158" s="1" t="str">
        <f>"43.000"</f>
        <v>43.000</v>
      </c>
      <c r="G158" s="1" t="str">
        <f>"100.00"</f>
        <v>100.00</v>
      </c>
      <c r="H158" s="1" t="str">
        <f t="shared" si="239"/>
        <v>0104152129</v>
      </c>
      <c r="I158" s="1" t="str">
        <f>"4300.00"</f>
        <v>4300.00</v>
      </c>
      <c r="J158" s="1" t="str">
        <f t="shared" si="244"/>
        <v>5.00</v>
      </c>
      <c r="K158" s="1" t="str">
        <f t="shared" si="246"/>
        <v>0.00</v>
      </c>
      <c r="L158" s="1" t="str">
        <f t="shared" si="240"/>
        <v>0.09</v>
      </c>
      <c r="M158" s="1" t="str">
        <f t="shared" si="211"/>
        <v>0.00</v>
      </c>
      <c r="N158" s="1" t="str">
        <f t="shared" si="247"/>
        <v>证券买入</v>
      </c>
    </row>
    <row r="159" spans="1:14">
      <c r="A159" s="1" t="str">
        <f t="shared" si="243"/>
        <v>20170928</v>
      </c>
      <c r="B159" s="1" t="str">
        <f>"21:51:10"</f>
        <v>21:51:10</v>
      </c>
      <c r="C159" s="1" t="str">
        <f>"736829"</f>
        <v>736829</v>
      </c>
      <c r="D159" s="1" t="str">
        <f>"洛凯配号"</f>
        <v>洛凯配号</v>
      </c>
      <c r="E159" s="1" t="str">
        <f t="shared" si="245"/>
        <v>买入</v>
      </c>
      <c r="F159" s="1" t="str">
        <f>"0.000"</f>
        <v>0.000</v>
      </c>
      <c r="G159" s="1" t="str">
        <f>"2.00"</f>
        <v>2.00</v>
      </c>
      <c r="H159" s="1" t="str">
        <f>"A850418317"</f>
        <v>A850418317</v>
      </c>
      <c r="I159" s="1" t="str">
        <f t="shared" ref="I159:L159" si="250">"0.00"</f>
        <v>0.00</v>
      </c>
      <c r="J159" s="1" t="str">
        <f t="shared" si="250"/>
        <v>0.00</v>
      </c>
      <c r="K159" s="1" t="str">
        <f t="shared" si="246"/>
        <v>0.00</v>
      </c>
      <c r="L159" s="1" t="str">
        <f t="shared" si="250"/>
        <v>0.00</v>
      </c>
      <c r="M159" s="1" t="str">
        <f t="shared" si="211"/>
        <v>0.00</v>
      </c>
      <c r="N159" s="1" t="str">
        <f>"起始配号:100024249758"</f>
        <v>起始配号:100024249758</v>
      </c>
    </row>
    <row r="160" spans="1:14">
      <c r="A160" s="1" t="str">
        <f t="shared" ref="A160:A165" si="251">"20170929"</f>
        <v>20170929</v>
      </c>
      <c r="B160" s="1" t="str">
        <f>"13:22:59"</f>
        <v>13:22:59</v>
      </c>
      <c r="C160" s="1" t="str">
        <f>"600309"</f>
        <v>600309</v>
      </c>
      <c r="D160" s="1" t="str">
        <f>"万华化学"</f>
        <v>万华化学</v>
      </c>
      <c r="E160" s="1" t="str">
        <f t="shared" si="245"/>
        <v>买入</v>
      </c>
      <c r="F160" s="1" t="str">
        <f>"42.010"</f>
        <v>42.010</v>
      </c>
      <c r="G160" s="1" t="str">
        <f>"100.00"</f>
        <v>100.00</v>
      </c>
      <c r="H160" s="1" t="str">
        <f>"A850418317"</f>
        <v>A850418317</v>
      </c>
      <c r="I160" s="1" t="str">
        <f>"4201.00"</f>
        <v>4201.00</v>
      </c>
      <c r="J160" s="1" t="str">
        <f t="shared" ref="J160:J164" si="252">"5.00"</f>
        <v>5.00</v>
      </c>
      <c r="K160" s="1" t="str">
        <f t="shared" si="246"/>
        <v>0.00</v>
      </c>
      <c r="L160" s="1" t="str">
        <f t="shared" ref="L160:L164" si="253">"0.08"</f>
        <v>0.08</v>
      </c>
      <c r="M160" s="1" t="str">
        <f t="shared" si="211"/>
        <v>0.00</v>
      </c>
      <c r="N160" s="1" t="str">
        <f t="shared" si="247"/>
        <v>证券买入</v>
      </c>
    </row>
    <row r="161" spans="1:14">
      <c r="A161" s="1" t="str">
        <f t="shared" si="251"/>
        <v>20170929</v>
      </c>
      <c r="B161" s="1" t="str">
        <f>"09:43:13"</f>
        <v>09:43:13</v>
      </c>
      <c r="C161" s="1" t="str">
        <f>"000725"</f>
        <v>000725</v>
      </c>
      <c r="D161" s="1" t="str">
        <f>"京东方Ａ"</f>
        <v>京东方Ａ</v>
      </c>
      <c r="E161" s="1" t="str">
        <f t="shared" si="245"/>
        <v>买入</v>
      </c>
      <c r="F161" s="1" t="str">
        <f>"4.610"</f>
        <v>4.610</v>
      </c>
      <c r="G161" s="1" t="str">
        <f>"400.00"</f>
        <v>400.00</v>
      </c>
      <c r="H161" s="1" t="str">
        <f t="shared" ref="H161:H164" si="254">"0104152129"</f>
        <v>0104152129</v>
      </c>
      <c r="I161" s="1" t="str">
        <f>"1844.00"</f>
        <v>1844.00</v>
      </c>
      <c r="J161" s="1" t="str">
        <f t="shared" si="252"/>
        <v>5.00</v>
      </c>
      <c r="K161" s="1" t="str">
        <f t="shared" si="246"/>
        <v>0.00</v>
      </c>
      <c r="L161" s="1" t="str">
        <f>"0.04"</f>
        <v>0.04</v>
      </c>
      <c r="M161" s="1" t="str">
        <f t="shared" si="211"/>
        <v>0.00</v>
      </c>
      <c r="N161" s="1" t="str">
        <f t="shared" si="247"/>
        <v>证券买入</v>
      </c>
    </row>
    <row r="162" spans="1:14">
      <c r="A162" s="1" t="str">
        <f t="shared" si="251"/>
        <v>20170929</v>
      </c>
      <c r="B162" s="1" t="str">
        <f>"10:59:04"</f>
        <v>10:59:04</v>
      </c>
      <c r="C162" s="1" t="str">
        <f t="shared" si="248"/>
        <v>002847</v>
      </c>
      <c r="D162" s="1" t="str">
        <f t="shared" si="249"/>
        <v>盐津铺子</v>
      </c>
      <c r="E162" s="1" t="str">
        <f t="shared" ref="E162:E166" si="255">"卖出"</f>
        <v>卖出</v>
      </c>
      <c r="F162" s="1" t="str">
        <f>"40.300"</f>
        <v>40.300</v>
      </c>
      <c r="G162" s="1" t="str">
        <f>"-100.00"</f>
        <v>-100.00</v>
      </c>
      <c r="H162" s="1" t="str">
        <f t="shared" si="254"/>
        <v>0104152129</v>
      </c>
      <c r="I162" s="1" t="str">
        <f>"4030.00"</f>
        <v>4030.00</v>
      </c>
      <c r="J162" s="1" t="str">
        <f t="shared" si="252"/>
        <v>5.00</v>
      </c>
      <c r="K162" s="1" t="str">
        <f>"4.03"</f>
        <v>4.03</v>
      </c>
      <c r="L162" s="1" t="str">
        <f t="shared" si="253"/>
        <v>0.08</v>
      </c>
      <c r="M162" s="1" t="str">
        <f t="shared" si="211"/>
        <v>0.00</v>
      </c>
      <c r="N162" s="1" t="str">
        <f t="shared" ref="N162:N166" si="256">"证券卖出"</f>
        <v>证券卖出</v>
      </c>
    </row>
    <row r="163" spans="1:14">
      <c r="A163" s="1" t="str">
        <f t="shared" si="251"/>
        <v>20170929</v>
      </c>
      <c r="B163" s="1" t="str">
        <f>"13:21:20"</f>
        <v>13:21:20</v>
      </c>
      <c r="C163" s="1" t="str">
        <f t="shared" si="248"/>
        <v>002847</v>
      </c>
      <c r="D163" s="1" t="str">
        <f t="shared" si="249"/>
        <v>盐津铺子</v>
      </c>
      <c r="E163" s="1" t="str">
        <f t="shared" si="255"/>
        <v>卖出</v>
      </c>
      <c r="F163" s="1" t="str">
        <f>"40.900"</f>
        <v>40.900</v>
      </c>
      <c r="G163" s="1" t="str">
        <f>"-100.00"</f>
        <v>-100.00</v>
      </c>
      <c r="H163" s="1" t="str">
        <f t="shared" si="254"/>
        <v>0104152129</v>
      </c>
      <c r="I163" s="1" t="str">
        <f>"4090.00"</f>
        <v>4090.00</v>
      </c>
      <c r="J163" s="1" t="str">
        <f t="shared" si="252"/>
        <v>5.00</v>
      </c>
      <c r="K163" s="1" t="str">
        <f>"4.09"</f>
        <v>4.09</v>
      </c>
      <c r="L163" s="1" t="str">
        <f t="shared" si="253"/>
        <v>0.08</v>
      </c>
      <c r="M163" s="1" t="str">
        <f t="shared" si="211"/>
        <v>0.00</v>
      </c>
      <c r="N163" s="1" t="str">
        <f t="shared" si="256"/>
        <v>证券卖出</v>
      </c>
    </row>
    <row r="164" spans="1:14">
      <c r="A164" s="1" t="str">
        <f t="shared" si="251"/>
        <v>20170929</v>
      </c>
      <c r="B164" s="1" t="str">
        <f>"13:56:12"</f>
        <v>13:56:12</v>
      </c>
      <c r="C164" s="1" t="str">
        <f>"000725"</f>
        <v>000725</v>
      </c>
      <c r="D164" s="1" t="str">
        <f>"京东方Ａ"</f>
        <v>京东方Ａ</v>
      </c>
      <c r="E164" s="1" t="str">
        <f t="shared" ref="E164:E169" si="257">"买入"</f>
        <v>买入</v>
      </c>
      <c r="F164" s="1" t="str">
        <f>"4.340"</f>
        <v>4.340</v>
      </c>
      <c r="G164" s="1" t="str">
        <f>"900.00"</f>
        <v>900.00</v>
      </c>
      <c r="H164" s="1" t="str">
        <f t="shared" si="254"/>
        <v>0104152129</v>
      </c>
      <c r="I164" s="1" t="str">
        <f>"3906.00"</f>
        <v>3906.00</v>
      </c>
      <c r="J164" s="1" t="str">
        <f t="shared" si="252"/>
        <v>5.00</v>
      </c>
      <c r="K164" s="1" t="str">
        <f t="shared" ref="K164:K169" si="258">"0.00"</f>
        <v>0.00</v>
      </c>
      <c r="L164" s="1" t="str">
        <f t="shared" si="253"/>
        <v>0.08</v>
      </c>
      <c r="M164" s="1" t="str">
        <f t="shared" si="211"/>
        <v>0.00</v>
      </c>
      <c r="N164" s="1" t="str">
        <f>"证券买入"</f>
        <v>证券买入</v>
      </c>
    </row>
    <row r="165" spans="1:14">
      <c r="A165" s="1" t="str">
        <f t="shared" si="251"/>
        <v>20170929</v>
      </c>
      <c r="B165" s="1" t="str">
        <f>"22:35:06"</f>
        <v>22:35:06</v>
      </c>
      <c r="C165" s="1" t="str">
        <f>"736396"</f>
        <v>736396</v>
      </c>
      <c r="D165" s="1" t="str">
        <f>"金辰配号"</f>
        <v>金辰配号</v>
      </c>
      <c r="E165" s="1" t="str">
        <f t="shared" si="257"/>
        <v>买入</v>
      </c>
      <c r="F165" s="1" t="str">
        <f t="shared" ref="F165:F169" si="259">"0.000"</f>
        <v>0.000</v>
      </c>
      <c r="G165" s="1" t="str">
        <f t="shared" ref="G165:G169" si="260">"2.00"</f>
        <v>2.00</v>
      </c>
      <c r="H165" s="1" t="str">
        <f t="shared" ref="H165:H173" si="261">"A850418317"</f>
        <v>A850418317</v>
      </c>
      <c r="I165" s="1" t="str">
        <f t="shared" ref="I165:L165" si="262">"0.00"</f>
        <v>0.00</v>
      </c>
      <c r="J165" s="1" t="str">
        <f t="shared" si="262"/>
        <v>0.00</v>
      </c>
      <c r="K165" s="1" t="str">
        <f t="shared" si="262"/>
        <v>0.00</v>
      </c>
      <c r="L165" s="1" t="str">
        <f t="shared" si="262"/>
        <v>0.00</v>
      </c>
      <c r="M165" s="1" t="str">
        <f t="shared" si="211"/>
        <v>0.00</v>
      </c>
      <c r="N165" s="1" t="str">
        <f>"起始配号:100017681007"</f>
        <v>起始配号:100017681007</v>
      </c>
    </row>
    <row r="166" spans="1:14">
      <c r="A166" s="1" t="str">
        <f t="shared" ref="A166:A169" si="263">"20171010"</f>
        <v>20171010</v>
      </c>
      <c r="B166" s="1" t="str">
        <f>"09:25:02"</f>
        <v>09:25:02</v>
      </c>
      <c r="C166" s="1" t="str">
        <f>"601607"</f>
        <v>601607</v>
      </c>
      <c r="D166" s="1" t="str">
        <f>"上海医药"</f>
        <v>上海医药</v>
      </c>
      <c r="E166" s="1" t="str">
        <f t="shared" si="255"/>
        <v>卖出</v>
      </c>
      <c r="F166" s="1" t="str">
        <f>"24.000"</f>
        <v>24.000</v>
      </c>
      <c r="G166" s="1" t="str">
        <f>"-200.00"</f>
        <v>-200.00</v>
      </c>
      <c r="H166" s="1" t="str">
        <f t="shared" si="261"/>
        <v>A850418317</v>
      </c>
      <c r="I166" s="1" t="str">
        <f>"4800.00"</f>
        <v>4800.00</v>
      </c>
      <c r="J166" s="1" t="str">
        <f t="shared" ref="J166:J174" si="264">"5.00"</f>
        <v>5.00</v>
      </c>
      <c r="K166" s="1" t="str">
        <f>"4.80"</f>
        <v>4.80</v>
      </c>
      <c r="L166" s="1" t="str">
        <f>"0.10"</f>
        <v>0.10</v>
      </c>
      <c r="M166" s="1" t="str">
        <f t="shared" si="211"/>
        <v>0.00</v>
      </c>
      <c r="N166" s="1" t="str">
        <f t="shared" si="256"/>
        <v>证券卖出</v>
      </c>
    </row>
    <row r="167" spans="1:14">
      <c r="A167" s="1" t="str">
        <f t="shared" si="263"/>
        <v>20171010</v>
      </c>
      <c r="B167" s="1" t="str">
        <f>"09:30:40"</f>
        <v>09:30:40</v>
      </c>
      <c r="C167" s="1" t="str">
        <f>"000725"</f>
        <v>000725</v>
      </c>
      <c r="D167" s="1" t="str">
        <f>"京东方Ａ"</f>
        <v>京东方Ａ</v>
      </c>
      <c r="E167" s="1" t="str">
        <f t="shared" si="257"/>
        <v>买入</v>
      </c>
      <c r="F167" s="1" t="str">
        <f>"4.770"</f>
        <v>4.770</v>
      </c>
      <c r="G167" s="1" t="str">
        <f>"1000.00"</f>
        <v>1000.00</v>
      </c>
      <c r="H167" s="1" t="str">
        <f>"0104152129"</f>
        <v>0104152129</v>
      </c>
      <c r="I167" s="1" t="str">
        <f>"4770.00"</f>
        <v>4770.00</v>
      </c>
      <c r="J167" s="1" t="str">
        <f t="shared" si="264"/>
        <v>5.00</v>
      </c>
      <c r="K167" s="1" t="str">
        <f t="shared" si="258"/>
        <v>0.00</v>
      </c>
      <c r="L167" s="1" t="str">
        <f>"0.10"</f>
        <v>0.10</v>
      </c>
      <c r="M167" s="1" t="str">
        <f t="shared" si="211"/>
        <v>0.00</v>
      </c>
      <c r="N167" s="1" t="str">
        <f>"证券买入"</f>
        <v>证券买入</v>
      </c>
    </row>
    <row r="168" spans="1:14">
      <c r="A168" s="1" t="str">
        <f t="shared" si="263"/>
        <v>20171010</v>
      </c>
      <c r="B168" s="1" t="str">
        <f>"22:42:22"</f>
        <v>22:42:22</v>
      </c>
      <c r="C168" s="1" t="str">
        <f>"736466"</f>
        <v>736466</v>
      </c>
      <c r="D168" s="1" t="str">
        <f>"风语配号"</f>
        <v>风语配号</v>
      </c>
      <c r="E168" s="1" t="str">
        <f t="shared" si="257"/>
        <v>买入</v>
      </c>
      <c r="F168" s="1" t="str">
        <f t="shared" si="259"/>
        <v>0.000</v>
      </c>
      <c r="G168" s="1" t="str">
        <f t="shared" si="260"/>
        <v>2.00</v>
      </c>
      <c r="H168" s="1" t="str">
        <f t="shared" si="261"/>
        <v>A850418317</v>
      </c>
      <c r="I168" s="1" t="str">
        <f t="shared" ref="I168:L168" si="265">"0.00"</f>
        <v>0.00</v>
      </c>
      <c r="J168" s="1" t="str">
        <f t="shared" si="265"/>
        <v>0.00</v>
      </c>
      <c r="K168" s="1" t="str">
        <f t="shared" si="258"/>
        <v>0.00</v>
      </c>
      <c r="L168" s="1" t="str">
        <f t="shared" si="265"/>
        <v>0.00</v>
      </c>
      <c r="M168" s="1" t="str">
        <f t="shared" si="211"/>
        <v>0.00</v>
      </c>
      <c r="N168" s="1" t="str">
        <f>"起始配号:100043962218"</f>
        <v>起始配号:100043962218</v>
      </c>
    </row>
    <row r="169" spans="1:14">
      <c r="A169" s="1" t="str">
        <f t="shared" si="263"/>
        <v>20171010</v>
      </c>
      <c r="B169" s="1" t="str">
        <f>"22:43:18"</f>
        <v>22:43:18</v>
      </c>
      <c r="C169" s="1" t="str">
        <f>"736683"</f>
        <v>736683</v>
      </c>
      <c r="D169" s="1" t="str">
        <f>"晶华配号"</f>
        <v>晶华配号</v>
      </c>
      <c r="E169" s="1" t="str">
        <f t="shared" si="257"/>
        <v>买入</v>
      </c>
      <c r="F169" s="1" t="str">
        <f t="shared" si="259"/>
        <v>0.000</v>
      </c>
      <c r="G169" s="1" t="str">
        <f t="shared" si="260"/>
        <v>2.00</v>
      </c>
      <c r="H169" s="1" t="str">
        <f t="shared" si="261"/>
        <v>A850418317</v>
      </c>
      <c r="I169" s="1" t="str">
        <f t="shared" ref="I169:L169" si="266">"0.00"</f>
        <v>0.00</v>
      </c>
      <c r="J169" s="1" t="str">
        <f t="shared" si="266"/>
        <v>0.00</v>
      </c>
      <c r="K169" s="1" t="str">
        <f t="shared" si="258"/>
        <v>0.00</v>
      </c>
      <c r="L169" s="1" t="str">
        <f t="shared" si="266"/>
        <v>0.00</v>
      </c>
      <c r="M169" s="1" t="str">
        <f t="shared" si="211"/>
        <v>0.00</v>
      </c>
      <c r="N169" s="1" t="str">
        <f>"起始配号:100038236090"</f>
        <v>起始配号:100038236090</v>
      </c>
    </row>
    <row r="170" spans="1:14">
      <c r="A170" s="1" t="str">
        <f t="shared" ref="A170:A175" si="267">"20171011"</f>
        <v>20171011</v>
      </c>
      <c r="B170" s="1" t="str">
        <f>"10:30:50"</f>
        <v>10:30:50</v>
      </c>
      <c r="C170" s="1" t="str">
        <f>"600309"</f>
        <v>600309</v>
      </c>
      <c r="D170" s="1" t="str">
        <f>"万华化学"</f>
        <v>万华化学</v>
      </c>
      <c r="E170" s="1" t="str">
        <f t="shared" ref="E170:E174" si="268">"卖出"</f>
        <v>卖出</v>
      </c>
      <c r="F170" s="1" t="str">
        <f>"42.000"</f>
        <v>42.000</v>
      </c>
      <c r="G170" s="1" t="str">
        <f>"-200.00"</f>
        <v>-200.00</v>
      </c>
      <c r="H170" s="1" t="str">
        <f t="shared" si="261"/>
        <v>A850418317</v>
      </c>
      <c r="I170" s="1" t="str">
        <f>"8400.00"</f>
        <v>8400.00</v>
      </c>
      <c r="J170" s="1" t="str">
        <f t="shared" si="264"/>
        <v>5.00</v>
      </c>
      <c r="K170" s="1" t="str">
        <f>"8.40"</f>
        <v>8.40</v>
      </c>
      <c r="L170" s="1" t="str">
        <f>"0.17"</f>
        <v>0.17</v>
      </c>
      <c r="M170" s="1" t="str">
        <f t="shared" si="211"/>
        <v>0.00</v>
      </c>
      <c r="N170" s="1" t="str">
        <f t="shared" ref="N170:N174" si="269">"证券卖出"</f>
        <v>证券卖出</v>
      </c>
    </row>
    <row r="171" spans="1:14">
      <c r="A171" s="1" t="str">
        <f t="shared" si="267"/>
        <v>20171011</v>
      </c>
      <c r="B171" s="1" t="str">
        <f>"11:02:02"</f>
        <v>11:02:02</v>
      </c>
      <c r="C171" s="1" t="str">
        <f>"601607"</f>
        <v>601607</v>
      </c>
      <c r="D171" s="1" t="str">
        <f>"上海医药"</f>
        <v>上海医药</v>
      </c>
      <c r="E171" s="1" t="str">
        <f t="shared" si="268"/>
        <v>卖出</v>
      </c>
      <c r="F171" s="1" t="str">
        <f>"24.920"</f>
        <v>24.920</v>
      </c>
      <c r="G171" s="1" t="str">
        <f>"-400.00"</f>
        <v>-400.00</v>
      </c>
      <c r="H171" s="1" t="str">
        <f t="shared" si="261"/>
        <v>A850418317</v>
      </c>
      <c r="I171" s="1" t="str">
        <f>"9968.00"</f>
        <v>9968.00</v>
      </c>
      <c r="J171" s="1" t="str">
        <f t="shared" si="264"/>
        <v>5.00</v>
      </c>
      <c r="K171" s="1" t="str">
        <f>"9.97"</f>
        <v>9.97</v>
      </c>
      <c r="L171" s="1" t="str">
        <f>"0.20"</f>
        <v>0.20</v>
      </c>
      <c r="M171" s="1" t="str">
        <f t="shared" si="211"/>
        <v>0.00</v>
      </c>
      <c r="N171" s="1" t="str">
        <f t="shared" si="269"/>
        <v>证券卖出</v>
      </c>
    </row>
    <row r="172" spans="1:14">
      <c r="A172" s="1" t="str">
        <f t="shared" si="267"/>
        <v>20171011</v>
      </c>
      <c r="B172" s="1" t="str">
        <f>"13:37:57"</f>
        <v>13:37:57</v>
      </c>
      <c r="C172" s="1" t="str">
        <f>"603589"</f>
        <v>603589</v>
      </c>
      <c r="D172" s="1" t="str">
        <f>"口子窖"</f>
        <v>口子窖</v>
      </c>
      <c r="E172" s="1" t="str">
        <f t="shared" ref="E172:E178" si="270">"买入"</f>
        <v>买入</v>
      </c>
      <c r="F172" s="1" t="str">
        <f>"51.670"</f>
        <v>51.670</v>
      </c>
      <c r="G172" s="1" t="str">
        <f>"200.00"</f>
        <v>200.00</v>
      </c>
      <c r="H172" s="1" t="str">
        <f t="shared" si="261"/>
        <v>A850418317</v>
      </c>
      <c r="I172" s="1" t="str">
        <f>"10334.00"</f>
        <v>10334.00</v>
      </c>
      <c r="J172" s="1" t="str">
        <f t="shared" si="264"/>
        <v>5.00</v>
      </c>
      <c r="K172" s="1" t="str">
        <f t="shared" ref="K172:K178" si="271">"0.00"</f>
        <v>0.00</v>
      </c>
      <c r="L172" s="1" t="str">
        <f>"0.21"</f>
        <v>0.21</v>
      </c>
      <c r="M172" s="1" t="str">
        <f t="shared" si="211"/>
        <v>0.00</v>
      </c>
      <c r="N172" s="1" t="str">
        <f t="shared" ref="N172:N177" si="272">"证券买入"</f>
        <v>证券买入</v>
      </c>
    </row>
    <row r="173" spans="1:14">
      <c r="A173" s="1" t="str">
        <f t="shared" si="267"/>
        <v>20171011</v>
      </c>
      <c r="B173" s="1" t="str">
        <f>"14:34:18"</f>
        <v>14:34:18</v>
      </c>
      <c r="C173" s="1" t="str">
        <f>"603223"</f>
        <v>603223</v>
      </c>
      <c r="D173" s="1" t="str">
        <f>"恒通股份"</f>
        <v>恒通股份</v>
      </c>
      <c r="E173" s="1" t="str">
        <f t="shared" si="270"/>
        <v>买入</v>
      </c>
      <c r="F173" s="1" t="str">
        <f>"29.900"</f>
        <v>29.900</v>
      </c>
      <c r="G173" s="1" t="str">
        <f t="shared" ref="G173:G177" si="273">"100.00"</f>
        <v>100.00</v>
      </c>
      <c r="H173" s="1" t="str">
        <f t="shared" si="261"/>
        <v>A850418317</v>
      </c>
      <c r="I173" s="1" t="str">
        <f>"2990.00"</f>
        <v>2990.00</v>
      </c>
      <c r="J173" s="1" t="str">
        <f t="shared" si="264"/>
        <v>5.00</v>
      </c>
      <c r="K173" s="1" t="str">
        <f t="shared" si="271"/>
        <v>0.00</v>
      </c>
      <c r="L173" s="1" t="str">
        <f>"0.06"</f>
        <v>0.06</v>
      </c>
      <c r="M173" s="1" t="str">
        <f t="shared" si="211"/>
        <v>0.00</v>
      </c>
      <c r="N173" s="1" t="str">
        <f t="shared" si="272"/>
        <v>证券买入</v>
      </c>
    </row>
    <row r="174" spans="1:14">
      <c r="A174" s="1" t="str">
        <f t="shared" si="267"/>
        <v>20171011</v>
      </c>
      <c r="B174" s="1" t="str">
        <f>"10:33:08"</f>
        <v>10:33:08</v>
      </c>
      <c r="C174" s="1" t="str">
        <f>"000725"</f>
        <v>000725</v>
      </c>
      <c r="D174" s="1" t="str">
        <f>"京东方Ａ"</f>
        <v>京东方Ａ</v>
      </c>
      <c r="E174" s="1" t="str">
        <f t="shared" si="268"/>
        <v>卖出</v>
      </c>
      <c r="F174" s="1" t="str">
        <f>"4.710"</f>
        <v>4.710</v>
      </c>
      <c r="G174" s="1" t="str">
        <f>"-2300.00"</f>
        <v>-2300.00</v>
      </c>
      <c r="H174" s="1" t="str">
        <f>"0104152129"</f>
        <v>0104152129</v>
      </c>
      <c r="I174" s="1" t="str">
        <f>"10833.00"</f>
        <v>10833.00</v>
      </c>
      <c r="J174" s="1" t="str">
        <f t="shared" si="264"/>
        <v>5.00</v>
      </c>
      <c r="K174" s="1" t="str">
        <f>"10.84"</f>
        <v>10.84</v>
      </c>
      <c r="L174" s="1" t="str">
        <f>"0.22"</f>
        <v>0.22</v>
      </c>
      <c r="M174" s="1" t="str">
        <f t="shared" si="211"/>
        <v>0.00</v>
      </c>
      <c r="N174" s="1" t="str">
        <f t="shared" si="269"/>
        <v>证券卖出</v>
      </c>
    </row>
    <row r="175" spans="1:14">
      <c r="A175" s="1" t="str">
        <f t="shared" si="267"/>
        <v>20171011</v>
      </c>
      <c r="B175" s="1" t="str">
        <f>"22:17:35"</f>
        <v>22:17:35</v>
      </c>
      <c r="C175" s="1" t="str">
        <f>"736922"</f>
        <v>736922</v>
      </c>
      <c r="D175" s="1" t="str">
        <f>"金鸿配号"</f>
        <v>金鸿配号</v>
      </c>
      <c r="E175" s="1" t="str">
        <f t="shared" si="270"/>
        <v>买入</v>
      </c>
      <c r="F175" s="1" t="str">
        <f>"0.000"</f>
        <v>0.000</v>
      </c>
      <c r="G175" s="1" t="str">
        <f>"2.00"</f>
        <v>2.00</v>
      </c>
      <c r="H175" s="1" t="str">
        <f t="shared" ref="H175:H179" si="274">"A850418317"</f>
        <v>A850418317</v>
      </c>
      <c r="I175" s="1" t="str">
        <f t="shared" ref="I175:L175" si="275">"0.00"</f>
        <v>0.00</v>
      </c>
      <c r="J175" s="1" t="str">
        <f t="shared" si="275"/>
        <v>0.00</v>
      </c>
      <c r="K175" s="1" t="str">
        <f t="shared" si="271"/>
        <v>0.00</v>
      </c>
      <c r="L175" s="1" t="str">
        <f t="shared" si="275"/>
        <v>0.00</v>
      </c>
      <c r="M175" s="1" t="str">
        <f t="shared" si="211"/>
        <v>0.00</v>
      </c>
      <c r="N175" s="1" t="str">
        <f>"起始配号:100011821290"</f>
        <v>起始配号:100011821290</v>
      </c>
    </row>
    <row r="176" spans="1:14">
      <c r="A176" s="1" t="str">
        <f t="shared" ref="A176:A178" si="276">"20171012"</f>
        <v>20171012</v>
      </c>
      <c r="B176" s="1" t="str">
        <f>"10:02:12"</f>
        <v>10:02:12</v>
      </c>
      <c r="C176" s="1" t="str">
        <f t="shared" ref="C176:C179" si="277">"603559"</f>
        <v>603559</v>
      </c>
      <c r="D176" s="1" t="str">
        <f t="shared" ref="D176:D179" si="278">"中通国脉"</f>
        <v>中通国脉</v>
      </c>
      <c r="E176" s="1" t="str">
        <f t="shared" si="270"/>
        <v>买入</v>
      </c>
      <c r="F176" s="1" t="str">
        <f>"44.980"</f>
        <v>44.980</v>
      </c>
      <c r="G176" s="1" t="str">
        <f t="shared" si="273"/>
        <v>100.00</v>
      </c>
      <c r="H176" s="1" t="str">
        <f t="shared" si="274"/>
        <v>A850418317</v>
      </c>
      <c r="I176" s="1" t="str">
        <f>"4498.00"</f>
        <v>4498.00</v>
      </c>
      <c r="J176" s="1" t="str">
        <f t="shared" ref="J176:J184" si="279">"5.00"</f>
        <v>5.00</v>
      </c>
      <c r="K176" s="1" t="str">
        <f t="shared" si="271"/>
        <v>0.00</v>
      </c>
      <c r="L176" s="1" t="str">
        <f>"0.09"</f>
        <v>0.09</v>
      </c>
      <c r="M176" s="1" t="str">
        <f t="shared" si="211"/>
        <v>0.00</v>
      </c>
      <c r="N176" s="1" t="str">
        <f t="shared" si="272"/>
        <v>证券买入</v>
      </c>
    </row>
    <row r="177" spans="1:14">
      <c r="A177" s="1" t="str">
        <f t="shared" si="276"/>
        <v>20171012</v>
      </c>
      <c r="B177" s="1" t="str">
        <f>"10:53:25"</f>
        <v>10:53:25</v>
      </c>
      <c r="C177" s="1" t="str">
        <f t="shared" si="277"/>
        <v>603559</v>
      </c>
      <c r="D177" s="1" t="str">
        <f t="shared" si="278"/>
        <v>中通国脉</v>
      </c>
      <c r="E177" s="1" t="str">
        <f t="shared" si="270"/>
        <v>买入</v>
      </c>
      <c r="F177" s="1" t="str">
        <f>"44.290"</f>
        <v>44.290</v>
      </c>
      <c r="G177" s="1" t="str">
        <f t="shared" si="273"/>
        <v>100.00</v>
      </c>
      <c r="H177" s="1" t="str">
        <f t="shared" si="274"/>
        <v>A850418317</v>
      </c>
      <c r="I177" s="1" t="str">
        <f>"4429.00"</f>
        <v>4429.00</v>
      </c>
      <c r="J177" s="1" t="str">
        <f t="shared" si="279"/>
        <v>5.00</v>
      </c>
      <c r="K177" s="1" t="str">
        <f t="shared" si="271"/>
        <v>0.00</v>
      </c>
      <c r="L177" s="1" t="str">
        <f>"0.09"</f>
        <v>0.09</v>
      </c>
      <c r="M177" s="1" t="str">
        <f t="shared" si="211"/>
        <v>0.00</v>
      </c>
      <c r="N177" s="1" t="str">
        <f t="shared" si="272"/>
        <v>证券买入</v>
      </c>
    </row>
    <row r="178" spans="1:14">
      <c r="A178" s="1" t="str">
        <f t="shared" si="276"/>
        <v>20171012</v>
      </c>
      <c r="B178" s="1" t="str">
        <f>"21:52:37"</f>
        <v>21:52:37</v>
      </c>
      <c r="C178" s="1" t="str">
        <f>"791108"</f>
        <v>791108</v>
      </c>
      <c r="D178" s="1" t="str">
        <f>"财通配号"</f>
        <v>财通配号</v>
      </c>
      <c r="E178" s="1" t="str">
        <f t="shared" si="270"/>
        <v>买入</v>
      </c>
      <c r="F178" s="1" t="str">
        <f>"0.000"</f>
        <v>0.000</v>
      </c>
      <c r="G178" s="1" t="str">
        <f>"2.00"</f>
        <v>2.00</v>
      </c>
      <c r="H178" s="1" t="str">
        <f t="shared" si="274"/>
        <v>A850418317</v>
      </c>
      <c r="I178" s="1" t="str">
        <f t="shared" ref="I178:L178" si="280">"0.00"</f>
        <v>0.00</v>
      </c>
      <c r="J178" s="1" t="str">
        <f t="shared" si="280"/>
        <v>0.00</v>
      </c>
      <c r="K178" s="1" t="str">
        <f t="shared" si="271"/>
        <v>0.00</v>
      </c>
      <c r="L178" s="1" t="str">
        <f t="shared" si="280"/>
        <v>0.00</v>
      </c>
      <c r="M178" s="1" t="str">
        <f t="shared" si="211"/>
        <v>0.00</v>
      </c>
      <c r="N178" s="1" t="str">
        <f>"起始配号:100118680937"</f>
        <v>起始配号:100118680937</v>
      </c>
    </row>
    <row r="179" spans="1:14">
      <c r="A179" s="1" t="str">
        <f t="shared" ref="A179:A186" si="281">"20171013"</f>
        <v>20171013</v>
      </c>
      <c r="B179" s="1" t="str">
        <f>"10:30:37"</f>
        <v>10:30:37</v>
      </c>
      <c r="C179" s="1" t="str">
        <f t="shared" si="277"/>
        <v>603559</v>
      </c>
      <c r="D179" s="1" t="str">
        <f t="shared" si="278"/>
        <v>中通国脉</v>
      </c>
      <c r="E179" s="1" t="str">
        <f>"卖出"</f>
        <v>卖出</v>
      </c>
      <c r="F179" s="1" t="str">
        <f>"44.500"</f>
        <v>44.500</v>
      </c>
      <c r="G179" s="1" t="str">
        <f>"-200.00"</f>
        <v>-200.00</v>
      </c>
      <c r="H179" s="1" t="str">
        <f t="shared" si="274"/>
        <v>A850418317</v>
      </c>
      <c r="I179" s="1" t="str">
        <f>"8900.00"</f>
        <v>8900.00</v>
      </c>
      <c r="J179" s="1" t="str">
        <f t="shared" si="279"/>
        <v>5.00</v>
      </c>
      <c r="K179" s="1" t="str">
        <f>"8.90"</f>
        <v>8.90</v>
      </c>
      <c r="L179" s="1" t="str">
        <f>"0.18"</f>
        <v>0.18</v>
      </c>
      <c r="M179" s="1" t="str">
        <f t="shared" si="211"/>
        <v>0.00</v>
      </c>
      <c r="N179" s="1" t="str">
        <f>"证券卖出"</f>
        <v>证券卖出</v>
      </c>
    </row>
    <row r="180" spans="1:14">
      <c r="A180" s="1" t="str">
        <f t="shared" si="281"/>
        <v>20171013</v>
      </c>
      <c r="B180" s="1" t="str">
        <f>"09:31:44"</f>
        <v>09:31:44</v>
      </c>
      <c r="C180" s="1" t="str">
        <f>"000791"</f>
        <v>000791</v>
      </c>
      <c r="D180" s="1" t="str">
        <f>"甘肃电投"</f>
        <v>甘肃电投</v>
      </c>
      <c r="E180" s="1" t="str">
        <f t="shared" ref="E180:E186" si="282">"买入"</f>
        <v>买入</v>
      </c>
      <c r="F180" s="1" t="str">
        <f>"11.010"</f>
        <v>11.010</v>
      </c>
      <c r="G180" s="1" t="str">
        <f t="shared" ref="G180:G182" si="283">"100.00"</f>
        <v>100.00</v>
      </c>
      <c r="H180" s="1" t="str">
        <f t="shared" ref="H180:H184" si="284">"0104152129"</f>
        <v>0104152129</v>
      </c>
      <c r="I180" s="1" t="str">
        <f>"1101.00"</f>
        <v>1101.00</v>
      </c>
      <c r="J180" s="1" t="str">
        <f t="shared" si="279"/>
        <v>5.00</v>
      </c>
      <c r="K180" s="1" t="str">
        <f t="shared" ref="K180:K186" si="285">"0.00"</f>
        <v>0.00</v>
      </c>
      <c r="L180" s="1" t="str">
        <f>"0.02"</f>
        <v>0.02</v>
      </c>
      <c r="M180" s="1" t="str">
        <f t="shared" si="211"/>
        <v>0.00</v>
      </c>
      <c r="N180" s="1" t="str">
        <f t="shared" ref="N180:N184" si="286">"证券买入"</f>
        <v>证券买入</v>
      </c>
    </row>
    <row r="181" spans="1:14">
      <c r="A181" s="1" t="str">
        <f t="shared" si="281"/>
        <v>20171013</v>
      </c>
      <c r="B181" s="1" t="str">
        <f>"09:32:44"</f>
        <v>09:32:44</v>
      </c>
      <c r="C181" s="1" t="str">
        <f>"000791"</f>
        <v>000791</v>
      </c>
      <c r="D181" s="1" t="str">
        <f>"甘肃电投"</f>
        <v>甘肃电投</v>
      </c>
      <c r="E181" s="1" t="str">
        <f t="shared" si="282"/>
        <v>买入</v>
      </c>
      <c r="F181" s="1" t="str">
        <f>"10.800"</f>
        <v>10.800</v>
      </c>
      <c r="G181" s="1" t="str">
        <f t="shared" si="283"/>
        <v>100.00</v>
      </c>
      <c r="H181" s="1" t="str">
        <f t="shared" si="284"/>
        <v>0104152129</v>
      </c>
      <c r="I181" s="1" t="str">
        <f>"1080.00"</f>
        <v>1080.00</v>
      </c>
      <c r="J181" s="1" t="str">
        <f t="shared" si="279"/>
        <v>5.00</v>
      </c>
      <c r="K181" s="1" t="str">
        <f t="shared" si="285"/>
        <v>0.00</v>
      </c>
      <c r="L181" s="1" t="str">
        <f>"0.02"</f>
        <v>0.02</v>
      </c>
      <c r="M181" s="1" t="str">
        <f t="shared" si="211"/>
        <v>0.00</v>
      </c>
      <c r="N181" s="1" t="str">
        <f t="shared" si="286"/>
        <v>证券买入</v>
      </c>
    </row>
    <row r="182" spans="1:14">
      <c r="A182" s="1" t="str">
        <f t="shared" si="281"/>
        <v>20171013</v>
      </c>
      <c r="B182" s="1" t="str">
        <f>"09:48:02"</f>
        <v>09:48:02</v>
      </c>
      <c r="C182" s="1" t="str">
        <f t="shared" ref="C182:C184" si="287">"000725"</f>
        <v>000725</v>
      </c>
      <c r="D182" s="1" t="str">
        <f t="shared" ref="D182:D184" si="288">"京东方Ａ"</f>
        <v>京东方Ａ</v>
      </c>
      <c r="E182" s="1" t="str">
        <f t="shared" si="282"/>
        <v>买入</v>
      </c>
      <c r="F182" s="1" t="str">
        <f>"4.800"</f>
        <v>4.800</v>
      </c>
      <c r="G182" s="1" t="str">
        <f t="shared" si="283"/>
        <v>100.00</v>
      </c>
      <c r="H182" s="1" t="str">
        <f t="shared" si="284"/>
        <v>0104152129</v>
      </c>
      <c r="I182" s="1" t="str">
        <f>"480.00"</f>
        <v>480.00</v>
      </c>
      <c r="J182" s="1" t="str">
        <f t="shared" si="279"/>
        <v>5.00</v>
      </c>
      <c r="K182" s="1" t="str">
        <f t="shared" si="285"/>
        <v>0.00</v>
      </c>
      <c r="L182" s="1" t="str">
        <f>"0.01"</f>
        <v>0.01</v>
      </c>
      <c r="M182" s="1" t="str">
        <f t="shared" si="211"/>
        <v>0.00</v>
      </c>
      <c r="N182" s="1" t="str">
        <f t="shared" si="286"/>
        <v>证券买入</v>
      </c>
    </row>
    <row r="183" spans="1:14">
      <c r="A183" s="1" t="str">
        <f t="shared" si="281"/>
        <v>20171013</v>
      </c>
      <c r="B183" s="1" t="str">
        <f>"11:14:31"</f>
        <v>11:14:31</v>
      </c>
      <c r="C183" s="1" t="str">
        <f t="shared" si="287"/>
        <v>000725</v>
      </c>
      <c r="D183" s="1" t="str">
        <f t="shared" si="288"/>
        <v>京东方Ａ</v>
      </c>
      <c r="E183" s="1" t="str">
        <f t="shared" si="282"/>
        <v>买入</v>
      </c>
      <c r="F183" s="1" t="str">
        <f>"4.930"</f>
        <v>4.930</v>
      </c>
      <c r="G183" s="1" t="str">
        <f>"1300.00"</f>
        <v>1300.00</v>
      </c>
      <c r="H183" s="1" t="str">
        <f t="shared" si="284"/>
        <v>0104152129</v>
      </c>
      <c r="I183" s="1" t="str">
        <f>"6409.00"</f>
        <v>6409.00</v>
      </c>
      <c r="J183" s="1" t="str">
        <f t="shared" si="279"/>
        <v>5.00</v>
      </c>
      <c r="K183" s="1" t="str">
        <f t="shared" si="285"/>
        <v>0.00</v>
      </c>
      <c r="L183" s="1" t="str">
        <f>"0.13"</f>
        <v>0.13</v>
      </c>
      <c r="M183" s="1" t="str">
        <f t="shared" si="211"/>
        <v>0.00</v>
      </c>
      <c r="N183" s="1" t="str">
        <f t="shared" si="286"/>
        <v>证券买入</v>
      </c>
    </row>
    <row r="184" spans="1:14">
      <c r="A184" s="1" t="str">
        <f t="shared" si="281"/>
        <v>20171013</v>
      </c>
      <c r="B184" s="1" t="str">
        <f>"13:04:44"</f>
        <v>13:04:44</v>
      </c>
      <c r="C184" s="1" t="str">
        <f t="shared" si="287"/>
        <v>000725</v>
      </c>
      <c r="D184" s="1" t="str">
        <f t="shared" si="288"/>
        <v>京东方Ａ</v>
      </c>
      <c r="E184" s="1" t="str">
        <f t="shared" si="282"/>
        <v>买入</v>
      </c>
      <c r="F184" s="1" t="str">
        <f>"5.000"</f>
        <v>5.000</v>
      </c>
      <c r="G184" s="1" t="str">
        <f>"1300.00"</f>
        <v>1300.00</v>
      </c>
      <c r="H184" s="1" t="str">
        <f t="shared" si="284"/>
        <v>0104152129</v>
      </c>
      <c r="I184" s="1" t="str">
        <f>"6500.00"</f>
        <v>6500.00</v>
      </c>
      <c r="J184" s="1" t="str">
        <f t="shared" si="279"/>
        <v>5.00</v>
      </c>
      <c r="K184" s="1" t="str">
        <f t="shared" si="285"/>
        <v>0.00</v>
      </c>
      <c r="L184" s="1" t="str">
        <f>"0.13"</f>
        <v>0.13</v>
      </c>
      <c r="M184" s="1" t="str">
        <f t="shared" si="211"/>
        <v>0.00</v>
      </c>
      <c r="N184" s="1" t="str">
        <f t="shared" si="286"/>
        <v>证券买入</v>
      </c>
    </row>
    <row r="185" spans="1:14">
      <c r="A185" s="1" t="str">
        <f t="shared" si="281"/>
        <v>20171013</v>
      </c>
      <c r="B185" s="1" t="str">
        <f>"22:30:38"</f>
        <v>22:30:38</v>
      </c>
      <c r="C185" s="1" t="str">
        <f>"736607"</f>
        <v>736607</v>
      </c>
      <c r="D185" s="1" t="str">
        <f>"京华配号"</f>
        <v>京华配号</v>
      </c>
      <c r="E185" s="1" t="str">
        <f t="shared" si="282"/>
        <v>买入</v>
      </c>
      <c r="F185" s="1" t="str">
        <f>"0.000"</f>
        <v>0.000</v>
      </c>
      <c r="G185" s="1" t="str">
        <f>"2.00"</f>
        <v>2.00</v>
      </c>
      <c r="H185" s="1" t="str">
        <f t="shared" ref="H185:H189" si="289">"A850418317"</f>
        <v>A850418317</v>
      </c>
      <c r="I185" s="1" t="str">
        <f t="shared" ref="I185:L185" si="290">"0.00"</f>
        <v>0.00</v>
      </c>
      <c r="J185" s="1" t="str">
        <f t="shared" si="290"/>
        <v>0.00</v>
      </c>
      <c r="K185" s="1" t="str">
        <f t="shared" si="285"/>
        <v>0.00</v>
      </c>
      <c r="L185" s="1" t="str">
        <f t="shared" si="290"/>
        <v>0.00</v>
      </c>
      <c r="M185" s="1" t="str">
        <f t="shared" si="211"/>
        <v>0.00</v>
      </c>
      <c r="N185" s="1" t="str">
        <f>"起始配号:100024737271"</f>
        <v>起始配号:100024737271</v>
      </c>
    </row>
    <row r="186" spans="1:14">
      <c r="A186" s="1" t="str">
        <f t="shared" si="281"/>
        <v>20171013</v>
      </c>
      <c r="B186" s="1" t="str">
        <f>"22:29:53"</f>
        <v>22:29:53</v>
      </c>
      <c r="C186" s="1" t="str">
        <f>"736722"</f>
        <v>736722</v>
      </c>
      <c r="D186" s="1" t="str">
        <f>"阿科配号"</f>
        <v>阿科配号</v>
      </c>
      <c r="E186" s="1" t="str">
        <f t="shared" si="282"/>
        <v>买入</v>
      </c>
      <c r="F186" s="1" t="str">
        <f>"0.000"</f>
        <v>0.000</v>
      </c>
      <c r="G186" s="1" t="str">
        <f>"2.00"</f>
        <v>2.00</v>
      </c>
      <c r="H186" s="1" t="str">
        <f t="shared" si="289"/>
        <v>A850418317</v>
      </c>
      <c r="I186" s="1" t="str">
        <f t="shared" ref="I186:L186" si="291">"0.00"</f>
        <v>0.00</v>
      </c>
      <c r="J186" s="1" t="str">
        <f t="shared" si="291"/>
        <v>0.00</v>
      </c>
      <c r="K186" s="1" t="str">
        <f t="shared" si="285"/>
        <v>0.00</v>
      </c>
      <c r="L186" s="1" t="str">
        <f t="shared" si="291"/>
        <v>0.00</v>
      </c>
      <c r="M186" s="1" t="str">
        <f t="shared" si="211"/>
        <v>0.00</v>
      </c>
      <c r="N186" s="1" t="str">
        <f>"起始配号:100022918494"</f>
        <v>起始配号:100022918494</v>
      </c>
    </row>
    <row r="187" spans="1:14">
      <c r="A187" s="1" t="str">
        <f t="shared" ref="A187:A195" si="292">"20171017"</f>
        <v>20171017</v>
      </c>
      <c r="B187" s="1" t="str">
        <f>"10:06:52"</f>
        <v>10:06:52</v>
      </c>
      <c r="C187" s="1" t="str">
        <f>"603223"</f>
        <v>603223</v>
      </c>
      <c r="D187" s="1" t="str">
        <f>"恒通股份"</f>
        <v>恒通股份</v>
      </c>
      <c r="E187" s="1" t="str">
        <f t="shared" ref="E187:E190" si="293">"卖出"</f>
        <v>卖出</v>
      </c>
      <c r="F187" s="1" t="str">
        <f>"28.100"</f>
        <v>28.100</v>
      </c>
      <c r="G187" s="1" t="str">
        <f t="shared" ref="G187:G189" si="294">"-100.00"</f>
        <v>-100.00</v>
      </c>
      <c r="H187" s="1" t="str">
        <f t="shared" si="289"/>
        <v>A850418317</v>
      </c>
      <c r="I187" s="1" t="str">
        <f>"2810.00"</f>
        <v>2810.00</v>
      </c>
      <c r="J187" s="1" t="str">
        <f t="shared" ref="J187:J198" si="295">"5.00"</f>
        <v>5.00</v>
      </c>
      <c r="K187" s="1" t="str">
        <f>"2.81"</f>
        <v>2.81</v>
      </c>
      <c r="L187" s="1" t="str">
        <f>"0.06"</f>
        <v>0.06</v>
      </c>
      <c r="M187" s="1" t="str">
        <f t="shared" si="211"/>
        <v>0.00</v>
      </c>
      <c r="N187" s="1" t="str">
        <f t="shared" ref="N187:N190" si="296">"证券卖出"</f>
        <v>证券卖出</v>
      </c>
    </row>
    <row r="188" spans="1:14">
      <c r="A188" s="1" t="str">
        <f t="shared" si="292"/>
        <v>20171017</v>
      </c>
      <c r="B188" s="1" t="str">
        <f>"10:07:13"</f>
        <v>10:07:13</v>
      </c>
      <c r="C188" s="1" t="str">
        <f>"603589"</f>
        <v>603589</v>
      </c>
      <c r="D188" s="1" t="str">
        <f>"口子窖"</f>
        <v>口子窖</v>
      </c>
      <c r="E188" s="1" t="str">
        <f t="shared" si="293"/>
        <v>卖出</v>
      </c>
      <c r="F188" s="1" t="str">
        <f>"49.420"</f>
        <v>49.420</v>
      </c>
      <c r="G188" s="1" t="str">
        <f t="shared" si="294"/>
        <v>-100.00</v>
      </c>
      <c r="H188" s="1" t="str">
        <f t="shared" si="289"/>
        <v>A850418317</v>
      </c>
      <c r="I188" s="1" t="str">
        <f>"4942.00"</f>
        <v>4942.00</v>
      </c>
      <c r="J188" s="1" t="str">
        <f t="shared" si="295"/>
        <v>5.00</v>
      </c>
      <c r="K188" s="1" t="str">
        <f>"4.94"</f>
        <v>4.94</v>
      </c>
      <c r="L188" s="1" t="str">
        <f>"0.10"</f>
        <v>0.10</v>
      </c>
      <c r="M188" s="1" t="str">
        <f t="shared" si="211"/>
        <v>0.00</v>
      </c>
      <c r="N188" s="1" t="str">
        <f t="shared" si="296"/>
        <v>证券卖出</v>
      </c>
    </row>
    <row r="189" spans="1:14">
      <c r="A189" s="1" t="str">
        <f t="shared" si="292"/>
        <v>20171017</v>
      </c>
      <c r="B189" s="1" t="str">
        <f>"10:07:44"</f>
        <v>10:07:44</v>
      </c>
      <c r="C189" s="1" t="str">
        <f>"603589"</f>
        <v>603589</v>
      </c>
      <c r="D189" s="1" t="str">
        <f>"口子窖"</f>
        <v>口子窖</v>
      </c>
      <c r="E189" s="1" t="str">
        <f t="shared" si="293"/>
        <v>卖出</v>
      </c>
      <c r="F189" s="1" t="str">
        <f>"49.440"</f>
        <v>49.440</v>
      </c>
      <c r="G189" s="1" t="str">
        <f t="shared" si="294"/>
        <v>-100.00</v>
      </c>
      <c r="H189" s="1" t="str">
        <f t="shared" si="289"/>
        <v>A850418317</v>
      </c>
      <c r="I189" s="1" t="str">
        <f>"4944.00"</f>
        <v>4944.00</v>
      </c>
      <c r="J189" s="1" t="str">
        <f t="shared" si="295"/>
        <v>5.00</v>
      </c>
      <c r="K189" s="1" t="str">
        <f>"4.94"</f>
        <v>4.94</v>
      </c>
      <c r="L189" s="1" t="str">
        <f>"0.10"</f>
        <v>0.10</v>
      </c>
      <c r="M189" s="1" t="str">
        <f t="shared" si="211"/>
        <v>0.00</v>
      </c>
      <c r="N189" s="1" t="str">
        <f t="shared" si="296"/>
        <v>证券卖出</v>
      </c>
    </row>
    <row r="190" spans="1:14">
      <c r="A190" s="1" t="str">
        <f t="shared" si="292"/>
        <v>20171017</v>
      </c>
      <c r="B190" s="1" t="str">
        <f>"09:43:01"</f>
        <v>09:43:01</v>
      </c>
      <c r="C190" s="1" t="str">
        <f>"000725"</f>
        <v>000725</v>
      </c>
      <c r="D190" s="1" t="str">
        <f>"京东方Ａ"</f>
        <v>京东方Ａ</v>
      </c>
      <c r="E190" s="1" t="str">
        <f t="shared" si="293"/>
        <v>卖出</v>
      </c>
      <c r="F190" s="1" t="str">
        <f>"5.080"</f>
        <v>5.080</v>
      </c>
      <c r="G190" s="1" t="str">
        <f>"-2700.00"</f>
        <v>-2700.00</v>
      </c>
      <c r="H190" s="1" t="str">
        <f t="shared" ref="H190:H198" si="297">"0104152129"</f>
        <v>0104152129</v>
      </c>
      <c r="I190" s="1" t="str">
        <f>"13716.00"</f>
        <v>13716.00</v>
      </c>
      <c r="J190" s="1" t="str">
        <f t="shared" si="295"/>
        <v>5.00</v>
      </c>
      <c r="K190" s="1" t="str">
        <f>"13.72"</f>
        <v>13.72</v>
      </c>
      <c r="L190" s="1" t="str">
        <f>"0.27"</f>
        <v>0.27</v>
      </c>
      <c r="M190" s="1" t="str">
        <f t="shared" si="211"/>
        <v>0.00</v>
      </c>
      <c r="N190" s="1" t="str">
        <f t="shared" si="296"/>
        <v>证券卖出</v>
      </c>
    </row>
    <row r="191" spans="1:14">
      <c r="A191" s="1" t="str">
        <f t="shared" si="292"/>
        <v>20171017</v>
      </c>
      <c r="B191" s="1" t="str">
        <f>"09:46:09"</f>
        <v>09:46:09</v>
      </c>
      <c r="C191" s="1" t="str">
        <f>"000791"</f>
        <v>000791</v>
      </c>
      <c r="D191" s="1" t="str">
        <f>"甘肃电投"</f>
        <v>甘肃电投</v>
      </c>
      <c r="E191" s="1" t="str">
        <f t="shared" ref="E191:E195" si="298">"买入"</f>
        <v>买入</v>
      </c>
      <c r="F191" s="1" t="str">
        <f>"10.530"</f>
        <v>10.530</v>
      </c>
      <c r="G191" s="1" t="str">
        <f>"200.00"</f>
        <v>200.00</v>
      </c>
      <c r="H191" s="1" t="str">
        <f t="shared" si="297"/>
        <v>0104152129</v>
      </c>
      <c r="I191" s="1" t="str">
        <f>"2106.00"</f>
        <v>2106.00</v>
      </c>
      <c r="J191" s="1" t="str">
        <f t="shared" si="295"/>
        <v>5.00</v>
      </c>
      <c r="K191" s="1" t="str">
        <f t="shared" ref="K191:K195" si="299">"0.00"</f>
        <v>0.00</v>
      </c>
      <c r="L191" s="1" t="str">
        <f>"0.04"</f>
        <v>0.04</v>
      </c>
      <c r="M191" s="1" t="str">
        <f t="shared" si="211"/>
        <v>0.00</v>
      </c>
      <c r="N191" s="1" t="str">
        <f t="shared" ref="N191:N195" si="300">"证券买入"</f>
        <v>证券买入</v>
      </c>
    </row>
    <row r="192" spans="1:14">
      <c r="A192" s="1" t="str">
        <f t="shared" si="292"/>
        <v>20171017</v>
      </c>
      <c r="B192" s="1" t="str">
        <f>"10:02:48"</f>
        <v>10:02:48</v>
      </c>
      <c r="C192" s="1" t="str">
        <f>"300176"</f>
        <v>300176</v>
      </c>
      <c r="D192" s="1" t="str">
        <f>"鸿特精密"</f>
        <v>鸿特精密</v>
      </c>
      <c r="E192" s="1" t="str">
        <f t="shared" si="298"/>
        <v>买入</v>
      </c>
      <c r="F192" s="1" t="str">
        <f>"107.750"</f>
        <v>107.750</v>
      </c>
      <c r="G192" s="1" t="str">
        <f t="shared" ref="G192:G195" si="301">"100.00"</f>
        <v>100.00</v>
      </c>
      <c r="H192" s="1" t="str">
        <f t="shared" si="297"/>
        <v>0104152129</v>
      </c>
      <c r="I192" s="1" t="str">
        <f>"10775.00"</f>
        <v>10775.00</v>
      </c>
      <c r="J192" s="1" t="str">
        <f t="shared" si="295"/>
        <v>5.00</v>
      </c>
      <c r="K192" s="1" t="str">
        <f t="shared" si="299"/>
        <v>0.00</v>
      </c>
      <c r="L192" s="1" t="str">
        <f>"0.22"</f>
        <v>0.22</v>
      </c>
      <c r="M192" s="1" t="str">
        <f t="shared" si="211"/>
        <v>0.00</v>
      </c>
      <c r="N192" s="1" t="str">
        <f t="shared" si="300"/>
        <v>证券买入</v>
      </c>
    </row>
    <row r="193" spans="1:14">
      <c r="A193" s="1" t="str">
        <f t="shared" si="292"/>
        <v>20171017</v>
      </c>
      <c r="B193" s="1" t="str">
        <f>"10:07:07"</f>
        <v>10:07:07</v>
      </c>
      <c r="C193" s="1" t="str">
        <f>"000791"</f>
        <v>000791</v>
      </c>
      <c r="D193" s="1" t="str">
        <f>"甘肃电投"</f>
        <v>甘肃电投</v>
      </c>
      <c r="E193" s="1" t="str">
        <f t="shared" ref="E193:E197" si="302">"卖出"</f>
        <v>卖出</v>
      </c>
      <c r="F193" s="1" t="str">
        <f>"10.370"</f>
        <v>10.370</v>
      </c>
      <c r="G193" s="1" t="str">
        <f>"-200.00"</f>
        <v>-200.00</v>
      </c>
      <c r="H193" s="1" t="str">
        <f t="shared" si="297"/>
        <v>0104152129</v>
      </c>
      <c r="I193" s="1" t="str">
        <f>"2074.00"</f>
        <v>2074.00</v>
      </c>
      <c r="J193" s="1" t="str">
        <f t="shared" si="295"/>
        <v>5.00</v>
      </c>
      <c r="K193" s="1" t="str">
        <f>"2.07"</f>
        <v>2.07</v>
      </c>
      <c r="L193" s="1" t="str">
        <f>"0.04"</f>
        <v>0.04</v>
      </c>
      <c r="M193" s="1" t="str">
        <f t="shared" si="211"/>
        <v>0.00</v>
      </c>
      <c r="N193" s="1" t="str">
        <f t="shared" ref="N193:N197" si="303">"证券卖出"</f>
        <v>证券卖出</v>
      </c>
    </row>
    <row r="194" spans="1:14">
      <c r="A194" s="1" t="str">
        <f t="shared" si="292"/>
        <v>20171017</v>
      </c>
      <c r="B194" s="1" t="str">
        <f>"10:08:05"</f>
        <v>10:08:05</v>
      </c>
      <c r="C194" s="1" t="str">
        <f>"300176"</f>
        <v>300176</v>
      </c>
      <c r="D194" s="1" t="str">
        <f>"鸿特精密"</f>
        <v>鸿特精密</v>
      </c>
      <c r="E194" s="1" t="str">
        <f t="shared" si="298"/>
        <v>买入</v>
      </c>
      <c r="F194" s="1" t="str">
        <f>"109.850"</f>
        <v>109.850</v>
      </c>
      <c r="G194" s="1" t="str">
        <f t="shared" si="301"/>
        <v>100.00</v>
      </c>
      <c r="H194" s="1" t="str">
        <f t="shared" si="297"/>
        <v>0104152129</v>
      </c>
      <c r="I194" s="1" t="str">
        <f>"10985.00"</f>
        <v>10985.00</v>
      </c>
      <c r="J194" s="1" t="str">
        <f t="shared" si="295"/>
        <v>5.00</v>
      </c>
      <c r="K194" s="1" t="str">
        <f t="shared" si="299"/>
        <v>0.00</v>
      </c>
      <c r="L194" s="1" t="str">
        <f>"0.22"</f>
        <v>0.22</v>
      </c>
      <c r="M194" s="1" t="str">
        <f t="shared" si="211"/>
        <v>0.00</v>
      </c>
      <c r="N194" s="1" t="str">
        <f t="shared" si="300"/>
        <v>证券买入</v>
      </c>
    </row>
    <row r="195" spans="1:14">
      <c r="A195" s="1" t="str">
        <f t="shared" si="292"/>
        <v>20171017</v>
      </c>
      <c r="B195" s="1" t="str">
        <f>"11:03:35"</f>
        <v>11:03:35</v>
      </c>
      <c r="C195" s="1" t="str">
        <f>"002273"</f>
        <v>002273</v>
      </c>
      <c r="D195" s="1" t="str">
        <f>"水晶光电"</f>
        <v>水晶光电</v>
      </c>
      <c r="E195" s="1" t="str">
        <f t="shared" si="298"/>
        <v>买入</v>
      </c>
      <c r="F195" s="1" t="str">
        <f>"28.240"</f>
        <v>28.240</v>
      </c>
      <c r="G195" s="1" t="str">
        <f t="shared" si="301"/>
        <v>100.00</v>
      </c>
      <c r="H195" s="1" t="str">
        <f t="shared" si="297"/>
        <v>0104152129</v>
      </c>
      <c r="I195" s="1" t="str">
        <f>"2824.00"</f>
        <v>2824.00</v>
      </c>
      <c r="J195" s="1" t="str">
        <f t="shared" si="295"/>
        <v>5.00</v>
      </c>
      <c r="K195" s="1" t="str">
        <f t="shared" si="299"/>
        <v>0.00</v>
      </c>
      <c r="L195" s="1" t="str">
        <f>"0.06"</f>
        <v>0.06</v>
      </c>
      <c r="M195" s="1" t="str">
        <f t="shared" si="211"/>
        <v>0.00</v>
      </c>
      <c r="N195" s="1" t="str">
        <f t="shared" si="300"/>
        <v>证券买入</v>
      </c>
    </row>
    <row r="196" spans="1:14">
      <c r="A196" s="1" t="str">
        <f t="shared" ref="A196:A199" si="304">"20171018"</f>
        <v>20171018</v>
      </c>
      <c r="B196" s="1" t="str">
        <f>"09:25:00"</f>
        <v>09:25:00</v>
      </c>
      <c r="C196" s="1" t="str">
        <f>"002273"</f>
        <v>002273</v>
      </c>
      <c r="D196" s="1" t="str">
        <f>"水晶光电"</f>
        <v>水晶光电</v>
      </c>
      <c r="E196" s="1" t="str">
        <f t="shared" si="302"/>
        <v>卖出</v>
      </c>
      <c r="F196" s="1" t="str">
        <f>"27.010"</f>
        <v>27.010</v>
      </c>
      <c r="G196" s="1" t="str">
        <f>"-100.00"</f>
        <v>-100.00</v>
      </c>
      <c r="H196" s="1" t="str">
        <f t="shared" si="297"/>
        <v>0104152129</v>
      </c>
      <c r="I196" s="1" t="str">
        <f>"2701.00"</f>
        <v>2701.00</v>
      </c>
      <c r="J196" s="1" t="str">
        <f t="shared" si="295"/>
        <v>5.00</v>
      </c>
      <c r="K196" s="1" t="str">
        <f>"2.70"</f>
        <v>2.70</v>
      </c>
      <c r="L196" s="1" t="str">
        <f>"0.05"</f>
        <v>0.05</v>
      </c>
      <c r="M196" s="1" t="str">
        <f t="shared" si="211"/>
        <v>0.00</v>
      </c>
      <c r="N196" s="1" t="str">
        <f t="shared" si="303"/>
        <v>证券卖出</v>
      </c>
    </row>
    <row r="197" spans="1:14">
      <c r="A197" s="1" t="str">
        <f t="shared" si="304"/>
        <v>20171018</v>
      </c>
      <c r="B197" s="1" t="str">
        <f>"09:31:30"</f>
        <v>09:31:30</v>
      </c>
      <c r="C197" s="1" t="str">
        <f>"000791"</f>
        <v>000791</v>
      </c>
      <c r="D197" s="1" t="str">
        <f>"甘肃电投"</f>
        <v>甘肃电投</v>
      </c>
      <c r="E197" s="1" t="str">
        <f t="shared" si="302"/>
        <v>卖出</v>
      </c>
      <c r="F197" s="1" t="str">
        <f>"10.030"</f>
        <v>10.030</v>
      </c>
      <c r="G197" s="1" t="str">
        <f>"-200.00"</f>
        <v>-200.00</v>
      </c>
      <c r="H197" s="1" t="str">
        <f t="shared" si="297"/>
        <v>0104152129</v>
      </c>
      <c r="I197" s="1" t="str">
        <f>"2006.00"</f>
        <v>2006.00</v>
      </c>
      <c r="J197" s="1" t="str">
        <f t="shared" si="295"/>
        <v>5.00</v>
      </c>
      <c r="K197" s="1" t="str">
        <f>"2.01"</f>
        <v>2.01</v>
      </c>
      <c r="L197" s="1" t="str">
        <f>"0.04"</f>
        <v>0.04</v>
      </c>
      <c r="M197" s="1" t="str">
        <f t="shared" si="211"/>
        <v>0.00</v>
      </c>
      <c r="N197" s="1" t="str">
        <f t="shared" si="303"/>
        <v>证券卖出</v>
      </c>
    </row>
    <row r="198" spans="1:14">
      <c r="A198" s="1" t="str">
        <f t="shared" si="304"/>
        <v>20171018</v>
      </c>
      <c r="B198" s="1" t="str">
        <f>"09:37:36"</f>
        <v>09:37:36</v>
      </c>
      <c r="C198" s="1" t="str">
        <f>"000513"</f>
        <v>000513</v>
      </c>
      <c r="D198" s="1" t="str">
        <f>"丽珠集团"</f>
        <v>丽珠集团</v>
      </c>
      <c r="E198" s="1" t="str">
        <f t="shared" ref="E198:E200" si="305">"买入"</f>
        <v>买入</v>
      </c>
      <c r="F198" s="1" t="str">
        <f>"62.150"</f>
        <v>62.150</v>
      </c>
      <c r="G198" s="1" t="str">
        <f>"100.00"</f>
        <v>100.00</v>
      </c>
      <c r="H198" s="1" t="str">
        <f t="shared" si="297"/>
        <v>0104152129</v>
      </c>
      <c r="I198" s="1" t="str">
        <f>"6215.00"</f>
        <v>6215.00</v>
      </c>
      <c r="J198" s="1" t="str">
        <f t="shared" si="295"/>
        <v>5.00</v>
      </c>
      <c r="K198" s="1" t="str">
        <f t="shared" ref="K198:K207" si="306">"0.00"</f>
        <v>0.00</v>
      </c>
      <c r="L198" s="1" t="str">
        <f>"0.12"</f>
        <v>0.12</v>
      </c>
      <c r="M198" s="1" t="str">
        <f t="shared" si="211"/>
        <v>0.00</v>
      </c>
      <c r="N198" s="1" t="str">
        <f>"证券买入"</f>
        <v>证券买入</v>
      </c>
    </row>
    <row r="199" spans="1:14">
      <c r="A199" s="1" t="str">
        <f t="shared" si="304"/>
        <v>20171018</v>
      </c>
      <c r="B199" s="1" t="str">
        <f>"21:29:22"</f>
        <v>21:29:22</v>
      </c>
      <c r="C199" s="1" t="str">
        <f>"736260"</f>
        <v>736260</v>
      </c>
      <c r="D199" s="1" t="str">
        <f>"合盛配号"</f>
        <v>合盛配号</v>
      </c>
      <c r="E199" s="1" t="str">
        <f t="shared" si="305"/>
        <v>买入</v>
      </c>
      <c r="F199" s="1" t="str">
        <f t="shared" ref="F199:F204" si="307">"0.000"</f>
        <v>0.000</v>
      </c>
      <c r="G199" s="1" t="str">
        <f t="shared" ref="G199:G204" si="308">"2.00"</f>
        <v>2.00</v>
      </c>
      <c r="H199" s="1" t="str">
        <f t="shared" ref="H199:H203" si="309">"A850418317"</f>
        <v>A850418317</v>
      </c>
      <c r="I199" s="1" t="str">
        <f t="shared" ref="I199:M199" si="310">"0.00"</f>
        <v>0.00</v>
      </c>
      <c r="J199" s="1" t="str">
        <f t="shared" si="310"/>
        <v>0.00</v>
      </c>
      <c r="K199" s="1" t="str">
        <f t="shared" si="310"/>
        <v>0.00</v>
      </c>
      <c r="L199" s="1" t="str">
        <f t="shared" si="310"/>
        <v>0.00</v>
      </c>
      <c r="M199" s="1" t="str">
        <f t="shared" si="310"/>
        <v>0.00</v>
      </c>
      <c r="N199" s="1" t="str">
        <f>"起始配号:100024016002"</f>
        <v>起始配号:100024016002</v>
      </c>
    </row>
    <row r="200" spans="1:14">
      <c r="A200" s="1" t="str">
        <f>"20171019"</f>
        <v>20171019</v>
      </c>
      <c r="B200" s="1" t="str">
        <f>"21:26:15"</f>
        <v>21:26:15</v>
      </c>
      <c r="C200" s="1" t="str">
        <f>"736289"</f>
        <v>736289</v>
      </c>
      <c r="D200" s="1" t="str">
        <f>"泰瑞配号"</f>
        <v>泰瑞配号</v>
      </c>
      <c r="E200" s="1" t="str">
        <f t="shared" si="305"/>
        <v>买入</v>
      </c>
      <c r="F200" s="1" t="str">
        <f t="shared" si="307"/>
        <v>0.000</v>
      </c>
      <c r="G200" s="1" t="str">
        <f t="shared" si="308"/>
        <v>2.00</v>
      </c>
      <c r="H200" s="1" t="str">
        <f t="shared" si="309"/>
        <v>A850418317</v>
      </c>
      <c r="I200" s="1" t="str">
        <f t="shared" ref="I200:M200" si="311">"0.00"</f>
        <v>0.00</v>
      </c>
      <c r="J200" s="1" t="str">
        <f t="shared" si="311"/>
        <v>0.00</v>
      </c>
      <c r="K200" s="1" t="str">
        <f t="shared" si="311"/>
        <v>0.00</v>
      </c>
      <c r="L200" s="1" t="str">
        <f t="shared" si="311"/>
        <v>0.00</v>
      </c>
      <c r="M200" s="1" t="str">
        <f t="shared" si="311"/>
        <v>0.00</v>
      </c>
      <c r="N200" s="1" t="str">
        <f>"起始配号:100028616111"</f>
        <v>起始配号:100028616111</v>
      </c>
    </row>
    <row r="201" spans="1:14">
      <c r="A201" s="1" t="str">
        <f t="shared" ref="A201:A204" si="312">"20171020"</f>
        <v>20171020</v>
      </c>
      <c r="B201" s="1" t="str">
        <f>"14:56:39"</f>
        <v>14:56:39</v>
      </c>
      <c r="C201" s="1" t="str">
        <f>"300176"</f>
        <v>300176</v>
      </c>
      <c r="D201" s="1" t="str">
        <f>"鸿特精密"</f>
        <v>鸿特精密</v>
      </c>
      <c r="E201" s="1" t="str">
        <f>"卖出"</f>
        <v>卖出</v>
      </c>
      <c r="F201" s="1" t="str">
        <f>"125.950"</f>
        <v>125.950</v>
      </c>
      <c r="G201" s="1" t="str">
        <f>"-200.00"</f>
        <v>-200.00</v>
      </c>
      <c r="H201" s="1" t="str">
        <f t="shared" ref="H201:H204" si="313">"0104152129"</f>
        <v>0104152129</v>
      </c>
      <c r="I201" s="1" t="str">
        <f>"25190.00"</f>
        <v>25190.00</v>
      </c>
      <c r="J201" s="1" t="str">
        <f>"5.79"</f>
        <v>5.79</v>
      </c>
      <c r="K201" s="1" t="str">
        <f>"25.19"</f>
        <v>25.19</v>
      </c>
      <c r="L201" s="1" t="str">
        <f>"0.50"</f>
        <v>0.50</v>
      </c>
      <c r="M201" s="1" t="str">
        <f t="shared" ref="M201:M266" si="314">"0.00"</f>
        <v>0.00</v>
      </c>
      <c r="N201" s="1" t="str">
        <f>"证券卖出"</f>
        <v>证券卖出</v>
      </c>
    </row>
    <row r="202" spans="1:14">
      <c r="A202" s="1" t="str">
        <f t="shared" si="312"/>
        <v>20171020</v>
      </c>
      <c r="B202" s="1" t="str">
        <f>"15:00:00"</f>
        <v>15:00:00</v>
      </c>
      <c r="C202" s="1" t="str">
        <f>"000513"</f>
        <v>000513</v>
      </c>
      <c r="D202" s="1" t="str">
        <f>"丽珠集团"</f>
        <v>丽珠集团</v>
      </c>
      <c r="E202" s="1" t="str">
        <f t="shared" ref="E202:E207" si="315">"买入"</f>
        <v>买入</v>
      </c>
      <c r="F202" s="1" t="str">
        <f>"59.480"</f>
        <v>59.480</v>
      </c>
      <c r="G202" s="1" t="str">
        <f>"400.00"</f>
        <v>400.00</v>
      </c>
      <c r="H202" s="1" t="str">
        <f t="shared" si="313"/>
        <v>0104152129</v>
      </c>
      <c r="I202" s="1" t="str">
        <f>"23792.00"</f>
        <v>23792.00</v>
      </c>
      <c r="J202" s="1" t="str">
        <f>"5.47"</f>
        <v>5.47</v>
      </c>
      <c r="K202" s="1" t="str">
        <f t="shared" si="306"/>
        <v>0.00</v>
      </c>
      <c r="L202" s="1" t="str">
        <f>"0.48"</f>
        <v>0.48</v>
      </c>
      <c r="M202" s="1" t="str">
        <f t="shared" si="314"/>
        <v>0.00</v>
      </c>
      <c r="N202" s="1" t="str">
        <f t="shared" ref="N202:N207" si="316">"证券买入"</f>
        <v>证券买入</v>
      </c>
    </row>
    <row r="203" spans="1:14">
      <c r="A203" s="1" t="str">
        <f t="shared" si="312"/>
        <v>20171020</v>
      </c>
      <c r="B203" s="1" t="str">
        <f>"22:49:50"</f>
        <v>22:49:50</v>
      </c>
      <c r="C203" s="1" t="str">
        <f>"736912"</f>
        <v>736912</v>
      </c>
      <c r="D203" s="1" t="str">
        <f>"佳力配号"</f>
        <v>佳力配号</v>
      </c>
      <c r="E203" s="1" t="str">
        <f t="shared" si="315"/>
        <v>买入</v>
      </c>
      <c r="F203" s="1" t="str">
        <f t="shared" si="307"/>
        <v>0.000</v>
      </c>
      <c r="G203" s="1" t="str">
        <f>"1.00"</f>
        <v>1.00</v>
      </c>
      <c r="H203" s="1" t="str">
        <f t="shared" si="309"/>
        <v>A850418317</v>
      </c>
      <c r="I203" s="1" t="str">
        <f t="shared" ref="I203:M203" si="317">"0.00"</f>
        <v>0.00</v>
      </c>
      <c r="J203" s="1" t="str">
        <f t="shared" si="317"/>
        <v>0.00</v>
      </c>
      <c r="K203" s="1" t="str">
        <f t="shared" si="306"/>
        <v>0.00</v>
      </c>
      <c r="L203" s="1" t="str">
        <f t="shared" si="317"/>
        <v>0.00</v>
      </c>
      <c r="M203" s="1" t="str">
        <f t="shared" si="317"/>
        <v>0.00</v>
      </c>
      <c r="N203" s="1" t="str">
        <f>"起始配号:100018303562"</f>
        <v>起始配号:100018303562</v>
      </c>
    </row>
    <row r="204" spans="1:14">
      <c r="A204" s="1" t="str">
        <f t="shared" si="312"/>
        <v>20171020</v>
      </c>
      <c r="B204" s="1" t="str">
        <f>"22:51:35"</f>
        <v>22:51:35</v>
      </c>
      <c r="C204" s="1" t="str">
        <f>"300711"</f>
        <v>300711</v>
      </c>
      <c r="D204" s="1" t="str">
        <f>"广哈通信"</f>
        <v>广哈通信</v>
      </c>
      <c r="E204" s="1" t="str">
        <f t="shared" si="315"/>
        <v>买入</v>
      </c>
      <c r="F204" s="1" t="str">
        <f t="shared" si="307"/>
        <v>0.000</v>
      </c>
      <c r="G204" s="1" t="str">
        <f t="shared" si="308"/>
        <v>2.00</v>
      </c>
      <c r="H204" s="1" t="str">
        <f t="shared" si="313"/>
        <v>0104152129</v>
      </c>
      <c r="I204" s="1" t="str">
        <f t="shared" ref="I204:M204" si="318">"0.00"</f>
        <v>0.00</v>
      </c>
      <c r="J204" s="1" t="str">
        <f t="shared" si="318"/>
        <v>0.00</v>
      </c>
      <c r="K204" s="1" t="str">
        <f t="shared" si="306"/>
        <v>0.00</v>
      </c>
      <c r="L204" s="1" t="str">
        <f t="shared" si="318"/>
        <v>0.00</v>
      </c>
      <c r="M204" s="1" t="str">
        <f t="shared" si="318"/>
        <v>0.00</v>
      </c>
      <c r="N204" s="1" t="str">
        <f>"起始配号:37905995"</f>
        <v>起始配号:37905995</v>
      </c>
    </row>
    <row r="205" spans="1:14">
      <c r="A205" s="1" t="str">
        <f t="shared" ref="A205:A212" si="319">"20171023"</f>
        <v>20171023</v>
      </c>
      <c r="B205" s="1" t="str">
        <f>"10:38:06"</f>
        <v>10:38:06</v>
      </c>
      <c r="C205" s="1" t="str">
        <f>"600732"</f>
        <v>600732</v>
      </c>
      <c r="D205" s="1" t="str">
        <f>"ST新梅"</f>
        <v>ST新梅</v>
      </c>
      <c r="E205" s="1" t="str">
        <f t="shared" si="315"/>
        <v>买入</v>
      </c>
      <c r="F205" s="1" t="str">
        <f>"7.610"</f>
        <v>7.610</v>
      </c>
      <c r="G205" s="1" t="str">
        <f>"200.00"</f>
        <v>200.00</v>
      </c>
      <c r="H205" s="1" t="str">
        <f t="shared" ref="H205:H207" si="320">"A850418317"</f>
        <v>A850418317</v>
      </c>
      <c r="I205" s="1" t="str">
        <f>"1522.00"</f>
        <v>1522.00</v>
      </c>
      <c r="J205" s="1" t="str">
        <f t="shared" ref="J205:J207" si="321">"5.00"</f>
        <v>5.00</v>
      </c>
      <c r="K205" s="1" t="str">
        <f t="shared" si="306"/>
        <v>0.00</v>
      </c>
      <c r="L205" s="1" t="str">
        <f>"0.03"</f>
        <v>0.03</v>
      </c>
      <c r="M205" s="1" t="str">
        <f t="shared" si="314"/>
        <v>0.00</v>
      </c>
      <c r="N205" s="1" t="str">
        <f t="shared" si="316"/>
        <v>证券买入</v>
      </c>
    </row>
    <row r="206" spans="1:14">
      <c r="A206" s="1" t="str">
        <f t="shared" si="319"/>
        <v>20171023</v>
      </c>
      <c r="B206" s="1" t="str">
        <f>"10:45:57"</f>
        <v>10:45:57</v>
      </c>
      <c r="C206" s="1" t="str">
        <f>"600732"</f>
        <v>600732</v>
      </c>
      <c r="D206" s="1" t="str">
        <f>"ST新梅"</f>
        <v>ST新梅</v>
      </c>
      <c r="E206" s="1" t="str">
        <f t="shared" si="315"/>
        <v>买入</v>
      </c>
      <c r="F206" s="1" t="str">
        <f>"7.570"</f>
        <v>7.570</v>
      </c>
      <c r="G206" s="1" t="str">
        <f>"200.00"</f>
        <v>200.00</v>
      </c>
      <c r="H206" s="1" t="str">
        <f t="shared" si="320"/>
        <v>A850418317</v>
      </c>
      <c r="I206" s="1" t="str">
        <f>"1514.00"</f>
        <v>1514.00</v>
      </c>
      <c r="J206" s="1" t="str">
        <f t="shared" si="321"/>
        <v>5.00</v>
      </c>
      <c r="K206" s="1" t="str">
        <f t="shared" si="306"/>
        <v>0.00</v>
      </c>
      <c r="L206" s="1" t="str">
        <f>"0.03"</f>
        <v>0.03</v>
      </c>
      <c r="M206" s="1" t="str">
        <f t="shared" si="314"/>
        <v>0.00</v>
      </c>
      <c r="N206" s="1" t="str">
        <f t="shared" si="316"/>
        <v>证券买入</v>
      </c>
    </row>
    <row r="207" spans="1:14">
      <c r="A207" s="1" t="str">
        <f t="shared" si="319"/>
        <v>20171023</v>
      </c>
      <c r="B207" s="1" t="str">
        <f>"11:10:45"</f>
        <v>11:10:45</v>
      </c>
      <c r="C207" s="1" t="str">
        <f>"600676"</f>
        <v>600676</v>
      </c>
      <c r="D207" s="1" t="str">
        <f>"交运股份"</f>
        <v>交运股份</v>
      </c>
      <c r="E207" s="1" t="str">
        <f t="shared" si="315"/>
        <v>买入</v>
      </c>
      <c r="F207" s="1" t="str">
        <f>"8.880"</f>
        <v>8.880</v>
      </c>
      <c r="G207" s="1" t="str">
        <f>"1000.00"</f>
        <v>1000.00</v>
      </c>
      <c r="H207" s="1" t="str">
        <f t="shared" si="320"/>
        <v>A850418317</v>
      </c>
      <c r="I207" s="1" t="str">
        <f>"8880.00"</f>
        <v>8880.00</v>
      </c>
      <c r="J207" s="1" t="str">
        <f t="shared" si="321"/>
        <v>5.00</v>
      </c>
      <c r="K207" s="1" t="str">
        <f t="shared" si="306"/>
        <v>0.00</v>
      </c>
      <c r="L207" s="1" t="str">
        <f>"0.18"</f>
        <v>0.18</v>
      </c>
      <c r="M207" s="1" t="str">
        <f t="shared" si="314"/>
        <v>0.00</v>
      </c>
      <c r="N207" s="1" t="str">
        <f t="shared" si="316"/>
        <v>证券买入</v>
      </c>
    </row>
    <row r="208" spans="1:14">
      <c r="A208" s="1" t="str">
        <f t="shared" si="319"/>
        <v>20171023</v>
      </c>
      <c r="B208" s="1" t="str">
        <f>"09:40:01"</f>
        <v>09:40:01</v>
      </c>
      <c r="C208" s="1" t="str">
        <f t="shared" ref="C208:C211" si="322">"000513"</f>
        <v>000513</v>
      </c>
      <c r="D208" s="1" t="str">
        <f t="shared" ref="D208:D211" si="323">"丽珠集团"</f>
        <v>丽珠集团</v>
      </c>
      <c r="E208" s="1" t="str">
        <f>"卖出"</f>
        <v>卖出</v>
      </c>
      <c r="F208" s="1" t="str">
        <f>"60.560"</f>
        <v>60.560</v>
      </c>
      <c r="G208" s="1" t="str">
        <f>"-500.00"</f>
        <v>-500.00</v>
      </c>
      <c r="H208" s="1" t="str">
        <f t="shared" ref="H208:H211" si="324">"0104152129"</f>
        <v>0104152129</v>
      </c>
      <c r="I208" s="1" t="str">
        <f>"30280.00"</f>
        <v>30280.00</v>
      </c>
      <c r="J208" s="1" t="str">
        <f>"6.96"</f>
        <v>6.96</v>
      </c>
      <c r="K208" s="1" t="str">
        <f>"30.28"</f>
        <v>30.28</v>
      </c>
      <c r="L208" s="1" t="str">
        <f>"0.61"</f>
        <v>0.61</v>
      </c>
      <c r="M208" s="1" t="str">
        <f t="shared" si="314"/>
        <v>0.00</v>
      </c>
      <c r="N208" s="1" t="str">
        <f>"证券卖出"</f>
        <v>证券卖出</v>
      </c>
    </row>
    <row r="209" spans="1:14">
      <c r="A209" s="1" t="str">
        <f t="shared" si="319"/>
        <v>20171023</v>
      </c>
      <c r="B209" s="1" t="str">
        <f>"11:14:14"</f>
        <v>11:14:14</v>
      </c>
      <c r="C209" s="1" t="str">
        <f t="shared" si="322"/>
        <v>000513</v>
      </c>
      <c r="D209" s="1" t="str">
        <f t="shared" si="323"/>
        <v>丽珠集团</v>
      </c>
      <c r="E209" s="1" t="str">
        <f t="shared" ref="E209:E212" si="325">"买入"</f>
        <v>买入</v>
      </c>
      <c r="F209" s="1" t="str">
        <f>"61.840"</f>
        <v>61.840</v>
      </c>
      <c r="G209" s="1" t="str">
        <f t="shared" ref="G209:G211" si="326">"100.00"</f>
        <v>100.00</v>
      </c>
      <c r="H209" s="1" t="str">
        <f t="shared" si="324"/>
        <v>0104152129</v>
      </c>
      <c r="I209" s="1" t="str">
        <f>"6184.00"</f>
        <v>6184.00</v>
      </c>
      <c r="J209" s="1" t="str">
        <f t="shared" ref="J209:J211" si="327">"5.00"</f>
        <v>5.00</v>
      </c>
      <c r="K209" s="1" t="str">
        <f t="shared" ref="K209:K212" si="328">"0.00"</f>
        <v>0.00</v>
      </c>
      <c r="L209" s="1" t="str">
        <f t="shared" ref="L209:L211" si="329">"0.12"</f>
        <v>0.12</v>
      </c>
      <c r="M209" s="1" t="str">
        <f t="shared" si="314"/>
        <v>0.00</v>
      </c>
      <c r="N209" s="1" t="str">
        <f t="shared" ref="N209:N211" si="330">"证券买入"</f>
        <v>证券买入</v>
      </c>
    </row>
    <row r="210" spans="1:14">
      <c r="A210" s="1" t="str">
        <f t="shared" si="319"/>
        <v>20171023</v>
      </c>
      <c r="B210" s="1" t="str">
        <f>"11:22:55"</f>
        <v>11:22:55</v>
      </c>
      <c r="C210" s="1" t="str">
        <f t="shared" si="322"/>
        <v>000513</v>
      </c>
      <c r="D210" s="1" t="str">
        <f t="shared" si="323"/>
        <v>丽珠集团</v>
      </c>
      <c r="E210" s="1" t="str">
        <f t="shared" si="325"/>
        <v>买入</v>
      </c>
      <c r="F210" s="1" t="str">
        <f>"61.930"</f>
        <v>61.930</v>
      </c>
      <c r="G210" s="1" t="str">
        <f t="shared" si="326"/>
        <v>100.00</v>
      </c>
      <c r="H210" s="1" t="str">
        <f t="shared" si="324"/>
        <v>0104152129</v>
      </c>
      <c r="I210" s="1" t="str">
        <f>"6193.00"</f>
        <v>6193.00</v>
      </c>
      <c r="J210" s="1" t="str">
        <f t="shared" si="327"/>
        <v>5.00</v>
      </c>
      <c r="K210" s="1" t="str">
        <f t="shared" si="328"/>
        <v>0.00</v>
      </c>
      <c r="L210" s="1" t="str">
        <f t="shared" si="329"/>
        <v>0.12</v>
      </c>
      <c r="M210" s="1" t="str">
        <f t="shared" si="314"/>
        <v>0.00</v>
      </c>
      <c r="N210" s="1" t="str">
        <f t="shared" si="330"/>
        <v>证券买入</v>
      </c>
    </row>
    <row r="211" spans="1:14">
      <c r="A211" s="1" t="str">
        <f t="shared" si="319"/>
        <v>20171023</v>
      </c>
      <c r="B211" s="1" t="str">
        <f>"13:43:12"</f>
        <v>13:43:12</v>
      </c>
      <c r="C211" s="1" t="str">
        <f t="shared" si="322"/>
        <v>000513</v>
      </c>
      <c r="D211" s="1" t="str">
        <f t="shared" si="323"/>
        <v>丽珠集团</v>
      </c>
      <c r="E211" s="1" t="str">
        <f t="shared" si="325"/>
        <v>买入</v>
      </c>
      <c r="F211" s="1" t="str">
        <f>"62.250"</f>
        <v>62.250</v>
      </c>
      <c r="G211" s="1" t="str">
        <f t="shared" si="326"/>
        <v>100.00</v>
      </c>
      <c r="H211" s="1" t="str">
        <f t="shared" si="324"/>
        <v>0104152129</v>
      </c>
      <c r="I211" s="1" t="str">
        <f>"6225.00"</f>
        <v>6225.00</v>
      </c>
      <c r="J211" s="1" t="str">
        <f t="shared" si="327"/>
        <v>5.00</v>
      </c>
      <c r="K211" s="1" t="str">
        <f t="shared" si="328"/>
        <v>0.00</v>
      </c>
      <c r="L211" s="1" t="str">
        <f t="shared" si="329"/>
        <v>0.12</v>
      </c>
      <c r="M211" s="1" t="str">
        <f t="shared" si="314"/>
        <v>0.00</v>
      </c>
      <c r="N211" s="1" t="str">
        <f t="shared" si="330"/>
        <v>证券买入</v>
      </c>
    </row>
    <row r="212" spans="1:14">
      <c r="A212" s="1" t="str">
        <f t="shared" si="319"/>
        <v>20171023</v>
      </c>
      <c r="B212" s="1" t="str">
        <f>"22:14:25"</f>
        <v>22:14:25</v>
      </c>
      <c r="C212" s="1" t="str">
        <f>"736937"</f>
        <v>736937</v>
      </c>
      <c r="D212" s="1" t="str">
        <f>"丽岛配号"</f>
        <v>丽岛配号</v>
      </c>
      <c r="E212" s="1" t="str">
        <f t="shared" si="325"/>
        <v>买入</v>
      </c>
      <c r="F212" s="1" t="str">
        <f>"0.000"</f>
        <v>0.000</v>
      </c>
      <c r="G212" s="1" t="str">
        <f>"1.00"</f>
        <v>1.00</v>
      </c>
      <c r="H212" s="1" t="str">
        <f t="shared" ref="H212:H215" si="331">"A850418317"</f>
        <v>A850418317</v>
      </c>
      <c r="I212" s="1" t="str">
        <f t="shared" ref="I212:L212" si="332">"0.00"</f>
        <v>0.00</v>
      </c>
      <c r="J212" s="1" t="str">
        <f t="shared" si="332"/>
        <v>0.00</v>
      </c>
      <c r="K212" s="1" t="str">
        <f t="shared" si="328"/>
        <v>0.00</v>
      </c>
      <c r="L212" s="1" t="str">
        <f t="shared" si="332"/>
        <v>0.00</v>
      </c>
      <c r="M212" s="1" t="str">
        <f t="shared" si="314"/>
        <v>0.00</v>
      </c>
      <c r="N212" s="1" t="str">
        <f>"起始配号:100003833320"</f>
        <v>起始配号:100003833320</v>
      </c>
    </row>
    <row r="213" spans="1:14">
      <c r="A213" s="1" t="str">
        <f t="shared" ref="A213:A217" si="333">"20171024"</f>
        <v>20171024</v>
      </c>
      <c r="B213" s="1" t="str">
        <f>"09:32:14"</f>
        <v>09:32:14</v>
      </c>
      <c r="C213" s="1" t="str">
        <f>"600732"</f>
        <v>600732</v>
      </c>
      <c r="D213" s="1" t="str">
        <f>"ST新梅"</f>
        <v>ST新梅</v>
      </c>
      <c r="E213" s="1" t="str">
        <f t="shared" ref="E213:E216" si="334">"卖出"</f>
        <v>卖出</v>
      </c>
      <c r="F213" s="1" t="str">
        <f>"7.650"</f>
        <v>7.650</v>
      </c>
      <c r="G213" s="1" t="str">
        <f>"-400.00"</f>
        <v>-400.00</v>
      </c>
      <c r="H213" s="1" t="str">
        <f t="shared" si="331"/>
        <v>A850418317</v>
      </c>
      <c r="I213" s="1" t="str">
        <f>"3060.00"</f>
        <v>3060.00</v>
      </c>
      <c r="J213" s="1" t="str">
        <f t="shared" ref="J213:J216" si="335">"5.00"</f>
        <v>5.00</v>
      </c>
      <c r="K213" s="1" t="str">
        <f>"3.06"</f>
        <v>3.06</v>
      </c>
      <c r="L213" s="1" t="str">
        <f>"0.06"</f>
        <v>0.06</v>
      </c>
      <c r="M213" s="1" t="str">
        <f t="shared" si="314"/>
        <v>0.00</v>
      </c>
      <c r="N213" s="1" t="str">
        <f t="shared" ref="N213:N216" si="336">"证券卖出"</f>
        <v>证券卖出</v>
      </c>
    </row>
    <row r="214" spans="1:14">
      <c r="A214" s="1" t="str">
        <f t="shared" si="333"/>
        <v>20171024</v>
      </c>
      <c r="B214" s="1" t="str">
        <f>"09:33:25"</f>
        <v>09:33:25</v>
      </c>
      <c r="C214" s="1" t="str">
        <f>"600676"</f>
        <v>600676</v>
      </c>
      <c r="D214" s="1" t="str">
        <f>"交运股份"</f>
        <v>交运股份</v>
      </c>
      <c r="E214" s="1" t="str">
        <f t="shared" si="334"/>
        <v>卖出</v>
      </c>
      <c r="F214" s="1" t="str">
        <f>"8.410"</f>
        <v>8.410</v>
      </c>
      <c r="G214" s="1" t="str">
        <f>"-1000.00"</f>
        <v>-1000.00</v>
      </c>
      <c r="H214" s="1" t="str">
        <f t="shared" si="331"/>
        <v>A850418317</v>
      </c>
      <c r="I214" s="1" t="str">
        <f>"8410.00"</f>
        <v>8410.00</v>
      </c>
      <c r="J214" s="1" t="str">
        <f t="shared" si="335"/>
        <v>5.00</v>
      </c>
      <c r="K214" s="1" t="str">
        <f>"8.41"</f>
        <v>8.41</v>
      </c>
      <c r="L214" s="1" t="str">
        <f>"0.17"</f>
        <v>0.17</v>
      </c>
      <c r="M214" s="1" t="str">
        <f t="shared" si="314"/>
        <v>0.00</v>
      </c>
      <c r="N214" s="1" t="str">
        <f t="shared" si="336"/>
        <v>证券卖出</v>
      </c>
    </row>
    <row r="215" spans="1:14">
      <c r="A215" s="1" t="str">
        <f t="shared" si="333"/>
        <v>20171024</v>
      </c>
      <c r="B215" s="1" t="str">
        <f>"14:00:35"</f>
        <v>14:00:35</v>
      </c>
      <c r="C215" s="1" t="str">
        <f>"600900"</f>
        <v>600900</v>
      </c>
      <c r="D215" s="1" t="str">
        <f>"长江电力"</f>
        <v>长江电力</v>
      </c>
      <c r="E215" s="1" t="str">
        <f t="shared" ref="E215:E224" si="337">"买入"</f>
        <v>买入</v>
      </c>
      <c r="F215" s="1" t="str">
        <f>"16.230"</f>
        <v>16.230</v>
      </c>
      <c r="G215" s="1" t="str">
        <f>"600.00"</f>
        <v>600.00</v>
      </c>
      <c r="H215" s="1" t="str">
        <f t="shared" si="331"/>
        <v>A850418317</v>
      </c>
      <c r="I215" s="1" t="str">
        <f>"9738.00"</f>
        <v>9738.00</v>
      </c>
      <c r="J215" s="1" t="str">
        <f t="shared" si="335"/>
        <v>5.00</v>
      </c>
      <c r="K215" s="1" t="str">
        <f t="shared" ref="K215:K224" si="338">"0.00"</f>
        <v>0.00</v>
      </c>
      <c r="L215" s="1" t="str">
        <f>"0.19"</f>
        <v>0.19</v>
      </c>
      <c r="M215" s="1" t="str">
        <f t="shared" si="314"/>
        <v>0.00</v>
      </c>
      <c r="N215" s="1" t="str">
        <f t="shared" ref="N215:N220" si="339">"证券买入"</f>
        <v>证券买入</v>
      </c>
    </row>
    <row r="216" spans="1:14">
      <c r="A216" s="1" t="str">
        <f t="shared" si="333"/>
        <v>20171024</v>
      </c>
      <c r="B216" s="1" t="str">
        <f>"09:32:08"</f>
        <v>09:32:08</v>
      </c>
      <c r="C216" s="1" t="str">
        <f>"000513"</f>
        <v>000513</v>
      </c>
      <c r="D216" s="1" t="str">
        <f>"丽珠集团"</f>
        <v>丽珠集团</v>
      </c>
      <c r="E216" s="1" t="str">
        <f t="shared" si="334"/>
        <v>卖出</v>
      </c>
      <c r="F216" s="1" t="str">
        <f>"64.180"</f>
        <v>64.180</v>
      </c>
      <c r="G216" s="1" t="str">
        <f>"-300.00"</f>
        <v>-300.00</v>
      </c>
      <c r="H216" s="1" t="str">
        <f>"0104152129"</f>
        <v>0104152129</v>
      </c>
      <c r="I216" s="1" t="str">
        <f>"19254.00"</f>
        <v>19254.00</v>
      </c>
      <c r="J216" s="1" t="str">
        <f t="shared" si="335"/>
        <v>5.00</v>
      </c>
      <c r="K216" s="1" t="str">
        <f>"19.25"</f>
        <v>19.25</v>
      </c>
      <c r="L216" s="1" t="str">
        <f>"0.39"</f>
        <v>0.39</v>
      </c>
      <c r="M216" s="1" t="str">
        <f t="shared" si="314"/>
        <v>0.00</v>
      </c>
      <c r="N216" s="1" t="str">
        <f t="shared" si="336"/>
        <v>证券卖出</v>
      </c>
    </row>
    <row r="217" spans="1:14">
      <c r="A217" s="1" t="str">
        <f t="shared" si="333"/>
        <v>20171024</v>
      </c>
      <c r="B217" s="1" t="str">
        <f>"21:33:20"</f>
        <v>21:33:20</v>
      </c>
      <c r="C217" s="1" t="str">
        <f>"736659"</f>
        <v>736659</v>
      </c>
      <c r="D217" s="1" t="str">
        <f>"璞泰配号"</f>
        <v>璞泰配号</v>
      </c>
      <c r="E217" s="1" t="str">
        <f t="shared" si="337"/>
        <v>买入</v>
      </c>
      <c r="F217" s="1" t="str">
        <f t="shared" ref="F217:F223" si="340">"0.000"</f>
        <v>0.000</v>
      </c>
      <c r="G217" s="1" t="str">
        <f t="shared" ref="G217:G222" si="341">"1.00"</f>
        <v>1.00</v>
      </c>
      <c r="H217" s="1" t="str">
        <f t="shared" ref="H217:H219" si="342">"A850418317"</f>
        <v>A850418317</v>
      </c>
      <c r="I217" s="1" t="str">
        <f t="shared" ref="I217:L217" si="343">"0.00"</f>
        <v>0.00</v>
      </c>
      <c r="J217" s="1" t="str">
        <f t="shared" si="343"/>
        <v>0.00</v>
      </c>
      <c r="K217" s="1" t="str">
        <f t="shared" si="343"/>
        <v>0.00</v>
      </c>
      <c r="L217" s="1" t="str">
        <f t="shared" si="343"/>
        <v>0.00</v>
      </c>
      <c r="M217" s="1" t="str">
        <f t="shared" si="314"/>
        <v>0.00</v>
      </c>
      <c r="N217" s="1" t="str">
        <f>"起始配号:100076996885"</f>
        <v>起始配号:100076996885</v>
      </c>
    </row>
    <row r="218" spans="1:14">
      <c r="A218" s="1" t="str">
        <f t="shared" ref="A218:A223" si="344">"20171025"</f>
        <v>20171025</v>
      </c>
      <c r="B218" s="1" t="str">
        <f>"09:25:01"</f>
        <v>09:25:01</v>
      </c>
      <c r="C218" s="1" t="str">
        <f>"601200"</f>
        <v>601200</v>
      </c>
      <c r="D218" s="1" t="str">
        <f>"上海环境"</f>
        <v>上海环境</v>
      </c>
      <c r="E218" s="1" t="str">
        <f t="shared" si="337"/>
        <v>买入</v>
      </c>
      <c r="F218" s="1" t="str">
        <f>"27.500"</f>
        <v>27.500</v>
      </c>
      <c r="G218" s="1" t="str">
        <f>"200.00"</f>
        <v>200.00</v>
      </c>
      <c r="H218" s="1" t="str">
        <f t="shared" si="342"/>
        <v>A850418317</v>
      </c>
      <c r="I218" s="1" t="str">
        <f>"5500.00"</f>
        <v>5500.00</v>
      </c>
      <c r="J218" s="1" t="str">
        <f t="shared" ref="J218:J220" si="345">"5.00"</f>
        <v>5.00</v>
      </c>
      <c r="K218" s="1" t="str">
        <f t="shared" si="338"/>
        <v>0.00</v>
      </c>
      <c r="L218" s="1" t="str">
        <f>"0.11"</f>
        <v>0.11</v>
      </c>
      <c r="M218" s="1" t="str">
        <f t="shared" si="314"/>
        <v>0.00</v>
      </c>
      <c r="N218" s="1" t="str">
        <f t="shared" si="339"/>
        <v>证券买入</v>
      </c>
    </row>
    <row r="219" spans="1:14">
      <c r="A219" s="1" t="str">
        <f t="shared" si="344"/>
        <v>20171025</v>
      </c>
      <c r="B219" s="1" t="str">
        <f>"10:45:53"</f>
        <v>10:45:53</v>
      </c>
      <c r="C219" s="1" t="str">
        <f>"600699"</f>
        <v>600699</v>
      </c>
      <c r="D219" s="1" t="str">
        <f>"均胜电子"</f>
        <v>均胜电子</v>
      </c>
      <c r="E219" s="1" t="str">
        <f t="shared" si="337"/>
        <v>买入</v>
      </c>
      <c r="F219" s="1" t="str">
        <f>"38.340"</f>
        <v>38.340</v>
      </c>
      <c r="G219" s="1" t="str">
        <f>"100.00"</f>
        <v>100.00</v>
      </c>
      <c r="H219" s="1" t="str">
        <f t="shared" si="342"/>
        <v>A850418317</v>
      </c>
      <c r="I219" s="1" t="str">
        <f>"3834.00"</f>
        <v>3834.00</v>
      </c>
      <c r="J219" s="1" t="str">
        <f t="shared" si="345"/>
        <v>5.00</v>
      </c>
      <c r="K219" s="1" t="str">
        <f t="shared" si="338"/>
        <v>0.00</v>
      </c>
      <c r="L219" s="1" t="str">
        <f>"0.08"</f>
        <v>0.08</v>
      </c>
      <c r="M219" s="1" t="str">
        <f t="shared" si="314"/>
        <v>0.00</v>
      </c>
      <c r="N219" s="1" t="str">
        <f t="shared" si="339"/>
        <v>证券买入</v>
      </c>
    </row>
    <row r="220" spans="1:14">
      <c r="A220" s="1" t="str">
        <f t="shared" si="344"/>
        <v>20171025</v>
      </c>
      <c r="B220" s="1" t="str">
        <f>"09:30:40"</f>
        <v>09:30:40</v>
      </c>
      <c r="C220" s="1" t="str">
        <f>"300425"</f>
        <v>300425</v>
      </c>
      <c r="D220" s="1" t="str">
        <f>"环能科技"</f>
        <v>环能科技</v>
      </c>
      <c r="E220" s="1" t="str">
        <f t="shared" si="337"/>
        <v>买入</v>
      </c>
      <c r="F220" s="1" t="str">
        <f>"12.150"</f>
        <v>12.150</v>
      </c>
      <c r="G220" s="1" t="str">
        <f>"400.00"</f>
        <v>400.00</v>
      </c>
      <c r="H220" s="1" t="str">
        <f>"0104152129"</f>
        <v>0104152129</v>
      </c>
      <c r="I220" s="1" t="str">
        <f>"4860.00"</f>
        <v>4860.00</v>
      </c>
      <c r="J220" s="1" t="str">
        <f t="shared" si="345"/>
        <v>5.00</v>
      </c>
      <c r="K220" s="1" t="str">
        <f t="shared" si="338"/>
        <v>0.00</v>
      </c>
      <c r="L220" s="1" t="str">
        <f>"0.10"</f>
        <v>0.10</v>
      </c>
      <c r="M220" s="1" t="str">
        <f t="shared" si="314"/>
        <v>0.00</v>
      </c>
      <c r="N220" s="1" t="str">
        <f t="shared" si="339"/>
        <v>证券买入</v>
      </c>
    </row>
    <row r="221" spans="1:14">
      <c r="A221" s="1" t="str">
        <f t="shared" si="344"/>
        <v>20171025</v>
      </c>
      <c r="B221" s="1" t="str">
        <f>"21:51:01"</f>
        <v>21:51:01</v>
      </c>
      <c r="C221" s="1" t="str">
        <f>"736507"</f>
        <v>736507</v>
      </c>
      <c r="D221" s="1" t="str">
        <f>"振江配号"</f>
        <v>振江配号</v>
      </c>
      <c r="E221" s="1" t="str">
        <f t="shared" si="337"/>
        <v>买入</v>
      </c>
      <c r="F221" s="1" t="str">
        <f t="shared" si="340"/>
        <v>0.000</v>
      </c>
      <c r="G221" s="1" t="str">
        <f t="shared" si="341"/>
        <v>1.00</v>
      </c>
      <c r="H221" s="1" t="str">
        <f t="shared" ref="H221:H227" si="346">"A850418317"</f>
        <v>A850418317</v>
      </c>
      <c r="I221" s="1" t="str">
        <f t="shared" ref="I221:L221" si="347">"0.00"</f>
        <v>0.00</v>
      </c>
      <c r="J221" s="1" t="str">
        <f t="shared" si="347"/>
        <v>0.00</v>
      </c>
      <c r="K221" s="1" t="str">
        <f t="shared" si="338"/>
        <v>0.00</v>
      </c>
      <c r="L221" s="1" t="str">
        <f t="shared" si="347"/>
        <v>0.00</v>
      </c>
      <c r="M221" s="1" t="str">
        <f t="shared" si="314"/>
        <v>0.00</v>
      </c>
      <c r="N221" s="1" t="str">
        <f>"起始配号:100049470328"</f>
        <v>起始配号:100049470328</v>
      </c>
    </row>
    <row r="222" spans="1:14">
      <c r="A222" s="1" t="str">
        <f t="shared" si="344"/>
        <v>20171025</v>
      </c>
      <c r="B222" s="1" t="str">
        <f>"21:51:36"</f>
        <v>21:51:36</v>
      </c>
      <c r="C222" s="1" t="str">
        <f>"736856"</f>
        <v>736856</v>
      </c>
      <c r="D222" s="1" t="str">
        <f>"东宏配号"</f>
        <v>东宏配号</v>
      </c>
      <c r="E222" s="1" t="str">
        <f t="shared" si="337"/>
        <v>买入</v>
      </c>
      <c r="F222" s="1" t="str">
        <f t="shared" si="340"/>
        <v>0.000</v>
      </c>
      <c r="G222" s="1" t="str">
        <f t="shared" si="341"/>
        <v>1.00</v>
      </c>
      <c r="H222" s="1" t="str">
        <f t="shared" si="346"/>
        <v>A850418317</v>
      </c>
      <c r="I222" s="1" t="str">
        <f t="shared" ref="I222:L222" si="348">"0.00"</f>
        <v>0.00</v>
      </c>
      <c r="J222" s="1" t="str">
        <f t="shared" si="348"/>
        <v>0.00</v>
      </c>
      <c r="K222" s="1" t="str">
        <f t="shared" si="338"/>
        <v>0.00</v>
      </c>
      <c r="L222" s="1" t="str">
        <f t="shared" si="348"/>
        <v>0.00</v>
      </c>
      <c r="M222" s="1" t="str">
        <f t="shared" si="314"/>
        <v>0.00</v>
      </c>
      <c r="N222" s="1" t="str">
        <f>"起始配号:100063297613"</f>
        <v>起始配号:100063297613</v>
      </c>
    </row>
    <row r="223" spans="1:14">
      <c r="A223" s="1" t="str">
        <f t="shared" si="344"/>
        <v>20171025</v>
      </c>
      <c r="B223" s="1" t="str">
        <f>"21:48:57"</f>
        <v>21:48:57</v>
      </c>
      <c r="C223" s="1" t="str">
        <f>"300718"</f>
        <v>300718</v>
      </c>
      <c r="D223" s="1" t="str">
        <f>"长盛轴承"</f>
        <v>长盛轴承</v>
      </c>
      <c r="E223" s="1" t="str">
        <f t="shared" si="337"/>
        <v>买入</v>
      </c>
      <c r="F223" s="1" t="str">
        <f t="shared" si="340"/>
        <v>0.000</v>
      </c>
      <c r="G223" s="1" t="str">
        <f>"2.00"</f>
        <v>2.00</v>
      </c>
      <c r="H223" s="1" t="str">
        <f>"0104152129"</f>
        <v>0104152129</v>
      </c>
      <c r="I223" s="1" t="str">
        <f t="shared" ref="I223:L223" si="349">"0.00"</f>
        <v>0.00</v>
      </c>
      <c r="J223" s="1" t="str">
        <f t="shared" si="349"/>
        <v>0.00</v>
      </c>
      <c r="K223" s="1" t="str">
        <f t="shared" si="338"/>
        <v>0.00</v>
      </c>
      <c r="L223" s="1" t="str">
        <f t="shared" si="349"/>
        <v>0.00</v>
      </c>
      <c r="M223" s="1" t="str">
        <f t="shared" si="314"/>
        <v>0.00</v>
      </c>
      <c r="N223" s="1" t="str">
        <f>"起始配号:89775300"</f>
        <v>起始配号:89775300</v>
      </c>
    </row>
    <row r="224" spans="1:14">
      <c r="A224" s="1" t="str">
        <f t="shared" ref="A224:A233" si="350">"20171026"</f>
        <v>20171026</v>
      </c>
      <c r="B224" s="1" t="str">
        <f>"09:25:00"</f>
        <v>09:25:00</v>
      </c>
      <c r="C224" s="1" t="str">
        <f>"600703"</f>
        <v>600703</v>
      </c>
      <c r="D224" s="1" t="str">
        <f>"三安光电"</f>
        <v>三安光电</v>
      </c>
      <c r="E224" s="1" t="str">
        <f t="shared" si="337"/>
        <v>买入</v>
      </c>
      <c r="F224" s="1" t="str">
        <f>"25.550"</f>
        <v>25.550</v>
      </c>
      <c r="G224" s="1" t="str">
        <f>"300.00"</f>
        <v>300.00</v>
      </c>
      <c r="H224" s="1" t="str">
        <f t="shared" si="346"/>
        <v>A850418317</v>
      </c>
      <c r="I224" s="1" t="str">
        <f>"7665.00"</f>
        <v>7665.00</v>
      </c>
      <c r="J224" s="1" t="str">
        <f t="shared" ref="J224:J230" si="351">"5.00"</f>
        <v>5.00</v>
      </c>
      <c r="K224" s="1" t="str">
        <f t="shared" si="338"/>
        <v>0.00</v>
      </c>
      <c r="L224" s="1" t="str">
        <f>"0.15"</f>
        <v>0.15</v>
      </c>
      <c r="M224" s="1" t="str">
        <f t="shared" si="314"/>
        <v>0.00</v>
      </c>
      <c r="N224" s="1" t="str">
        <f t="shared" ref="N224:N227" si="352">"证券买入"</f>
        <v>证券买入</v>
      </c>
    </row>
    <row r="225" spans="1:14">
      <c r="A225" s="1" t="str">
        <f t="shared" si="350"/>
        <v>20171026</v>
      </c>
      <c r="B225" s="1" t="str">
        <f>"09:32:29"</f>
        <v>09:32:29</v>
      </c>
      <c r="C225" s="1" t="str">
        <f>"601200"</f>
        <v>601200</v>
      </c>
      <c r="D225" s="1" t="str">
        <f>"上海环境"</f>
        <v>上海环境</v>
      </c>
      <c r="E225" s="1" t="str">
        <f t="shared" ref="E225:E230" si="353">"卖出"</f>
        <v>卖出</v>
      </c>
      <c r="F225" s="1" t="str">
        <f>"27.310"</f>
        <v>27.310</v>
      </c>
      <c r="G225" s="1" t="str">
        <f>"-200.00"</f>
        <v>-200.00</v>
      </c>
      <c r="H225" s="1" t="str">
        <f t="shared" si="346"/>
        <v>A850418317</v>
      </c>
      <c r="I225" s="1" t="str">
        <f>"5462.00"</f>
        <v>5462.00</v>
      </c>
      <c r="J225" s="1" t="str">
        <f t="shared" si="351"/>
        <v>5.00</v>
      </c>
      <c r="K225" s="1" t="str">
        <f>"5.46"</f>
        <v>5.46</v>
      </c>
      <c r="L225" s="1" t="str">
        <f>"0.11"</f>
        <v>0.11</v>
      </c>
      <c r="M225" s="1" t="str">
        <f t="shared" si="314"/>
        <v>0.00</v>
      </c>
      <c r="N225" s="1" t="str">
        <f t="shared" ref="N225:N230" si="354">"证券卖出"</f>
        <v>证券卖出</v>
      </c>
    </row>
    <row r="226" spans="1:14">
      <c r="A226" s="1" t="str">
        <f t="shared" si="350"/>
        <v>20171026</v>
      </c>
      <c r="B226" s="1" t="str">
        <f>"09:34:51"</f>
        <v>09:34:51</v>
      </c>
      <c r="C226" s="1" t="str">
        <f>"600703"</f>
        <v>600703</v>
      </c>
      <c r="D226" s="1" t="str">
        <f>"三安光电"</f>
        <v>三安光电</v>
      </c>
      <c r="E226" s="1" t="str">
        <f t="shared" ref="E226:E235" si="355">"买入"</f>
        <v>买入</v>
      </c>
      <c r="F226" s="1" t="str">
        <f>"25.650"</f>
        <v>25.650</v>
      </c>
      <c r="G226" s="1" t="str">
        <f>"400.00"</f>
        <v>400.00</v>
      </c>
      <c r="H226" s="1" t="str">
        <f t="shared" si="346"/>
        <v>A850418317</v>
      </c>
      <c r="I226" s="1" t="str">
        <f>"10260.00"</f>
        <v>10260.00</v>
      </c>
      <c r="J226" s="1" t="str">
        <f t="shared" si="351"/>
        <v>5.00</v>
      </c>
      <c r="K226" s="1" t="str">
        <f t="shared" ref="K226:K235" si="356">"0.00"</f>
        <v>0.00</v>
      </c>
      <c r="L226" s="1" t="str">
        <f>"0.21"</f>
        <v>0.21</v>
      </c>
      <c r="M226" s="1" t="str">
        <f t="shared" si="314"/>
        <v>0.00</v>
      </c>
      <c r="N226" s="1" t="str">
        <f t="shared" si="352"/>
        <v>证券买入</v>
      </c>
    </row>
    <row r="227" spans="1:14">
      <c r="A227" s="1" t="str">
        <f t="shared" si="350"/>
        <v>20171026</v>
      </c>
      <c r="B227" s="1" t="str">
        <f>"14:56:52"</f>
        <v>14:56:52</v>
      </c>
      <c r="C227" s="1" t="str">
        <f>"600732"</f>
        <v>600732</v>
      </c>
      <c r="D227" s="1" t="str">
        <f>"ST新梅"</f>
        <v>ST新梅</v>
      </c>
      <c r="E227" s="1" t="str">
        <f t="shared" si="355"/>
        <v>买入</v>
      </c>
      <c r="F227" s="1" t="str">
        <f>"7.590"</f>
        <v>7.590</v>
      </c>
      <c r="G227" s="1" t="str">
        <f>"100.00"</f>
        <v>100.00</v>
      </c>
      <c r="H227" s="1" t="str">
        <f t="shared" si="346"/>
        <v>A850418317</v>
      </c>
      <c r="I227" s="1" t="str">
        <f>"759.00"</f>
        <v>759.00</v>
      </c>
      <c r="J227" s="1" t="str">
        <f t="shared" si="351"/>
        <v>5.00</v>
      </c>
      <c r="K227" s="1" t="str">
        <f t="shared" si="356"/>
        <v>0.00</v>
      </c>
      <c r="L227" s="1" t="str">
        <f>"0.02"</f>
        <v>0.02</v>
      </c>
      <c r="M227" s="1" t="str">
        <f t="shared" si="314"/>
        <v>0.00</v>
      </c>
      <c r="N227" s="1" t="str">
        <f t="shared" si="352"/>
        <v>证券买入</v>
      </c>
    </row>
    <row r="228" spans="1:14">
      <c r="A228" s="1" t="str">
        <f t="shared" si="350"/>
        <v>20171026</v>
      </c>
      <c r="B228" s="1" t="str">
        <f>"09:30:01"</f>
        <v>09:30:01</v>
      </c>
      <c r="C228" s="1" t="str">
        <f t="shared" ref="C228:C230" si="357">"300425"</f>
        <v>300425</v>
      </c>
      <c r="D228" s="1" t="str">
        <f t="shared" ref="D228:D230" si="358">"环能科技"</f>
        <v>环能科技</v>
      </c>
      <c r="E228" s="1" t="str">
        <f t="shared" si="353"/>
        <v>卖出</v>
      </c>
      <c r="F228" s="1" t="str">
        <f>"13.200"</f>
        <v>13.200</v>
      </c>
      <c r="G228" s="1" t="str">
        <f>"-100.00"</f>
        <v>-100.00</v>
      </c>
      <c r="H228" s="1" t="str">
        <f t="shared" ref="H228:H230" si="359">"0104152129"</f>
        <v>0104152129</v>
      </c>
      <c r="I228" s="1" t="str">
        <f>"1320.00"</f>
        <v>1320.00</v>
      </c>
      <c r="J228" s="1" t="str">
        <f t="shared" si="351"/>
        <v>5.00</v>
      </c>
      <c r="K228" s="1" t="str">
        <f>"1.32"</f>
        <v>1.32</v>
      </c>
      <c r="L228" s="1" t="str">
        <f>"0.03"</f>
        <v>0.03</v>
      </c>
      <c r="M228" s="1" t="str">
        <f t="shared" si="314"/>
        <v>0.00</v>
      </c>
      <c r="N228" s="1" t="str">
        <f t="shared" si="354"/>
        <v>证券卖出</v>
      </c>
    </row>
    <row r="229" spans="1:14">
      <c r="A229" s="1" t="str">
        <f t="shared" si="350"/>
        <v>20171026</v>
      </c>
      <c r="B229" s="1" t="str">
        <f>"09:31:47"</f>
        <v>09:31:47</v>
      </c>
      <c r="C229" s="1" t="str">
        <f t="shared" si="357"/>
        <v>300425</v>
      </c>
      <c r="D229" s="1" t="str">
        <f t="shared" si="358"/>
        <v>环能科技</v>
      </c>
      <c r="E229" s="1" t="str">
        <f t="shared" si="353"/>
        <v>卖出</v>
      </c>
      <c r="F229" s="1" t="str">
        <f>"13.190"</f>
        <v>13.190</v>
      </c>
      <c r="G229" s="1" t="str">
        <f>"-100.00"</f>
        <v>-100.00</v>
      </c>
      <c r="H229" s="1" t="str">
        <f t="shared" si="359"/>
        <v>0104152129</v>
      </c>
      <c r="I229" s="1" t="str">
        <f>"1319.00"</f>
        <v>1319.00</v>
      </c>
      <c r="J229" s="1" t="str">
        <f t="shared" si="351"/>
        <v>5.00</v>
      </c>
      <c r="K229" s="1" t="str">
        <f>"1.32"</f>
        <v>1.32</v>
      </c>
      <c r="L229" s="1" t="str">
        <f>"0.03"</f>
        <v>0.03</v>
      </c>
      <c r="M229" s="1" t="str">
        <f t="shared" si="314"/>
        <v>0.00</v>
      </c>
      <c r="N229" s="1" t="str">
        <f t="shared" si="354"/>
        <v>证券卖出</v>
      </c>
    </row>
    <row r="230" spans="1:14">
      <c r="A230" s="1" t="str">
        <f t="shared" si="350"/>
        <v>20171026</v>
      </c>
      <c r="B230" s="1" t="str">
        <f>"09:32:00"</f>
        <v>09:32:00</v>
      </c>
      <c r="C230" s="1" t="str">
        <f t="shared" si="357"/>
        <v>300425</v>
      </c>
      <c r="D230" s="1" t="str">
        <f t="shared" si="358"/>
        <v>环能科技</v>
      </c>
      <c r="E230" s="1" t="str">
        <f t="shared" si="353"/>
        <v>卖出</v>
      </c>
      <c r="F230" s="1" t="str">
        <f>"13.160"</f>
        <v>13.160</v>
      </c>
      <c r="G230" s="1" t="str">
        <f>"-200.00"</f>
        <v>-200.00</v>
      </c>
      <c r="H230" s="1" t="str">
        <f t="shared" si="359"/>
        <v>0104152129</v>
      </c>
      <c r="I230" s="1" t="str">
        <f>"2632.00"</f>
        <v>2632.00</v>
      </c>
      <c r="J230" s="1" t="str">
        <f t="shared" si="351"/>
        <v>5.00</v>
      </c>
      <c r="K230" s="1" t="str">
        <f>"2.63"</f>
        <v>2.63</v>
      </c>
      <c r="L230" s="1" t="str">
        <f>"0.05"</f>
        <v>0.05</v>
      </c>
      <c r="M230" s="1" t="str">
        <f t="shared" si="314"/>
        <v>0.00</v>
      </c>
      <c r="N230" s="1" t="str">
        <f t="shared" si="354"/>
        <v>证券卖出</v>
      </c>
    </row>
    <row r="231" spans="1:14">
      <c r="A231" s="1" t="str">
        <f t="shared" si="350"/>
        <v>20171026</v>
      </c>
      <c r="B231" s="1" t="str">
        <f>"21:52:14"</f>
        <v>21:52:14</v>
      </c>
      <c r="C231" s="1" t="str">
        <f>"741903"</f>
        <v>741903</v>
      </c>
      <c r="D231" s="1" t="str">
        <f>"贵燃配号"</f>
        <v>贵燃配号</v>
      </c>
      <c r="E231" s="1" t="str">
        <f t="shared" si="355"/>
        <v>买入</v>
      </c>
      <c r="F231" s="1" t="str">
        <f t="shared" ref="F231:F235" si="360">"0.000"</f>
        <v>0.000</v>
      </c>
      <c r="G231" s="1" t="str">
        <f>"1.00"</f>
        <v>1.00</v>
      </c>
      <c r="H231" s="1" t="str">
        <f>"A850418317"</f>
        <v>A850418317</v>
      </c>
      <c r="I231" s="1" t="str">
        <f t="shared" ref="I231:L231" si="361">"0.00"</f>
        <v>0.00</v>
      </c>
      <c r="J231" s="1" t="str">
        <f t="shared" si="361"/>
        <v>0.00</v>
      </c>
      <c r="K231" s="1" t="str">
        <f t="shared" si="356"/>
        <v>0.00</v>
      </c>
      <c r="L231" s="1" t="str">
        <f t="shared" si="361"/>
        <v>0.00</v>
      </c>
      <c r="M231" s="1" t="str">
        <f t="shared" si="314"/>
        <v>0.00</v>
      </c>
      <c r="N231" s="1" t="str">
        <f>"起始配号:100042153715"</f>
        <v>起始配号:100042153715</v>
      </c>
    </row>
    <row r="232" spans="1:14">
      <c r="A232" s="1" t="str">
        <f t="shared" si="350"/>
        <v>20171026</v>
      </c>
      <c r="B232" s="1" t="str">
        <f>"21:50:19"</f>
        <v>21:50:19</v>
      </c>
      <c r="C232" s="1" t="str">
        <f>"300717"</f>
        <v>300717</v>
      </c>
      <c r="D232" s="1" t="str">
        <f>"华信新材"</f>
        <v>华信新材</v>
      </c>
      <c r="E232" s="1" t="str">
        <f t="shared" si="355"/>
        <v>买入</v>
      </c>
      <c r="F232" s="1" t="str">
        <f t="shared" si="360"/>
        <v>0.000</v>
      </c>
      <c r="G232" s="1" t="str">
        <f t="shared" ref="G232:G235" si="362">"2.00"</f>
        <v>2.00</v>
      </c>
      <c r="H232" s="1" t="str">
        <f t="shared" ref="H232:H235" si="363">"0104152129"</f>
        <v>0104152129</v>
      </c>
      <c r="I232" s="1" t="str">
        <f t="shared" ref="I232:L232" si="364">"0.00"</f>
        <v>0.00</v>
      </c>
      <c r="J232" s="1" t="str">
        <f t="shared" si="364"/>
        <v>0.00</v>
      </c>
      <c r="K232" s="1" t="str">
        <f t="shared" si="356"/>
        <v>0.00</v>
      </c>
      <c r="L232" s="1" t="str">
        <f t="shared" si="364"/>
        <v>0.00</v>
      </c>
      <c r="M232" s="1" t="str">
        <f t="shared" si="314"/>
        <v>0.00</v>
      </c>
      <c r="N232" s="1" t="str">
        <f>"起始配号:60285913"</f>
        <v>起始配号:60285913</v>
      </c>
    </row>
    <row r="233" spans="1:14">
      <c r="A233" s="1" t="str">
        <f t="shared" si="350"/>
        <v>20171026</v>
      </c>
      <c r="B233" s="1" t="str">
        <f>"21:50:19"</f>
        <v>21:50:19</v>
      </c>
      <c r="C233" s="1" t="str">
        <f>"300720"</f>
        <v>300720</v>
      </c>
      <c r="D233" s="1" t="str">
        <f>"海川智能"</f>
        <v>海川智能</v>
      </c>
      <c r="E233" s="1" t="str">
        <f t="shared" si="355"/>
        <v>买入</v>
      </c>
      <c r="F233" s="1" t="str">
        <f t="shared" si="360"/>
        <v>0.000</v>
      </c>
      <c r="G233" s="1" t="str">
        <f t="shared" si="362"/>
        <v>2.00</v>
      </c>
      <c r="H233" s="1" t="str">
        <f t="shared" si="363"/>
        <v>0104152129</v>
      </c>
      <c r="I233" s="1" t="str">
        <f t="shared" ref="I233:L233" si="365">"0.00"</f>
        <v>0.00</v>
      </c>
      <c r="J233" s="1" t="str">
        <f t="shared" si="365"/>
        <v>0.00</v>
      </c>
      <c r="K233" s="1" t="str">
        <f t="shared" si="356"/>
        <v>0.00</v>
      </c>
      <c r="L233" s="1" t="str">
        <f t="shared" si="365"/>
        <v>0.00</v>
      </c>
      <c r="M233" s="1" t="str">
        <f t="shared" si="314"/>
        <v>0.00</v>
      </c>
      <c r="N233" s="1" t="str">
        <f>"起始配号:63916789"</f>
        <v>起始配号:63916789</v>
      </c>
    </row>
    <row r="234" spans="1:14">
      <c r="A234" s="1" t="str">
        <f>"20171027"</f>
        <v>20171027</v>
      </c>
      <c r="B234" s="1" t="str">
        <f>"22:29:52"</f>
        <v>22:29:52</v>
      </c>
      <c r="C234" s="1" t="str">
        <f>"300719"</f>
        <v>300719</v>
      </c>
      <c r="D234" s="1" t="str">
        <f>"安达维尔"</f>
        <v>安达维尔</v>
      </c>
      <c r="E234" s="1" t="str">
        <f t="shared" si="355"/>
        <v>买入</v>
      </c>
      <c r="F234" s="1" t="str">
        <f t="shared" si="360"/>
        <v>0.000</v>
      </c>
      <c r="G234" s="1" t="str">
        <f t="shared" si="362"/>
        <v>2.00</v>
      </c>
      <c r="H234" s="1" t="str">
        <f t="shared" si="363"/>
        <v>0104152129</v>
      </c>
      <c r="I234" s="1" t="str">
        <f t="shared" ref="I234:L234" si="366">"0.00"</f>
        <v>0.00</v>
      </c>
      <c r="J234" s="1" t="str">
        <f t="shared" si="366"/>
        <v>0.00</v>
      </c>
      <c r="K234" s="1" t="str">
        <f t="shared" si="356"/>
        <v>0.00</v>
      </c>
      <c r="L234" s="1" t="str">
        <f t="shared" si="366"/>
        <v>0.00</v>
      </c>
      <c r="M234" s="1" t="str">
        <f t="shared" si="314"/>
        <v>0.00</v>
      </c>
      <c r="N234" s="1" t="str">
        <f>"起始配号:226837129"</f>
        <v>起始配号:226837129</v>
      </c>
    </row>
    <row r="235" spans="1:14">
      <c r="A235" s="1" t="str">
        <f>"20171027"</f>
        <v>20171027</v>
      </c>
      <c r="B235" s="1" t="str">
        <f>"22:30:13"</f>
        <v>22:30:13</v>
      </c>
      <c r="C235" s="1" t="str">
        <f>"300716"</f>
        <v>300716</v>
      </c>
      <c r="D235" s="1" t="str">
        <f>"国立科技"</f>
        <v>国立科技</v>
      </c>
      <c r="E235" s="1" t="str">
        <f t="shared" si="355"/>
        <v>买入</v>
      </c>
      <c r="F235" s="1" t="str">
        <f t="shared" si="360"/>
        <v>0.000</v>
      </c>
      <c r="G235" s="1" t="str">
        <f t="shared" si="362"/>
        <v>2.00</v>
      </c>
      <c r="H235" s="1" t="str">
        <f t="shared" si="363"/>
        <v>0104152129</v>
      </c>
      <c r="I235" s="1" t="str">
        <f t="shared" ref="I235:L235" si="367">"0.00"</f>
        <v>0.00</v>
      </c>
      <c r="J235" s="1" t="str">
        <f t="shared" si="367"/>
        <v>0.00</v>
      </c>
      <c r="K235" s="1" t="str">
        <f t="shared" si="356"/>
        <v>0.00</v>
      </c>
      <c r="L235" s="1" t="str">
        <f t="shared" si="367"/>
        <v>0.00</v>
      </c>
      <c r="M235" s="1" t="str">
        <f t="shared" si="314"/>
        <v>0.00</v>
      </c>
      <c r="N235" s="1" t="str">
        <f>"起始配号:172720683"</f>
        <v>起始配号:172720683</v>
      </c>
    </row>
    <row r="236" spans="1:14">
      <c r="A236" s="1" t="str">
        <f t="shared" ref="A236:A238" si="368">"20171030"</f>
        <v>20171030</v>
      </c>
      <c r="B236" s="1" t="str">
        <f>"10:40:54"</f>
        <v>10:40:54</v>
      </c>
      <c r="C236" s="1" t="str">
        <f>"600732"</f>
        <v>600732</v>
      </c>
      <c r="D236" s="1" t="str">
        <f>"ST新梅"</f>
        <v>ST新梅</v>
      </c>
      <c r="E236" s="1" t="str">
        <f t="shared" ref="E236:E238" si="369">"卖出"</f>
        <v>卖出</v>
      </c>
      <c r="F236" s="1" t="str">
        <f>"7.620"</f>
        <v>7.620</v>
      </c>
      <c r="G236" s="1" t="str">
        <f>"-100.00"</f>
        <v>-100.00</v>
      </c>
      <c r="H236" s="1" t="str">
        <f t="shared" ref="H236:H242" si="370">"A850418317"</f>
        <v>A850418317</v>
      </c>
      <c r="I236" s="1" t="str">
        <f>"762.00"</f>
        <v>762.00</v>
      </c>
      <c r="J236" s="1" t="str">
        <f t="shared" ref="J236:J240" si="371">"5.00"</f>
        <v>5.00</v>
      </c>
      <c r="K236" s="1" t="str">
        <f>"0.76"</f>
        <v>0.76</v>
      </c>
      <c r="L236" s="1" t="str">
        <f>"0.02"</f>
        <v>0.02</v>
      </c>
      <c r="M236" s="1" t="str">
        <f t="shared" si="314"/>
        <v>0.00</v>
      </c>
      <c r="N236" s="1" t="str">
        <f t="shared" ref="N236:N238" si="372">"证券卖出"</f>
        <v>证券卖出</v>
      </c>
    </row>
    <row r="237" spans="1:14">
      <c r="A237" s="1" t="str">
        <f t="shared" si="368"/>
        <v>20171030</v>
      </c>
      <c r="B237" s="1" t="str">
        <f>"10:41:16"</f>
        <v>10:41:16</v>
      </c>
      <c r="C237" s="1" t="str">
        <f>"600900"</f>
        <v>600900</v>
      </c>
      <c r="D237" s="1" t="str">
        <f>"长江电力"</f>
        <v>长江电力</v>
      </c>
      <c r="E237" s="1" t="str">
        <f t="shared" si="369"/>
        <v>卖出</v>
      </c>
      <c r="F237" s="1" t="str">
        <f>"15.950"</f>
        <v>15.950</v>
      </c>
      <c r="G237" s="1" t="str">
        <f>"-200.00"</f>
        <v>-200.00</v>
      </c>
      <c r="H237" s="1" t="str">
        <f t="shared" si="370"/>
        <v>A850418317</v>
      </c>
      <c r="I237" s="1" t="str">
        <f>"3190.00"</f>
        <v>3190.00</v>
      </c>
      <c r="J237" s="1" t="str">
        <f t="shared" si="371"/>
        <v>5.00</v>
      </c>
      <c r="K237" s="1" t="str">
        <f>"3.19"</f>
        <v>3.19</v>
      </c>
      <c r="L237" s="1" t="str">
        <f>"0.06"</f>
        <v>0.06</v>
      </c>
      <c r="M237" s="1" t="str">
        <f t="shared" si="314"/>
        <v>0.00</v>
      </c>
      <c r="N237" s="1" t="str">
        <f t="shared" si="372"/>
        <v>证券卖出</v>
      </c>
    </row>
    <row r="238" spans="1:14">
      <c r="A238" s="1" t="str">
        <f t="shared" si="368"/>
        <v>20171030</v>
      </c>
      <c r="B238" s="1" t="str">
        <f>"13:35:12"</f>
        <v>13:35:12</v>
      </c>
      <c r="C238" s="1" t="str">
        <f>"600900"</f>
        <v>600900</v>
      </c>
      <c r="D238" s="1" t="str">
        <f>"长江电力"</f>
        <v>长江电力</v>
      </c>
      <c r="E238" s="1" t="str">
        <f t="shared" si="369"/>
        <v>卖出</v>
      </c>
      <c r="F238" s="1" t="str">
        <f>"15.890"</f>
        <v>15.890</v>
      </c>
      <c r="G238" s="1" t="str">
        <f>"-400.00"</f>
        <v>-400.00</v>
      </c>
      <c r="H238" s="1" t="str">
        <f t="shared" si="370"/>
        <v>A850418317</v>
      </c>
      <c r="I238" s="1" t="str">
        <f>"6356.00"</f>
        <v>6356.00</v>
      </c>
      <c r="J238" s="1" t="str">
        <f t="shared" si="371"/>
        <v>5.00</v>
      </c>
      <c r="K238" s="1" t="str">
        <f>"6.36"</f>
        <v>6.36</v>
      </c>
      <c r="L238" s="1" t="str">
        <f>"0.13"</f>
        <v>0.13</v>
      </c>
      <c r="M238" s="1" t="str">
        <f t="shared" si="314"/>
        <v>0.00</v>
      </c>
      <c r="N238" s="1" t="str">
        <f t="shared" si="372"/>
        <v>证券卖出</v>
      </c>
    </row>
    <row r="239" spans="1:14">
      <c r="A239" s="1" t="str">
        <f t="shared" ref="A239:A243" si="373">"20171031"</f>
        <v>20171031</v>
      </c>
      <c r="B239" s="1" t="str">
        <f>"09:25:00"</f>
        <v>09:25:00</v>
      </c>
      <c r="C239" s="1" t="str">
        <f>"600699"</f>
        <v>600699</v>
      </c>
      <c r="D239" s="1" t="str">
        <f>"均胜电子"</f>
        <v>均胜电子</v>
      </c>
      <c r="E239" s="1" t="str">
        <f t="shared" ref="E239:E248" si="374">"买入"</f>
        <v>买入</v>
      </c>
      <c r="F239" s="1" t="str">
        <f>"38.440"</f>
        <v>38.440</v>
      </c>
      <c r="G239" s="1" t="str">
        <f>"100.00"</f>
        <v>100.00</v>
      </c>
      <c r="H239" s="1" t="str">
        <f t="shared" si="370"/>
        <v>A850418317</v>
      </c>
      <c r="I239" s="1" t="str">
        <f>"3844.00"</f>
        <v>3844.00</v>
      </c>
      <c r="J239" s="1" t="str">
        <f t="shared" si="371"/>
        <v>5.00</v>
      </c>
      <c r="K239" s="1" t="str">
        <f t="shared" ref="K239:K248" si="375">"0.00"</f>
        <v>0.00</v>
      </c>
      <c r="L239" s="1" t="str">
        <f>"0.08"</f>
        <v>0.08</v>
      </c>
      <c r="M239" s="1" t="str">
        <f t="shared" si="314"/>
        <v>0.00</v>
      </c>
      <c r="N239" s="1" t="str">
        <f>"证券买入"</f>
        <v>证券买入</v>
      </c>
    </row>
    <row r="240" spans="1:14">
      <c r="A240" s="1" t="str">
        <f t="shared" si="373"/>
        <v>20171031</v>
      </c>
      <c r="B240" s="1" t="str">
        <f>"11:12:51"</f>
        <v>11:12:51</v>
      </c>
      <c r="C240" s="1" t="str">
        <f>"600703"</f>
        <v>600703</v>
      </c>
      <c r="D240" s="1" t="str">
        <f>"三安光电"</f>
        <v>三安光电</v>
      </c>
      <c r="E240" s="1" t="str">
        <f t="shared" si="374"/>
        <v>买入</v>
      </c>
      <c r="F240" s="1" t="str">
        <f>"25.180"</f>
        <v>25.180</v>
      </c>
      <c r="G240" s="1" t="str">
        <f>"100.00"</f>
        <v>100.00</v>
      </c>
      <c r="H240" s="1" t="str">
        <f t="shared" si="370"/>
        <v>A850418317</v>
      </c>
      <c r="I240" s="1" t="str">
        <f>"2518.00"</f>
        <v>2518.00</v>
      </c>
      <c r="J240" s="1" t="str">
        <f t="shared" si="371"/>
        <v>5.00</v>
      </c>
      <c r="K240" s="1" t="str">
        <f t="shared" si="375"/>
        <v>0.00</v>
      </c>
      <c r="L240" s="1" t="str">
        <f>"0.05"</f>
        <v>0.05</v>
      </c>
      <c r="M240" s="1" t="str">
        <f t="shared" si="314"/>
        <v>0.00</v>
      </c>
      <c r="N240" s="1" t="str">
        <f>"证券买入"</f>
        <v>证券买入</v>
      </c>
    </row>
    <row r="241" spans="1:14">
      <c r="A241" s="1" t="str">
        <f t="shared" si="373"/>
        <v>20171031</v>
      </c>
      <c r="B241" s="1" t="str">
        <f>"21:37:25"</f>
        <v>21:37:25</v>
      </c>
      <c r="C241" s="1" t="str">
        <f>"736916"</f>
        <v>736916</v>
      </c>
      <c r="D241" s="1" t="str">
        <f>"苏特配号"</f>
        <v>苏特配号</v>
      </c>
      <c r="E241" s="1" t="str">
        <f t="shared" si="374"/>
        <v>买入</v>
      </c>
      <c r="F241" s="1" t="str">
        <f t="shared" ref="F241:F248" si="376">"0.000"</f>
        <v>0.000</v>
      </c>
      <c r="G241" s="1" t="str">
        <f t="shared" ref="G241:G245" si="377">"1.00"</f>
        <v>1.00</v>
      </c>
      <c r="H241" s="1" t="str">
        <f t="shared" si="370"/>
        <v>A850418317</v>
      </c>
      <c r="I241" s="1" t="str">
        <f t="shared" ref="I241:L241" si="378">"0.00"</f>
        <v>0.00</v>
      </c>
      <c r="J241" s="1" t="str">
        <f t="shared" si="378"/>
        <v>0.00</v>
      </c>
      <c r="K241" s="1" t="str">
        <f t="shared" si="375"/>
        <v>0.00</v>
      </c>
      <c r="L241" s="1" t="str">
        <f t="shared" si="378"/>
        <v>0.00</v>
      </c>
      <c r="M241" s="1" t="str">
        <f t="shared" si="314"/>
        <v>0.00</v>
      </c>
      <c r="N241" s="1" t="str">
        <f>"起始配号:100072319543"</f>
        <v>起始配号:100072319543</v>
      </c>
    </row>
    <row r="242" spans="1:14">
      <c r="A242" s="1" t="str">
        <f t="shared" si="373"/>
        <v>20171031</v>
      </c>
      <c r="B242" s="1" t="str">
        <f>"21:38:15"</f>
        <v>21:38:15</v>
      </c>
      <c r="C242" s="1" t="str">
        <f>"736083"</f>
        <v>736083</v>
      </c>
      <c r="D242" s="1" t="str">
        <f>"剑桥配号"</f>
        <v>剑桥配号</v>
      </c>
      <c r="E242" s="1" t="str">
        <f t="shared" si="374"/>
        <v>买入</v>
      </c>
      <c r="F242" s="1" t="str">
        <f t="shared" si="376"/>
        <v>0.000</v>
      </c>
      <c r="G242" s="1" t="str">
        <f t="shared" si="377"/>
        <v>1.00</v>
      </c>
      <c r="H242" s="1" t="str">
        <f t="shared" si="370"/>
        <v>A850418317</v>
      </c>
      <c r="I242" s="1" t="str">
        <f t="shared" ref="I242:L242" si="379">"0.00"</f>
        <v>0.00</v>
      </c>
      <c r="J242" s="1" t="str">
        <f t="shared" si="379"/>
        <v>0.00</v>
      </c>
      <c r="K242" s="1" t="str">
        <f t="shared" si="375"/>
        <v>0.00</v>
      </c>
      <c r="L242" s="1" t="str">
        <f t="shared" si="379"/>
        <v>0.00</v>
      </c>
      <c r="M242" s="1" t="str">
        <f t="shared" si="314"/>
        <v>0.00</v>
      </c>
      <c r="N242" s="1" t="str">
        <f>"起始配号:100038855046"</f>
        <v>起始配号:100038855046</v>
      </c>
    </row>
    <row r="243" spans="1:14">
      <c r="A243" s="1" t="str">
        <f t="shared" si="373"/>
        <v>20171031</v>
      </c>
      <c r="B243" s="1" t="str">
        <f>"21:39:49"</f>
        <v>21:39:49</v>
      </c>
      <c r="C243" s="1" t="str">
        <f>"300722"</f>
        <v>300722</v>
      </c>
      <c r="D243" s="1" t="str">
        <f>"新余国科"</f>
        <v>新余国科</v>
      </c>
      <c r="E243" s="1" t="str">
        <f t="shared" si="374"/>
        <v>买入</v>
      </c>
      <c r="F243" s="1" t="str">
        <f t="shared" si="376"/>
        <v>0.000</v>
      </c>
      <c r="G243" s="1" t="str">
        <f t="shared" ref="G243:G248" si="380">"2.00"</f>
        <v>2.00</v>
      </c>
      <c r="H243" s="1" t="str">
        <f t="shared" ref="H243:H248" si="381">"0104152129"</f>
        <v>0104152129</v>
      </c>
      <c r="I243" s="1" t="str">
        <f t="shared" ref="I243:L243" si="382">"0.00"</f>
        <v>0.00</v>
      </c>
      <c r="J243" s="1" t="str">
        <f t="shared" si="382"/>
        <v>0.00</v>
      </c>
      <c r="K243" s="1" t="str">
        <f t="shared" si="375"/>
        <v>0.00</v>
      </c>
      <c r="L243" s="1" t="str">
        <f t="shared" si="382"/>
        <v>0.00</v>
      </c>
      <c r="M243" s="1" t="str">
        <f t="shared" si="314"/>
        <v>0.00</v>
      </c>
      <c r="N243" s="1" t="str">
        <f>"起始配号:126021122"</f>
        <v>起始配号:126021122</v>
      </c>
    </row>
    <row r="244" spans="1:14">
      <c r="A244" s="1" t="str">
        <f t="shared" ref="A244:A246" si="383">"20171101"</f>
        <v>20171101</v>
      </c>
      <c r="B244" s="1" t="str">
        <f>"21:32:07"</f>
        <v>21:32:07</v>
      </c>
      <c r="C244" s="1" t="str">
        <f>"736278"</f>
        <v>736278</v>
      </c>
      <c r="D244" s="1" t="str">
        <f>"大业配号"</f>
        <v>大业配号</v>
      </c>
      <c r="E244" s="1" t="str">
        <f t="shared" si="374"/>
        <v>买入</v>
      </c>
      <c r="F244" s="1" t="str">
        <f t="shared" si="376"/>
        <v>0.000</v>
      </c>
      <c r="G244" s="1" t="str">
        <f t="shared" si="377"/>
        <v>1.00</v>
      </c>
      <c r="H244" s="1" t="str">
        <f t="shared" ref="H244:H252" si="384">"A850418317"</f>
        <v>A850418317</v>
      </c>
      <c r="I244" s="1" t="str">
        <f t="shared" ref="I244:L244" si="385">"0.00"</f>
        <v>0.00</v>
      </c>
      <c r="J244" s="1" t="str">
        <f t="shared" si="385"/>
        <v>0.00</v>
      </c>
      <c r="K244" s="1" t="str">
        <f t="shared" si="375"/>
        <v>0.00</v>
      </c>
      <c r="L244" s="1" t="str">
        <f t="shared" si="385"/>
        <v>0.00</v>
      </c>
      <c r="M244" s="1" t="str">
        <f t="shared" si="314"/>
        <v>0.00</v>
      </c>
      <c r="N244" s="1" t="str">
        <f>"起始配号:100037971959"</f>
        <v>起始配号:100037971959</v>
      </c>
    </row>
    <row r="245" spans="1:14">
      <c r="A245" s="1" t="str">
        <f t="shared" si="383"/>
        <v>20171101</v>
      </c>
      <c r="B245" s="1" t="str">
        <f>"21:31:03"</f>
        <v>21:31:03</v>
      </c>
      <c r="C245" s="1" t="str">
        <f>"736076"</f>
        <v>736076</v>
      </c>
      <c r="D245" s="1" t="str">
        <f>"乐惠配号"</f>
        <v>乐惠配号</v>
      </c>
      <c r="E245" s="1" t="str">
        <f t="shared" si="374"/>
        <v>买入</v>
      </c>
      <c r="F245" s="1" t="str">
        <f t="shared" si="376"/>
        <v>0.000</v>
      </c>
      <c r="G245" s="1" t="str">
        <f t="shared" si="377"/>
        <v>1.00</v>
      </c>
      <c r="H245" s="1" t="str">
        <f t="shared" si="384"/>
        <v>A850418317</v>
      </c>
      <c r="I245" s="1" t="str">
        <f t="shared" ref="I245:L245" si="386">"0.00"</f>
        <v>0.00</v>
      </c>
      <c r="J245" s="1" t="str">
        <f t="shared" si="386"/>
        <v>0.00</v>
      </c>
      <c r="K245" s="1" t="str">
        <f t="shared" si="375"/>
        <v>0.00</v>
      </c>
      <c r="L245" s="1" t="str">
        <f t="shared" si="386"/>
        <v>0.00</v>
      </c>
      <c r="M245" s="1" t="str">
        <f t="shared" si="314"/>
        <v>0.00</v>
      </c>
      <c r="N245" s="1" t="str">
        <f>"起始配号:100036190175"</f>
        <v>起始配号:100036190175</v>
      </c>
    </row>
    <row r="246" spans="1:14">
      <c r="A246" s="1" t="str">
        <f t="shared" si="383"/>
        <v>20171101</v>
      </c>
      <c r="B246" s="1" t="str">
        <f>"21:29:57"</f>
        <v>21:29:57</v>
      </c>
      <c r="C246" s="1" t="str">
        <f>"300725"</f>
        <v>300725</v>
      </c>
      <c r="D246" s="1" t="str">
        <f>"药石科技"</f>
        <v>药石科技</v>
      </c>
      <c r="E246" s="1" t="str">
        <f t="shared" si="374"/>
        <v>买入</v>
      </c>
      <c r="F246" s="1" t="str">
        <f t="shared" si="376"/>
        <v>0.000</v>
      </c>
      <c r="G246" s="1" t="str">
        <f t="shared" si="380"/>
        <v>2.00</v>
      </c>
      <c r="H246" s="1" t="str">
        <f t="shared" si="381"/>
        <v>0104152129</v>
      </c>
      <c r="I246" s="1" t="str">
        <f t="shared" ref="I246:L246" si="387">"0.00"</f>
        <v>0.00</v>
      </c>
      <c r="J246" s="1" t="str">
        <f t="shared" si="387"/>
        <v>0.00</v>
      </c>
      <c r="K246" s="1" t="str">
        <f t="shared" si="375"/>
        <v>0.00</v>
      </c>
      <c r="L246" s="1" t="str">
        <f t="shared" si="387"/>
        <v>0.00</v>
      </c>
      <c r="M246" s="1" t="str">
        <f t="shared" si="314"/>
        <v>0.00</v>
      </c>
      <c r="N246" s="1" t="str">
        <f>"起始配号:74984035"</f>
        <v>起始配号:74984035</v>
      </c>
    </row>
    <row r="247" spans="1:14">
      <c r="A247" s="1" t="str">
        <f>"20171102"</f>
        <v>20171102</v>
      </c>
      <c r="B247" s="1" t="str">
        <f>"21:44:49"</f>
        <v>21:44:49</v>
      </c>
      <c r="C247" s="1" t="str">
        <f>"002864"</f>
        <v>002864</v>
      </c>
      <c r="D247" s="1" t="str">
        <f>"盘龙药业"</f>
        <v>盘龙药业</v>
      </c>
      <c r="E247" s="1" t="str">
        <f t="shared" si="374"/>
        <v>买入</v>
      </c>
      <c r="F247" s="1" t="str">
        <f t="shared" si="376"/>
        <v>0.000</v>
      </c>
      <c r="G247" s="1" t="str">
        <f t="shared" si="380"/>
        <v>2.00</v>
      </c>
      <c r="H247" s="1" t="str">
        <f t="shared" si="381"/>
        <v>0104152129</v>
      </c>
      <c r="I247" s="1" t="str">
        <f t="shared" ref="I247:L247" si="388">"0.00"</f>
        <v>0.00</v>
      </c>
      <c r="J247" s="1" t="str">
        <f t="shared" si="388"/>
        <v>0.00</v>
      </c>
      <c r="K247" s="1" t="str">
        <f t="shared" si="375"/>
        <v>0.00</v>
      </c>
      <c r="L247" s="1" t="str">
        <f t="shared" si="388"/>
        <v>0.00</v>
      </c>
      <c r="M247" s="1" t="str">
        <f t="shared" si="314"/>
        <v>0.00</v>
      </c>
      <c r="N247" s="1" t="str">
        <f>"起始配号:13077349"</f>
        <v>起始配号:13077349</v>
      </c>
    </row>
    <row r="248" spans="1:14">
      <c r="A248" s="1" t="str">
        <f>"20171102"</f>
        <v>20171102</v>
      </c>
      <c r="B248" s="1" t="str">
        <f>"21:45:29"</f>
        <v>21:45:29</v>
      </c>
      <c r="C248" s="1" t="str">
        <f>"300721"</f>
        <v>300721</v>
      </c>
      <c r="D248" s="1" t="str">
        <f>"怡达股份"</f>
        <v>怡达股份</v>
      </c>
      <c r="E248" s="1" t="str">
        <f t="shared" si="374"/>
        <v>买入</v>
      </c>
      <c r="F248" s="1" t="str">
        <f t="shared" si="376"/>
        <v>0.000</v>
      </c>
      <c r="G248" s="1" t="str">
        <f t="shared" si="380"/>
        <v>2.00</v>
      </c>
      <c r="H248" s="1" t="str">
        <f t="shared" si="381"/>
        <v>0104152129</v>
      </c>
      <c r="I248" s="1" t="str">
        <f t="shared" ref="I248:L248" si="389">"0.00"</f>
        <v>0.00</v>
      </c>
      <c r="J248" s="1" t="str">
        <f t="shared" si="389"/>
        <v>0.00</v>
      </c>
      <c r="K248" s="1" t="str">
        <f t="shared" si="375"/>
        <v>0.00</v>
      </c>
      <c r="L248" s="1" t="str">
        <f t="shared" si="389"/>
        <v>0.00</v>
      </c>
      <c r="M248" s="1" t="str">
        <f t="shared" si="314"/>
        <v>0.00</v>
      </c>
      <c r="N248" s="1" t="str">
        <f>"起始配号:10789725"</f>
        <v>起始配号:10789725</v>
      </c>
    </row>
    <row r="249" spans="1:14">
      <c r="A249" s="1" t="str">
        <f t="shared" ref="A249:A251" si="390">"20171103"</f>
        <v>20171103</v>
      </c>
      <c r="B249" s="1" t="str">
        <f>"14:36:16"</f>
        <v>14:36:16</v>
      </c>
      <c r="C249" s="1" t="str">
        <f>"600703"</f>
        <v>600703</v>
      </c>
      <c r="D249" s="1" t="str">
        <f>"三安光电"</f>
        <v>三安光电</v>
      </c>
      <c r="E249" s="1" t="str">
        <f>"卖出"</f>
        <v>卖出</v>
      </c>
      <c r="F249" s="1" t="str">
        <f>"26.640"</f>
        <v>26.640</v>
      </c>
      <c r="G249" s="1" t="str">
        <f>"-800.00"</f>
        <v>-800.00</v>
      </c>
      <c r="H249" s="1" t="str">
        <f t="shared" si="384"/>
        <v>A850418317</v>
      </c>
      <c r="I249" s="1" t="str">
        <f>"21312.00"</f>
        <v>21312.00</v>
      </c>
      <c r="J249" s="1" t="str">
        <f>"5.33"</f>
        <v>5.33</v>
      </c>
      <c r="K249" s="1" t="str">
        <f>"21.31"</f>
        <v>21.31</v>
      </c>
      <c r="L249" s="1" t="str">
        <f>"0.43"</f>
        <v>0.43</v>
      </c>
      <c r="M249" s="1" t="str">
        <f t="shared" si="314"/>
        <v>0.00</v>
      </c>
      <c r="N249" s="1" t="str">
        <f>"证券卖出"</f>
        <v>证券卖出</v>
      </c>
    </row>
    <row r="250" spans="1:14">
      <c r="A250" s="1" t="str">
        <f t="shared" si="390"/>
        <v>20171103</v>
      </c>
      <c r="B250" s="1" t="str">
        <f>"14:43:03"</f>
        <v>14:43:03</v>
      </c>
      <c r="C250" s="1" t="str">
        <f>"600699"</f>
        <v>600699</v>
      </c>
      <c r="D250" s="1" t="str">
        <f>"均胜电子"</f>
        <v>均胜电子</v>
      </c>
      <c r="E250" s="1" t="str">
        <f>"卖出"</f>
        <v>卖出</v>
      </c>
      <c r="F250" s="1" t="str">
        <f>"38.490"</f>
        <v>38.490</v>
      </c>
      <c r="G250" s="1" t="str">
        <f>"-200.00"</f>
        <v>-200.00</v>
      </c>
      <c r="H250" s="1" t="str">
        <f t="shared" si="384"/>
        <v>A850418317</v>
      </c>
      <c r="I250" s="1" t="str">
        <f>"7698.00"</f>
        <v>7698.00</v>
      </c>
      <c r="J250" s="1" t="str">
        <f t="shared" ref="J250:J259" si="391">"5.00"</f>
        <v>5.00</v>
      </c>
      <c r="K250" s="1" t="str">
        <f>"7.70"</f>
        <v>7.70</v>
      </c>
      <c r="L250" s="1" t="str">
        <f>"0.15"</f>
        <v>0.15</v>
      </c>
      <c r="M250" s="1" t="str">
        <f t="shared" si="314"/>
        <v>0.00</v>
      </c>
      <c r="N250" s="1" t="str">
        <f>"证券卖出"</f>
        <v>证券卖出</v>
      </c>
    </row>
    <row r="251" spans="1:14">
      <c r="A251" s="1" t="str">
        <f t="shared" si="390"/>
        <v>20171103</v>
      </c>
      <c r="B251" s="1" t="str">
        <f>"21:26:55"</f>
        <v>21:26:55</v>
      </c>
      <c r="C251" s="1" t="str">
        <f>"736605"</f>
        <v>736605</v>
      </c>
      <c r="D251" s="1" t="str">
        <f>"珀莱配号"</f>
        <v>珀莱配号</v>
      </c>
      <c r="E251" s="1" t="str">
        <f t="shared" ref="E251:E265" si="392">"买入"</f>
        <v>买入</v>
      </c>
      <c r="F251" s="1" t="str">
        <f t="shared" ref="F251:F253" si="393">"0.000"</f>
        <v>0.000</v>
      </c>
      <c r="G251" s="1" t="str">
        <f>"1.00"</f>
        <v>1.00</v>
      </c>
      <c r="H251" s="1" t="str">
        <f t="shared" si="384"/>
        <v>A850418317</v>
      </c>
      <c r="I251" s="1" t="str">
        <f t="shared" ref="I251:L251" si="394">"0.00"</f>
        <v>0.00</v>
      </c>
      <c r="J251" s="1" t="str">
        <f t="shared" si="394"/>
        <v>0.00</v>
      </c>
      <c r="K251" s="1" t="str">
        <f t="shared" si="394"/>
        <v>0.00</v>
      </c>
      <c r="L251" s="1" t="str">
        <f t="shared" si="394"/>
        <v>0.00</v>
      </c>
      <c r="M251" s="1" t="str">
        <f t="shared" si="314"/>
        <v>0.00</v>
      </c>
      <c r="N251" s="1" t="str">
        <f>"起始配号:100084608284"</f>
        <v>起始配号:100084608284</v>
      </c>
    </row>
    <row r="252" spans="1:14">
      <c r="A252" s="1" t="str">
        <f>"20171106"</f>
        <v>20171106</v>
      </c>
      <c r="B252" s="1" t="str">
        <f>"23:30:36"</f>
        <v>23:30:36</v>
      </c>
      <c r="C252" s="1" t="str">
        <f>"794127"</f>
        <v>794127</v>
      </c>
      <c r="D252" s="1" t="str">
        <f>"小康配号"</f>
        <v>小康配号</v>
      </c>
      <c r="E252" s="1" t="str">
        <f t="shared" si="392"/>
        <v>买入</v>
      </c>
      <c r="F252" s="1" t="str">
        <f t="shared" si="393"/>
        <v>0.000</v>
      </c>
      <c r="G252" s="1" t="str">
        <f>"1000.00"</f>
        <v>1000.00</v>
      </c>
      <c r="H252" s="1" t="str">
        <f t="shared" si="384"/>
        <v>A850418317</v>
      </c>
      <c r="I252" s="1" t="str">
        <f t="shared" ref="I252:L252" si="395">"0.00"</f>
        <v>0.00</v>
      </c>
      <c r="J252" s="1" t="str">
        <f t="shared" si="395"/>
        <v>0.00</v>
      </c>
      <c r="K252" s="1" t="str">
        <f t="shared" si="395"/>
        <v>0.00</v>
      </c>
      <c r="L252" s="1" t="str">
        <f t="shared" si="395"/>
        <v>0.00</v>
      </c>
      <c r="M252" s="1" t="str">
        <f t="shared" si="314"/>
        <v>0.00</v>
      </c>
      <c r="N252" s="1" t="str">
        <f>"起始配号:100837494904"</f>
        <v>起始配号:100837494904</v>
      </c>
    </row>
    <row r="253" spans="1:14">
      <c r="A253" s="1" t="str">
        <f>"20171106"</f>
        <v>20171106</v>
      </c>
      <c r="B253" s="1" t="str">
        <f>"23:30:16"</f>
        <v>23:30:16</v>
      </c>
      <c r="C253" s="1" t="str">
        <f>"072527"</f>
        <v>072527</v>
      </c>
      <c r="D253" s="1" t="str">
        <f>"时达发债"</f>
        <v>时达发债</v>
      </c>
      <c r="E253" s="1" t="str">
        <f t="shared" si="392"/>
        <v>买入</v>
      </c>
      <c r="F253" s="1" t="str">
        <f t="shared" si="393"/>
        <v>0.000</v>
      </c>
      <c r="G253" s="1" t="str">
        <f>"1000.00"</f>
        <v>1000.00</v>
      </c>
      <c r="H253" s="1" t="str">
        <f>"0104152129"</f>
        <v>0104152129</v>
      </c>
      <c r="I253" s="1" t="str">
        <f t="shared" ref="I253:L253" si="396">"0.00"</f>
        <v>0.00</v>
      </c>
      <c r="J253" s="1" t="str">
        <f t="shared" si="396"/>
        <v>0.00</v>
      </c>
      <c r="K253" s="1" t="str">
        <f t="shared" si="396"/>
        <v>0.00</v>
      </c>
      <c r="L253" s="1" t="str">
        <f t="shared" si="396"/>
        <v>0.00</v>
      </c>
      <c r="M253" s="1" t="str">
        <f t="shared" si="314"/>
        <v>0.00</v>
      </c>
      <c r="N253" s="1" t="str">
        <f>"起始配号:866720696"</f>
        <v>起始配号:866720696</v>
      </c>
    </row>
    <row r="254" spans="1:14">
      <c r="A254" s="1" t="str">
        <f t="shared" ref="A254:A261" si="397">"20171107"</f>
        <v>20171107</v>
      </c>
      <c r="B254" s="1" t="str">
        <f>"09:25:01"</f>
        <v>09:25:01</v>
      </c>
      <c r="C254" s="1" t="str">
        <f t="shared" ref="C254:C258" si="398">"600703"</f>
        <v>600703</v>
      </c>
      <c r="D254" s="1" t="str">
        <f t="shared" ref="D254:D258" si="399">"三安光电"</f>
        <v>三安光电</v>
      </c>
      <c r="E254" s="1" t="str">
        <f t="shared" si="392"/>
        <v>买入</v>
      </c>
      <c r="F254" s="1" t="str">
        <f>"28.690"</f>
        <v>28.690</v>
      </c>
      <c r="G254" s="1" t="str">
        <f t="shared" ref="G254:G257" si="400">"200.00"</f>
        <v>200.00</v>
      </c>
      <c r="H254" s="1" t="str">
        <f t="shared" ref="H254:H258" si="401">"A850418317"</f>
        <v>A850418317</v>
      </c>
      <c r="I254" s="1" t="str">
        <f>"5738.00"</f>
        <v>5738.00</v>
      </c>
      <c r="J254" s="1" t="str">
        <f t="shared" si="391"/>
        <v>5.00</v>
      </c>
      <c r="K254" s="1" t="str">
        <f t="shared" ref="K254:K265" si="402">"0.00"</f>
        <v>0.00</v>
      </c>
      <c r="L254" s="1" t="str">
        <f>"0.11"</f>
        <v>0.11</v>
      </c>
      <c r="M254" s="1" t="str">
        <f t="shared" si="314"/>
        <v>0.00</v>
      </c>
      <c r="N254" s="1" t="str">
        <f t="shared" ref="N254:N259" si="403">"证券买入"</f>
        <v>证券买入</v>
      </c>
    </row>
    <row r="255" spans="1:14">
      <c r="A255" s="1" t="str">
        <f t="shared" si="397"/>
        <v>20171107</v>
      </c>
      <c r="B255" s="1" t="str">
        <f>"09:25:02"</f>
        <v>09:25:02</v>
      </c>
      <c r="C255" s="1" t="str">
        <f>"603648"</f>
        <v>603648</v>
      </c>
      <c r="D255" s="1" t="str">
        <f>"畅联股份"</f>
        <v>畅联股份</v>
      </c>
      <c r="E255" s="1" t="str">
        <f t="shared" si="392"/>
        <v>买入</v>
      </c>
      <c r="F255" s="1" t="str">
        <f>"30.270"</f>
        <v>30.270</v>
      </c>
      <c r="G255" s="1" t="str">
        <f t="shared" si="400"/>
        <v>200.00</v>
      </c>
      <c r="H255" s="1" t="str">
        <f t="shared" si="401"/>
        <v>A850418317</v>
      </c>
      <c r="I255" s="1" t="str">
        <f>"6054.00"</f>
        <v>6054.00</v>
      </c>
      <c r="J255" s="1" t="str">
        <f t="shared" si="391"/>
        <v>5.00</v>
      </c>
      <c r="K255" s="1" t="str">
        <f t="shared" si="402"/>
        <v>0.00</v>
      </c>
      <c r="L255" s="1" t="str">
        <f t="shared" ref="L255:L257" si="404">"0.12"</f>
        <v>0.12</v>
      </c>
      <c r="M255" s="1" t="str">
        <f t="shared" si="314"/>
        <v>0.00</v>
      </c>
      <c r="N255" s="1" t="str">
        <f t="shared" si="403"/>
        <v>证券买入</v>
      </c>
    </row>
    <row r="256" spans="1:14">
      <c r="A256" s="1" t="str">
        <f t="shared" si="397"/>
        <v>20171107</v>
      </c>
      <c r="B256" s="1" t="str">
        <f>"09:25:02"</f>
        <v>09:25:02</v>
      </c>
      <c r="C256" s="1" t="str">
        <f>"603648"</f>
        <v>603648</v>
      </c>
      <c r="D256" s="1" t="str">
        <f>"畅联股份"</f>
        <v>畅联股份</v>
      </c>
      <c r="E256" s="1" t="str">
        <f t="shared" si="392"/>
        <v>买入</v>
      </c>
      <c r="F256" s="1" t="str">
        <f>"30.270"</f>
        <v>30.270</v>
      </c>
      <c r="G256" s="1" t="str">
        <f t="shared" si="400"/>
        <v>200.00</v>
      </c>
      <c r="H256" s="1" t="str">
        <f t="shared" si="401"/>
        <v>A850418317</v>
      </c>
      <c r="I256" s="1" t="str">
        <f>"6054.00"</f>
        <v>6054.00</v>
      </c>
      <c r="J256" s="1" t="str">
        <f t="shared" si="391"/>
        <v>5.00</v>
      </c>
      <c r="K256" s="1" t="str">
        <f t="shared" si="402"/>
        <v>0.00</v>
      </c>
      <c r="L256" s="1" t="str">
        <f t="shared" si="404"/>
        <v>0.12</v>
      </c>
      <c r="M256" s="1" t="str">
        <f t="shared" si="314"/>
        <v>0.00</v>
      </c>
      <c r="N256" s="1" t="str">
        <f t="shared" si="403"/>
        <v>证券买入</v>
      </c>
    </row>
    <row r="257" spans="1:14">
      <c r="A257" s="1" t="str">
        <f t="shared" si="397"/>
        <v>20171107</v>
      </c>
      <c r="B257" s="1" t="str">
        <f>"09:33:51"</f>
        <v>09:33:51</v>
      </c>
      <c r="C257" s="1" t="str">
        <f t="shared" si="398"/>
        <v>600703</v>
      </c>
      <c r="D257" s="1" t="str">
        <f t="shared" si="399"/>
        <v>三安光电</v>
      </c>
      <c r="E257" s="1" t="str">
        <f t="shared" si="392"/>
        <v>买入</v>
      </c>
      <c r="F257" s="1" t="str">
        <f>"29.170"</f>
        <v>29.170</v>
      </c>
      <c r="G257" s="1" t="str">
        <f t="shared" si="400"/>
        <v>200.00</v>
      </c>
      <c r="H257" s="1" t="str">
        <f t="shared" si="401"/>
        <v>A850418317</v>
      </c>
      <c r="I257" s="1" t="str">
        <f>"5834.00"</f>
        <v>5834.00</v>
      </c>
      <c r="J257" s="1" t="str">
        <f t="shared" si="391"/>
        <v>5.00</v>
      </c>
      <c r="K257" s="1" t="str">
        <f t="shared" si="402"/>
        <v>0.00</v>
      </c>
      <c r="L257" s="1" t="str">
        <f t="shared" si="404"/>
        <v>0.12</v>
      </c>
      <c r="M257" s="1" t="str">
        <f t="shared" si="314"/>
        <v>0.00</v>
      </c>
      <c r="N257" s="1" t="str">
        <f t="shared" si="403"/>
        <v>证券买入</v>
      </c>
    </row>
    <row r="258" spans="1:14">
      <c r="A258" s="1" t="str">
        <f t="shared" si="397"/>
        <v>20171107</v>
      </c>
      <c r="B258" s="1" t="str">
        <f>"09:35:00"</f>
        <v>09:35:00</v>
      </c>
      <c r="C258" s="1" t="str">
        <f t="shared" si="398"/>
        <v>600703</v>
      </c>
      <c r="D258" s="1" t="str">
        <f t="shared" si="399"/>
        <v>三安光电</v>
      </c>
      <c r="E258" s="1" t="str">
        <f t="shared" si="392"/>
        <v>买入</v>
      </c>
      <c r="F258" s="1" t="str">
        <f>"29.100"</f>
        <v>29.100</v>
      </c>
      <c r="G258" s="1" t="str">
        <f>"100.00"</f>
        <v>100.00</v>
      </c>
      <c r="H258" s="1" t="str">
        <f t="shared" si="401"/>
        <v>A850418317</v>
      </c>
      <c r="I258" s="1" t="str">
        <f>"2910.00"</f>
        <v>2910.00</v>
      </c>
      <c r="J258" s="1" t="str">
        <f t="shared" si="391"/>
        <v>5.00</v>
      </c>
      <c r="K258" s="1" t="str">
        <f t="shared" si="402"/>
        <v>0.00</v>
      </c>
      <c r="L258" s="1" t="str">
        <f>"0.06"</f>
        <v>0.06</v>
      </c>
      <c r="M258" s="1" t="str">
        <f t="shared" si="314"/>
        <v>0.00</v>
      </c>
      <c r="N258" s="1" t="str">
        <f t="shared" si="403"/>
        <v>证券买入</v>
      </c>
    </row>
    <row r="259" spans="1:14">
      <c r="A259" s="1" t="str">
        <f t="shared" si="397"/>
        <v>20171107</v>
      </c>
      <c r="B259" s="1" t="str">
        <f>"09:54:15"</f>
        <v>09:54:15</v>
      </c>
      <c r="C259" s="1" t="str">
        <f>"000725"</f>
        <v>000725</v>
      </c>
      <c r="D259" s="1" t="str">
        <f>"京东方Ａ"</f>
        <v>京东方Ａ</v>
      </c>
      <c r="E259" s="1" t="str">
        <f t="shared" si="392"/>
        <v>买入</v>
      </c>
      <c r="F259" s="1" t="str">
        <f>"6.490"</f>
        <v>6.490</v>
      </c>
      <c r="G259" s="1" t="str">
        <f>"300.00"</f>
        <v>300.00</v>
      </c>
      <c r="H259" s="1" t="str">
        <f>"0104152129"</f>
        <v>0104152129</v>
      </c>
      <c r="I259" s="1" t="str">
        <f>"1947.00"</f>
        <v>1947.00</v>
      </c>
      <c r="J259" s="1" t="str">
        <f t="shared" si="391"/>
        <v>5.00</v>
      </c>
      <c r="K259" s="1" t="str">
        <f t="shared" si="402"/>
        <v>0.00</v>
      </c>
      <c r="L259" s="1" t="str">
        <f>"0.04"</f>
        <v>0.04</v>
      </c>
      <c r="M259" s="1" t="str">
        <f t="shared" si="314"/>
        <v>0.00</v>
      </c>
      <c r="N259" s="1" t="str">
        <f t="shared" si="403"/>
        <v>证券买入</v>
      </c>
    </row>
    <row r="260" spans="1:14">
      <c r="A260" s="1" t="str">
        <f t="shared" si="397"/>
        <v>20171107</v>
      </c>
      <c r="B260" s="1" t="str">
        <f>"23:13:20"</f>
        <v>23:13:20</v>
      </c>
      <c r="C260" s="1" t="str">
        <f>"741933"</f>
        <v>741933</v>
      </c>
      <c r="D260" s="1" t="str">
        <f>"爱柯配号"</f>
        <v>爱柯配号</v>
      </c>
      <c r="E260" s="1" t="str">
        <f t="shared" si="392"/>
        <v>买入</v>
      </c>
      <c r="F260" s="1" t="str">
        <f t="shared" ref="F260:F265" si="405">"0.000"</f>
        <v>0.000</v>
      </c>
      <c r="G260" s="1" t="str">
        <f t="shared" ref="G260:G263" si="406">"1.00"</f>
        <v>1.00</v>
      </c>
      <c r="H260" s="1" t="str">
        <f t="shared" ref="H260:H263" si="407">"A850418317"</f>
        <v>A850418317</v>
      </c>
      <c r="I260" s="1" t="str">
        <f t="shared" ref="I260:L260" si="408">"0.00"</f>
        <v>0.00</v>
      </c>
      <c r="J260" s="1" t="str">
        <f t="shared" si="408"/>
        <v>0.00</v>
      </c>
      <c r="K260" s="1" t="str">
        <f t="shared" si="402"/>
        <v>0.00</v>
      </c>
      <c r="L260" s="1" t="str">
        <f t="shared" si="408"/>
        <v>0.00</v>
      </c>
      <c r="M260" s="1" t="str">
        <f t="shared" si="314"/>
        <v>0.00</v>
      </c>
      <c r="N260" s="1" t="str">
        <f>"起始配号:100008167713"</f>
        <v>起始配号:100008167713</v>
      </c>
    </row>
    <row r="261" spans="1:14">
      <c r="A261" s="1" t="str">
        <f t="shared" si="397"/>
        <v>20171107</v>
      </c>
      <c r="B261" s="1" t="str">
        <f>"23:13:54"</f>
        <v>23:13:54</v>
      </c>
      <c r="C261" s="1" t="str">
        <f>"736970"</f>
        <v>736970</v>
      </c>
      <c r="D261" s="1" t="str">
        <f>"中农配号"</f>
        <v>中农配号</v>
      </c>
      <c r="E261" s="1" t="str">
        <f t="shared" si="392"/>
        <v>买入</v>
      </c>
      <c r="F261" s="1" t="str">
        <f t="shared" si="405"/>
        <v>0.000</v>
      </c>
      <c r="G261" s="1" t="str">
        <f t="shared" si="406"/>
        <v>1.00</v>
      </c>
      <c r="H261" s="1" t="str">
        <f t="shared" si="407"/>
        <v>A850418317</v>
      </c>
      <c r="I261" s="1" t="str">
        <f t="shared" ref="I261:L261" si="409">"0.00"</f>
        <v>0.00</v>
      </c>
      <c r="J261" s="1" t="str">
        <f t="shared" si="409"/>
        <v>0.00</v>
      </c>
      <c r="K261" s="1" t="str">
        <f t="shared" si="402"/>
        <v>0.00</v>
      </c>
      <c r="L261" s="1" t="str">
        <f t="shared" si="409"/>
        <v>0.00</v>
      </c>
      <c r="M261" s="1" t="str">
        <f t="shared" si="314"/>
        <v>0.00</v>
      </c>
      <c r="N261" s="1" t="str">
        <f>"起始配号:100004813527"</f>
        <v>起始配号:100004813527</v>
      </c>
    </row>
    <row r="262" spans="1:14">
      <c r="A262" s="1" t="str">
        <f t="shared" ref="A262:A264" si="410">"20171108"</f>
        <v>20171108</v>
      </c>
      <c r="B262" s="1" t="str">
        <f>"23:51:20"</f>
        <v>23:51:20</v>
      </c>
      <c r="C262" s="1" t="str">
        <f>"736365"</f>
        <v>736365</v>
      </c>
      <c r="D262" s="1" t="str">
        <f>"水星配号"</f>
        <v>水星配号</v>
      </c>
      <c r="E262" s="1" t="str">
        <f t="shared" si="392"/>
        <v>买入</v>
      </c>
      <c r="F262" s="1" t="str">
        <f t="shared" si="405"/>
        <v>0.000</v>
      </c>
      <c r="G262" s="1" t="str">
        <f t="shared" si="406"/>
        <v>1.00</v>
      </c>
      <c r="H262" s="1" t="str">
        <f t="shared" si="407"/>
        <v>A850418317</v>
      </c>
      <c r="I262" s="1" t="str">
        <f t="shared" ref="I262:L262" si="411">"0.00"</f>
        <v>0.00</v>
      </c>
      <c r="J262" s="1" t="str">
        <f t="shared" si="411"/>
        <v>0.00</v>
      </c>
      <c r="K262" s="1" t="str">
        <f t="shared" si="402"/>
        <v>0.00</v>
      </c>
      <c r="L262" s="1" t="str">
        <f t="shared" si="411"/>
        <v>0.00</v>
      </c>
      <c r="M262" s="1" t="str">
        <f t="shared" si="314"/>
        <v>0.00</v>
      </c>
      <c r="N262" s="1" t="str">
        <f>"起始配号:100016134380"</f>
        <v>起始配号:100016134380</v>
      </c>
    </row>
    <row r="263" spans="1:14">
      <c r="A263" s="1" t="str">
        <f t="shared" si="410"/>
        <v>20171108</v>
      </c>
      <c r="B263" s="1" t="str">
        <f>"23:51:52"</f>
        <v>23:51:52</v>
      </c>
      <c r="C263" s="1" t="str">
        <f>"791019"</f>
        <v>791019</v>
      </c>
      <c r="D263" s="1" t="str">
        <f>"山版配号"</f>
        <v>山版配号</v>
      </c>
      <c r="E263" s="1" t="str">
        <f t="shared" si="392"/>
        <v>买入</v>
      </c>
      <c r="F263" s="1" t="str">
        <f t="shared" si="405"/>
        <v>0.000</v>
      </c>
      <c r="G263" s="1" t="str">
        <f t="shared" si="406"/>
        <v>1.00</v>
      </c>
      <c r="H263" s="1" t="str">
        <f t="shared" si="407"/>
        <v>A850418317</v>
      </c>
      <c r="I263" s="1" t="str">
        <f t="shared" ref="I263:L263" si="412">"0.00"</f>
        <v>0.00</v>
      </c>
      <c r="J263" s="1" t="str">
        <f t="shared" si="412"/>
        <v>0.00</v>
      </c>
      <c r="K263" s="1" t="str">
        <f t="shared" si="402"/>
        <v>0.00</v>
      </c>
      <c r="L263" s="1" t="str">
        <f t="shared" si="412"/>
        <v>0.00</v>
      </c>
      <c r="M263" s="1" t="str">
        <f t="shared" si="314"/>
        <v>0.00</v>
      </c>
      <c r="N263" s="1" t="str">
        <f>"起始配号:100023660979"</f>
        <v>起始配号:100023660979</v>
      </c>
    </row>
    <row r="264" spans="1:14">
      <c r="A264" s="1" t="str">
        <f t="shared" si="410"/>
        <v>20171108</v>
      </c>
      <c r="B264" s="1" t="str">
        <f>"23:51:10"</f>
        <v>23:51:10</v>
      </c>
      <c r="C264" s="1" t="str">
        <f>"072318"</f>
        <v>072318</v>
      </c>
      <c r="D264" s="1" t="str">
        <f>"久立发债"</f>
        <v>久立发债</v>
      </c>
      <c r="E264" s="1" t="str">
        <f t="shared" si="392"/>
        <v>买入</v>
      </c>
      <c r="F264" s="1" t="str">
        <f t="shared" si="405"/>
        <v>0.000</v>
      </c>
      <c r="G264" s="1" t="str">
        <f>"1000.00"</f>
        <v>1000.00</v>
      </c>
      <c r="H264" s="1" t="str">
        <f>"0104152129"</f>
        <v>0104152129</v>
      </c>
      <c r="I264" s="1" t="str">
        <f t="shared" ref="I264:L264" si="413">"0.00"</f>
        <v>0.00</v>
      </c>
      <c r="J264" s="1" t="str">
        <f t="shared" si="413"/>
        <v>0.00</v>
      </c>
      <c r="K264" s="1" t="str">
        <f t="shared" si="402"/>
        <v>0.00</v>
      </c>
      <c r="L264" s="1" t="str">
        <f t="shared" si="413"/>
        <v>0.00</v>
      </c>
      <c r="M264" s="1" t="str">
        <f t="shared" si="314"/>
        <v>0.00</v>
      </c>
      <c r="N264" s="1" t="str">
        <f>"起始配号:474895770"</f>
        <v>起始配号:474895770</v>
      </c>
    </row>
    <row r="265" spans="1:14">
      <c r="A265" s="1" t="str">
        <f>"20171109"</f>
        <v>20171109</v>
      </c>
      <c r="B265" s="1" t="str">
        <f>"22:25:13"</f>
        <v>22:25:13</v>
      </c>
      <c r="C265" s="1" t="str">
        <f>"736661"</f>
        <v>736661</v>
      </c>
      <c r="D265" s="1" t="str">
        <f>"恒林配号"</f>
        <v>恒林配号</v>
      </c>
      <c r="E265" s="1" t="str">
        <f t="shared" si="392"/>
        <v>买入</v>
      </c>
      <c r="F265" s="1" t="str">
        <f t="shared" si="405"/>
        <v>0.000</v>
      </c>
      <c r="G265" s="1" t="str">
        <f>"1.00"</f>
        <v>1.00</v>
      </c>
      <c r="H265" s="1" t="str">
        <f t="shared" ref="H265:H267" si="414">"A850418317"</f>
        <v>A850418317</v>
      </c>
      <c r="I265" s="1" t="str">
        <f t="shared" ref="I265:L265" si="415">"0.00"</f>
        <v>0.00</v>
      </c>
      <c r="J265" s="1" t="str">
        <f t="shared" si="415"/>
        <v>0.00</v>
      </c>
      <c r="K265" s="1" t="str">
        <f t="shared" si="402"/>
        <v>0.00</v>
      </c>
      <c r="L265" s="1" t="str">
        <f t="shared" si="415"/>
        <v>0.00</v>
      </c>
      <c r="M265" s="1" t="str">
        <f t="shared" si="314"/>
        <v>0.00</v>
      </c>
      <c r="N265" s="1" t="str">
        <f>"起始配号:100002785830"</f>
        <v>起始配号:100002785830</v>
      </c>
    </row>
    <row r="266" spans="1:14">
      <c r="A266" s="1" t="str">
        <f t="shared" ref="A266:A269" si="416">"20171110"</f>
        <v>20171110</v>
      </c>
      <c r="B266" s="1" t="str">
        <f>"09:33:56"</f>
        <v>09:33:56</v>
      </c>
      <c r="C266" s="1" t="str">
        <f>"603648"</f>
        <v>603648</v>
      </c>
      <c r="D266" s="1" t="str">
        <f>"畅联股份"</f>
        <v>畅联股份</v>
      </c>
      <c r="E266" s="1" t="str">
        <f>"卖出"</f>
        <v>卖出</v>
      </c>
      <c r="F266" s="1" t="str">
        <f>"30.950"</f>
        <v>30.950</v>
      </c>
      <c r="G266" s="1" t="str">
        <f>"-400.00"</f>
        <v>-400.00</v>
      </c>
      <c r="H266" s="1" t="str">
        <f t="shared" si="414"/>
        <v>A850418317</v>
      </c>
      <c r="I266" s="1" t="str">
        <f>"12380.00"</f>
        <v>12380.00</v>
      </c>
      <c r="J266" s="1" t="str">
        <f t="shared" ref="J266:J268" si="417">"5.00"</f>
        <v>5.00</v>
      </c>
      <c r="K266" s="1" t="str">
        <f>"12.38"</f>
        <v>12.38</v>
      </c>
      <c r="L266" s="1" t="str">
        <f>"0.25"</f>
        <v>0.25</v>
      </c>
      <c r="M266" s="1" t="str">
        <f t="shared" si="314"/>
        <v>0.00</v>
      </c>
      <c r="N266" s="1" t="str">
        <f>"证券卖出"</f>
        <v>证券卖出</v>
      </c>
    </row>
    <row r="267" spans="1:14">
      <c r="A267" s="1" t="str">
        <f t="shared" si="416"/>
        <v>20171110</v>
      </c>
      <c r="B267" s="1" t="str">
        <f>"10:55:46"</f>
        <v>10:55:46</v>
      </c>
      <c r="C267" s="1" t="str">
        <f>"600230"</f>
        <v>600230</v>
      </c>
      <c r="D267" s="1" t="str">
        <f>"沧州大化"</f>
        <v>沧州大化</v>
      </c>
      <c r="E267" s="1" t="str">
        <f t="shared" ref="E267:E273" si="418">"买入"</f>
        <v>买入</v>
      </c>
      <c r="F267" s="1" t="str">
        <f>"45.500"</f>
        <v>45.500</v>
      </c>
      <c r="G267" s="1" t="str">
        <f>"100.00"</f>
        <v>100.00</v>
      </c>
      <c r="H267" s="1" t="str">
        <f t="shared" si="414"/>
        <v>A850418317</v>
      </c>
      <c r="I267" s="1" t="str">
        <f>"4550.00"</f>
        <v>4550.00</v>
      </c>
      <c r="J267" s="1" t="str">
        <f t="shared" si="417"/>
        <v>5.00</v>
      </c>
      <c r="K267" s="1" t="str">
        <f t="shared" ref="K267:K273" si="419">"0.00"</f>
        <v>0.00</v>
      </c>
      <c r="L267" s="1" t="str">
        <f>"0.09"</f>
        <v>0.09</v>
      </c>
      <c r="M267" s="1" t="str">
        <f t="shared" ref="M267:M331" si="420">"0.00"</f>
        <v>0.00</v>
      </c>
      <c r="N267" s="1" t="str">
        <f t="shared" ref="N267:N271" si="421">"证券买入"</f>
        <v>证券买入</v>
      </c>
    </row>
    <row r="268" spans="1:14">
      <c r="A268" s="1" t="str">
        <f t="shared" si="416"/>
        <v>20171110</v>
      </c>
      <c r="B268" s="1" t="str">
        <f>"10:44:01"</f>
        <v>10:44:01</v>
      </c>
      <c r="C268" s="1" t="str">
        <f>"000725"</f>
        <v>000725</v>
      </c>
      <c r="D268" s="1" t="str">
        <f>"京东方Ａ"</f>
        <v>京东方Ａ</v>
      </c>
      <c r="E268" s="1" t="str">
        <f t="shared" si="418"/>
        <v>买入</v>
      </c>
      <c r="F268" s="1" t="str">
        <f>"6.460"</f>
        <v>6.460</v>
      </c>
      <c r="G268" s="1" t="str">
        <f>"500.00"</f>
        <v>500.00</v>
      </c>
      <c r="H268" s="1" t="str">
        <f t="shared" ref="H268:H271" si="422">"0104152129"</f>
        <v>0104152129</v>
      </c>
      <c r="I268" s="1" t="str">
        <f>"3230.00"</f>
        <v>3230.00</v>
      </c>
      <c r="J268" s="1" t="str">
        <f t="shared" si="417"/>
        <v>5.00</v>
      </c>
      <c r="K268" s="1" t="str">
        <f t="shared" si="419"/>
        <v>0.00</v>
      </c>
      <c r="L268" s="1" t="str">
        <f>"0.06"</f>
        <v>0.06</v>
      </c>
      <c r="M268" s="1" t="str">
        <f t="shared" si="420"/>
        <v>0.00</v>
      </c>
      <c r="N268" s="1" t="str">
        <f t="shared" si="421"/>
        <v>证券买入</v>
      </c>
    </row>
    <row r="269" spans="1:14">
      <c r="A269" s="1" t="str">
        <f t="shared" si="416"/>
        <v>20171110</v>
      </c>
      <c r="B269" s="1" t="str">
        <f>"22:27:20"</f>
        <v>22:27:20</v>
      </c>
      <c r="C269" s="1" t="str">
        <f>"756822"</f>
        <v>756822</v>
      </c>
      <c r="D269" s="1" t="str">
        <f>"嘉澳配号"</f>
        <v>嘉澳配号</v>
      </c>
      <c r="E269" s="1" t="str">
        <f t="shared" si="418"/>
        <v>买入</v>
      </c>
      <c r="F269" s="1" t="str">
        <f>"0.000"</f>
        <v>0.000</v>
      </c>
      <c r="G269" s="1" t="str">
        <f>"1000.00"</f>
        <v>1000.00</v>
      </c>
      <c r="H269" s="1" t="str">
        <f t="shared" ref="H269:H275" si="423">"A850418317"</f>
        <v>A850418317</v>
      </c>
      <c r="I269" s="1" t="str">
        <f t="shared" ref="I269:M269" si="424">"0.00"</f>
        <v>0.00</v>
      </c>
      <c r="J269" s="1" t="str">
        <f t="shared" si="424"/>
        <v>0.00</v>
      </c>
      <c r="K269" s="1" t="str">
        <f t="shared" si="419"/>
        <v>0.00</v>
      </c>
      <c r="L269" s="1" t="str">
        <f t="shared" si="424"/>
        <v>0.00</v>
      </c>
      <c r="M269" s="1" t="str">
        <f t="shared" si="424"/>
        <v>0.00</v>
      </c>
      <c r="N269" s="1" t="str">
        <f>"起始配号:100987272546"</f>
        <v>起始配号:100987272546</v>
      </c>
    </row>
    <row r="270" spans="1:14">
      <c r="A270" s="1" t="str">
        <f t="shared" ref="A270:A272" si="425">"20171113"</f>
        <v>20171113</v>
      </c>
      <c r="B270" s="1" t="str">
        <f>"11:06:43"</f>
        <v>11:06:43</v>
      </c>
      <c r="C270" s="1" t="str">
        <f>"000553"</f>
        <v>000553</v>
      </c>
      <c r="D270" s="1" t="str">
        <f>"沙隆达Ａ"</f>
        <v>沙隆达Ａ</v>
      </c>
      <c r="E270" s="1" t="str">
        <f t="shared" si="418"/>
        <v>买入</v>
      </c>
      <c r="F270" s="1" t="str">
        <f>"16.930"</f>
        <v>16.930</v>
      </c>
      <c r="G270" s="1" t="str">
        <f>"300.00"</f>
        <v>300.00</v>
      </c>
      <c r="H270" s="1" t="str">
        <f t="shared" si="422"/>
        <v>0104152129</v>
      </c>
      <c r="I270" s="1" t="str">
        <f>"5079.00"</f>
        <v>5079.00</v>
      </c>
      <c r="J270" s="1" t="str">
        <f t="shared" ref="J270:J276" si="426">"5.00"</f>
        <v>5.00</v>
      </c>
      <c r="K270" s="1" t="str">
        <f t="shared" si="419"/>
        <v>0.00</v>
      </c>
      <c r="L270" s="1" t="str">
        <f>"0.10"</f>
        <v>0.10</v>
      </c>
      <c r="M270" s="1" t="str">
        <f t="shared" si="420"/>
        <v>0.00</v>
      </c>
      <c r="N270" s="1" t="str">
        <f t="shared" si="421"/>
        <v>证券买入</v>
      </c>
    </row>
    <row r="271" spans="1:14">
      <c r="A271" s="1" t="str">
        <f t="shared" si="425"/>
        <v>20171113</v>
      </c>
      <c r="B271" s="1" t="str">
        <f>"14:29:41"</f>
        <v>14:29:41</v>
      </c>
      <c r="C271" s="1" t="str">
        <f>"000553"</f>
        <v>000553</v>
      </c>
      <c r="D271" s="1" t="str">
        <f>"沙隆达Ａ"</f>
        <v>沙隆达Ａ</v>
      </c>
      <c r="E271" s="1" t="str">
        <f t="shared" si="418"/>
        <v>买入</v>
      </c>
      <c r="F271" s="1" t="str">
        <f>"16.830"</f>
        <v>16.830</v>
      </c>
      <c r="G271" s="1" t="str">
        <f>"200.00"</f>
        <v>200.00</v>
      </c>
      <c r="H271" s="1" t="str">
        <f t="shared" si="422"/>
        <v>0104152129</v>
      </c>
      <c r="I271" s="1" t="str">
        <f>"3366.00"</f>
        <v>3366.00</v>
      </c>
      <c r="J271" s="1" t="str">
        <f t="shared" si="426"/>
        <v>5.00</v>
      </c>
      <c r="K271" s="1" t="str">
        <f t="shared" si="419"/>
        <v>0.00</v>
      </c>
      <c r="L271" s="1" t="str">
        <f>"0.07"</f>
        <v>0.07</v>
      </c>
      <c r="M271" s="1" t="str">
        <f t="shared" si="420"/>
        <v>0.00</v>
      </c>
      <c r="N271" s="1" t="str">
        <f t="shared" si="421"/>
        <v>证券买入</v>
      </c>
    </row>
    <row r="272" spans="1:14">
      <c r="A272" s="1" t="str">
        <f t="shared" si="425"/>
        <v>20171113</v>
      </c>
      <c r="B272" s="1" t="str">
        <f>"22:48:02"</f>
        <v>22:48:02</v>
      </c>
      <c r="C272" s="1" t="str">
        <f>"744566"</f>
        <v>744566</v>
      </c>
      <c r="D272" s="1" t="str">
        <f>"济川配号"</f>
        <v>济川配号</v>
      </c>
      <c r="E272" s="1" t="str">
        <f t="shared" si="418"/>
        <v>买入</v>
      </c>
      <c r="F272" s="1" t="str">
        <f>"0.000"</f>
        <v>0.000</v>
      </c>
      <c r="G272" s="1" t="str">
        <f>"1000.00"</f>
        <v>1000.00</v>
      </c>
      <c r="H272" s="1" t="str">
        <f t="shared" si="423"/>
        <v>A850418317</v>
      </c>
      <c r="I272" s="1" t="str">
        <f t="shared" ref="I272:L272" si="427">"0.00"</f>
        <v>0.00</v>
      </c>
      <c r="J272" s="1" t="str">
        <f t="shared" si="427"/>
        <v>0.00</v>
      </c>
      <c r="K272" s="1" t="str">
        <f t="shared" si="419"/>
        <v>0.00</v>
      </c>
      <c r="L272" s="1" t="str">
        <f t="shared" si="427"/>
        <v>0.00</v>
      </c>
      <c r="M272" s="1" t="str">
        <f t="shared" si="420"/>
        <v>0.00</v>
      </c>
      <c r="N272" s="1" t="str">
        <f>"起始配号:100604209524"</f>
        <v>起始配号:100604209524</v>
      </c>
    </row>
    <row r="273" spans="1:14">
      <c r="A273" s="1" t="str">
        <f t="shared" ref="A273:A276" si="428">"20171114"</f>
        <v>20171114</v>
      </c>
      <c r="B273" s="1" t="str">
        <f>"10:06:06"</f>
        <v>10:06:06</v>
      </c>
      <c r="C273" s="1" t="str">
        <f>"600732"</f>
        <v>600732</v>
      </c>
      <c r="D273" s="1" t="str">
        <f>"ST新梅"</f>
        <v>ST新梅</v>
      </c>
      <c r="E273" s="1" t="str">
        <f t="shared" si="418"/>
        <v>买入</v>
      </c>
      <c r="F273" s="1" t="str">
        <f>"8.800"</f>
        <v>8.800</v>
      </c>
      <c r="G273" s="1" t="str">
        <f>"100.00"</f>
        <v>100.00</v>
      </c>
      <c r="H273" s="1" t="str">
        <f t="shared" si="423"/>
        <v>A850418317</v>
      </c>
      <c r="I273" s="1" t="str">
        <f>"880.00"</f>
        <v>880.00</v>
      </c>
      <c r="J273" s="1" t="str">
        <f t="shared" si="426"/>
        <v>5.00</v>
      </c>
      <c r="K273" s="1" t="str">
        <f t="shared" si="419"/>
        <v>0.00</v>
      </c>
      <c r="L273" s="1" t="str">
        <f>"0.02"</f>
        <v>0.02</v>
      </c>
      <c r="M273" s="1" t="str">
        <f t="shared" si="420"/>
        <v>0.00</v>
      </c>
      <c r="N273" s="1" t="str">
        <f t="shared" ref="N273:N276" si="429">"证券买入"</f>
        <v>证券买入</v>
      </c>
    </row>
    <row r="274" spans="1:14">
      <c r="A274" s="1" t="str">
        <f t="shared" si="428"/>
        <v>20171114</v>
      </c>
      <c r="B274" s="1" t="str">
        <f>"14:44:41"</f>
        <v>14:44:41</v>
      </c>
      <c r="C274" s="1" t="str">
        <f>"600230"</f>
        <v>600230</v>
      </c>
      <c r="D274" s="1" t="str">
        <f>"沧州大化"</f>
        <v>沧州大化</v>
      </c>
      <c r="E274" s="1" t="str">
        <f>"卖出"</f>
        <v>卖出</v>
      </c>
      <c r="F274" s="1" t="str">
        <f>"47.960"</f>
        <v>47.960</v>
      </c>
      <c r="G274" s="1" t="str">
        <f>"-100.00"</f>
        <v>-100.00</v>
      </c>
      <c r="H274" s="1" t="str">
        <f t="shared" si="423"/>
        <v>A850418317</v>
      </c>
      <c r="I274" s="1" t="str">
        <f>"4796.00"</f>
        <v>4796.00</v>
      </c>
      <c r="J274" s="1" t="str">
        <f t="shared" si="426"/>
        <v>5.00</v>
      </c>
      <c r="K274" s="1" t="str">
        <f>"4.80"</f>
        <v>4.80</v>
      </c>
      <c r="L274" s="1" t="str">
        <f>"0.10"</f>
        <v>0.10</v>
      </c>
      <c r="M274" s="1" t="str">
        <f t="shared" si="420"/>
        <v>0.00</v>
      </c>
      <c r="N274" s="1" t="str">
        <f>"证券卖出"</f>
        <v>证券卖出</v>
      </c>
    </row>
    <row r="275" spans="1:14">
      <c r="A275" s="1" t="str">
        <f t="shared" si="428"/>
        <v>20171114</v>
      </c>
      <c r="B275" s="1" t="str">
        <f>"14:50:45"</f>
        <v>14:50:45</v>
      </c>
      <c r="C275" s="1" t="str">
        <f>"600703"</f>
        <v>600703</v>
      </c>
      <c r="D275" s="1" t="str">
        <f>"三安光电"</f>
        <v>三安光电</v>
      </c>
      <c r="E275" s="1" t="str">
        <f t="shared" ref="E275:E278" si="430">"买入"</f>
        <v>买入</v>
      </c>
      <c r="F275" s="1" t="str">
        <f>"27.100"</f>
        <v>27.100</v>
      </c>
      <c r="G275" s="1" t="str">
        <f>"200.00"</f>
        <v>200.00</v>
      </c>
      <c r="H275" s="1" t="str">
        <f t="shared" si="423"/>
        <v>A850418317</v>
      </c>
      <c r="I275" s="1" t="str">
        <f>"5420.00"</f>
        <v>5420.00</v>
      </c>
      <c r="J275" s="1" t="str">
        <f t="shared" si="426"/>
        <v>5.00</v>
      </c>
      <c r="K275" s="1" t="str">
        <f t="shared" ref="K275:K278" si="431">"0.00"</f>
        <v>0.00</v>
      </c>
      <c r="L275" s="1" t="str">
        <f>"0.11"</f>
        <v>0.11</v>
      </c>
      <c r="M275" s="1" t="str">
        <f t="shared" si="420"/>
        <v>0.00</v>
      </c>
      <c r="N275" s="1" t="str">
        <f t="shared" si="429"/>
        <v>证券买入</v>
      </c>
    </row>
    <row r="276" spans="1:14">
      <c r="A276" s="1" t="str">
        <f t="shared" si="428"/>
        <v>20171114</v>
      </c>
      <c r="B276" s="1" t="str">
        <f>"10:06:35"</f>
        <v>10:06:35</v>
      </c>
      <c r="C276" s="1" t="str">
        <f>"000725"</f>
        <v>000725</v>
      </c>
      <c r="D276" s="1" t="str">
        <f>"京东方Ａ"</f>
        <v>京东方Ａ</v>
      </c>
      <c r="E276" s="1" t="str">
        <f t="shared" si="430"/>
        <v>买入</v>
      </c>
      <c r="F276" s="1" t="str">
        <f>"6.290"</f>
        <v>6.290</v>
      </c>
      <c r="G276" s="1" t="str">
        <f>"100.00"</f>
        <v>100.00</v>
      </c>
      <c r="H276" s="1" t="str">
        <f>"0104152129"</f>
        <v>0104152129</v>
      </c>
      <c r="I276" s="1" t="str">
        <f>"629.00"</f>
        <v>629.00</v>
      </c>
      <c r="J276" s="1" t="str">
        <f t="shared" si="426"/>
        <v>5.00</v>
      </c>
      <c r="K276" s="1" t="str">
        <f t="shared" si="431"/>
        <v>0.00</v>
      </c>
      <c r="L276" s="1" t="str">
        <f>"0.01"</f>
        <v>0.01</v>
      </c>
      <c r="M276" s="1" t="str">
        <f t="shared" si="420"/>
        <v>0.00</v>
      </c>
      <c r="N276" s="1" t="str">
        <f t="shared" si="429"/>
        <v>证券买入</v>
      </c>
    </row>
    <row r="277" spans="1:14">
      <c r="A277" s="1" t="str">
        <f>"20171115"</f>
        <v>20171115</v>
      </c>
      <c r="B277" s="1" t="str">
        <f>"23:15:05"</f>
        <v>23:15:05</v>
      </c>
      <c r="C277" s="1" t="str">
        <f>"736685"</f>
        <v>736685</v>
      </c>
      <c r="D277" s="1" t="str">
        <f>"晨丰配号"</f>
        <v>晨丰配号</v>
      </c>
      <c r="E277" s="1" t="str">
        <f t="shared" si="430"/>
        <v>买入</v>
      </c>
      <c r="F277" s="1" t="str">
        <f>"0.000"</f>
        <v>0.000</v>
      </c>
      <c r="G277" s="1" t="str">
        <f>"1.00"</f>
        <v>1.00</v>
      </c>
      <c r="H277" s="1" t="str">
        <f t="shared" ref="H277:H282" si="432">"A850418317"</f>
        <v>A850418317</v>
      </c>
      <c r="I277" s="1" t="str">
        <f t="shared" ref="I277:L277" si="433">"0.00"</f>
        <v>0.00</v>
      </c>
      <c r="J277" s="1" t="str">
        <f t="shared" si="433"/>
        <v>0.00</v>
      </c>
      <c r="K277" s="1" t="str">
        <f t="shared" si="431"/>
        <v>0.00</v>
      </c>
      <c r="L277" s="1" t="str">
        <f t="shared" si="433"/>
        <v>0.00</v>
      </c>
      <c r="M277" s="1" t="str">
        <f t="shared" si="420"/>
        <v>0.00</v>
      </c>
      <c r="N277" s="1" t="str">
        <f>"起始配号:100013973525"</f>
        <v>起始配号:100013973525</v>
      </c>
    </row>
    <row r="278" spans="1:14">
      <c r="A278" s="1" t="str">
        <f t="shared" ref="A278:A285" si="434">"20171116"</f>
        <v>20171116</v>
      </c>
      <c r="B278" s="1" t="str">
        <f>"09:49:21"</f>
        <v>09:49:21</v>
      </c>
      <c r="C278" s="1" t="str">
        <f t="shared" ref="C278:C281" si="435">"600732"</f>
        <v>600732</v>
      </c>
      <c r="D278" s="1" t="str">
        <f t="shared" ref="D278:D281" si="436">"ST新梅"</f>
        <v>ST新梅</v>
      </c>
      <c r="E278" s="1" t="str">
        <f t="shared" si="430"/>
        <v>买入</v>
      </c>
      <c r="F278" s="1" t="str">
        <f>"9.130"</f>
        <v>9.130</v>
      </c>
      <c r="G278" s="1" t="str">
        <f>"1100.00"</f>
        <v>1100.00</v>
      </c>
      <c r="H278" s="1" t="str">
        <f t="shared" si="432"/>
        <v>A850418317</v>
      </c>
      <c r="I278" s="1" t="str">
        <f>"10043.00"</f>
        <v>10043.00</v>
      </c>
      <c r="J278" s="1" t="str">
        <f t="shared" ref="J278:J284" si="437">"5.00"</f>
        <v>5.00</v>
      </c>
      <c r="K278" s="1" t="str">
        <f t="shared" si="431"/>
        <v>0.00</v>
      </c>
      <c r="L278" s="1" t="str">
        <f>"0.20"</f>
        <v>0.20</v>
      </c>
      <c r="M278" s="1" t="str">
        <f t="shared" si="420"/>
        <v>0.00</v>
      </c>
      <c r="N278" s="1" t="str">
        <f t="shared" ref="N278:N281" si="438">"证券买入"</f>
        <v>证券买入</v>
      </c>
    </row>
    <row r="279" spans="1:14">
      <c r="A279" s="1" t="str">
        <f t="shared" si="434"/>
        <v>20171116</v>
      </c>
      <c r="B279" s="1" t="str">
        <f>"10:30:17"</f>
        <v>10:30:17</v>
      </c>
      <c r="C279" s="1" t="str">
        <f>"600703"</f>
        <v>600703</v>
      </c>
      <c r="D279" s="1" t="str">
        <f>"三安光电"</f>
        <v>三安光电</v>
      </c>
      <c r="E279" s="1" t="str">
        <f t="shared" ref="E279:E283" si="439">"卖出"</f>
        <v>卖出</v>
      </c>
      <c r="F279" s="1" t="str">
        <f>"26.430"</f>
        <v>26.430</v>
      </c>
      <c r="G279" s="1" t="str">
        <f>"-200.00"</f>
        <v>-200.00</v>
      </c>
      <c r="H279" s="1" t="str">
        <f t="shared" si="432"/>
        <v>A850418317</v>
      </c>
      <c r="I279" s="1" t="str">
        <f>"5286.00"</f>
        <v>5286.00</v>
      </c>
      <c r="J279" s="1" t="str">
        <f t="shared" si="437"/>
        <v>5.00</v>
      </c>
      <c r="K279" s="1" t="str">
        <f>"5.29"</f>
        <v>5.29</v>
      </c>
      <c r="L279" s="1" t="str">
        <f t="shared" ref="L279:L284" si="440">"0.11"</f>
        <v>0.11</v>
      </c>
      <c r="M279" s="1" t="str">
        <f t="shared" si="420"/>
        <v>0.00</v>
      </c>
      <c r="N279" s="1" t="str">
        <f t="shared" ref="N279:N283" si="441">"证券卖出"</f>
        <v>证券卖出</v>
      </c>
    </row>
    <row r="280" spans="1:14">
      <c r="A280" s="1" t="str">
        <f t="shared" si="434"/>
        <v>20171116</v>
      </c>
      <c r="B280" s="1" t="str">
        <f>"10:35:18"</f>
        <v>10:35:18</v>
      </c>
      <c r="C280" s="1" t="str">
        <f t="shared" si="435"/>
        <v>600732</v>
      </c>
      <c r="D280" s="1" t="str">
        <f t="shared" si="436"/>
        <v>ST新梅</v>
      </c>
      <c r="E280" s="1" t="str">
        <f t="shared" ref="E280:E285" si="442">"买入"</f>
        <v>买入</v>
      </c>
      <c r="F280" s="1" t="str">
        <f>"8.870"</f>
        <v>8.870</v>
      </c>
      <c r="G280" s="1" t="str">
        <f>"200.00"</f>
        <v>200.00</v>
      </c>
      <c r="H280" s="1" t="str">
        <f t="shared" si="432"/>
        <v>A850418317</v>
      </c>
      <c r="I280" s="1" t="str">
        <f>"1774.00"</f>
        <v>1774.00</v>
      </c>
      <c r="J280" s="1" t="str">
        <f t="shared" si="437"/>
        <v>5.00</v>
      </c>
      <c r="K280" s="1" t="str">
        <f t="shared" ref="K280:K285" si="443">"0.00"</f>
        <v>0.00</v>
      </c>
      <c r="L280" s="1" t="str">
        <f>"0.04"</f>
        <v>0.04</v>
      </c>
      <c r="M280" s="1" t="str">
        <f t="shared" si="420"/>
        <v>0.00</v>
      </c>
      <c r="N280" s="1" t="str">
        <f t="shared" si="438"/>
        <v>证券买入</v>
      </c>
    </row>
    <row r="281" spans="1:14">
      <c r="A281" s="1" t="str">
        <f t="shared" si="434"/>
        <v>20171116</v>
      </c>
      <c r="B281" s="1" t="str">
        <f>"13:14:56"</f>
        <v>13:14:56</v>
      </c>
      <c r="C281" s="1" t="str">
        <f t="shared" si="435"/>
        <v>600732</v>
      </c>
      <c r="D281" s="1" t="str">
        <f t="shared" si="436"/>
        <v>ST新梅</v>
      </c>
      <c r="E281" s="1" t="str">
        <f t="shared" si="442"/>
        <v>买入</v>
      </c>
      <c r="F281" s="1" t="str">
        <f>"9.030"</f>
        <v>9.030</v>
      </c>
      <c r="G281" s="1" t="str">
        <f>"1000.00"</f>
        <v>1000.00</v>
      </c>
      <c r="H281" s="1" t="str">
        <f t="shared" si="432"/>
        <v>A850418317</v>
      </c>
      <c r="I281" s="1" t="str">
        <f>"9030.00"</f>
        <v>9030.00</v>
      </c>
      <c r="J281" s="1" t="str">
        <f t="shared" si="437"/>
        <v>5.00</v>
      </c>
      <c r="K281" s="1" t="str">
        <f t="shared" si="443"/>
        <v>0.00</v>
      </c>
      <c r="L281" s="1" t="str">
        <f>"0.18"</f>
        <v>0.18</v>
      </c>
      <c r="M281" s="1" t="str">
        <f t="shared" si="420"/>
        <v>0.00</v>
      </c>
      <c r="N281" s="1" t="str">
        <f t="shared" si="438"/>
        <v>证券买入</v>
      </c>
    </row>
    <row r="282" spans="1:14">
      <c r="A282" s="1" t="str">
        <f t="shared" si="434"/>
        <v>20171116</v>
      </c>
      <c r="B282" s="1" t="str">
        <f>"14:30:39"</f>
        <v>14:30:39</v>
      </c>
      <c r="C282" s="1" t="str">
        <f>"600703"</f>
        <v>600703</v>
      </c>
      <c r="D282" s="1" t="str">
        <f>"三安光电"</f>
        <v>三安光电</v>
      </c>
      <c r="E282" s="1" t="str">
        <f t="shared" si="439"/>
        <v>卖出</v>
      </c>
      <c r="F282" s="1" t="str">
        <f>"27.360"</f>
        <v>27.360</v>
      </c>
      <c r="G282" s="1" t="str">
        <f>"-200.00"</f>
        <v>-200.00</v>
      </c>
      <c r="H282" s="1" t="str">
        <f t="shared" si="432"/>
        <v>A850418317</v>
      </c>
      <c r="I282" s="1" t="str">
        <f>"5472.00"</f>
        <v>5472.00</v>
      </c>
      <c r="J282" s="1" t="str">
        <f t="shared" si="437"/>
        <v>5.00</v>
      </c>
      <c r="K282" s="1" t="str">
        <f>"5.47"</f>
        <v>5.47</v>
      </c>
      <c r="L282" s="1" t="str">
        <f t="shared" si="440"/>
        <v>0.11</v>
      </c>
      <c r="M282" s="1" t="str">
        <f t="shared" si="420"/>
        <v>0.00</v>
      </c>
      <c r="N282" s="1" t="str">
        <f t="shared" si="441"/>
        <v>证券卖出</v>
      </c>
    </row>
    <row r="283" spans="1:14">
      <c r="A283" s="1" t="str">
        <f t="shared" si="434"/>
        <v>20171116</v>
      </c>
      <c r="B283" s="1" t="str">
        <f>"10:06:17"</f>
        <v>10:06:17</v>
      </c>
      <c r="C283" s="1" t="str">
        <f>"000725"</f>
        <v>000725</v>
      </c>
      <c r="D283" s="1" t="str">
        <f>"京东方Ａ"</f>
        <v>京东方Ａ</v>
      </c>
      <c r="E283" s="1" t="str">
        <f t="shared" si="439"/>
        <v>卖出</v>
      </c>
      <c r="F283" s="1" t="str">
        <f>"6.090"</f>
        <v>6.090</v>
      </c>
      <c r="G283" s="1" t="str">
        <f>"-900.00"</f>
        <v>-900.00</v>
      </c>
      <c r="H283" s="1" t="str">
        <f>"0104152129"</f>
        <v>0104152129</v>
      </c>
      <c r="I283" s="1" t="str">
        <f>"5481.00"</f>
        <v>5481.00</v>
      </c>
      <c r="J283" s="1" t="str">
        <f t="shared" si="437"/>
        <v>5.00</v>
      </c>
      <c r="K283" s="1" t="str">
        <f>"5.48"</f>
        <v>5.48</v>
      </c>
      <c r="L283" s="1" t="str">
        <f t="shared" si="440"/>
        <v>0.11</v>
      </c>
      <c r="M283" s="1" t="str">
        <f t="shared" si="420"/>
        <v>0.00</v>
      </c>
      <c r="N283" s="1" t="str">
        <f t="shared" si="441"/>
        <v>证券卖出</v>
      </c>
    </row>
    <row r="284" spans="1:14">
      <c r="A284" s="1" t="str">
        <f t="shared" si="434"/>
        <v>20171116</v>
      </c>
      <c r="B284" s="1" t="str">
        <f>"14:31:03"</f>
        <v>14:31:03</v>
      </c>
      <c r="C284" s="1" t="str">
        <f>"000533"</f>
        <v>000533</v>
      </c>
      <c r="D284" s="1" t="str">
        <f>"万 家 乐"</f>
        <v>万 家 乐</v>
      </c>
      <c r="E284" s="1" t="str">
        <f t="shared" si="442"/>
        <v>买入</v>
      </c>
      <c r="F284" s="1" t="str">
        <f>"9.440"</f>
        <v>9.440</v>
      </c>
      <c r="G284" s="1" t="str">
        <f>"600.00"</f>
        <v>600.00</v>
      </c>
      <c r="H284" s="1" t="str">
        <f>"0104152129"</f>
        <v>0104152129</v>
      </c>
      <c r="I284" s="1" t="str">
        <f>"5664.00"</f>
        <v>5664.00</v>
      </c>
      <c r="J284" s="1" t="str">
        <f t="shared" si="437"/>
        <v>5.00</v>
      </c>
      <c r="K284" s="1" t="str">
        <f t="shared" si="443"/>
        <v>0.00</v>
      </c>
      <c r="L284" s="1" t="str">
        <f t="shared" si="440"/>
        <v>0.11</v>
      </c>
      <c r="M284" s="1" t="str">
        <f t="shared" si="420"/>
        <v>0.00</v>
      </c>
      <c r="N284" s="1" t="str">
        <f>"证券买入"</f>
        <v>证券买入</v>
      </c>
    </row>
    <row r="285" spans="1:14">
      <c r="A285" s="1" t="str">
        <f t="shared" si="434"/>
        <v>20171116</v>
      </c>
      <c r="B285" s="1" t="str">
        <f>"23:30:58"</f>
        <v>23:30:58</v>
      </c>
      <c r="C285" s="1" t="str">
        <f>"736809"</f>
        <v>736809</v>
      </c>
      <c r="D285" s="1" t="str">
        <f>"豪能配号"</f>
        <v>豪能配号</v>
      </c>
      <c r="E285" s="1" t="str">
        <f t="shared" si="442"/>
        <v>买入</v>
      </c>
      <c r="F285" s="1" t="str">
        <f>"0.000"</f>
        <v>0.000</v>
      </c>
      <c r="G285" s="1" t="str">
        <f>"1.00"</f>
        <v>1.00</v>
      </c>
      <c r="H285" s="1" t="str">
        <f t="shared" ref="H285:H289" si="444">"A850418317"</f>
        <v>A850418317</v>
      </c>
      <c r="I285" s="1" t="str">
        <f t="shared" ref="I285:L285" si="445">"0.00"</f>
        <v>0.00</v>
      </c>
      <c r="J285" s="1" t="str">
        <f t="shared" si="445"/>
        <v>0.00</v>
      </c>
      <c r="K285" s="1" t="str">
        <f t="shared" si="443"/>
        <v>0.00</v>
      </c>
      <c r="L285" s="1" t="str">
        <f t="shared" si="445"/>
        <v>0.00</v>
      </c>
      <c r="M285" s="1" t="str">
        <f t="shared" si="420"/>
        <v>0.00</v>
      </c>
      <c r="N285" s="1" t="str">
        <f>"起始配号:100011132721"</f>
        <v>起始配号:100011132721</v>
      </c>
    </row>
    <row r="286" spans="1:14">
      <c r="A286" s="1" t="str">
        <f t="shared" ref="A286:A292" si="446">"20171117"</f>
        <v>20171117</v>
      </c>
      <c r="B286" s="1" t="str">
        <f>"14:13:48"</f>
        <v>14:13:48</v>
      </c>
      <c r="C286" s="1" t="str">
        <f>"600703"</f>
        <v>600703</v>
      </c>
      <c r="D286" s="1" t="str">
        <f>"三安光电"</f>
        <v>三安光电</v>
      </c>
      <c r="E286" s="1" t="str">
        <f t="shared" ref="E286:E290" si="447">"卖出"</f>
        <v>卖出</v>
      </c>
      <c r="F286" s="1" t="str">
        <f>"26.580"</f>
        <v>26.580</v>
      </c>
      <c r="G286" s="1" t="str">
        <f>"-300.00"</f>
        <v>-300.00</v>
      </c>
      <c r="H286" s="1" t="str">
        <f t="shared" si="444"/>
        <v>A850418317</v>
      </c>
      <c r="I286" s="1" t="str">
        <f>"7974.00"</f>
        <v>7974.00</v>
      </c>
      <c r="J286" s="1" t="str">
        <f t="shared" ref="J286:J294" si="448">"5.00"</f>
        <v>5.00</v>
      </c>
      <c r="K286" s="1" t="str">
        <f>"7.98"</f>
        <v>7.98</v>
      </c>
      <c r="L286" s="1" t="str">
        <f>"0.16"</f>
        <v>0.16</v>
      </c>
      <c r="M286" s="1" t="str">
        <f t="shared" si="420"/>
        <v>0.00</v>
      </c>
      <c r="N286" s="1" t="str">
        <f t="shared" ref="N286:N290" si="449">"证券卖出"</f>
        <v>证券卖出</v>
      </c>
    </row>
    <row r="287" spans="1:14">
      <c r="A287" s="1" t="str">
        <f t="shared" si="446"/>
        <v>20171117</v>
      </c>
      <c r="B287" s="1" t="str">
        <f>"14:24:58"</f>
        <v>14:24:58</v>
      </c>
      <c r="C287" s="1" t="str">
        <f t="shared" ref="C287:C289" si="450">"600732"</f>
        <v>600732</v>
      </c>
      <c r="D287" s="1" t="str">
        <f t="shared" ref="D287:D289" si="451">"ST新梅"</f>
        <v>ST新梅</v>
      </c>
      <c r="E287" s="1" t="str">
        <f t="shared" si="447"/>
        <v>卖出</v>
      </c>
      <c r="F287" s="1" t="str">
        <f>"8.640"</f>
        <v>8.640</v>
      </c>
      <c r="G287" s="1" t="str">
        <f>"-1200.00"</f>
        <v>-1200.00</v>
      </c>
      <c r="H287" s="1" t="str">
        <f t="shared" si="444"/>
        <v>A850418317</v>
      </c>
      <c r="I287" s="1" t="str">
        <f>"10368.00"</f>
        <v>10368.00</v>
      </c>
      <c r="J287" s="1" t="str">
        <f t="shared" si="448"/>
        <v>5.00</v>
      </c>
      <c r="K287" s="1" t="str">
        <f>"10.37"</f>
        <v>10.37</v>
      </c>
      <c r="L287" s="1" t="str">
        <f>"0.21"</f>
        <v>0.21</v>
      </c>
      <c r="M287" s="1" t="str">
        <f t="shared" si="420"/>
        <v>0.00</v>
      </c>
      <c r="N287" s="1" t="str">
        <f t="shared" si="449"/>
        <v>证券卖出</v>
      </c>
    </row>
    <row r="288" spans="1:14">
      <c r="A288" s="1" t="str">
        <f t="shared" si="446"/>
        <v>20171117</v>
      </c>
      <c r="B288" s="1" t="str">
        <f>"14:25:29"</f>
        <v>14:25:29</v>
      </c>
      <c r="C288" s="1" t="str">
        <f t="shared" si="450"/>
        <v>600732</v>
      </c>
      <c r="D288" s="1" t="str">
        <f t="shared" si="451"/>
        <v>ST新梅</v>
      </c>
      <c r="E288" s="1" t="str">
        <f t="shared" si="447"/>
        <v>卖出</v>
      </c>
      <c r="F288" s="1" t="str">
        <f>"8.610"</f>
        <v>8.610</v>
      </c>
      <c r="G288" s="1" t="str">
        <f t="shared" ref="G288:G290" si="452">"-600.00"</f>
        <v>-600.00</v>
      </c>
      <c r="H288" s="1" t="str">
        <f t="shared" si="444"/>
        <v>A850418317</v>
      </c>
      <c r="I288" s="1" t="str">
        <f>"5166.00"</f>
        <v>5166.00</v>
      </c>
      <c r="J288" s="1" t="str">
        <f t="shared" si="448"/>
        <v>5.00</v>
      </c>
      <c r="K288" s="1" t="str">
        <f>"5.17"</f>
        <v>5.17</v>
      </c>
      <c r="L288" s="1" t="str">
        <f t="shared" ref="L288:L291" si="453">"0.10"</f>
        <v>0.10</v>
      </c>
      <c r="M288" s="1" t="str">
        <f t="shared" si="420"/>
        <v>0.00</v>
      </c>
      <c r="N288" s="1" t="str">
        <f t="shared" si="449"/>
        <v>证券卖出</v>
      </c>
    </row>
    <row r="289" spans="1:14">
      <c r="A289" s="1" t="str">
        <f t="shared" si="446"/>
        <v>20171117</v>
      </c>
      <c r="B289" s="1" t="str">
        <f>"14:31:48"</f>
        <v>14:31:48</v>
      </c>
      <c r="C289" s="1" t="str">
        <f t="shared" si="450"/>
        <v>600732</v>
      </c>
      <c r="D289" s="1" t="str">
        <f t="shared" si="451"/>
        <v>ST新梅</v>
      </c>
      <c r="E289" s="1" t="str">
        <f t="shared" si="447"/>
        <v>卖出</v>
      </c>
      <c r="F289" s="1" t="str">
        <f>"8.560"</f>
        <v>8.560</v>
      </c>
      <c r="G289" s="1" t="str">
        <f t="shared" si="452"/>
        <v>-600.00</v>
      </c>
      <c r="H289" s="1" t="str">
        <f t="shared" si="444"/>
        <v>A850418317</v>
      </c>
      <c r="I289" s="1" t="str">
        <f>"5136.00"</f>
        <v>5136.00</v>
      </c>
      <c r="J289" s="1" t="str">
        <f t="shared" si="448"/>
        <v>5.00</v>
      </c>
      <c r="K289" s="1" t="str">
        <f>"5.14"</f>
        <v>5.14</v>
      </c>
      <c r="L289" s="1" t="str">
        <f t="shared" si="453"/>
        <v>0.10</v>
      </c>
      <c r="M289" s="1" t="str">
        <f t="shared" si="420"/>
        <v>0.00</v>
      </c>
      <c r="N289" s="1" t="str">
        <f t="shared" si="449"/>
        <v>证券卖出</v>
      </c>
    </row>
    <row r="290" spans="1:14">
      <c r="A290" s="1" t="str">
        <f t="shared" si="446"/>
        <v>20171117</v>
      </c>
      <c r="B290" s="1" t="str">
        <f>"09:25:00"</f>
        <v>09:25:00</v>
      </c>
      <c r="C290" s="1" t="str">
        <f>"000533"</f>
        <v>000533</v>
      </c>
      <c r="D290" s="1" t="str">
        <f>"万 家 乐"</f>
        <v>万 家 乐</v>
      </c>
      <c r="E290" s="1" t="str">
        <f t="shared" si="447"/>
        <v>卖出</v>
      </c>
      <c r="F290" s="1" t="str">
        <f>"9.520"</f>
        <v>9.520</v>
      </c>
      <c r="G290" s="1" t="str">
        <f t="shared" si="452"/>
        <v>-600.00</v>
      </c>
      <c r="H290" s="1" t="str">
        <f t="shared" ref="H290:H295" si="454">"0104152129"</f>
        <v>0104152129</v>
      </c>
      <c r="I290" s="1" t="str">
        <f>"5712.00"</f>
        <v>5712.00</v>
      </c>
      <c r="J290" s="1" t="str">
        <f t="shared" si="448"/>
        <v>5.00</v>
      </c>
      <c r="K290" s="1" t="str">
        <f>"5.71"</f>
        <v>5.71</v>
      </c>
      <c r="L290" s="1" t="str">
        <f>"0.11"</f>
        <v>0.11</v>
      </c>
      <c r="M290" s="1" t="str">
        <f t="shared" si="420"/>
        <v>0.00</v>
      </c>
      <c r="N290" s="1" t="str">
        <f t="shared" si="449"/>
        <v>证券卖出</v>
      </c>
    </row>
    <row r="291" spans="1:14">
      <c r="A291" s="1" t="str">
        <f t="shared" si="446"/>
        <v>20171117</v>
      </c>
      <c r="B291" s="1" t="str">
        <f>"09:30:34"</f>
        <v>09:30:34</v>
      </c>
      <c r="C291" s="1" t="str">
        <f>"000553"</f>
        <v>000553</v>
      </c>
      <c r="D291" s="1" t="str">
        <f>"沙隆达Ａ"</f>
        <v>沙隆达Ａ</v>
      </c>
      <c r="E291" s="1" t="str">
        <f t="shared" ref="E291:E303" si="455">"买入"</f>
        <v>买入</v>
      </c>
      <c r="F291" s="1" t="str">
        <f>"16.850"</f>
        <v>16.850</v>
      </c>
      <c r="G291" s="1" t="str">
        <f>"300.00"</f>
        <v>300.00</v>
      </c>
      <c r="H291" s="1" t="str">
        <f t="shared" si="454"/>
        <v>0104152129</v>
      </c>
      <c r="I291" s="1" t="str">
        <f>"5055.00"</f>
        <v>5055.00</v>
      </c>
      <c r="J291" s="1" t="str">
        <f t="shared" si="448"/>
        <v>5.00</v>
      </c>
      <c r="K291" s="1" t="str">
        <f t="shared" ref="K291:K304" si="456">"0.00"</f>
        <v>0.00</v>
      </c>
      <c r="L291" s="1" t="str">
        <f t="shared" si="453"/>
        <v>0.10</v>
      </c>
      <c r="M291" s="1" t="str">
        <f t="shared" si="420"/>
        <v>0.00</v>
      </c>
      <c r="N291" s="1" t="str">
        <f t="shared" ref="N291:N298" si="457">"证券买入"</f>
        <v>证券买入</v>
      </c>
    </row>
    <row r="292" spans="1:14">
      <c r="A292" s="1" t="str">
        <f t="shared" si="446"/>
        <v>20171117</v>
      </c>
      <c r="B292" s="1" t="str">
        <f>"14:47:45"</f>
        <v>14:47:45</v>
      </c>
      <c r="C292" s="1" t="str">
        <f>"002061"</f>
        <v>002061</v>
      </c>
      <c r="D292" s="1" t="str">
        <f>"江山化工"</f>
        <v>江山化工</v>
      </c>
      <c r="E292" s="1" t="str">
        <f t="shared" si="455"/>
        <v>买入</v>
      </c>
      <c r="F292" s="1" t="str">
        <f>"14.140"</f>
        <v>14.140</v>
      </c>
      <c r="G292" s="1" t="str">
        <f>"200.00"</f>
        <v>200.00</v>
      </c>
      <c r="H292" s="1" t="str">
        <f t="shared" si="454"/>
        <v>0104152129</v>
      </c>
      <c r="I292" s="1" t="str">
        <f>"2828.00"</f>
        <v>2828.00</v>
      </c>
      <c r="J292" s="1" t="str">
        <f t="shared" si="448"/>
        <v>5.00</v>
      </c>
      <c r="K292" s="1" t="str">
        <f t="shared" si="456"/>
        <v>0.00</v>
      </c>
      <c r="L292" s="1" t="str">
        <f>"0.06"</f>
        <v>0.06</v>
      </c>
      <c r="M292" s="1" t="str">
        <f t="shared" si="420"/>
        <v>0.00</v>
      </c>
      <c r="N292" s="1" t="str">
        <f t="shared" si="457"/>
        <v>证券买入</v>
      </c>
    </row>
    <row r="293" spans="1:14">
      <c r="A293" s="1" t="str">
        <f t="shared" ref="A293:A295" si="458">"20171120"</f>
        <v>20171120</v>
      </c>
      <c r="B293" s="1" t="str">
        <f>"09:32:22"</f>
        <v>09:32:22</v>
      </c>
      <c r="C293" s="1" t="str">
        <f>"000553"</f>
        <v>000553</v>
      </c>
      <c r="D293" s="1" t="str">
        <f>"沙隆达Ａ"</f>
        <v>沙隆达Ａ</v>
      </c>
      <c r="E293" s="1" t="str">
        <f t="shared" ref="E293:E295" si="459">"卖出"</f>
        <v>卖出</v>
      </c>
      <c r="F293" s="1" t="str">
        <f>"15.950"</f>
        <v>15.950</v>
      </c>
      <c r="G293" s="1" t="str">
        <f>"-800.00"</f>
        <v>-800.00</v>
      </c>
      <c r="H293" s="1" t="str">
        <f t="shared" si="454"/>
        <v>0104152129</v>
      </c>
      <c r="I293" s="1" t="str">
        <f>"12760.00"</f>
        <v>12760.00</v>
      </c>
      <c r="J293" s="1" t="str">
        <f t="shared" si="448"/>
        <v>5.00</v>
      </c>
      <c r="K293" s="1" t="str">
        <f>"12.77"</f>
        <v>12.77</v>
      </c>
      <c r="L293" s="1" t="str">
        <f>"0.26"</f>
        <v>0.26</v>
      </c>
      <c r="M293" s="1" t="str">
        <f t="shared" si="420"/>
        <v>0.00</v>
      </c>
      <c r="N293" s="1" t="str">
        <f>"证券卖出"</f>
        <v>证券卖出</v>
      </c>
    </row>
    <row r="294" spans="1:14">
      <c r="A294" s="1" t="str">
        <f t="shared" si="458"/>
        <v>20171120</v>
      </c>
      <c r="B294" s="1" t="str">
        <f>"09:32:40"</f>
        <v>09:32:40</v>
      </c>
      <c r="C294" s="1" t="str">
        <f>"002061"</f>
        <v>002061</v>
      </c>
      <c r="D294" s="1" t="str">
        <f>"江山化工"</f>
        <v>江山化工</v>
      </c>
      <c r="E294" s="1" t="str">
        <f t="shared" si="459"/>
        <v>卖出</v>
      </c>
      <c r="F294" s="1" t="str">
        <f>"13.710"</f>
        <v>13.710</v>
      </c>
      <c r="G294" s="1" t="str">
        <f>"-200.00"</f>
        <v>-200.00</v>
      </c>
      <c r="H294" s="1" t="str">
        <f t="shared" si="454"/>
        <v>0104152129</v>
      </c>
      <c r="I294" s="1" t="str">
        <f>"2742.00"</f>
        <v>2742.00</v>
      </c>
      <c r="J294" s="1" t="str">
        <f t="shared" si="448"/>
        <v>5.00</v>
      </c>
      <c r="K294" s="1" t="str">
        <f>"2.74"</f>
        <v>2.74</v>
      </c>
      <c r="L294" s="1" t="str">
        <f>"0.05"</f>
        <v>0.05</v>
      </c>
      <c r="M294" s="1" t="str">
        <f t="shared" si="420"/>
        <v>0.00</v>
      </c>
      <c r="N294" s="1" t="str">
        <f>"证券卖出"</f>
        <v>证券卖出</v>
      </c>
    </row>
    <row r="295" spans="1:14">
      <c r="A295" s="1" t="str">
        <f t="shared" si="458"/>
        <v>20171120</v>
      </c>
      <c r="B295" s="1" t="str">
        <f>"10:00:09"</f>
        <v>10:00:09</v>
      </c>
      <c r="C295" s="1" t="str">
        <f>"131801"</f>
        <v>131801</v>
      </c>
      <c r="D295" s="1" t="str">
        <f>"Ｒ-007"</f>
        <v>Ｒ-007</v>
      </c>
      <c r="E295" s="1" t="str">
        <f t="shared" si="459"/>
        <v>卖出</v>
      </c>
      <c r="F295" s="1" t="str">
        <f>"4.048"</f>
        <v>4.048</v>
      </c>
      <c r="G295" s="1" t="str">
        <f>"300.00"</f>
        <v>300.00</v>
      </c>
      <c r="H295" s="1" t="str">
        <f t="shared" si="454"/>
        <v>0104152129</v>
      </c>
      <c r="I295" s="1" t="str">
        <f>"30000.00"</f>
        <v>30000.00</v>
      </c>
      <c r="J295" s="1" t="str">
        <f>"1.50"</f>
        <v>1.50</v>
      </c>
      <c r="K295" s="1" t="str">
        <f t="shared" si="456"/>
        <v>0.00</v>
      </c>
      <c r="L295" s="1" t="str">
        <f>"0.00"</f>
        <v>0.00</v>
      </c>
      <c r="M295" s="1" t="str">
        <f t="shared" si="420"/>
        <v>0.00</v>
      </c>
      <c r="N295" s="1" t="str">
        <f>"融券回购购回日:20171127预计利息:23.29-131990"</f>
        <v>融券回购购回日:20171127预计利息:23.29-131990</v>
      </c>
    </row>
    <row r="296" spans="1:14">
      <c r="A296" s="1" t="str">
        <f t="shared" ref="A296:A300" si="460">"20171121"</f>
        <v>20171121</v>
      </c>
      <c r="B296" s="1" t="str">
        <f>"09:43:29"</f>
        <v>09:43:29</v>
      </c>
      <c r="C296" s="1" t="str">
        <f>"600699"</f>
        <v>600699</v>
      </c>
      <c r="D296" s="1" t="str">
        <f>"均胜电子"</f>
        <v>均胜电子</v>
      </c>
      <c r="E296" s="1" t="str">
        <f t="shared" si="455"/>
        <v>买入</v>
      </c>
      <c r="F296" s="1" t="str">
        <f>"39.370"</f>
        <v>39.370</v>
      </c>
      <c r="G296" s="1" t="str">
        <f t="shared" ref="G296:G298" si="461">"100.00"</f>
        <v>100.00</v>
      </c>
      <c r="H296" s="1" t="str">
        <f t="shared" ref="H296:H301" si="462">"A850418317"</f>
        <v>A850418317</v>
      </c>
      <c r="I296" s="1" t="str">
        <f>"3937.00"</f>
        <v>3937.00</v>
      </c>
      <c r="J296" s="1" t="str">
        <f t="shared" ref="J296:J298" si="463">"5.00"</f>
        <v>5.00</v>
      </c>
      <c r="K296" s="1" t="str">
        <f t="shared" si="456"/>
        <v>0.00</v>
      </c>
      <c r="L296" s="1" t="str">
        <f>"0.08"</f>
        <v>0.08</v>
      </c>
      <c r="M296" s="1" t="str">
        <f t="shared" si="420"/>
        <v>0.00</v>
      </c>
      <c r="N296" s="1" t="str">
        <f t="shared" si="457"/>
        <v>证券买入</v>
      </c>
    </row>
    <row r="297" spans="1:14">
      <c r="A297" s="1" t="str">
        <f t="shared" si="460"/>
        <v>20171121</v>
      </c>
      <c r="B297" s="1" t="str">
        <f>"10:04:26"</f>
        <v>10:04:26</v>
      </c>
      <c r="C297" s="1" t="str">
        <f>"600460"</f>
        <v>600460</v>
      </c>
      <c r="D297" s="1" t="str">
        <f>"士兰微"</f>
        <v>士兰微</v>
      </c>
      <c r="E297" s="1" t="str">
        <f t="shared" si="455"/>
        <v>买入</v>
      </c>
      <c r="F297" s="1" t="str">
        <f>"11.140"</f>
        <v>11.140</v>
      </c>
      <c r="G297" s="1" t="str">
        <f t="shared" si="461"/>
        <v>100.00</v>
      </c>
      <c r="H297" s="1" t="str">
        <f t="shared" si="462"/>
        <v>A850418317</v>
      </c>
      <c r="I297" s="1" t="str">
        <f>"1114.00"</f>
        <v>1114.00</v>
      </c>
      <c r="J297" s="1" t="str">
        <f t="shared" si="463"/>
        <v>5.00</v>
      </c>
      <c r="K297" s="1" t="str">
        <f t="shared" si="456"/>
        <v>0.00</v>
      </c>
      <c r="L297" s="1" t="str">
        <f>"0.02"</f>
        <v>0.02</v>
      </c>
      <c r="M297" s="1" t="str">
        <f t="shared" si="420"/>
        <v>0.00</v>
      </c>
      <c r="N297" s="1" t="str">
        <f t="shared" si="457"/>
        <v>证券买入</v>
      </c>
    </row>
    <row r="298" spans="1:14">
      <c r="A298" s="1" t="str">
        <f t="shared" si="460"/>
        <v>20171121</v>
      </c>
      <c r="B298" s="1" t="str">
        <f>"09:51:04"</f>
        <v>09:51:04</v>
      </c>
      <c r="C298" s="1" t="str">
        <f>"000553"</f>
        <v>000553</v>
      </c>
      <c r="D298" s="1" t="str">
        <f>"沙隆达Ａ"</f>
        <v>沙隆达Ａ</v>
      </c>
      <c r="E298" s="1" t="str">
        <f t="shared" si="455"/>
        <v>买入</v>
      </c>
      <c r="F298" s="1" t="str">
        <f>"16.530"</f>
        <v>16.530</v>
      </c>
      <c r="G298" s="1" t="str">
        <f t="shared" si="461"/>
        <v>100.00</v>
      </c>
      <c r="H298" s="1" t="str">
        <f t="shared" ref="H298:H304" si="464">"0104152129"</f>
        <v>0104152129</v>
      </c>
      <c r="I298" s="1" t="str">
        <f>"1653.00"</f>
        <v>1653.00</v>
      </c>
      <c r="J298" s="1" t="str">
        <f t="shared" si="463"/>
        <v>5.00</v>
      </c>
      <c r="K298" s="1" t="str">
        <f t="shared" si="456"/>
        <v>0.00</v>
      </c>
      <c r="L298" s="1" t="str">
        <f>"0.03"</f>
        <v>0.03</v>
      </c>
      <c r="M298" s="1" t="str">
        <f t="shared" si="420"/>
        <v>0.00</v>
      </c>
      <c r="N298" s="1" t="str">
        <f t="shared" si="457"/>
        <v>证券买入</v>
      </c>
    </row>
    <row r="299" spans="1:14">
      <c r="A299" s="1" t="str">
        <f t="shared" si="460"/>
        <v>20171121</v>
      </c>
      <c r="B299" s="1" t="str">
        <f>"22:07:43"</f>
        <v>22:07:43</v>
      </c>
      <c r="C299" s="1" t="str">
        <f>"736848"</f>
        <v>736848</v>
      </c>
      <c r="D299" s="1" t="str">
        <f>"好太配号"</f>
        <v>好太配号</v>
      </c>
      <c r="E299" s="1" t="str">
        <f t="shared" si="455"/>
        <v>买入</v>
      </c>
      <c r="F299" s="1" t="str">
        <f t="shared" ref="F299:F301" si="465">"0.000"</f>
        <v>0.000</v>
      </c>
      <c r="G299" s="1" t="str">
        <f>"2.00"</f>
        <v>2.00</v>
      </c>
      <c r="H299" s="1" t="str">
        <f t="shared" si="462"/>
        <v>A850418317</v>
      </c>
      <c r="I299" s="1" t="str">
        <f t="shared" ref="I299:L299" si="466">"0.00"</f>
        <v>0.00</v>
      </c>
      <c r="J299" s="1" t="str">
        <f t="shared" si="466"/>
        <v>0.00</v>
      </c>
      <c r="K299" s="1" t="str">
        <f t="shared" si="456"/>
        <v>0.00</v>
      </c>
      <c r="L299" s="1" t="str">
        <f t="shared" si="466"/>
        <v>0.00</v>
      </c>
      <c r="M299" s="1" t="str">
        <f t="shared" si="420"/>
        <v>0.00</v>
      </c>
      <c r="N299" s="1" t="str">
        <f>"起始配号:100008754192"</f>
        <v>起始配号:100008754192</v>
      </c>
    </row>
    <row r="300" spans="1:14">
      <c r="A300" s="1" t="str">
        <f t="shared" si="460"/>
        <v>20171121</v>
      </c>
      <c r="B300" s="1" t="str">
        <f>"22:08:09"</f>
        <v>22:08:09</v>
      </c>
      <c r="C300" s="1" t="str">
        <f>"736711"</f>
        <v>736711</v>
      </c>
      <c r="D300" s="1" t="str">
        <f>"香飘配号"</f>
        <v>香飘配号</v>
      </c>
      <c r="E300" s="1" t="str">
        <f t="shared" si="455"/>
        <v>买入</v>
      </c>
      <c r="F300" s="1" t="str">
        <f t="shared" si="465"/>
        <v>0.000</v>
      </c>
      <c r="G300" s="1" t="str">
        <f>"2.00"</f>
        <v>2.00</v>
      </c>
      <c r="H300" s="1" t="str">
        <f t="shared" si="462"/>
        <v>A850418317</v>
      </c>
      <c r="I300" s="1" t="str">
        <f t="shared" ref="I300:L300" si="467">"0.00"</f>
        <v>0.00</v>
      </c>
      <c r="J300" s="1" t="str">
        <f t="shared" si="467"/>
        <v>0.00</v>
      </c>
      <c r="K300" s="1" t="str">
        <f t="shared" si="456"/>
        <v>0.00</v>
      </c>
      <c r="L300" s="1" t="str">
        <f t="shared" si="467"/>
        <v>0.00</v>
      </c>
      <c r="M300" s="1" t="str">
        <f t="shared" si="420"/>
        <v>0.00</v>
      </c>
      <c r="N300" s="1" t="str">
        <f>"起始配号:100007855780"</f>
        <v>起始配号:100007855780</v>
      </c>
    </row>
    <row r="301" spans="1:14">
      <c r="A301" s="1" t="str">
        <f>"20171122"</f>
        <v>20171122</v>
      </c>
      <c r="B301" s="1" t="str">
        <f>"23:13:25"</f>
        <v>23:13:25</v>
      </c>
      <c r="C301" s="1" t="str">
        <f>"736917"</f>
        <v>736917</v>
      </c>
      <c r="D301" s="1" t="str">
        <f>"合力配号"</f>
        <v>合力配号</v>
      </c>
      <c r="E301" s="1" t="str">
        <f t="shared" si="455"/>
        <v>买入</v>
      </c>
      <c r="F301" s="1" t="str">
        <f t="shared" si="465"/>
        <v>0.000</v>
      </c>
      <c r="G301" s="1" t="str">
        <f>"1.00"</f>
        <v>1.00</v>
      </c>
      <c r="H301" s="1" t="str">
        <f t="shared" si="462"/>
        <v>A850418317</v>
      </c>
      <c r="I301" s="1" t="str">
        <f t="shared" ref="I301:L301" si="468">"0.00"</f>
        <v>0.00</v>
      </c>
      <c r="J301" s="1" t="str">
        <f t="shared" si="468"/>
        <v>0.00</v>
      </c>
      <c r="K301" s="1" t="str">
        <f t="shared" si="456"/>
        <v>0.00</v>
      </c>
      <c r="L301" s="1" t="str">
        <f t="shared" si="468"/>
        <v>0.00</v>
      </c>
      <c r="M301" s="1" t="str">
        <f t="shared" si="420"/>
        <v>0.00</v>
      </c>
      <c r="N301" s="1" t="str">
        <f>"起始配号:100003644647"</f>
        <v>起始配号:100003644647</v>
      </c>
    </row>
    <row r="302" spans="1:14">
      <c r="A302" s="1" t="str">
        <f t="shared" ref="A302:A304" si="469">"20171127"</f>
        <v>20171127</v>
      </c>
      <c r="B302" s="1" t="str">
        <f>"09:25:00"</f>
        <v>09:25:00</v>
      </c>
      <c r="C302" s="1" t="str">
        <f>"002558"</f>
        <v>002558</v>
      </c>
      <c r="D302" s="1" t="str">
        <f>"巨人网络"</f>
        <v>巨人网络</v>
      </c>
      <c r="E302" s="1" t="str">
        <f t="shared" si="455"/>
        <v>买入</v>
      </c>
      <c r="F302" s="1" t="str">
        <f>"41.800"</f>
        <v>41.800</v>
      </c>
      <c r="G302" s="1" t="str">
        <f>"100.00"</f>
        <v>100.00</v>
      </c>
      <c r="H302" s="1" t="str">
        <f t="shared" si="464"/>
        <v>0104152129</v>
      </c>
      <c r="I302" s="1" t="str">
        <f>"4180.00"</f>
        <v>4180.00</v>
      </c>
      <c r="J302" s="1" t="str">
        <f t="shared" ref="J302:J318" si="470">"5.00"</f>
        <v>5.00</v>
      </c>
      <c r="K302" s="1" t="str">
        <f t="shared" si="456"/>
        <v>0.00</v>
      </c>
      <c r="L302" s="1" t="str">
        <f>"0.08"</f>
        <v>0.08</v>
      </c>
      <c r="M302" s="1" t="str">
        <f t="shared" si="420"/>
        <v>0.00</v>
      </c>
      <c r="N302" s="1" t="str">
        <f t="shared" ref="N302:N310" si="471">"证券买入"</f>
        <v>证券买入</v>
      </c>
    </row>
    <row r="303" spans="1:14">
      <c r="A303" s="1" t="str">
        <f t="shared" si="469"/>
        <v>20171127</v>
      </c>
      <c r="B303" s="1" t="str">
        <f>"09:47:29"</f>
        <v>09:47:29</v>
      </c>
      <c r="C303" s="1" t="str">
        <f>"000856"</f>
        <v>000856</v>
      </c>
      <c r="D303" s="1" t="str">
        <f>"冀东装备"</f>
        <v>冀东装备</v>
      </c>
      <c r="E303" s="1" t="str">
        <f t="shared" si="455"/>
        <v>买入</v>
      </c>
      <c r="F303" s="1" t="str">
        <f>"19.270"</f>
        <v>19.270</v>
      </c>
      <c r="G303" s="1" t="str">
        <f t="shared" ref="G303:G308" si="472">"200.00"</f>
        <v>200.00</v>
      </c>
      <c r="H303" s="1" t="str">
        <f t="shared" si="464"/>
        <v>0104152129</v>
      </c>
      <c r="I303" s="1" t="str">
        <f>"3854.00"</f>
        <v>3854.00</v>
      </c>
      <c r="J303" s="1" t="str">
        <f t="shared" si="470"/>
        <v>5.00</v>
      </c>
      <c r="K303" s="1" t="str">
        <f t="shared" si="456"/>
        <v>0.00</v>
      </c>
      <c r="L303" s="1" t="str">
        <f>"0.08"</f>
        <v>0.08</v>
      </c>
      <c r="M303" s="1" t="str">
        <f t="shared" si="420"/>
        <v>0.00</v>
      </c>
      <c r="N303" s="1" t="str">
        <f t="shared" si="471"/>
        <v>证券买入</v>
      </c>
    </row>
    <row r="304" spans="1:14">
      <c r="A304" s="1" t="str">
        <f t="shared" si="469"/>
        <v>20171127</v>
      </c>
      <c r="B304" s="1" t="str">
        <f>"19:29:31"</f>
        <v>19:29:31</v>
      </c>
      <c r="C304" s="1" t="str">
        <f>"131801"</f>
        <v>131801</v>
      </c>
      <c r="D304" s="1" t="str">
        <f>"Ｒ-007"</f>
        <v>Ｒ-007</v>
      </c>
      <c r="E304" s="1" t="str">
        <f t="shared" ref="E304:E306" si="473">"卖出"</f>
        <v>卖出</v>
      </c>
      <c r="F304" s="1" t="str">
        <f>"4.048"</f>
        <v>4.048</v>
      </c>
      <c r="G304" s="1" t="str">
        <f>"-300.00"</f>
        <v>-300.00</v>
      </c>
      <c r="H304" s="1" t="str">
        <f t="shared" si="464"/>
        <v>0104152129</v>
      </c>
      <c r="I304" s="1" t="str">
        <f>"30000.00"</f>
        <v>30000.00</v>
      </c>
      <c r="J304" s="1" t="str">
        <f>"0.00"</f>
        <v>0.00</v>
      </c>
      <c r="K304" s="1" t="str">
        <f t="shared" si="456"/>
        <v>0.00</v>
      </c>
      <c r="L304" s="1" t="str">
        <f>"0.00"</f>
        <v>0.00</v>
      </c>
      <c r="M304" s="1" t="str">
        <f t="shared" si="420"/>
        <v>0.00</v>
      </c>
      <c r="N304" s="1" t="str">
        <f>"融券购回:23.29-131990"</f>
        <v>融券购回:23.29-131990</v>
      </c>
    </row>
    <row r="305" spans="1:14">
      <c r="A305" s="1" t="str">
        <f t="shared" ref="A305:A319" si="474">"20171128"</f>
        <v>20171128</v>
      </c>
      <c r="B305" s="1" t="str">
        <f>"10:31:00"</f>
        <v>10:31:00</v>
      </c>
      <c r="C305" s="1" t="str">
        <f>"600699"</f>
        <v>600699</v>
      </c>
      <c r="D305" s="1" t="str">
        <f>"均胜电子"</f>
        <v>均胜电子</v>
      </c>
      <c r="E305" s="1" t="str">
        <f t="shared" si="473"/>
        <v>卖出</v>
      </c>
      <c r="F305" s="1" t="str">
        <f>"36.270"</f>
        <v>36.270</v>
      </c>
      <c r="G305" s="1" t="str">
        <f>"-100.00"</f>
        <v>-100.00</v>
      </c>
      <c r="H305" s="1" t="str">
        <f t="shared" ref="H305:H310" si="475">"A850418317"</f>
        <v>A850418317</v>
      </c>
      <c r="I305" s="1" t="str">
        <f>"3627.00"</f>
        <v>3627.00</v>
      </c>
      <c r="J305" s="1" t="str">
        <f t="shared" si="470"/>
        <v>5.00</v>
      </c>
      <c r="K305" s="1" t="str">
        <f>"3.63"</f>
        <v>3.63</v>
      </c>
      <c r="L305" s="1" t="str">
        <f t="shared" ref="L305:L310" si="476">"0.07"</f>
        <v>0.07</v>
      </c>
      <c r="M305" s="1" t="str">
        <f t="shared" si="420"/>
        <v>0.00</v>
      </c>
      <c r="N305" s="1" t="str">
        <f>"证券卖出"</f>
        <v>证券卖出</v>
      </c>
    </row>
    <row r="306" spans="1:14">
      <c r="A306" s="1" t="str">
        <f t="shared" si="474"/>
        <v>20171128</v>
      </c>
      <c r="B306" s="1" t="str">
        <f>"10:32:49"</f>
        <v>10:32:49</v>
      </c>
      <c r="C306" s="1" t="str">
        <f t="shared" ref="C306:C310" si="477">"600460"</f>
        <v>600460</v>
      </c>
      <c r="D306" s="1" t="str">
        <f t="shared" ref="D306:D310" si="478">"士兰微"</f>
        <v>士兰微</v>
      </c>
      <c r="E306" s="1" t="str">
        <f t="shared" si="473"/>
        <v>卖出</v>
      </c>
      <c r="F306" s="1" t="str">
        <f>"10.730"</f>
        <v>10.730</v>
      </c>
      <c r="G306" s="1" t="str">
        <f>"-100.00"</f>
        <v>-100.00</v>
      </c>
      <c r="H306" s="1" t="str">
        <f t="shared" si="475"/>
        <v>A850418317</v>
      </c>
      <c r="I306" s="1" t="str">
        <f>"1073.00"</f>
        <v>1073.00</v>
      </c>
      <c r="J306" s="1" t="str">
        <f t="shared" si="470"/>
        <v>5.00</v>
      </c>
      <c r="K306" s="1" t="str">
        <f>"1.07"</f>
        <v>1.07</v>
      </c>
      <c r="L306" s="1" t="str">
        <f>"0.02"</f>
        <v>0.02</v>
      </c>
      <c r="M306" s="1" t="str">
        <f t="shared" si="420"/>
        <v>0.00</v>
      </c>
      <c r="N306" s="1" t="str">
        <f>"证券卖出"</f>
        <v>证券卖出</v>
      </c>
    </row>
    <row r="307" spans="1:14">
      <c r="A307" s="1" t="str">
        <f t="shared" si="474"/>
        <v>20171128</v>
      </c>
      <c r="B307" s="1" t="str">
        <f>"13:42:59"</f>
        <v>13:42:59</v>
      </c>
      <c r="C307" s="1" t="str">
        <f>"600699"</f>
        <v>600699</v>
      </c>
      <c r="D307" s="1" t="str">
        <f>"均胜电子"</f>
        <v>均胜电子</v>
      </c>
      <c r="E307" s="1" t="str">
        <f t="shared" ref="E307:E310" si="479">"买入"</f>
        <v>买入</v>
      </c>
      <c r="F307" s="1" t="str">
        <f>"36.690"</f>
        <v>36.690</v>
      </c>
      <c r="G307" s="1" t="str">
        <f t="shared" si="472"/>
        <v>200.00</v>
      </c>
      <c r="H307" s="1" t="str">
        <f t="shared" si="475"/>
        <v>A850418317</v>
      </c>
      <c r="I307" s="1" t="str">
        <f>"7338.00"</f>
        <v>7338.00</v>
      </c>
      <c r="J307" s="1" t="str">
        <f t="shared" si="470"/>
        <v>5.00</v>
      </c>
      <c r="K307" s="1" t="str">
        <f t="shared" ref="K307:K310" si="480">"0.00"</f>
        <v>0.00</v>
      </c>
      <c r="L307" s="1" t="str">
        <f>"0.15"</f>
        <v>0.15</v>
      </c>
      <c r="M307" s="1" t="str">
        <f t="shared" si="420"/>
        <v>0.00</v>
      </c>
      <c r="N307" s="1" t="str">
        <f t="shared" si="471"/>
        <v>证券买入</v>
      </c>
    </row>
    <row r="308" spans="1:14">
      <c r="A308" s="1" t="str">
        <f t="shared" si="474"/>
        <v>20171128</v>
      </c>
      <c r="B308" s="1" t="str">
        <f>"13:46:18"</f>
        <v>13:46:18</v>
      </c>
      <c r="C308" s="1" t="str">
        <f t="shared" si="477"/>
        <v>600460</v>
      </c>
      <c r="D308" s="1" t="str">
        <f t="shared" si="478"/>
        <v>士兰微</v>
      </c>
      <c r="E308" s="1" t="str">
        <f t="shared" si="479"/>
        <v>买入</v>
      </c>
      <c r="F308" s="1" t="str">
        <f>"11.160"</f>
        <v>11.160</v>
      </c>
      <c r="G308" s="1" t="str">
        <f t="shared" si="472"/>
        <v>200.00</v>
      </c>
      <c r="H308" s="1" t="str">
        <f t="shared" si="475"/>
        <v>A850418317</v>
      </c>
      <c r="I308" s="1" t="str">
        <f>"2232.00"</f>
        <v>2232.00</v>
      </c>
      <c r="J308" s="1" t="str">
        <f t="shared" si="470"/>
        <v>5.00</v>
      </c>
      <c r="K308" s="1" t="str">
        <f t="shared" si="480"/>
        <v>0.00</v>
      </c>
      <c r="L308" s="1" t="str">
        <f>"0.04"</f>
        <v>0.04</v>
      </c>
      <c r="M308" s="1" t="str">
        <f t="shared" si="420"/>
        <v>0.00</v>
      </c>
      <c r="N308" s="1" t="str">
        <f t="shared" si="471"/>
        <v>证券买入</v>
      </c>
    </row>
    <row r="309" spans="1:14">
      <c r="A309" s="1" t="str">
        <f t="shared" si="474"/>
        <v>20171128</v>
      </c>
      <c r="B309" s="1" t="str">
        <f>"13:54:56"</f>
        <v>13:54:56</v>
      </c>
      <c r="C309" s="1" t="str">
        <f t="shared" si="477"/>
        <v>600460</v>
      </c>
      <c r="D309" s="1" t="str">
        <f t="shared" si="478"/>
        <v>士兰微</v>
      </c>
      <c r="E309" s="1" t="str">
        <f t="shared" si="479"/>
        <v>买入</v>
      </c>
      <c r="F309" s="1" t="str">
        <f>"11.080"</f>
        <v>11.080</v>
      </c>
      <c r="G309" s="1" t="str">
        <f>"300.00"</f>
        <v>300.00</v>
      </c>
      <c r="H309" s="1" t="str">
        <f t="shared" si="475"/>
        <v>A850418317</v>
      </c>
      <c r="I309" s="1" t="str">
        <f>"3324.00"</f>
        <v>3324.00</v>
      </c>
      <c r="J309" s="1" t="str">
        <f t="shared" si="470"/>
        <v>5.00</v>
      </c>
      <c r="K309" s="1" t="str">
        <f t="shared" si="480"/>
        <v>0.00</v>
      </c>
      <c r="L309" s="1" t="str">
        <f t="shared" si="476"/>
        <v>0.07</v>
      </c>
      <c r="M309" s="1" t="str">
        <f t="shared" si="420"/>
        <v>0.00</v>
      </c>
      <c r="N309" s="1" t="str">
        <f t="shared" si="471"/>
        <v>证券买入</v>
      </c>
    </row>
    <row r="310" spans="1:14">
      <c r="A310" s="1" t="str">
        <f t="shared" si="474"/>
        <v>20171128</v>
      </c>
      <c r="B310" s="1" t="str">
        <f>"13:55:54"</f>
        <v>13:55:54</v>
      </c>
      <c r="C310" s="1" t="str">
        <f t="shared" si="477"/>
        <v>600460</v>
      </c>
      <c r="D310" s="1" t="str">
        <f t="shared" si="478"/>
        <v>士兰微</v>
      </c>
      <c r="E310" s="1" t="str">
        <f t="shared" si="479"/>
        <v>买入</v>
      </c>
      <c r="F310" s="1" t="str">
        <f>"11.080"</f>
        <v>11.080</v>
      </c>
      <c r="G310" s="1" t="str">
        <f>"300.00"</f>
        <v>300.00</v>
      </c>
      <c r="H310" s="1" t="str">
        <f t="shared" si="475"/>
        <v>A850418317</v>
      </c>
      <c r="I310" s="1" t="str">
        <f>"3324.00"</f>
        <v>3324.00</v>
      </c>
      <c r="J310" s="1" t="str">
        <f t="shared" si="470"/>
        <v>5.00</v>
      </c>
      <c r="K310" s="1" t="str">
        <f t="shared" si="480"/>
        <v>0.00</v>
      </c>
      <c r="L310" s="1" t="str">
        <f t="shared" si="476"/>
        <v>0.07</v>
      </c>
      <c r="M310" s="1" t="str">
        <f t="shared" si="420"/>
        <v>0.00</v>
      </c>
      <c r="N310" s="1" t="str">
        <f t="shared" si="471"/>
        <v>证券买入</v>
      </c>
    </row>
    <row r="311" spans="1:14">
      <c r="A311" s="1" t="str">
        <f t="shared" si="474"/>
        <v>20171128</v>
      </c>
      <c r="B311" s="1" t="str">
        <f>"10:23:03"</f>
        <v>10:23:03</v>
      </c>
      <c r="C311" s="1" t="str">
        <f>"000856"</f>
        <v>000856</v>
      </c>
      <c r="D311" s="1" t="str">
        <f>"冀东装备"</f>
        <v>冀东装备</v>
      </c>
      <c r="E311" s="1" t="str">
        <f t="shared" ref="E311:E313" si="481">"卖出"</f>
        <v>卖出</v>
      </c>
      <c r="F311" s="1" t="str">
        <f>"19.050"</f>
        <v>19.050</v>
      </c>
      <c r="G311" s="1" t="str">
        <f>"-200.00"</f>
        <v>-200.00</v>
      </c>
      <c r="H311" s="1" t="str">
        <f t="shared" ref="H311:H319" si="482">"0104152129"</f>
        <v>0104152129</v>
      </c>
      <c r="I311" s="1" t="str">
        <f>"3810.00"</f>
        <v>3810.00</v>
      </c>
      <c r="J311" s="1" t="str">
        <f t="shared" si="470"/>
        <v>5.00</v>
      </c>
      <c r="K311" s="1" t="str">
        <f>"3.81"</f>
        <v>3.81</v>
      </c>
      <c r="L311" s="1" t="str">
        <f>"0.08"</f>
        <v>0.08</v>
      </c>
      <c r="M311" s="1" t="str">
        <f t="shared" si="420"/>
        <v>0.00</v>
      </c>
      <c r="N311" s="1" t="str">
        <f t="shared" ref="N311:N313" si="483">"证券卖出"</f>
        <v>证券卖出</v>
      </c>
    </row>
    <row r="312" spans="1:14">
      <c r="A312" s="1" t="str">
        <f t="shared" si="474"/>
        <v>20171128</v>
      </c>
      <c r="B312" s="1" t="str">
        <f>"10:27:17"</f>
        <v>10:27:17</v>
      </c>
      <c r="C312" s="1" t="str">
        <f t="shared" ref="C312:C316" si="484">"000553"</f>
        <v>000553</v>
      </c>
      <c r="D312" s="1" t="str">
        <f t="shared" ref="D312:D316" si="485">"沙隆达Ａ"</f>
        <v>沙隆达Ａ</v>
      </c>
      <c r="E312" s="1" t="str">
        <f t="shared" si="481"/>
        <v>卖出</v>
      </c>
      <c r="F312" s="1" t="str">
        <f>"16.040"</f>
        <v>16.040</v>
      </c>
      <c r="G312" s="1" t="str">
        <f>"-100.00"</f>
        <v>-100.00</v>
      </c>
      <c r="H312" s="1" t="str">
        <f t="shared" si="482"/>
        <v>0104152129</v>
      </c>
      <c r="I312" s="1" t="str">
        <f>"1604.00"</f>
        <v>1604.00</v>
      </c>
      <c r="J312" s="1" t="str">
        <f t="shared" si="470"/>
        <v>5.00</v>
      </c>
      <c r="K312" s="1" t="str">
        <f>"1.60"</f>
        <v>1.60</v>
      </c>
      <c r="L312" s="1" t="str">
        <f>"0.03"</f>
        <v>0.03</v>
      </c>
      <c r="M312" s="1" t="str">
        <f t="shared" si="420"/>
        <v>0.00</v>
      </c>
      <c r="N312" s="1" t="str">
        <f t="shared" si="483"/>
        <v>证券卖出</v>
      </c>
    </row>
    <row r="313" spans="1:14">
      <c r="A313" s="1" t="str">
        <f t="shared" si="474"/>
        <v>20171128</v>
      </c>
      <c r="B313" s="1" t="str">
        <f>"10:27:53"</f>
        <v>10:27:53</v>
      </c>
      <c r="C313" s="1" t="str">
        <f>"002558"</f>
        <v>002558</v>
      </c>
      <c r="D313" s="1" t="str">
        <f>"巨人网络"</f>
        <v>巨人网络</v>
      </c>
      <c r="E313" s="1" t="str">
        <f t="shared" si="481"/>
        <v>卖出</v>
      </c>
      <c r="F313" s="1" t="str">
        <f>"39.800"</f>
        <v>39.800</v>
      </c>
      <c r="G313" s="1" t="str">
        <f>"-100.00"</f>
        <v>-100.00</v>
      </c>
      <c r="H313" s="1" t="str">
        <f t="shared" si="482"/>
        <v>0104152129</v>
      </c>
      <c r="I313" s="1" t="str">
        <f>"3980.00"</f>
        <v>3980.00</v>
      </c>
      <c r="J313" s="1" t="str">
        <f t="shared" si="470"/>
        <v>5.00</v>
      </c>
      <c r="K313" s="1" t="str">
        <f>"3.98"</f>
        <v>3.98</v>
      </c>
      <c r="L313" s="1" t="str">
        <f>"0.08"</f>
        <v>0.08</v>
      </c>
      <c r="M313" s="1" t="str">
        <f t="shared" si="420"/>
        <v>0.00</v>
      </c>
      <c r="N313" s="1" t="str">
        <f t="shared" si="483"/>
        <v>证券卖出</v>
      </c>
    </row>
    <row r="314" spans="1:14">
      <c r="A314" s="1" t="str">
        <f t="shared" si="474"/>
        <v>20171128</v>
      </c>
      <c r="B314" s="1" t="str">
        <f>"13:44:38"</f>
        <v>13:44:38</v>
      </c>
      <c r="C314" s="1" t="str">
        <f t="shared" si="484"/>
        <v>000553</v>
      </c>
      <c r="D314" s="1" t="str">
        <f t="shared" si="485"/>
        <v>沙隆达Ａ</v>
      </c>
      <c r="E314" s="1" t="str">
        <f t="shared" ref="E314:E319" si="486">"买入"</f>
        <v>买入</v>
      </c>
      <c r="F314" s="1" t="str">
        <f>"16.470"</f>
        <v>16.470</v>
      </c>
      <c r="G314" s="1" t="str">
        <f>"200.00"</f>
        <v>200.00</v>
      </c>
      <c r="H314" s="1" t="str">
        <f t="shared" si="482"/>
        <v>0104152129</v>
      </c>
      <c r="I314" s="1" t="str">
        <f>"3294.00"</f>
        <v>3294.00</v>
      </c>
      <c r="J314" s="1" t="str">
        <f t="shared" si="470"/>
        <v>5.00</v>
      </c>
      <c r="K314" s="1" t="str">
        <f t="shared" ref="K314:K319" si="487">"0.00"</f>
        <v>0.00</v>
      </c>
      <c r="L314" s="1" t="str">
        <f>"0.07"</f>
        <v>0.07</v>
      </c>
      <c r="M314" s="1" t="str">
        <f t="shared" si="420"/>
        <v>0.00</v>
      </c>
      <c r="N314" s="1" t="str">
        <f t="shared" ref="N314:N318" si="488">"证券买入"</f>
        <v>证券买入</v>
      </c>
    </row>
    <row r="315" spans="1:14">
      <c r="A315" s="1" t="str">
        <f t="shared" si="474"/>
        <v>20171128</v>
      </c>
      <c r="B315" s="1" t="str">
        <f>"13:45:36"</f>
        <v>13:45:36</v>
      </c>
      <c r="C315" s="1" t="str">
        <f t="shared" si="484"/>
        <v>000553</v>
      </c>
      <c r="D315" s="1" t="str">
        <f t="shared" si="485"/>
        <v>沙隆达Ａ</v>
      </c>
      <c r="E315" s="1" t="str">
        <f t="shared" si="486"/>
        <v>买入</v>
      </c>
      <c r="F315" s="1" t="str">
        <f>"16.560"</f>
        <v>16.560</v>
      </c>
      <c r="G315" s="1" t="str">
        <f>"200.00"</f>
        <v>200.00</v>
      </c>
      <c r="H315" s="1" t="str">
        <f t="shared" si="482"/>
        <v>0104152129</v>
      </c>
      <c r="I315" s="1" t="str">
        <f>"3312.00"</f>
        <v>3312.00</v>
      </c>
      <c r="J315" s="1" t="str">
        <f t="shared" si="470"/>
        <v>5.00</v>
      </c>
      <c r="K315" s="1" t="str">
        <f t="shared" si="487"/>
        <v>0.00</v>
      </c>
      <c r="L315" s="1" t="str">
        <f>"0.07"</f>
        <v>0.07</v>
      </c>
      <c r="M315" s="1" t="str">
        <f t="shared" si="420"/>
        <v>0.00</v>
      </c>
      <c r="N315" s="1" t="str">
        <f t="shared" si="488"/>
        <v>证券买入</v>
      </c>
    </row>
    <row r="316" spans="1:14">
      <c r="A316" s="1" t="str">
        <f t="shared" si="474"/>
        <v>20171128</v>
      </c>
      <c r="B316" s="1" t="str">
        <f>"13:47:11"</f>
        <v>13:47:11</v>
      </c>
      <c r="C316" s="1" t="str">
        <f t="shared" si="484"/>
        <v>000553</v>
      </c>
      <c r="D316" s="1" t="str">
        <f t="shared" si="485"/>
        <v>沙隆达Ａ</v>
      </c>
      <c r="E316" s="1" t="str">
        <f t="shared" si="486"/>
        <v>买入</v>
      </c>
      <c r="F316" s="1" t="str">
        <f>"16.520"</f>
        <v>16.520</v>
      </c>
      <c r="G316" s="1" t="str">
        <f t="shared" ref="G316:G318" si="489">"100.00"</f>
        <v>100.00</v>
      </c>
      <c r="H316" s="1" t="str">
        <f t="shared" si="482"/>
        <v>0104152129</v>
      </c>
      <c r="I316" s="1" t="str">
        <f>"1652.00"</f>
        <v>1652.00</v>
      </c>
      <c r="J316" s="1" t="str">
        <f t="shared" si="470"/>
        <v>5.00</v>
      </c>
      <c r="K316" s="1" t="str">
        <f t="shared" si="487"/>
        <v>0.00</v>
      </c>
      <c r="L316" s="1" t="str">
        <f>"0.03"</f>
        <v>0.03</v>
      </c>
      <c r="M316" s="1" t="str">
        <f t="shared" si="420"/>
        <v>0.00</v>
      </c>
      <c r="N316" s="1" t="str">
        <f t="shared" si="488"/>
        <v>证券买入</v>
      </c>
    </row>
    <row r="317" spans="1:14">
      <c r="A317" s="1" t="str">
        <f t="shared" si="474"/>
        <v>20171128</v>
      </c>
      <c r="B317" s="1" t="str">
        <f>"13:51:06"</f>
        <v>13:51:06</v>
      </c>
      <c r="C317" s="1" t="str">
        <f>"300176"</f>
        <v>300176</v>
      </c>
      <c r="D317" s="1" t="str">
        <f>"鸿特精密"</f>
        <v>鸿特精密</v>
      </c>
      <c r="E317" s="1" t="str">
        <f t="shared" si="486"/>
        <v>买入</v>
      </c>
      <c r="F317" s="1" t="str">
        <f>"108.440"</f>
        <v>108.440</v>
      </c>
      <c r="G317" s="1" t="str">
        <f t="shared" si="489"/>
        <v>100.00</v>
      </c>
      <c r="H317" s="1" t="str">
        <f t="shared" si="482"/>
        <v>0104152129</v>
      </c>
      <c r="I317" s="1" t="str">
        <f>"10844.00"</f>
        <v>10844.00</v>
      </c>
      <c r="J317" s="1" t="str">
        <f t="shared" si="470"/>
        <v>5.00</v>
      </c>
      <c r="K317" s="1" t="str">
        <f t="shared" si="487"/>
        <v>0.00</v>
      </c>
      <c r="L317" s="1" t="str">
        <f>"0.22"</f>
        <v>0.22</v>
      </c>
      <c r="M317" s="1" t="str">
        <f t="shared" si="420"/>
        <v>0.00</v>
      </c>
      <c r="N317" s="1" t="str">
        <f t="shared" si="488"/>
        <v>证券买入</v>
      </c>
    </row>
    <row r="318" spans="1:14">
      <c r="A318" s="1" t="str">
        <f t="shared" si="474"/>
        <v>20171128</v>
      </c>
      <c r="B318" s="1" t="str">
        <f>"13:57:20"</f>
        <v>13:57:20</v>
      </c>
      <c r="C318" s="1" t="str">
        <f>"000338"</f>
        <v>000338</v>
      </c>
      <c r="D318" s="1" t="str">
        <f>"潍柴动力"</f>
        <v>潍柴动力</v>
      </c>
      <c r="E318" s="1" t="str">
        <f t="shared" si="486"/>
        <v>买入</v>
      </c>
      <c r="F318" s="1" t="str">
        <f>"8.180"</f>
        <v>8.180</v>
      </c>
      <c r="G318" s="1" t="str">
        <f t="shared" si="489"/>
        <v>100.00</v>
      </c>
      <c r="H318" s="1" t="str">
        <f t="shared" si="482"/>
        <v>0104152129</v>
      </c>
      <c r="I318" s="1" t="str">
        <f>"818.00"</f>
        <v>818.00</v>
      </c>
      <c r="J318" s="1" t="str">
        <f t="shared" si="470"/>
        <v>5.00</v>
      </c>
      <c r="K318" s="1" t="str">
        <f t="shared" si="487"/>
        <v>0.00</v>
      </c>
      <c r="L318" s="1" t="str">
        <f>"0.02"</f>
        <v>0.02</v>
      </c>
      <c r="M318" s="1" t="str">
        <f t="shared" si="420"/>
        <v>0.00</v>
      </c>
      <c r="N318" s="1" t="str">
        <f t="shared" si="488"/>
        <v>证券买入</v>
      </c>
    </row>
    <row r="319" spans="1:14">
      <c r="A319" s="1" t="str">
        <f t="shared" si="474"/>
        <v>20171128</v>
      </c>
      <c r="B319" s="1" t="str">
        <f>"22:25:18"</f>
        <v>22:25:18</v>
      </c>
      <c r="C319" s="1" t="str">
        <f>"072562"</f>
        <v>072562</v>
      </c>
      <c r="D319" s="1" t="str">
        <f>"兄弟发债"</f>
        <v>兄弟发债</v>
      </c>
      <c r="E319" s="1" t="str">
        <f t="shared" si="486"/>
        <v>买入</v>
      </c>
      <c r="F319" s="1" t="str">
        <f>"0.000"</f>
        <v>0.000</v>
      </c>
      <c r="G319" s="1" t="str">
        <f>"1000.00"</f>
        <v>1000.00</v>
      </c>
      <c r="H319" s="1" t="str">
        <f t="shared" si="482"/>
        <v>0104152129</v>
      </c>
      <c r="I319" s="1" t="str">
        <f t="shared" ref="I319:L319" si="490">"0.00"</f>
        <v>0.00</v>
      </c>
      <c r="J319" s="1" t="str">
        <f t="shared" si="490"/>
        <v>0.00</v>
      </c>
      <c r="K319" s="1" t="str">
        <f t="shared" si="487"/>
        <v>0.00</v>
      </c>
      <c r="L319" s="1" t="str">
        <f t="shared" si="490"/>
        <v>0.00</v>
      </c>
      <c r="M319" s="1" t="str">
        <f t="shared" si="420"/>
        <v>0.00</v>
      </c>
      <c r="N319" s="1" t="str">
        <f>"起始配号:615606212"</f>
        <v>起始配号:615606212</v>
      </c>
    </row>
    <row r="320" spans="1:14">
      <c r="A320" s="1" t="str">
        <f t="shared" ref="A320:A337" si="491">"20171129"</f>
        <v>20171129</v>
      </c>
      <c r="B320" s="1" t="str">
        <f>"09:51:49"</f>
        <v>09:51:49</v>
      </c>
      <c r="C320" s="1" t="str">
        <f>"600699"</f>
        <v>600699</v>
      </c>
      <c r="D320" s="1" t="str">
        <f>"均胜电子"</f>
        <v>均胜电子</v>
      </c>
      <c r="E320" s="1" t="str">
        <f>"卖出"</f>
        <v>卖出</v>
      </c>
      <c r="F320" s="1" t="str">
        <f>"36.300"</f>
        <v>36.300</v>
      </c>
      <c r="G320" s="1" t="str">
        <f>"-200.00"</f>
        <v>-200.00</v>
      </c>
      <c r="H320" s="1" t="str">
        <f t="shared" ref="H320:H329" si="492">"A850418317"</f>
        <v>A850418317</v>
      </c>
      <c r="I320" s="1" t="str">
        <f>"7260.00"</f>
        <v>7260.00</v>
      </c>
      <c r="J320" s="1" t="str">
        <f t="shared" ref="J320:J348" si="493">"5.00"</f>
        <v>5.00</v>
      </c>
      <c r="K320" s="1" t="str">
        <f>"7.26"</f>
        <v>7.26</v>
      </c>
      <c r="L320" s="1" t="str">
        <f>"0.15"</f>
        <v>0.15</v>
      </c>
      <c r="M320" s="1" t="str">
        <f t="shared" si="420"/>
        <v>0.00</v>
      </c>
      <c r="N320" s="1" t="str">
        <f>"证券卖出"</f>
        <v>证券卖出</v>
      </c>
    </row>
    <row r="321" spans="1:14">
      <c r="A321" s="1" t="str">
        <f t="shared" si="491"/>
        <v>20171129</v>
      </c>
      <c r="B321" s="1" t="str">
        <f>"10:00:07"</f>
        <v>10:00:07</v>
      </c>
      <c r="C321" s="1" t="str">
        <f>"600668"</f>
        <v>600668</v>
      </c>
      <c r="D321" s="1" t="str">
        <f>"尖峰集团"</f>
        <v>尖峰集团</v>
      </c>
      <c r="E321" s="1" t="str">
        <f t="shared" ref="E321:E329" si="494">"买入"</f>
        <v>买入</v>
      </c>
      <c r="F321" s="1" t="str">
        <f>"16.370"</f>
        <v>16.370</v>
      </c>
      <c r="G321" s="1" t="str">
        <f>"200.00"</f>
        <v>200.00</v>
      </c>
      <c r="H321" s="1" t="str">
        <f t="shared" si="492"/>
        <v>A850418317</v>
      </c>
      <c r="I321" s="1" t="str">
        <f>"3274.00"</f>
        <v>3274.00</v>
      </c>
      <c r="J321" s="1" t="str">
        <f t="shared" si="493"/>
        <v>5.00</v>
      </c>
      <c r="K321" s="1" t="str">
        <f t="shared" ref="K321:K329" si="495">"0.00"</f>
        <v>0.00</v>
      </c>
      <c r="L321" s="1" t="str">
        <f>"0.07"</f>
        <v>0.07</v>
      </c>
      <c r="M321" s="1" t="str">
        <f t="shared" si="420"/>
        <v>0.00</v>
      </c>
      <c r="N321" s="1" t="str">
        <f t="shared" ref="N321:N329" si="496">"证券买入"</f>
        <v>证券买入</v>
      </c>
    </row>
    <row r="322" spans="1:14">
      <c r="A322" s="1" t="str">
        <f t="shared" si="491"/>
        <v>20171129</v>
      </c>
      <c r="B322" s="1" t="str">
        <f>"10:03:26"</f>
        <v>10:03:26</v>
      </c>
      <c r="C322" s="1" t="str">
        <f t="shared" ref="C322:C326" si="497">"600460"</f>
        <v>600460</v>
      </c>
      <c r="D322" s="1" t="str">
        <f t="shared" ref="D322:D326" si="498">"士兰微"</f>
        <v>士兰微</v>
      </c>
      <c r="E322" s="1" t="str">
        <f t="shared" si="494"/>
        <v>买入</v>
      </c>
      <c r="F322" s="1" t="str">
        <f>"12.190"</f>
        <v>12.190</v>
      </c>
      <c r="G322" s="1" t="str">
        <f t="shared" ref="G322:G325" si="499">"100.00"</f>
        <v>100.00</v>
      </c>
      <c r="H322" s="1" t="str">
        <f t="shared" si="492"/>
        <v>A850418317</v>
      </c>
      <c r="I322" s="1" t="str">
        <f>"1219.00"</f>
        <v>1219.00</v>
      </c>
      <c r="J322" s="1" t="str">
        <f t="shared" si="493"/>
        <v>5.00</v>
      </c>
      <c r="K322" s="1" t="str">
        <f t="shared" si="495"/>
        <v>0.00</v>
      </c>
      <c r="L322" s="1" t="str">
        <f>"0.02"</f>
        <v>0.02</v>
      </c>
      <c r="M322" s="1" t="str">
        <f t="shared" si="420"/>
        <v>0.00</v>
      </c>
      <c r="N322" s="1" t="str">
        <f t="shared" si="496"/>
        <v>证券买入</v>
      </c>
    </row>
    <row r="323" spans="1:14">
      <c r="A323" s="1" t="str">
        <f t="shared" si="491"/>
        <v>20171129</v>
      </c>
      <c r="B323" s="1" t="str">
        <f>"10:29:02"</f>
        <v>10:29:02</v>
      </c>
      <c r="C323" s="1" t="str">
        <f t="shared" si="497"/>
        <v>600460</v>
      </c>
      <c r="D323" s="1" t="str">
        <f t="shared" si="498"/>
        <v>士兰微</v>
      </c>
      <c r="E323" s="1" t="str">
        <f>"卖出"</f>
        <v>卖出</v>
      </c>
      <c r="F323" s="1" t="str">
        <f>"12.080"</f>
        <v>12.080</v>
      </c>
      <c r="G323" s="1" t="str">
        <f>"-800.00"</f>
        <v>-800.00</v>
      </c>
      <c r="H323" s="1" t="str">
        <f t="shared" si="492"/>
        <v>A850418317</v>
      </c>
      <c r="I323" s="1" t="str">
        <f>"9664.00"</f>
        <v>9664.00</v>
      </c>
      <c r="J323" s="1" t="str">
        <f t="shared" si="493"/>
        <v>5.00</v>
      </c>
      <c r="K323" s="1" t="str">
        <f>"9.66"</f>
        <v>9.66</v>
      </c>
      <c r="L323" s="1" t="str">
        <f>"0.19"</f>
        <v>0.19</v>
      </c>
      <c r="M323" s="1" t="str">
        <f t="shared" si="420"/>
        <v>0.00</v>
      </c>
      <c r="N323" s="1" t="str">
        <f>"证券卖出"</f>
        <v>证券卖出</v>
      </c>
    </row>
    <row r="324" spans="1:14">
      <c r="A324" s="1" t="str">
        <f t="shared" si="491"/>
        <v>20171129</v>
      </c>
      <c r="B324" s="1" t="str">
        <f>"10:33:21"</f>
        <v>10:33:21</v>
      </c>
      <c r="C324" s="1" t="str">
        <f>"600230"</f>
        <v>600230</v>
      </c>
      <c r="D324" s="1" t="str">
        <f>"沧州大化"</f>
        <v>沧州大化</v>
      </c>
      <c r="E324" s="1" t="str">
        <f t="shared" si="494"/>
        <v>买入</v>
      </c>
      <c r="F324" s="1" t="str">
        <f>"47.390"</f>
        <v>47.390</v>
      </c>
      <c r="G324" s="1" t="str">
        <f t="shared" si="499"/>
        <v>100.00</v>
      </c>
      <c r="H324" s="1" t="str">
        <f t="shared" si="492"/>
        <v>A850418317</v>
      </c>
      <c r="I324" s="1" t="str">
        <f>"4739.00"</f>
        <v>4739.00</v>
      </c>
      <c r="J324" s="1" t="str">
        <f t="shared" si="493"/>
        <v>5.00</v>
      </c>
      <c r="K324" s="1" t="str">
        <f t="shared" si="495"/>
        <v>0.00</v>
      </c>
      <c r="L324" s="1" t="str">
        <f>"0.09"</f>
        <v>0.09</v>
      </c>
      <c r="M324" s="1" t="str">
        <f t="shared" si="420"/>
        <v>0.00</v>
      </c>
      <c r="N324" s="1" t="str">
        <f t="shared" si="496"/>
        <v>证券买入</v>
      </c>
    </row>
    <row r="325" spans="1:14">
      <c r="A325" s="1" t="str">
        <f t="shared" si="491"/>
        <v>20171129</v>
      </c>
      <c r="B325" s="1" t="str">
        <f>"11:00:51"</f>
        <v>11:00:51</v>
      </c>
      <c r="C325" s="1" t="str">
        <f>"600230"</f>
        <v>600230</v>
      </c>
      <c r="D325" s="1" t="str">
        <f>"沧州大化"</f>
        <v>沧州大化</v>
      </c>
      <c r="E325" s="1" t="str">
        <f t="shared" si="494"/>
        <v>买入</v>
      </c>
      <c r="F325" s="1" t="str">
        <f>"47.320"</f>
        <v>47.320</v>
      </c>
      <c r="G325" s="1" t="str">
        <f t="shared" si="499"/>
        <v>100.00</v>
      </c>
      <c r="H325" s="1" t="str">
        <f t="shared" si="492"/>
        <v>A850418317</v>
      </c>
      <c r="I325" s="1" t="str">
        <f>"4732.00"</f>
        <v>4732.00</v>
      </c>
      <c r="J325" s="1" t="str">
        <f t="shared" si="493"/>
        <v>5.00</v>
      </c>
      <c r="K325" s="1" t="str">
        <f t="shared" si="495"/>
        <v>0.00</v>
      </c>
      <c r="L325" s="1" t="str">
        <f>"0.09"</f>
        <v>0.09</v>
      </c>
      <c r="M325" s="1" t="str">
        <f t="shared" si="420"/>
        <v>0.00</v>
      </c>
      <c r="N325" s="1" t="str">
        <f t="shared" si="496"/>
        <v>证券买入</v>
      </c>
    </row>
    <row r="326" spans="1:14">
      <c r="A326" s="1" t="str">
        <f t="shared" si="491"/>
        <v>20171129</v>
      </c>
      <c r="B326" s="1" t="str">
        <f>"11:10:07"</f>
        <v>11:10:07</v>
      </c>
      <c r="C326" s="1" t="str">
        <f t="shared" si="497"/>
        <v>600460</v>
      </c>
      <c r="D326" s="1" t="str">
        <f t="shared" si="498"/>
        <v>士兰微</v>
      </c>
      <c r="E326" s="1" t="str">
        <f t="shared" si="494"/>
        <v>买入</v>
      </c>
      <c r="F326" s="1" t="str">
        <f>"12.050"</f>
        <v>12.050</v>
      </c>
      <c r="G326" s="1" t="str">
        <f>"200.00"</f>
        <v>200.00</v>
      </c>
      <c r="H326" s="1" t="str">
        <f t="shared" si="492"/>
        <v>A850418317</v>
      </c>
      <c r="I326" s="1" t="str">
        <f>"2410.00"</f>
        <v>2410.00</v>
      </c>
      <c r="J326" s="1" t="str">
        <f t="shared" si="493"/>
        <v>5.00</v>
      </c>
      <c r="K326" s="1" t="str">
        <f t="shared" si="495"/>
        <v>0.00</v>
      </c>
      <c r="L326" s="1" t="str">
        <f>"0.05"</f>
        <v>0.05</v>
      </c>
      <c r="M326" s="1" t="str">
        <f t="shared" si="420"/>
        <v>0.00</v>
      </c>
      <c r="N326" s="1" t="str">
        <f t="shared" si="496"/>
        <v>证券买入</v>
      </c>
    </row>
    <row r="327" spans="1:14">
      <c r="A327" s="1" t="str">
        <f t="shared" si="491"/>
        <v>20171129</v>
      </c>
      <c r="B327" s="1" t="str">
        <f>"13:50:53"</f>
        <v>13:50:53</v>
      </c>
      <c r="C327" s="1" t="str">
        <f t="shared" ref="C327:C329" si="500">"600507"</f>
        <v>600507</v>
      </c>
      <c r="D327" s="1" t="str">
        <f t="shared" ref="D327:D329" si="501">"方大特钢"</f>
        <v>方大特钢</v>
      </c>
      <c r="E327" s="1" t="str">
        <f t="shared" si="494"/>
        <v>买入</v>
      </c>
      <c r="F327" s="1" t="str">
        <f>"16.190"</f>
        <v>16.190</v>
      </c>
      <c r="G327" s="1" t="str">
        <f t="shared" ref="G327:G329" si="502">"100.00"</f>
        <v>100.00</v>
      </c>
      <c r="H327" s="1" t="str">
        <f t="shared" si="492"/>
        <v>A850418317</v>
      </c>
      <c r="I327" s="1" t="str">
        <f>"1619.00"</f>
        <v>1619.00</v>
      </c>
      <c r="J327" s="1" t="str">
        <f t="shared" si="493"/>
        <v>5.00</v>
      </c>
      <c r="K327" s="1" t="str">
        <f t="shared" si="495"/>
        <v>0.00</v>
      </c>
      <c r="L327" s="1" t="str">
        <f t="shared" ref="L327:L329" si="503">"0.03"</f>
        <v>0.03</v>
      </c>
      <c r="M327" s="1" t="str">
        <f t="shared" si="420"/>
        <v>0.00</v>
      </c>
      <c r="N327" s="1" t="str">
        <f t="shared" si="496"/>
        <v>证券买入</v>
      </c>
    </row>
    <row r="328" spans="1:14">
      <c r="A328" s="1" t="str">
        <f t="shared" si="491"/>
        <v>20171129</v>
      </c>
      <c r="B328" s="1" t="str">
        <f>"14:02:16"</f>
        <v>14:02:16</v>
      </c>
      <c r="C328" s="1" t="str">
        <f t="shared" si="500"/>
        <v>600507</v>
      </c>
      <c r="D328" s="1" t="str">
        <f t="shared" si="501"/>
        <v>方大特钢</v>
      </c>
      <c r="E328" s="1" t="str">
        <f t="shared" si="494"/>
        <v>买入</v>
      </c>
      <c r="F328" s="1" t="str">
        <f>"16.000"</f>
        <v>16.000</v>
      </c>
      <c r="G328" s="1" t="str">
        <f t="shared" si="502"/>
        <v>100.00</v>
      </c>
      <c r="H328" s="1" t="str">
        <f t="shared" si="492"/>
        <v>A850418317</v>
      </c>
      <c r="I328" s="1" t="str">
        <f>"1600.00"</f>
        <v>1600.00</v>
      </c>
      <c r="J328" s="1" t="str">
        <f t="shared" si="493"/>
        <v>5.00</v>
      </c>
      <c r="K328" s="1" t="str">
        <f t="shared" si="495"/>
        <v>0.00</v>
      </c>
      <c r="L328" s="1" t="str">
        <f t="shared" si="503"/>
        <v>0.03</v>
      </c>
      <c r="M328" s="1" t="str">
        <f t="shared" si="420"/>
        <v>0.00</v>
      </c>
      <c r="N328" s="1" t="str">
        <f t="shared" si="496"/>
        <v>证券买入</v>
      </c>
    </row>
    <row r="329" spans="1:14">
      <c r="A329" s="1" t="str">
        <f t="shared" si="491"/>
        <v>20171129</v>
      </c>
      <c r="B329" s="1" t="str">
        <f>"14:03:14"</f>
        <v>14:03:14</v>
      </c>
      <c r="C329" s="1" t="str">
        <f t="shared" si="500"/>
        <v>600507</v>
      </c>
      <c r="D329" s="1" t="str">
        <f t="shared" si="501"/>
        <v>方大特钢</v>
      </c>
      <c r="E329" s="1" t="str">
        <f t="shared" si="494"/>
        <v>买入</v>
      </c>
      <c r="F329" s="1" t="str">
        <f>"15.910"</f>
        <v>15.910</v>
      </c>
      <c r="G329" s="1" t="str">
        <f t="shared" si="502"/>
        <v>100.00</v>
      </c>
      <c r="H329" s="1" t="str">
        <f t="shared" si="492"/>
        <v>A850418317</v>
      </c>
      <c r="I329" s="1" t="str">
        <f>"1591.00"</f>
        <v>1591.00</v>
      </c>
      <c r="J329" s="1" t="str">
        <f t="shared" si="493"/>
        <v>5.00</v>
      </c>
      <c r="K329" s="1" t="str">
        <f t="shared" si="495"/>
        <v>0.00</v>
      </c>
      <c r="L329" s="1" t="str">
        <f t="shared" si="503"/>
        <v>0.03</v>
      </c>
      <c r="M329" s="1" t="str">
        <f t="shared" si="420"/>
        <v>0.00</v>
      </c>
      <c r="N329" s="1" t="str">
        <f t="shared" si="496"/>
        <v>证券买入</v>
      </c>
    </row>
    <row r="330" spans="1:14">
      <c r="A330" s="1" t="str">
        <f t="shared" si="491"/>
        <v>20171129</v>
      </c>
      <c r="B330" s="1" t="str">
        <f>"09:56:39"</f>
        <v>09:56:39</v>
      </c>
      <c r="C330" s="1" t="str">
        <f>"000338"</f>
        <v>000338</v>
      </c>
      <c r="D330" s="1" t="str">
        <f>"潍柴动力"</f>
        <v>潍柴动力</v>
      </c>
      <c r="E330" s="1" t="str">
        <f t="shared" ref="E330:E333" si="504">"卖出"</f>
        <v>卖出</v>
      </c>
      <c r="F330" s="1" t="str">
        <f>"8.120"</f>
        <v>8.120</v>
      </c>
      <c r="G330" s="1" t="str">
        <f>"-100.00"</f>
        <v>-100.00</v>
      </c>
      <c r="H330" s="1" t="str">
        <f t="shared" ref="H330:H337" si="505">"0104152129"</f>
        <v>0104152129</v>
      </c>
      <c r="I330" s="1" t="str">
        <f>"812.00"</f>
        <v>812.00</v>
      </c>
      <c r="J330" s="1" t="str">
        <f t="shared" si="493"/>
        <v>5.00</v>
      </c>
      <c r="K330" s="1" t="str">
        <f>"0.81"</f>
        <v>0.81</v>
      </c>
      <c r="L330" s="1" t="str">
        <f>"0.02"</f>
        <v>0.02</v>
      </c>
      <c r="M330" s="1" t="str">
        <f t="shared" si="420"/>
        <v>0.00</v>
      </c>
      <c r="N330" s="1" t="str">
        <f t="shared" ref="N330:N333" si="506">"证券卖出"</f>
        <v>证券卖出</v>
      </c>
    </row>
    <row r="331" spans="1:14">
      <c r="A331" s="1" t="str">
        <f t="shared" si="491"/>
        <v>20171129</v>
      </c>
      <c r="B331" s="1" t="str">
        <f>"10:34:56"</f>
        <v>10:34:56</v>
      </c>
      <c r="C331" s="1" t="str">
        <f t="shared" ref="C331:C335" si="507">"000553"</f>
        <v>000553</v>
      </c>
      <c r="D331" s="1" t="str">
        <f t="shared" ref="D331:D335" si="508">"沙隆达Ａ"</f>
        <v>沙隆达Ａ</v>
      </c>
      <c r="E331" s="1" t="str">
        <f t="shared" si="504"/>
        <v>卖出</v>
      </c>
      <c r="F331" s="1" t="str">
        <f>"17.250"</f>
        <v>17.250</v>
      </c>
      <c r="G331" s="1" t="str">
        <f>"-500.00"</f>
        <v>-500.00</v>
      </c>
      <c r="H331" s="1" t="str">
        <f t="shared" si="505"/>
        <v>0104152129</v>
      </c>
      <c r="I331" s="1" t="str">
        <f>"8625.00"</f>
        <v>8625.00</v>
      </c>
      <c r="J331" s="1" t="str">
        <f t="shared" si="493"/>
        <v>5.00</v>
      </c>
      <c r="K331" s="1" t="str">
        <f>"8.63"</f>
        <v>8.63</v>
      </c>
      <c r="L331" s="1" t="str">
        <f>"0.17"</f>
        <v>0.17</v>
      </c>
      <c r="M331" s="1" t="str">
        <f t="shared" si="420"/>
        <v>0.00</v>
      </c>
      <c r="N331" s="1" t="str">
        <f t="shared" si="506"/>
        <v>证券卖出</v>
      </c>
    </row>
    <row r="332" spans="1:14">
      <c r="A332" s="1" t="str">
        <f t="shared" si="491"/>
        <v>20171129</v>
      </c>
      <c r="B332" s="1" t="str">
        <f>"10:56:31"</f>
        <v>10:56:31</v>
      </c>
      <c r="C332" s="1" t="str">
        <f t="shared" si="507"/>
        <v>000553</v>
      </c>
      <c r="D332" s="1" t="str">
        <f t="shared" si="508"/>
        <v>沙隆达Ａ</v>
      </c>
      <c r="E332" s="1" t="str">
        <f t="shared" ref="E332:E337" si="509">"买入"</f>
        <v>买入</v>
      </c>
      <c r="F332" s="1" t="str">
        <f>"17.620"</f>
        <v>17.620</v>
      </c>
      <c r="G332" s="1" t="str">
        <f>"500.00"</f>
        <v>500.00</v>
      </c>
      <c r="H332" s="1" t="str">
        <f t="shared" si="505"/>
        <v>0104152129</v>
      </c>
      <c r="I332" s="1" t="str">
        <f>"8810.00"</f>
        <v>8810.00</v>
      </c>
      <c r="J332" s="1" t="str">
        <f t="shared" si="493"/>
        <v>5.00</v>
      </c>
      <c r="K332" s="1" t="str">
        <f t="shared" ref="K332:K337" si="510">"0.00"</f>
        <v>0.00</v>
      </c>
      <c r="L332" s="1" t="str">
        <f>"0.18"</f>
        <v>0.18</v>
      </c>
      <c r="M332" s="1" t="str">
        <f t="shared" ref="M332:M395" si="511">"0.00"</f>
        <v>0.00</v>
      </c>
      <c r="N332" s="1" t="str">
        <f t="shared" ref="N332:N337" si="512">"证券买入"</f>
        <v>证券买入</v>
      </c>
    </row>
    <row r="333" spans="1:14">
      <c r="A333" s="1" t="str">
        <f t="shared" si="491"/>
        <v>20171129</v>
      </c>
      <c r="B333" s="1" t="str">
        <f>"11:03:51"</f>
        <v>11:03:51</v>
      </c>
      <c r="C333" s="1" t="str">
        <f>"300176"</f>
        <v>300176</v>
      </c>
      <c r="D333" s="1" t="str">
        <f>"鸿特精密"</f>
        <v>鸿特精密</v>
      </c>
      <c r="E333" s="1" t="str">
        <f t="shared" si="504"/>
        <v>卖出</v>
      </c>
      <c r="F333" s="1" t="str">
        <f>"107.010"</f>
        <v>107.010</v>
      </c>
      <c r="G333" s="1" t="str">
        <f>"-100.00"</f>
        <v>-100.00</v>
      </c>
      <c r="H333" s="1" t="str">
        <f t="shared" si="505"/>
        <v>0104152129</v>
      </c>
      <c r="I333" s="1" t="str">
        <f>"10701.00"</f>
        <v>10701.00</v>
      </c>
      <c r="J333" s="1" t="str">
        <f t="shared" si="493"/>
        <v>5.00</v>
      </c>
      <c r="K333" s="1" t="str">
        <f>"10.70"</f>
        <v>10.70</v>
      </c>
      <c r="L333" s="1" t="str">
        <f>"0.21"</f>
        <v>0.21</v>
      </c>
      <c r="M333" s="1" t="str">
        <f t="shared" si="511"/>
        <v>0.00</v>
      </c>
      <c r="N333" s="1" t="str">
        <f t="shared" si="506"/>
        <v>证券卖出</v>
      </c>
    </row>
    <row r="334" spans="1:14">
      <c r="A334" s="1" t="str">
        <f t="shared" si="491"/>
        <v>20171129</v>
      </c>
      <c r="B334" s="1" t="str">
        <f>"13:43:02"</f>
        <v>13:43:02</v>
      </c>
      <c r="C334" s="1" t="str">
        <f t="shared" si="507"/>
        <v>000553</v>
      </c>
      <c r="D334" s="1" t="str">
        <f t="shared" si="508"/>
        <v>沙隆达Ａ</v>
      </c>
      <c r="E334" s="1" t="str">
        <f t="shared" si="509"/>
        <v>买入</v>
      </c>
      <c r="F334" s="1" t="str">
        <f>"17.380"</f>
        <v>17.380</v>
      </c>
      <c r="G334" s="1" t="str">
        <f t="shared" ref="G334:G336" si="513">"100.00"</f>
        <v>100.00</v>
      </c>
      <c r="H334" s="1" t="str">
        <f t="shared" si="505"/>
        <v>0104152129</v>
      </c>
      <c r="I334" s="1" t="str">
        <f>"1738.00"</f>
        <v>1738.00</v>
      </c>
      <c r="J334" s="1" t="str">
        <f t="shared" si="493"/>
        <v>5.00</v>
      </c>
      <c r="K334" s="1" t="str">
        <f t="shared" si="510"/>
        <v>0.00</v>
      </c>
      <c r="L334" s="1" t="str">
        <f>"0.03"</f>
        <v>0.03</v>
      </c>
      <c r="M334" s="1" t="str">
        <f t="shared" si="511"/>
        <v>0.00</v>
      </c>
      <c r="N334" s="1" t="str">
        <f t="shared" si="512"/>
        <v>证券买入</v>
      </c>
    </row>
    <row r="335" spans="1:14">
      <c r="A335" s="1" t="str">
        <f t="shared" si="491"/>
        <v>20171129</v>
      </c>
      <c r="B335" s="1" t="str">
        <f>"13:45:18"</f>
        <v>13:45:18</v>
      </c>
      <c r="C335" s="1" t="str">
        <f t="shared" si="507"/>
        <v>000553</v>
      </c>
      <c r="D335" s="1" t="str">
        <f t="shared" si="508"/>
        <v>沙隆达Ａ</v>
      </c>
      <c r="E335" s="1" t="str">
        <f t="shared" si="509"/>
        <v>买入</v>
      </c>
      <c r="F335" s="1" t="str">
        <f>"17.400"</f>
        <v>17.400</v>
      </c>
      <c r="G335" s="1" t="str">
        <f t="shared" si="513"/>
        <v>100.00</v>
      </c>
      <c r="H335" s="1" t="str">
        <f t="shared" si="505"/>
        <v>0104152129</v>
      </c>
      <c r="I335" s="1" t="str">
        <f>"1740.00"</f>
        <v>1740.00</v>
      </c>
      <c r="J335" s="1" t="str">
        <f t="shared" si="493"/>
        <v>5.00</v>
      </c>
      <c r="K335" s="1" t="str">
        <f t="shared" si="510"/>
        <v>0.00</v>
      </c>
      <c r="L335" s="1" t="str">
        <f>"0.03"</f>
        <v>0.03</v>
      </c>
      <c r="M335" s="1" t="str">
        <f t="shared" si="511"/>
        <v>0.00</v>
      </c>
      <c r="N335" s="1" t="str">
        <f t="shared" si="512"/>
        <v>证券买入</v>
      </c>
    </row>
    <row r="336" spans="1:14">
      <c r="A336" s="1" t="str">
        <f t="shared" si="491"/>
        <v>20171129</v>
      </c>
      <c r="B336" s="1" t="str">
        <f>"14:22:14"</f>
        <v>14:22:14</v>
      </c>
      <c r="C336" s="1" t="str">
        <f>"002670"</f>
        <v>002670</v>
      </c>
      <c r="D336" s="1" t="str">
        <f>"国盛金控"</f>
        <v>国盛金控</v>
      </c>
      <c r="E336" s="1" t="str">
        <f t="shared" si="509"/>
        <v>买入</v>
      </c>
      <c r="F336" s="1" t="str">
        <f>"21.640"</f>
        <v>21.640</v>
      </c>
      <c r="G336" s="1" t="str">
        <f t="shared" si="513"/>
        <v>100.00</v>
      </c>
      <c r="H336" s="1" t="str">
        <f t="shared" si="505"/>
        <v>0104152129</v>
      </c>
      <c r="I336" s="1" t="str">
        <f>"2164.00"</f>
        <v>2164.00</v>
      </c>
      <c r="J336" s="1" t="str">
        <f t="shared" si="493"/>
        <v>5.00</v>
      </c>
      <c r="K336" s="1" t="str">
        <f t="shared" si="510"/>
        <v>0.00</v>
      </c>
      <c r="L336" s="1" t="str">
        <f>"0.04"</f>
        <v>0.04</v>
      </c>
      <c r="M336" s="1" t="str">
        <f t="shared" si="511"/>
        <v>0.00</v>
      </c>
      <c r="N336" s="1" t="str">
        <f t="shared" si="512"/>
        <v>证券买入</v>
      </c>
    </row>
    <row r="337" spans="1:14">
      <c r="A337" s="1" t="str">
        <f t="shared" si="491"/>
        <v>20171129</v>
      </c>
      <c r="B337" s="1" t="str">
        <f>"14:25:15"</f>
        <v>14:25:15</v>
      </c>
      <c r="C337" s="1" t="str">
        <f>"002477"</f>
        <v>002477</v>
      </c>
      <c r="D337" s="1" t="str">
        <f>"雏鹰农牧"</f>
        <v>雏鹰农牧</v>
      </c>
      <c r="E337" s="1" t="str">
        <f t="shared" si="509"/>
        <v>买入</v>
      </c>
      <c r="F337" s="1" t="str">
        <f>"4.720"</f>
        <v>4.720</v>
      </c>
      <c r="G337" s="1" t="str">
        <f t="shared" ref="G337:G341" si="514">"200.00"</f>
        <v>200.00</v>
      </c>
      <c r="H337" s="1" t="str">
        <f t="shared" si="505"/>
        <v>0104152129</v>
      </c>
      <c r="I337" s="1" t="str">
        <f>"944.00"</f>
        <v>944.00</v>
      </c>
      <c r="J337" s="1" t="str">
        <f t="shared" si="493"/>
        <v>5.00</v>
      </c>
      <c r="K337" s="1" t="str">
        <f t="shared" si="510"/>
        <v>0.00</v>
      </c>
      <c r="L337" s="1" t="str">
        <f>"0.02"</f>
        <v>0.02</v>
      </c>
      <c r="M337" s="1" t="str">
        <f t="shared" si="511"/>
        <v>0.00</v>
      </c>
      <c r="N337" s="1" t="str">
        <f t="shared" si="512"/>
        <v>证券买入</v>
      </c>
    </row>
    <row r="338" spans="1:14">
      <c r="A338" s="1" t="str">
        <f t="shared" ref="A338:A349" si="515">"20171130"</f>
        <v>20171130</v>
      </c>
      <c r="B338" s="1" t="str">
        <f>"09:25:01"</f>
        <v>09:25:01</v>
      </c>
      <c r="C338" s="1" t="str">
        <f>"600460"</f>
        <v>600460</v>
      </c>
      <c r="D338" s="1" t="str">
        <f>"士兰微"</f>
        <v>士兰微</v>
      </c>
      <c r="E338" s="1" t="str">
        <f t="shared" ref="E338:E343" si="516">"卖出"</f>
        <v>卖出</v>
      </c>
      <c r="F338" s="1" t="str">
        <f>"11.840"</f>
        <v>11.840</v>
      </c>
      <c r="G338" s="1" t="str">
        <f>"-300.00"</f>
        <v>-300.00</v>
      </c>
      <c r="H338" s="1" t="str">
        <f t="shared" ref="H338:H343" si="517">"A850418317"</f>
        <v>A850418317</v>
      </c>
      <c r="I338" s="1" t="str">
        <f>"3552.00"</f>
        <v>3552.00</v>
      </c>
      <c r="J338" s="1" t="str">
        <f t="shared" si="493"/>
        <v>5.00</v>
      </c>
      <c r="K338" s="1" t="str">
        <f>"3.55"</f>
        <v>3.55</v>
      </c>
      <c r="L338" s="1" t="str">
        <f>"0.07"</f>
        <v>0.07</v>
      </c>
      <c r="M338" s="1" t="str">
        <f t="shared" si="511"/>
        <v>0.00</v>
      </c>
      <c r="N338" s="1" t="str">
        <f t="shared" ref="N338:N343" si="518">"证券卖出"</f>
        <v>证券卖出</v>
      </c>
    </row>
    <row r="339" spans="1:14">
      <c r="A339" s="1" t="str">
        <f t="shared" si="515"/>
        <v>20171130</v>
      </c>
      <c r="B339" s="1" t="str">
        <f>"09:42:10"</f>
        <v>09:42:10</v>
      </c>
      <c r="C339" s="1" t="str">
        <f>"600230"</f>
        <v>600230</v>
      </c>
      <c r="D339" s="1" t="str">
        <f>"沧州大化"</f>
        <v>沧州大化</v>
      </c>
      <c r="E339" s="1" t="str">
        <f t="shared" si="516"/>
        <v>卖出</v>
      </c>
      <c r="F339" s="1" t="str">
        <f>"48.050"</f>
        <v>48.050</v>
      </c>
      <c r="G339" s="1" t="str">
        <f>"-200.00"</f>
        <v>-200.00</v>
      </c>
      <c r="H339" s="1" t="str">
        <f t="shared" si="517"/>
        <v>A850418317</v>
      </c>
      <c r="I339" s="1" t="str">
        <f>"9610.00"</f>
        <v>9610.00</v>
      </c>
      <c r="J339" s="1" t="str">
        <f t="shared" si="493"/>
        <v>5.00</v>
      </c>
      <c r="K339" s="1" t="str">
        <f>"9.61"</f>
        <v>9.61</v>
      </c>
      <c r="L339" s="1" t="str">
        <f>"0.19"</f>
        <v>0.19</v>
      </c>
      <c r="M339" s="1" t="str">
        <f t="shared" si="511"/>
        <v>0.00</v>
      </c>
      <c r="N339" s="1" t="str">
        <f t="shared" si="518"/>
        <v>证券卖出</v>
      </c>
    </row>
    <row r="340" spans="1:14">
      <c r="A340" s="1" t="str">
        <f t="shared" si="515"/>
        <v>20171130</v>
      </c>
      <c r="B340" s="1" t="str">
        <f>"09:47:08"</f>
        <v>09:47:08</v>
      </c>
      <c r="C340" s="1" t="str">
        <f>"603648"</f>
        <v>603648</v>
      </c>
      <c r="D340" s="1" t="str">
        <f>"畅联股份"</f>
        <v>畅联股份</v>
      </c>
      <c r="E340" s="1" t="str">
        <f t="shared" ref="E340:E344" si="519">"买入"</f>
        <v>买入</v>
      </c>
      <c r="F340" s="1" t="str">
        <f>"21.780"</f>
        <v>21.780</v>
      </c>
      <c r="G340" s="1" t="str">
        <f t="shared" si="514"/>
        <v>200.00</v>
      </c>
      <c r="H340" s="1" t="str">
        <f t="shared" si="517"/>
        <v>A850418317</v>
      </c>
      <c r="I340" s="1" t="str">
        <f>"4356.00"</f>
        <v>4356.00</v>
      </c>
      <c r="J340" s="1" t="str">
        <f t="shared" si="493"/>
        <v>5.00</v>
      </c>
      <c r="K340" s="1" t="str">
        <f t="shared" ref="K340:K344" si="520">"0.00"</f>
        <v>0.00</v>
      </c>
      <c r="L340" s="1" t="str">
        <f>"0.09"</f>
        <v>0.09</v>
      </c>
      <c r="M340" s="1" t="str">
        <f t="shared" si="511"/>
        <v>0.00</v>
      </c>
      <c r="N340" s="1" t="str">
        <f t="shared" ref="N340:N344" si="521">"证券买入"</f>
        <v>证券买入</v>
      </c>
    </row>
    <row r="341" spans="1:14">
      <c r="A341" s="1" t="str">
        <f t="shared" si="515"/>
        <v>20171130</v>
      </c>
      <c r="B341" s="1" t="str">
        <f>"09:53:37"</f>
        <v>09:53:37</v>
      </c>
      <c r="C341" s="1" t="str">
        <f>"600184"</f>
        <v>600184</v>
      </c>
      <c r="D341" s="1" t="str">
        <f>"光电股份"</f>
        <v>光电股份</v>
      </c>
      <c r="E341" s="1" t="str">
        <f t="shared" si="519"/>
        <v>买入</v>
      </c>
      <c r="F341" s="1" t="str">
        <f>"21.530"</f>
        <v>21.530</v>
      </c>
      <c r="G341" s="1" t="str">
        <f t="shared" si="514"/>
        <v>200.00</v>
      </c>
      <c r="H341" s="1" t="str">
        <f t="shared" si="517"/>
        <v>A850418317</v>
      </c>
      <c r="I341" s="1" t="str">
        <f>"4306.00"</f>
        <v>4306.00</v>
      </c>
      <c r="J341" s="1" t="str">
        <f t="shared" si="493"/>
        <v>5.00</v>
      </c>
      <c r="K341" s="1" t="str">
        <f t="shared" si="520"/>
        <v>0.00</v>
      </c>
      <c r="L341" s="1" t="str">
        <f>"0.09"</f>
        <v>0.09</v>
      </c>
      <c r="M341" s="1" t="str">
        <f t="shared" si="511"/>
        <v>0.00</v>
      </c>
      <c r="N341" s="1" t="str">
        <f t="shared" si="521"/>
        <v>证券买入</v>
      </c>
    </row>
    <row r="342" spans="1:14">
      <c r="A342" s="1" t="str">
        <f t="shared" si="515"/>
        <v>20171130</v>
      </c>
      <c r="B342" s="1" t="str">
        <f>"10:27:23"</f>
        <v>10:27:23</v>
      </c>
      <c r="C342" s="1" t="str">
        <f>"600668"</f>
        <v>600668</v>
      </c>
      <c r="D342" s="1" t="str">
        <f>"尖峰集团"</f>
        <v>尖峰集团</v>
      </c>
      <c r="E342" s="1" t="str">
        <f t="shared" si="516"/>
        <v>卖出</v>
      </c>
      <c r="F342" s="1" t="str">
        <f>"16.440"</f>
        <v>16.440</v>
      </c>
      <c r="G342" s="1" t="str">
        <f>"-200.00"</f>
        <v>-200.00</v>
      </c>
      <c r="H342" s="1" t="str">
        <f t="shared" si="517"/>
        <v>A850418317</v>
      </c>
      <c r="I342" s="1" t="str">
        <f>"3288.00"</f>
        <v>3288.00</v>
      </c>
      <c r="J342" s="1" t="str">
        <f t="shared" si="493"/>
        <v>5.00</v>
      </c>
      <c r="K342" s="1" t="str">
        <f>"3.29"</f>
        <v>3.29</v>
      </c>
      <c r="L342" s="1" t="str">
        <f>"0.07"</f>
        <v>0.07</v>
      </c>
      <c r="M342" s="1" t="str">
        <f t="shared" si="511"/>
        <v>0.00</v>
      </c>
      <c r="N342" s="1" t="str">
        <f t="shared" si="518"/>
        <v>证券卖出</v>
      </c>
    </row>
    <row r="343" spans="1:14">
      <c r="A343" s="1" t="str">
        <f t="shared" si="515"/>
        <v>20171130</v>
      </c>
      <c r="B343" s="1" t="str">
        <f>"10:28:37"</f>
        <v>10:28:37</v>
      </c>
      <c r="C343" s="1" t="str">
        <f>"600507"</f>
        <v>600507</v>
      </c>
      <c r="D343" s="1" t="str">
        <f>"方大特钢"</f>
        <v>方大特钢</v>
      </c>
      <c r="E343" s="1" t="str">
        <f t="shared" si="516"/>
        <v>卖出</v>
      </c>
      <c r="F343" s="1" t="str">
        <f>"16.220"</f>
        <v>16.220</v>
      </c>
      <c r="G343" s="1" t="str">
        <f>"-300.00"</f>
        <v>-300.00</v>
      </c>
      <c r="H343" s="1" t="str">
        <f t="shared" si="517"/>
        <v>A850418317</v>
      </c>
      <c r="I343" s="1" t="str">
        <f>"4866.00"</f>
        <v>4866.00</v>
      </c>
      <c r="J343" s="1" t="str">
        <f t="shared" si="493"/>
        <v>5.00</v>
      </c>
      <c r="K343" s="1" t="str">
        <f>"4.87"</f>
        <v>4.87</v>
      </c>
      <c r="L343" s="1" t="str">
        <f>"0.10"</f>
        <v>0.10</v>
      </c>
      <c r="M343" s="1" t="str">
        <f t="shared" si="511"/>
        <v>0.00</v>
      </c>
      <c r="N343" s="1" t="str">
        <f t="shared" si="518"/>
        <v>证券卖出</v>
      </c>
    </row>
    <row r="344" spans="1:14">
      <c r="A344" s="1" t="str">
        <f t="shared" si="515"/>
        <v>20171130</v>
      </c>
      <c r="B344" s="1" t="str">
        <f>"09:47:57"</f>
        <v>09:47:57</v>
      </c>
      <c r="C344" s="1" t="str">
        <f>"002128"</f>
        <v>002128</v>
      </c>
      <c r="D344" s="1" t="str">
        <f>"露天煤业"</f>
        <v>露天煤业</v>
      </c>
      <c r="E344" s="1" t="str">
        <f t="shared" si="519"/>
        <v>买入</v>
      </c>
      <c r="F344" s="1" t="str">
        <f>"12.090"</f>
        <v>12.090</v>
      </c>
      <c r="G344" s="1" t="str">
        <f>"300.00"</f>
        <v>300.00</v>
      </c>
      <c r="H344" s="1" t="str">
        <f t="shared" ref="H344:H348" si="522">"0104152129"</f>
        <v>0104152129</v>
      </c>
      <c r="I344" s="1" t="str">
        <f>"3627.00"</f>
        <v>3627.00</v>
      </c>
      <c r="J344" s="1" t="str">
        <f t="shared" si="493"/>
        <v>5.00</v>
      </c>
      <c r="K344" s="1" t="str">
        <f t="shared" si="520"/>
        <v>0.00</v>
      </c>
      <c r="L344" s="1" t="str">
        <f>"0.07"</f>
        <v>0.07</v>
      </c>
      <c r="M344" s="1" t="str">
        <f t="shared" si="511"/>
        <v>0.00</v>
      </c>
      <c r="N344" s="1" t="str">
        <f t="shared" si="521"/>
        <v>证券买入</v>
      </c>
    </row>
    <row r="345" spans="1:14">
      <c r="A345" s="1" t="str">
        <f t="shared" si="515"/>
        <v>20171130</v>
      </c>
      <c r="B345" s="1" t="str">
        <f>"10:28:06"</f>
        <v>10:28:06</v>
      </c>
      <c r="C345" s="1" t="str">
        <f>"002670"</f>
        <v>002670</v>
      </c>
      <c r="D345" s="1" t="str">
        <f>"国盛金控"</f>
        <v>国盛金控</v>
      </c>
      <c r="E345" s="1" t="str">
        <f>"卖出"</f>
        <v>卖出</v>
      </c>
      <c r="F345" s="1" t="str">
        <f>"22.520"</f>
        <v>22.520</v>
      </c>
      <c r="G345" s="1" t="str">
        <f>"-100.00"</f>
        <v>-100.00</v>
      </c>
      <c r="H345" s="1" t="str">
        <f t="shared" si="522"/>
        <v>0104152129</v>
      </c>
      <c r="I345" s="1" t="str">
        <f>"2252.00"</f>
        <v>2252.00</v>
      </c>
      <c r="J345" s="1" t="str">
        <f t="shared" si="493"/>
        <v>5.00</v>
      </c>
      <c r="K345" s="1" t="str">
        <f>"2.25"</f>
        <v>2.25</v>
      </c>
      <c r="L345" s="1" t="str">
        <f>"0.05"</f>
        <v>0.05</v>
      </c>
      <c r="M345" s="1" t="str">
        <f t="shared" si="511"/>
        <v>0.00</v>
      </c>
      <c r="N345" s="1" t="str">
        <f>"证券卖出"</f>
        <v>证券卖出</v>
      </c>
    </row>
    <row r="346" spans="1:14">
      <c r="A346" s="1" t="str">
        <f t="shared" si="515"/>
        <v>20171130</v>
      </c>
      <c r="B346" s="1" t="str">
        <f>"13:01:17"</f>
        <v>13:01:17</v>
      </c>
      <c r="C346" s="1" t="str">
        <f>"300722"</f>
        <v>300722</v>
      </c>
      <c r="D346" s="1" t="str">
        <f>"新余国科"</f>
        <v>新余国科</v>
      </c>
      <c r="E346" s="1" t="str">
        <f t="shared" ref="E346:E349" si="523">"买入"</f>
        <v>买入</v>
      </c>
      <c r="F346" s="1" t="str">
        <f>"44.100"</f>
        <v>44.100</v>
      </c>
      <c r="G346" s="1" t="str">
        <f t="shared" ref="G346:G348" si="524">"100.00"</f>
        <v>100.00</v>
      </c>
      <c r="H346" s="1" t="str">
        <f t="shared" si="522"/>
        <v>0104152129</v>
      </c>
      <c r="I346" s="1" t="str">
        <f>"4410.00"</f>
        <v>4410.00</v>
      </c>
      <c r="J346" s="1" t="str">
        <f t="shared" si="493"/>
        <v>5.00</v>
      </c>
      <c r="K346" s="1" t="str">
        <f t="shared" ref="K346:K349" si="525">"0.00"</f>
        <v>0.00</v>
      </c>
      <c r="L346" s="1" t="str">
        <f>"0.09"</f>
        <v>0.09</v>
      </c>
      <c r="M346" s="1" t="str">
        <f t="shared" si="511"/>
        <v>0.00</v>
      </c>
      <c r="N346" s="1" t="str">
        <f t="shared" ref="N346:N348" si="526">"证券买入"</f>
        <v>证券买入</v>
      </c>
    </row>
    <row r="347" spans="1:14">
      <c r="A347" s="1" t="str">
        <f t="shared" si="515"/>
        <v>20171130</v>
      </c>
      <c r="B347" s="1" t="str">
        <f>"13:25:55"</f>
        <v>13:25:55</v>
      </c>
      <c r="C347" s="1" t="str">
        <f>"300274"</f>
        <v>300274</v>
      </c>
      <c r="D347" s="1" t="str">
        <f>"阳光电源"</f>
        <v>阳光电源</v>
      </c>
      <c r="E347" s="1" t="str">
        <f t="shared" si="523"/>
        <v>买入</v>
      </c>
      <c r="F347" s="1" t="str">
        <f>"16.620"</f>
        <v>16.620</v>
      </c>
      <c r="G347" s="1" t="str">
        <f t="shared" si="524"/>
        <v>100.00</v>
      </c>
      <c r="H347" s="1" t="str">
        <f t="shared" si="522"/>
        <v>0104152129</v>
      </c>
      <c r="I347" s="1" t="str">
        <f>"1662.00"</f>
        <v>1662.00</v>
      </c>
      <c r="J347" s="1" t="str">
        <f t="shared" si="493"/>
        <v>5.00</v>
      </c>
      <c r="K347" s="1" t="str">
        <f t="shared" si="525"/>
        <v>0.00</v>
      </c>
      <c r="L347" s="1" t="str">
        <f>"0.03"</f>
        <v>0.03</v>
      </c>
      <c r="M347" s="1" t="str">
        <f t="shared" si="511"/>
        <v>0.00</v>
      </c>
      <c r="N347" s="1" t="str">
        <f t="shared" si="526"/>
        <v>证券买入</v>
      </c>
    </row>
    <row r="348" spans="1:14">
      <c r="A348" s="1" t="str">
        <f t="shared" si="515"/>
        <v>20171130</v>
      </c>
      <c r="B348" s="1" t="str">
        <f>"13:36:42"</f>
        <v>13:36:42</v>
      </c>
      <c r="C348" s="1" t="str">
        <f>"000725"</f>
        <v>000725</v>
      </c>
      <c r="D348" s="1" t="str">
        <f>"京东方Ａ"</f>
        <v>京东方Ａ</v>
      </c>
      <c r="E348" s="1" t="str">
        <f t="shared" si="523"/>
        <v>买入</v>
      </c>
      <c r="F348" s="1" t="str">
        <f>"5.410"</f>
        <v>5.410</v>
      </c>
      <c r="G348" s="1" t="str">
        <f t="shared" si="524"/>
        <v>100.00</v>
      </c>
      <c r="H348" s="1" t="str">
        <f t="shared" si="522"/>
        <v>0104152129</v>
      </c>
      <c r="I348" s="1" t="str">
        <f>"541.00"</f>
        <v>541.00</v>
      </c>
      <c r="J348" s="1" t="str">
        <f t="shared" si="493"/>
        <v>5.00</v>
      </c>
      <c r="K348" s="1" t="str">
        <f t="shared" si="525"/>
        <v>0.00</v>
      </c>
      <c r="L348" s="1" t="str">
        <f>"0.01"</f>
        <v>0.01</v>
      </c>
      <c r="M348" s="1" t="str">
        <f t="shared" si="511"/>
        <v>0.00</v>
      </c>
      <c r="N348" s="1" t="str">
        <f t="shared" si="526"/>
        <v>证券买入</v>
      </c>
    </row>
    <row r="349" spans="1:14">
      <c r="A349" s="1" t="str">
        <f t="shared" si="515"/>
        <v>20171130</v>
      </c>
      <c r="B349" s="1" t="str">
        <f>"22:03:37"</f>
        <v>22:03:37</v>
      </c>
      <c r="C349" s="1" t="str">
        <f>"736890"</f>
        <v>736890</v>
      </c>
      <c r="D349" s="1" t="str">
        <f>"春秋配号"</f>
        <v>春秋配号</v>
      </c>
      <c r="E349" s="1" t="str">
        <f t="shared" si="523"/>
        <v>买入</v>
      </c>
      <c r="F349" s="1" t="str">
        <f>"0.000"</f>
        <v>0.000</v>
      </c>
      <c r="G349" s="1" t="str">
        <f>"1.00"</f>
        <v>1.00</v>
      </c>
      <c r="H349" s="1" t="str">
        <f t="shared" ref="H349:H351" si="527">"A850418317"</f>
        <v>A850418317</v>
      </c>
      <c r="I349" s="1" t="str">
        <f t="shared" ref="I349:L349" si="528">"0.00"</f>
        <v>0.00</v>
      </c>
      <c r="J349" s="1" t="str">
        <f t="shared" si="528"/>
        <v>0.00</v>
      </c>
      <c r="K349" s="1" t="str">
        <f t="shared" si="525"/>
        <v>0.00</v>
      </c>
      <c r="L349" s="1" t="str">
        <f t="shared" si="528"/>
        <v>0.00</v>
      </c>
      <c r="M349" s="1" t="str">
        <f t="shared" si="511"/>
        <v>0.00</v>
      </c>
      <c r="N349" s="1" t="str">
        <f>"起始配号:100007083084"</f>
        <v>起始配号:100007083084</v>
      </c>
    </row>
    <row r="350" spans="1:14">
      <c r="A350" s="1" t="str">
        <f t="shared" ref="A350:A353" si="529">"20171201"</f>
        <v>20171201</v>
      </c>
      <c r="B350" s="1" t="str">
        <f>"13:23:31"</f>
        <v>13:23:31</v>
      </c>
      <c r="C350" s="1" t="str">
        <f>"600184"</f>
        <v>600184</v>
      </c>
      <c r="D350" s="1" t="str">
        <f>"光电股份"</f>
        <v>光电股份</v>
      </c>
      <c r="E350" s="1" t="str">
        <f t="shared" ref="E350:E353" si="530">"卖出"</f>
        <v>卖出</v>
      </c>
      <c r="F350" s="1" t="str">
        <f>"19.800"</f>
        <v>19.800</v>
      </c>
      <c r="G350" s="1" t="str">
        <f>"-200.00"</f>
        <v>-200.00</v>
      </c>
      <c r="H350" s="1" t="str">
        <f t="shared" si="527"/>
        <v>A850418317</v>
      </c>
      <c r="I350" s="1" t="str">
        <f>"3960.00"</f>
        <v>3960.00</v>
      </c>
      <c r="J350" s="1" t="str">
        <f t="shared" ref="J350:J380" si="531">"5.00"</f>
        <v>5.00</v>
      </c>
      <c r="K350" s="1" t="str">
        <f>"3.96"</f>
        <v>3.96</v>
      </c>
      <c r="L350" s="1" t="str">
        <f t="shared" ref="L350:L353" si="532">"0.08"</f>
        <v>0.08</v>
      </c>
      <c r="M350" s="1" t="str">
        <f t="shared" si="511"/>
        <v>0.00</v>
      </c>
      <c r="N350" s="1" t="str">
        <f t="shared" ref="N350:N353" si="533">"证券卖出"</f>
        <v>证券卖出</v>
      </c>
    </row>
    <row r="351" spans="1:14">
      <c r="A351" s="1" t="str">
        <f t="shared" si="529"/>
        <v>20171201</v>
      </c>
      <c r="B351" s="1" t="str">
        <f>"14:00:00"</f>
        <v>14:00:00</v>
      </c>
      <c r="C351" s="1" t="str">
        <f>"603648"</f>
        <v>603648</v>
      </c>
      <c r="D351" s="1" t="str">
        <f>"畅联股份"</f>
        <v>畅联股份</v>
      </c>
      <c r="E351" s="1" t="str">
        <f t="shared" si="530"/>
        <v>卖出</v>
      </c>
      <c r="F351" s="1" t="str">
        <f>"20.700"</f>
        <v>20.700</v>
      </c>
      <c r="G351" s="1" t="str">
        <f>"-200.00"</f>
        <v>-200.00</v>
      </c>
      <c r="H351" s="1" t="str">
        <f t="shared" si="527"/>
        <v>A850418317</v>
      </c>
      <c r="I351" s="1" t="str">
        <f>"4140.00"</f>
        <v>4140.00</v>
      </c>
      <c r="J351" s="1" t="str">
        <f t="shared" si="531"/>
        <v>5.00</v>
      </c>
      <c r="K351" s="1" t="str">
        <f>"4.14"</f>
        <v>4.14</v>
      </c>
      <c r="L351" s="1" t="str">
        <f t="shared" si="532"/>
        <v>0.08</v>
      </c>
      <c r="M351" s="1" t="str">
        <f t="shared" si="511"/>
        <v>0.00</v>
      </c>
      <c r="N351" s="1" t="str">
        <f t="shared" si="533"/>
        <v>证券卖出</v>
      </c>
    </row>
    <row r="352" spans="1:14">
      <c r="A352" s="1" t="str">
        <f t="shared" si="529"/>
        <v>20171201</v>
      </c>
      <c r="B352" s="1" t="str">
        <f>"13:24:30"</f>
        <v>13:24:30</v>
      </c>
      <c r="C352" s="1" t="str">
        <f>"002128"</f>
        <v>002128</v>
      </c>
      <c r="D352" s="1" t="str">
        <f>"露天煤业"</f>
        <v>露天煤业</v>
      </c>
      <c r="E352" s="1" t="str">
        <f t="shared" si="530"/>
        <v>卖出</v>
      </c>
      <c r="F352" s="1" t="str">
        <f>"11.600"</f>
        <v>11.600</v>
      </c>
      <c r="G352" s="1" t="str">
        <f>"-300.00"</f>
        <v>-300.00</v>
      </c>
      <c r="H352" s="1" t="str">
        <f t="shared" ref="H352:H359" si="534">"0104152129"</f>
        <v>0104152129</v>
      </c>
      <c r="I352" s="1" t="str">
        <f>"3480.00"</f>
        <v>3480.00</v>
      </c>
      <c r="J352" s="1" t="str">
        <f t="shared" si="531"/>
        <v>5.00</v>
      </c>
      <c r="K352" s="1" t="str">
        <f>"3.48"</f>
        <v>3.48</v>
      </c>
      <c r="L352" s="1" t="str">
        <f>"0.07"</f>
        <v>0.07</v>
      </c>
      <c r="M352" s="1" t="str">
        <f t="shared" si="511"/>
        <v>0.00</v>
      </c>
      <c r="N352" s="1" t="str">
        <f t="shared" si="533"/>
        <v>证券卖出</v>
      </c>
    </row>
    <row r="353" spans="1:14">
      <c r="A353" s="1" t="str">
        <f t="shared" si="529"/>
        <v>20171201</v>
      </c>
      <c r="B353" s="1" t="str">
        <f>"13:31:24"</f>
        <v>13:31:24</v>
      </c>
      <c r="C353" s="1" t="str">
        <f>"300722"</f>
        <v>300722</v>
      </c>
      <c r="D353" s="1" t="str">
        <f>"新余国科"</f>
        <v>新余国科</v>
      </c>
      <c r="E353" s="1" t="str">
        <f t="shared" si="530"/>
        <v>卖出</v>
      </c>
      <c r="F353" s="1" t="str">
        <f>"40.900"</f>
        <v>40.900</v>
      </c>
      <c r="G353" s="1" t="str">
        <f>"-100.00"</f>
        <v>-100.00</v>
      </c>
      <c r="H353" s="1" t="str">
        <f t="shared" si="534"/>
        <v>0104152129</v>
      </c>
      <c r="I353" s="1" t="str">
        <f>"4090.00"</f>
        <v>4090.00</v>
      </c>
      <c r="J353" s="1" t="str">
        <f t="shared" si="531"/>
        <v>5.00</v>
      </c>
      <c r="K353" s="1" t="str">
        <f>"4.09"</f>
        <v>4.09</v>
      </c>
      <c r="L353" s="1" t="str">
        <f t="shared" si="532"/>
        <v>0.08</v>
      </c>
      <c r="M353" s="1" t="str">
        <f t="shared" si="511"/>
        <v>0.00</v>
      </c>
      <c r="N353" s="1" t="str">
        <f t="shared" si="533"/>
        <v>证券卖出</v>
      </c>
    </row>
    <row r="354" spans="1:14">
      <c r="A354" s="1" t="str">
        <f t="shared" ref="A354:A359" si="535">"20171204"</f>
        <v>20171204</v>
      </c>
      <c r="B354" s="1" t="str">
        <f>"09:25:01"</f>
        <v>09:25:01</v>
      </c>
      <c r="C354" s="1" t="str">
        <f t="shared" ref="C354:C356" si="536">"600460"</f>
        <v>600460</v>
      </c>
      <c r="D354" s="1" t="str">
        <f t="shared" ref="D354:D356" si="537">"士兰微"</f>
        <v>士兰微</v>
      </c>
      <c r="E354" s="1" t="str">
        <f t="shared" ref="E354:E363" si="538">"买入"</f>
        <v>买入</v>
      </c>
      <c r="F354" s="1" t="str">
        <f>"14.050"</f>
        <v>14.050</v>
      </c>
      <c r="G354" s="1" t="str">
        <f>"200.00"</f>
        <v>200.00</v>
      </c>
      <c r="H354" s="1" t="str">
        <f t="shared" ref="H354:H356" si="539">"A850418317"</f>
        <v>A850418317</v>
      </c>
      <c r="I354" s="1" t="str">
        <f>"2810.00"</f>
        <v>2810.00</v>
      </c>
      <c r="J354" s="1" t="str">
        <f t="shared" si="531"/>
        <v>5.00</v>
      </c>
      <c r="K354" s="1" t="str">
        <f t="shared" ref="K354:K363" si="540">"0.00"</f>
        <v>0.00</v>
      </c>
      <c r="L354" s="1" t="str">
        <f>"0.06"</f>
        <v>0.06</v>
      </c>
      <c r="M354" s="1" t="str">
        <f t="shared" si="511"/>
        <v>0.00</v>
      </c>
      <c r="N354" s="1" t="str">
        <f t="shared" ref="N354:N363" si="541">"证券买入"</f>
        <v>证券买入</v>
      </c>
    </row>
    <row r="355" spans="1:14">
      <c r="A355" s="1" t="str">
        <f t="shared" si="535"/>
        <v>20171204</v>
      </c>
      <c r="B355" s="1" t="str">
        <f>"09:33:36"</f>
        <v>09:33:36</v>
      </c>
      <c r="C355" s="1" t="str">
        <f t="shared" si="536"/>
        <v>600460</v>
      </c>
      <c r="D355" s="1" t="str">
        <f t="shared" si="537"/>
        <v>士兰微</v>
      </c>
      <c r="E355" s="1" t="str">
        <f t="shared" si="538"/>
        <v>买入</v>
      </c>
      <c r="F355" s="1" t="str">
        <f>"13.810"</f>
        <v>13.810</v>
      </c>
      <c r="G355" s="1" t="str">
        <f t="shared" ref="G355:G359" si="542">"100.00"</f>
        <v>100.00</v>
      </c>
      <c r="H355" s="1" t="str">
        <f t="shared" si="539"/>
        <v>A850418317</v>
      </c>
      <c r="I355" s="1" t="str">
        <f>"1381.00"</f>
        <v>1381.00</v>
      </c>
      <c r="J355" s="1" t="str">
        <f t="shared" si="531"/>
        <v>5.00</v>
      </c>
      <c r="K355" s="1" t="str">
        <f t="shared" si="540"/>
        <v>0.00</v>
      </c>
      <c r="L355" s="1" t="str">
        <f t="shared" ref="L355:L359" si="543">"0.03"</f>
        <v>0.03</v>
      </c>
      <c r="M355" s="1" t="str">
        <f t="shared" si="511"/>
        <v>0.00</v>
      </c>
      <c r="N355" s="1" t="str">
        <f t="shared" si="541"/>
        <v>证券买入</v>
      </c>
    </row>
    <row r="356" spans="1:14">
      <c r="A356" s="1" t="str">
        <f t="shared" si="535"/>
        <v>20171204</v>
      </c>
      <c r="B356" s="1" t="str">
        <f>"09:40:01"</f>
        <v>09:40:01</v>
      </c>
      <c r="C356" s="1" t="str">
        <f t="shared" si="536"/>
        <v>600460</v>
      </c>
      <c r="D356" s="1" t="str">
        <f t="shared" si="537"/>
        <v>士兰微</v>
      </c>
      <c r="E356" s="1" t="str">
        <f t="shared" si="538"/>
        <v>买入</v>
      </c>
      <c r="F356" s="1" t="str">
        <f>"13.550"</f>
        <v>13.550</v>
      </c>
      <c r="G356" s="1" t="str">
        <f t="shared" si="542"/>
        <v>100.00</v>
      </c>
      <c r="H356" s="1" t="str">
        <f t="shared" si="539"/>
        <v>A850418317</v>
      </c>
      <c r="I356" s="1" t="str">
        <f>"1355.00"</f>
        <v>1355.00</v>
      </c>
      <c r="J356" s="1" t="str">
        <f t="shared" si="531"/>
        <v>5.00</v>
      </c>
      <c r="K356" s="1" t="str">
        <f t="shared" si="540"/>
        <v>0.00</v>
      </c>
      <c r="L356" s="1" t="str">
        <f t="shared" si="543"/>
        <v>0.03</v>
      </c>
      <c r="M356" s="1" t="str">
        <f t="shared" si="511"/>
        <v>0.00</v>
      </c>
      <c r="N356" s="1" t="str">
        <f t="shared" si="541"/>
        <v>证券买入</v>
      </c>
    </row>
    <row r="357" spans="1:14">
      <c r="A357" s="1" t="str">
        <f t="shared" si="535"/>
        <v>20171204</v>
      </c>
      <c r="B357" s="1" t="str">
        <f>"09:25:00"</f>
        <v>09:25:00</v>
      </c>
      <c r="C357" s="1" t="str">
        <f t="shared" ref="C357:C359" si="544">"300101"</f>
        <v>300101</v>
      </c>
      <c r="D357" s="1" t="str">
        <f t="shared" ref="D357:D359" si="545">"振芯科技"</f>
        <v>振芯科技</v>
      </c>
      <c r="E357" s="1" t="str">
        <f t="shared" si="538"/>
        <v>买入</v>
      </c>
      <c r="F357" s="1" t="str">
        <f>"16.750"</f>
        <v>16.750</v>
      </c>
      <c r="G357" s="1" t="str">
        <f>"500.00"</f>
        <v>500.00</v>
      </c>
      <c r="H357" s="1" t="str">
        <f t="shared" si="534"/>
        <v>0104152129</v>
      </c>
      <c r="I357" s="1" t="str">
        <f>"8375.00"</f>
        <v>8375.00</v>
      </c>
      <c r="J357" s="1" t="str">
        <f t="shared" si="531"/>
        <v>5.00</v>
      </c>
      <c r="K357" s="1" t="str">
        <f t="shared" si="540"/>
        <v>0.00</v>
      </c>
      <c r="L357" s="1" t="str">
        <f>"0.17"</f>
        <v>0.17</v>
      </c>
      <c r="M357" s="1" t="str">
        <f t="shared" si="511"/>
        <v>0.00</v>
      </c>
      <c r="N357" s="1" t="str">
        <f t="shared" si="541"/>
        <v>证券买入</v>
      </c>
    </row>
    <row r="358" spans="1:14">
      <c r="A358" s="1" t="str">
        <f t="shared" si="535"/>
        <v>20171204</v>
      </c>
      <c r="B358" s="1" t="str">
        <f>"09:30:35"</f>
        <v>09:30:35</v>
      </c>
      <c r="C358" s="1" t="str">
        <f t="shared" si="544"/>
        <v>300101</v>
      </c>
      <c r="D358" s="1" t="str">
        <f t="shared" si="545"/>
        <v>振芯科技</v>
      </c>
      <c r="E358" s="1" t="str">
        <f t="shared" si="538"/>
        <v>买入</v>
      </c>
      <c r="F358" s="1" t="str">
        <f>"16.670"</f>
        <v>16.670</v>
      </c>
      <c r="G358" s="1" t="str">
        <f t="shared" ref="G358:G361" si="546">"200.00"</f>
        <v>200.00</v>
      </c>
      <c r="H358" s="1" t="str">
        <f t="shared" si="534"/>
        <v>0104152129</v>
      </c>
      <c r="I358" s="1" t="str">
        <f>"3334.00"</f>
        <v>3334.00</v>
      </c>
      <c r="J358" s="1" t="str">
        <f t="shared" si="531"/>
        <v>5.00</v>
      </c>
      <c r="K358" s="1" t="str">
        <f t="shared" si="540"/>
        <v>0.00</v>
      </c>
      <c r="L358" s="1" t="str">
        <f>"0.07"</f>
        <v>0.07</v>
      </c>
      <c r="M358" s="1" t="str">
        <f t="shared" si="511"/>
        <v>0.00</v>
      </c>
      <c r="N358" s="1" t="str">
        <f t="shared" si="541"/>
        <v>证券买入</v>
      </c>
    </row>
    <row r="359" spans="1:14">
      <c r="A359" s="1" t="str">
        <f t="shared" si="535"/>
        <v>20171204</v>
      </c>
      <c r="B359" s="1" t="str">
        <f>"09:48:13"</f>
        <v>09:48:13</v>
      </c>
      <c r="C359" s="1" t="str">
        <f t="shared" si="544"/>
        <v>300101</v>
      </c>
      <c r="D359" s="1" t="str">
        <f t="shared" si="545"/>
        <v>振芯科技</v>
      </c>
      <c r="E359" s="1" t="str">
        <f t="shared" si="538"/>
        <v>买入</v>
      </c>
      <c r="F359" s="1" t="str">
        <f>"16.530"</f>
        <v>16.530</v>
      </c>
      <c r="G359" s="1" t="str">
        <f t="shared" si="542"/>
        <v>100.00</v>
      </c>
      <c r="H359" s="1" t="str">
        <f t="shared" si="534"/>
        <v>0104152129</v>
      </c>
      <c r="I359" s="1" t="str">
        <f>"1653.00"</f>
        <v>1653.00</v>
      </c>
      <c r="J359" s="1" t="str">
        <f t="shared" si="531"/>
        <v>5.00</v>
      </c>
      <c r="K359" s="1" t="str">
        <f t="shared" si="540"/>
        <v>0.00</v>
      </c>
      <c r="L359" s="1" t="str">
        <f t="shared" si="543"/>
        <v>0.03</v>
      </c>
      <c r="M359" s="1" t="str">
        <f t="shared" si="511"/>
        <v>0.00</v>
      </c>
      <c r="N359" s="1" t="str">
        <f t="shared" si="541"/>
        <v>证券买入</v>
      </c>
    </row>
    <row r="360" spans="1:14">
      <c r="A360" s="1" t="str">
        <f t="shared" ref="A360:A381" si="547">"20171205"</f>
        <v>20171205</v>
      </c>
      <c r="B360" s="1" t="str">
        <f>"10:51:12"</f>
        <v>10:51:12</v>
      </c>
      <c r="C360" s="1" t="str">
        <f t="shared" ref="C360:C364" si="548">"600460"</f>
        <v>600460</v>
      </c>
      <c r="D360" s="1" t="str">
        <f t="shared" ref="D360:D364" si="549">"士兰微"</f>
        <v>士兰微</v>
      </c>
      <c r="E360" s="1" t="str">
        <f t="shared" si="538"/>
        <v>买入</v>
      </c>
      <c r="F360" s="1" t="str">
        <f>"13.450"</f>
        <v>13.450</v>
      </c>
      <c r="G360" s="1" t="str">
        <f t="shared" si="546"/>
        <v>200.00</v>
      </c>
      <c r="H360" s="1" t="str">
        <f t="shared" ref="H360:H364" si="550">"A850418317"</f>
        <v>A850418317</v>
      </c>
      <c r="I360" s="1" t="str">
        <f>"2690.00"</f>
        <v>2690.00</v>
      </c>
      <c r="J360" s="1" t="str">
        <f t="shared" si="531"/>
        <v>5.00</v>
      </c>
      <c r="K360" s="1" t="str">
        <f t="shared" si="540"/>
        <v>0.00</v>
      </c>
      <c r="L360" s="1" t="str">
        <f>"0.05"</f>
        <v>0.05</v>
      </c>
      <c r="M360" s="1" t="str">
        <f t="shared" si="511"/>
        <v>0.00</v>
      </c>
      <c r="N360" s="1" t="str">
        <f t="shared" si="541"/>
        <v>证券买入</v>
      </c>
    </row>
    <row r="361" spans="1:14">
      <c r="A361" s="1" t="str">
        <f t="shared" si="547"/>
        <v>20171205</v>
      </c>
      <c r="B361" s="1" t="str">
        <f>"10:52:25"</f>
        <v>10:52:25</v>
      </c>
      <c r="C361" s="1" t="str">
        <f t="shared" si="548"/>
        <v>600460</v>
      </c>
      <c r="D361" s="1" t="str">
        <f t="shared" si="549"/>
        <v>士兰微</v>
      </c>
      <c r="E361" s="1" t="str">
        <f t="shared" si="538"/>
        <v>买入</v>
      </c>
      <c r="F361" s="1" t="str">
        <f>"13.420"</f>
        <v>13.420</v>
      </c>
      <c r="G361" s="1" t="str">
        <f t="shared" si="546"/>
        <v>200.00</v>
      </c>
      <c r="H361" s="1" t="str">
        <f t="shared" si="550"/>
        <v>A850418317</v>
      </c>
      <c r="I361" s="1" t="str">
        <f>"2684.00"</f>
        <v>2684.00</v>
      </c>
      <c r="J361" s="1" t="str">
        <f t="shared" si="531"/>
        <v>5.00</v>
      </c>
      <c r="K361" s="1" t="str">
        <f t="shared" si="540"/>
        <v>0.00</v>
      </c>
      <c r="L361" s="1" t="str">
        <f>"0.05"</f>
        <v>0.05</v>
      </c>
      <c r="M361" s="1" t="str">
        <f t="shared" si="511"/>
        <v>0.00</v>
      </c>
      <c r="N361" s="1" t="str">
        <f t="shared" si="541"/>
        <v>证券买入</v>
      </c>
    </row>
    <row r="362" spans="1:14">
      <c r="A362" s="1" t="str">
        <f t="shared" si="547"/>
        <v>20171205</v>
      </c>
      <c r="B362" s="1" t="str">
        <f>"10:53:24"</f>
        <v>10:53:24</v>
      </c>
      <c r="C362" s="1" t="str">
        <f t="shared" si="548"/>
        <v>600460</v>
      </c>
      <c r="D362" s="1" t="str">
        <f t="shared" si="549"/>
        <v>士兰微</v>
      </c>
      <c r="E362" s="1" t="str">
        <f t="shared" si="538"/>
        <v>买入</v>
      </c>
      <c r="F362" s="1" t="str">
        <f>"13.390"</f>
        <v>13.390</v>
      </c>
      <c r="G362" s="1" t="str">
        <f>"100.00"</f>
        <v>100.00</v>
      </c>
      <c r="H362" s="1" t="str">
        <f t="shared" si="550"/>
        <v>A850418317</v>
      </c>
      <c r="I362" s="1" t="str">
        <f>"1339.00"</f>
        <v>1339.00</v>
      </c>
      <c r="J362" s="1" t="str">
        <f t="shared" si="531"/>
        <v>5.00</v>
      </c>
      <c r="K362" s="1" t="str">
        <f t="shared" si="540"/>
        <v>0.00</v>
      </c>
      <c r="L362" s="1" t="str">
        <f t="shared" ref="L362:L369" si="551">"0.03"</f>
        <v>0.03</v>
      </c>
      <c r="M362" s="1" t="str">
        <f t="shared" si="511"/>
        <v>0.00</v>
      </c>
      <c r="N362" s="1" t="str">
        <f t="shared" si="541"/>
        <v>证券买入</v>
      </c>
    </row>
    <row r="363" spans="1:14">
      <c r="A363" s="1" t="str">
        <f t="shared" si="547"/>
        <v>20171205</v>
      </c>
      <c r="B363" s="1" t="str">
        <f>"10:56:48"</f>
        <v>10:56:48</v>
      </c>
      <c r="C363" s="1" t="str">
        <f t="shared" si="548"/>
        <v>600460</v>
      </c>
      <c r="D363" s="1" t="str">
        <f t="shared" si="549"/>
        <v>士兰微</v>
      </c>
      <c r="E363" s="1" t="str">
        <f t="shared" si="538"/>
        <v>买入</v>
      </c>
      <c r="F363" s="1" t="str">
        <f>"13.460"</f>
        <v>13.460</v>
      </c>
      <c r="G363" s="1" t="str">
        <f>"1000.00"</f>
        <v>1000.00</v>
      </c>
      <c r="H363" s="1" t="str">
        <f t="shared" si="550"/>
        <v>A850418317</v>
      </c>
      <c r="I363" s="1" t="str">
        <f>"13460.00"</f>
        <v>13460.00</v>
      </c>
      <c r="J363" s="1" t="str">
        <f t="shared" si="531"/>
        <v>5.00</v>
      </c>
      <c r="K363" s="1" t="str">
        <f t="shared" si="540"/>
        <v>0.00</v>
      </c>
      <c r="L363" s="1" t="str">
        <f>"0.27"</f>
        <v>0.27</v>
      </c>
      <c r="M363" s="1" t="str">
        <f t="shared" si="511"/>
        <v>0.00</v>
      </c>
      <c r="N363" s="1" t="str">
        <f t="shared" si="541"/>
        <v>证券买入</v>
      </c>
    </row>
    <row r="364" spans="1:14">
      <c r="A364" s="1" t="str">
        <f t="shared" si="547"/>
        <v>20171205</v>
      </c>
      <c r="B364" s="1" t="str">
        <f>"11:12:52"</f>
        <v>11:12:52</v>
      </c>
      <c r="C364" s="1" t="str">
        <f t="shared" si="548"/>
        <v>600460</v>
      </c>
      <c r="D364" s="1" t="str">
        <f t="shared" si="549"/>
        <v>士兰微</v>
      </c>
      <c r="E364" s="1" t="str">
        <f t="shared" ref="E364:E366" si="552">"卖出"</f>
        <v>卖出</v>
      </c>
      <c r="F364" s="1" t="str">
        <f>"13.270"</f>
        <v>13.270</v>
      </c>
      <c r="G364" s="1" t="str">
        <f>"-400.00"</f>
        <v>-400.00</v>
      </c>
      <c r="H364" s="1" t="str">
        <f t="shared" si="550"/>
        <v>A850418317</v>
      </c>
      <c r="I364" s="1" t="str">
        <f>"5308.00"</f>
        <v>5308.00</v>
      </c>
      <c r="J364" s="1" t="str">
        <f t="shared" si="531"/>
        <v>5.00</v>
      </c>
      <c r="K364" s="1" t="str">
        <f>"5.31"</f>
        <v>5.31</v>
      </c>
      <c r="L364" s="1" t="str">
        <f>"0.11"</f>
        <v>0.11</v>
      </c>
      <c r="M364" s="1" t="str">
        <f t="shared" si="511"/>
        <v>0.00</v>
      </c>
      <c r="N364" s="1" t="str">
        <f t="shared" ref="N364:N366" si="553">"证券卖出"</f>
        <v>证券卖出</v>
      </c>
    </row>
    <row r="365" spans="1:14">
      <c r="A365" s="1" t="str">
        <f t="shared" si="547"/>
        <v>20171205</v>
      </c>
      <c r="B365" s="1" t="str">
        <f>"10:50:48"</f>
        <v>10:50:48</v>
      </c>
      <c r="C365" s="1" t="str">
        <f>"300101"</f>
        <v>300101</v>
      </c>
      <c r="D365" s="1" t="str">
        <f>"振芯科技"</f>
        <v>振芯科技</v>
      </c>
      <c r="E365" s="1" t="str">
        <f t="shared" si="552"/>
        <v>卖出</v>
      </c>
      <c r="F365" s="1" t="str">
        <f>"16.070"</f>
        <v>16.070</v>
      </c>
      <c r="G365" s="1" t="str">
        <f>"-200.00"</f>
        <v>-200.00</v>
      </c>
      <c r="H365" s="1" t="str">
        <f t="shared" ref="H365:H380" si="554">"0104152129"</f>
        <v>0104152129</v>
      </c>
      <c r="I365" s="1" t="str">
        <f>"3214.00"</f>
        <v>3214.00</v>
      </c>
      <c r="J365" s="1" t="str">
        <f t="shared" si="531"/>
        <v>5.00</v>
      </c>
      <c r="K365" s="1" t="str">
        <f>"3.21"</f>
        <v>3.21</v>
      </c>
      <c r="L365" s="1" t="str">
        <f>"0.06"</f>
        <v>0.06</v>
      </c>
      <c r="M365" s="1" t="str">
        <f t="shared" si="511"/>
        <v>0.00</v>
      </c>
      <c r="N365" s="1" t="str">
        <f t="shared" si="553"/>
        <v>证券卖出</v>
      </c>
    </row>
    <row r="366" spans="1:14">
      <c r="A366" s="1" t="str">
        <f t="shared" si="547"/>
        <v>20171205</v>
      </c>
      <c r="B366" s="1" t="str">
        <f>"10:51:30"</f>
        <v>10:51:30</v>
      </c>
      <c r="C366" s="1" t="str">
        <f t="shared" ref="C366:C370" si="555">"000553"</f>
        <v>000553</v>
      </c>
      <c r="D366" s="1" t="str">
        <f t="shared" ref="D366:D370" si="556">"沙隆达Ａ"</f>
        <v>沙隆达Ａ</v>
      </c>
      <c r="E366" s="1" t="str">
        <f t="shared" si="552"/>
        <v>卖出</v>
      </c>
      <c r="F366" s="1" t="str">
        <f>"16.420"</f>
        <v>16.420</v>
      </c>
      <c r="G366" s="1" t="str">
        <f t="shared" ref="G366:G369" si="557">"-100.00"</f>
        <v>-100.00</v>
      </c>
      <c r="H366" s="1" t="str">
        <f t="shared" si="554"/>
        <v>0104152129</v>
      </c>
      <c r="I366" s="1" t="str">
        <f>"1642.00"</f>
        <v>1642.00</v>
      </c>
      <c r="J366" s="1" t="str">
        <f t="shared" si="531"/>
        <v>5.00</v>
      </c>
      <c r="K366" s="1" t="str">
        <f t="shared" ref="K366:K369" si="558">"1.64"</f>
        <v>1.64</v>
      </c>
      <c r="L366" s="1" t="str">
        <f t="shared" si="551"/>
        <v>0.03</v>
      </c>
      <c r="M366" s="1" t="str">
        <f t="shared" si="511"/>
        <v>0.00</v>
      </c>
      <c r="N366" s="1" t="str">
        <f t="shared" si="553"/>
        <v>证券卖出</v>
      </c>
    </row>
    <row r="367" spans="1:14">
      <c r="A367" s="1" t="str">
        <f t="shared" si="547"/>
        <v>20171205</v>
      </c>
      <c r="B367" s="1" t="str">
        <f>"10:51:46"</f>
        <v>10:51:46</v>
      </c>
      <c r="C367" s="1" t="str">
        <f>"000830"</f>
        <v>000830</v>
      </c>
      <c r="D367" s="1" t="str">
        <f>"鲁西化工"</f>
        <v>鲁西化工</v>
      </c>
      <c r="E367" s="1" t="str">
        <f>"买入"</f>
        <v>买入</v>
      </c>
      <c r="F367" s="1" t="str">
        <f>"16.950"</f>
        <v>16.950</v>
      </c>
      <c r="G367" s="1" t="str">
        <f>"100.00"</f>
        <v>100.00</v>
      </c>
      <c r="H367" s="1" t="str">
        <f t="shared" si="554"/>
        <v>0104152129</v>
      </c>
      <c r="I367" s="1" t="str">
        <f>"1695.00"</f>
        <v>1695.00</v>
      </c>
      <c r="J367" s="1" t="str">
        <f t="shared" si="531"/>
        <v>5.00</v>
      </c>
      <c r="K367" s="1" t="str">
        <f>"0.00"</f>
        <v>0.00</v>
      </c>
      <c r="L367" s="1" t="str">
        <f t="shared" si="551"/>
        <v>0.03</v>
      </c>
      <c r="M367" s="1" t="str">
        <f t="shared" si="511"/>
        <v>0.00</v>
      </c>
      <c r="N367" s="1" t="str">
        <f>"证券买入"</f>
        <v>证券买入</v>
      </c>
    </row>
    <row r="368" spans="1:14">
      <c r="A368" s="1" t="str">
        <f t="shared" si="547"/>
        <v>20171205</v>
      </c>
      <c r="B368" s="1" t="str">
        <f>"10:52:02"</f>
        <v>10:52:02</v>
      </c>
      <c r="C368" s="1" t="str">
        <f t="shared" si="555"/>
        <v>000553</v>
      </c>
      <c r="D368" s="1" t="str">
        <f t="shared" si="556"/>
        <v>沙隆达Ａ</v>
      </c>
      <c r="E368" s="1" t="str">
        <f t="shared" ref="E368:E375" si="559">"卖出"</f>
        <v>卖出</v>
      </c>
      <c r="F368" s="1" t="str">
        <f>"16.360"</f>
        <v>16.360</v>
      </c>
      <c r="G368" s="1" t="str">
        <f t="shared" si="557"/>
        <v>-100.00</v>
      </c>
      <c r="H368" s="1" t="str">
        <f t="shared" si="554"/>
        <v>0104152129</v>
      </c>
      <c r="I368" s="1" t="str">
        <f>"1636.00"</f>
        <v>1636.00</v>
      </c>
      <c r="J368" s="1" t="str">
        <f t="shared" si="531"/>
        <v>5.00</v>
      </c>
      <c r="K368" s="1" t="str">
        <f t="shared" si="558"/>
        <v>1.64</v>
      </c>
      <c r="L368" s="1" t="str">
        <f t="shared" si="551"/>
        <v>0.03</v>
      </c>
      <c r="M368" s="1" t="str">
        <f t="shared" si="511"/>
        <v>0.00</v>
      </c>
      <c r="N368" s="1" t="str">
        <f t="shared" ref="N368:N375" si="560">"证券卖出"</f>
        <v>证券卖出</v>
      </c>
    </row>
    <row r="369" spans="1:14">
      <c r="A369" s="1" t="str">
        <f t="shared" si="547"/>
        <v>20171205</v>
      </c>
      <c r="B369" s="1" t="str">
        <f>"10:53:14"</f>
        <v>10:53:14</v>
      </c>
      <c r="C369" s="1" t="str">
        <f t="shared" si="555"/>
        <v>000553</v>
      </c>
      <c r="D369" s="1" t="str">
        <f t="shared" si="556"/>
        <v>沙隆达Ａ</v>
      </c>
      <c r="E369" s="1" t="str">
        <f t="shared" si="559"/>
        <v>卖出</v>
      </c>
      <c r="F369" s="1" t="str">
        <f>"16.400"</f>
        <v>16.400</v>
      </c>
      <c r="G369" s="1" t="str">
        <f t="shared" si="557"/>
        <v>-100.00</v>
      </c>
      <c r="H369" s="1" t="str">
        <f t="shared" si="554"/>
        <v>0104152129</v>
      </c>
      <c r="I369" s="1" t="str">
        <f>"1640.00"</f>
        <v>1640.00</v>
      </c>
      <c r="J369" s="1" t="str">
        <f t="shared" si="531"/>
        <v>5.00</v>
      </c>
      <c r="K369" s="1" t="str">
        <f t="shared" si="558"/>
        <v>1.64</v>
      </c>
      <c r="L369" s="1" t="str">
        <f t="shared" si="551"/>
        <v>0.03</v>
      </c>
      <c r="M369" s="1" t="str">
        <f t="shared" si="511"/>
        <v>0.00</v>
      </c>
      <c r="N369" s="1" t="str">
        <f t="shared" si="560"/>
        <v>证券卖出</v>
      </c>
    </row>
    <row r="370" spans="1:14">
      <c r="A370" s="1" t="str">
        <f t="shared" si="547"/>
        <v>20171205</v>
      </c>
      <c r="B370" s="1" t="str">
        <f>"10:55:49"</f>
        <v>10:55:49</v>
      </c>
      <c r="C370" s="1" t="str">
        <f t="shared" si="555"/>
        <v>000553</v>
      </c>
      <c r="D370" s="1" t="str">
        <f t="shared" si="556"/>
        <v>沙隆达Ａ</v>
      </c>
      <c r="E370" s="1" t="str">
        <f t="shared" si="559"/>
        <v>卖出</v>
      </c>
      <c r="F370" s="1" t="str">
        <f>"16.340"</f>
        <v>16.340</v>
      </c>
      <c r="G370" s="1" t="str">
        <f>"-400.00"</f>
        <v>-400.00</v>
      </c>
      <c r="H370" s="1" t="str">
        <f t="shared" si="554"/>
        <v>0104152129</v>
      </c>
      <c r="I370" s="1" t="str">
        <f>"6536.00"</f>
        <v>6536.00</v>
      </c>
      <c r="J370" s="1" t="str">
        <f t="shared" si="531"/>
        <v>5.00</v>
      </c>
      <c r="K370" s="1" t="str">
        <f>"6.54"</f>
        <v>6.54</v>
      </c>
      <c r="L370" s="1" t="str">
        <f>"0.13"</f>
        <v>0.13</v>
      </c>
      <c r="M370" s="1" t="str">
        <f t="shared" si="511"/>
        <v>0.00</v>
      </c>
      <c r="N370" s="1" t="str">
        <f t="shared" si="560"/>
        <v>证券卖出</v>
      </c>
    </row>
    <row r="371" spans="1:14">
      <c r="A371" s="1" t="str">
        <f t="shared" si="547"/>
        <v>20171205</v>
      </c>
      <c r="B371" s="1" t="str">
        <f>"10:56:24"</f>
        <v>10:56:24</v>
      </c>
      <c r="C371" s="1" t="str">
        <f>"300101"</f>
        <v>300101</v>
      </c>
      <c r="D371" s="1" t="str">
        <f>"振芯科技"</f>
        <v>振芯科技</v>
      </c>
      <c r="E371" s="1" t="str">
        <f t="shared" si="559"/>
        <v>卖出</v>
      </c>
      <c r="F371" s="1" t="str">
        <f>"16.060"</f>
        <v>16.060</v>
      </c>
      <c r="G371" s="1" t="str">
        <f>"-400.00"</f>
        <v>-400.00</v>
      </c>
      <c r="H371" s="1" t="str">
        <f t="shared" si="554"/>
        <v>0104152129</v>
      </c>
      <c r="I371" s="1" t="str">
        <f>"6424.00"</f>
        <v>6424.00</v>
      </c>
      <c r="J371" s="1" t="str">
        <f t="shared" si="531"/>
        <v>5.00</v>
      </c>
      <c r="K371" s="1" t="str">
        <f>"6.42"</f>
        <v>6.42</v>
      </c>
      <c r="L371" s="1" t="str">
        <f>"0.13"</f>
        <v>0.13</v>
      </c>
      <c r="M371" s="1" t="str">
        <f t="shared" si="511"/>
        <v>0.00</v>
      </c>
      <c r="N371" s="1" t="str">
        <f t="shared" si="560"/>
        <v>证券卖出</v>
      </c>
    </row>
    <row r="372" spans="1:14">
      <c r="A372" s="1" t="str">
        <f t="shared" si="547"/>
        <v>20171205</v>
      </c>
      <c r="B372" s="1" t="str">
        <f>"10:59:02"</f>
        <v>10:59:02</v>
      </c>
      <c r="C372" s="1" t="str">
        <f>"000725"</f>
        <v>000725</v>
      </c>
      <c r="D372" s="1" t="str">
        <f>"京东方Ａ"</f>
        <v>京东方Ａ</v>
      </c>
      <c r="E372" s="1" t="str">
        <f t="shared" si="559"/>
        <v>卖出</v>
      </c>
      <c r="F372" s="1" t="str">
        <f>"5.680"</f>
        <v>5.680</v>
      </c>
      <c r="G372" s="1" t="str">
        <f t="shared" ref="G372:G374" si="561">"-100.00"</f>
        <v>-100.00</v>
      </c>
      <c r="H372" s="1" t="str">
        <f t="shared" si="554"/>
        <v>0104152129</v>
      </c>
      <c r="I372" s="1" t="str">
        <f>"568.00"</f>
        <v>568.00</v>
      </c>
      <c r="J372" s="1" t="str">
        <f t="shared" si="531"/>
        <v>5.00</v>
      </c>
      <c r="K372" s="1" t="str">
        <f>"0.57"</f>
        <v>0.57</v>
      </c>
      <c r="L372" s="1" t="str">
        <f>"0.01"</f>
        <v>0.01</v>
      </c>
      <c r="M372" s="1" t="str">
        <f t="shared" si="511"/>
        <v>0.00</v>
      </c>
      <c r="N372" s="1" t="str">
        <f t="shared" si="560"/>
        <v>证券卖出</v>
      </c>
    </row>
    <row r="373" spans="1:14">
      <c r="A373" s="1" t="str">
        <f t="shared" si="547"/>
        <v>20171205</v>
      </c>
      <c r="B373" s="1" t="str">
        <f>"11:10:51"</f>
        <v>11:10:51</v>
      </c>
      <c r="C373" s="1" t="str">
        <f>"300274"</f>
        <v>300274</v>
      </c>
      <c r="D373" s="1" t="str">
        <f>"阳光电源"</f>
        <v>阳光电源</v>
      </c>
      <c r="E373" s="1" t="str">
        <f t="shared" si="559"/>
        <v>卖出</v>
      </c>
      <c r="F373" s="1" t="str">
        <f>"16.700"</f>
        <v>16.700</v>
      </c>
      <c r="G373" s="1" t="str">
        <f t="shared" si="561"/>
        <v>-100.00</v>
      </c>
      <c r="H373" s="1" t="str">
        <f t="shared" si="554"/>
        <v>0104152129</v>
      </c>
      <c r="I373" s="1" t="str">
        <f>"1670.00"</f>
        <v>1670.00</v>
      </c>
      <c r="J373" s="1" t="str">
        <f t="shared" si="531"/>
        <v>5.00</v>
      </c>
      <c r="K373" s="1" t="str">
        <f>"1.67"</f>
        <v>1.67</v>
      </c>
      <c r="L373" s="1" t="str">
        <f t="shared" ref="L373:L379" si="562">"0.03"</f>
        <v>0.03</v>
      </c>
      <c r="M373" s="1" t="str">
        <f t="shared" si="511"/>
        <v>0.00</v>
      </c>
      <c r="N373" s="1" t="str">
        <f t="shared" si="560"/>
        <v>证券卖出</v>
      </c>
    </row>
    <row r="374" spans="1:14">
      <c r="A374" s="1" t="str">
        <f t="shared" si="547"/>
        <v>20171205</v>
      </c>
      <c r="B374" s="1" t="str">
        <f>"11:12:32"</f>
        <v>11:12:32</v>
      </c>
      <c r="C374" s="1" t="str">
        <f>"300101"</f>
        <v>300101</v>
      </c>
      <c r="D374" s="1" t="str">
        <f>"振芯科技"</f>
        <v>振芯科技</v>
      </c>
      <c r="E374" s="1" t="str">
        <f t="shared" si="559"/>
        <v>卖出</v>
      </c>
      <c r="F374" s="1" t="str">
        <f>"15.880"</f>
        <v>15.880</v>
      </c>
      <c r="G374" s="1" t="str">
        <f t="shared" si="561"/>
        <v>-100.00</v>
      </c>
      <c r="H374" s="1" t="str">
        <f t="shared" si="554"/>
        <v>0104152129</v>
      </c>
      <c r="I374" s="1" t="str">
        <f>"1588.00"</f>
        <v>1588.00</v>
      </c>
      <c r="J374" s="1" t="str">
        <f t="shared" si="531"/>
        <v>5.00</v>
      </c>
      <c r="K374" s="1" t="str">
        <f>"1.59"</f>
        <v>1.59</v>
      </c>
      <c r="L374" s="1" t="str">
        <f t="shared" si="562"/>
        <v>0.03</v>
      </c>
      <c r="M374" s="1" t="str">
        <f t="shared" si="511"/>
        <v>0.00</v>
      </c>
      <c r="N374" s="1" t="str">
        <f t="shared" si="560"/>
        <v>证券卖出</v>
      </c>
    </row>
    <row r="375" spans="1:14">
      <c r="A375" s="1" t="str">
        <f t="shared" si="547"/>
        <v>20171205</v>
      </c>
      <c r="B375" s="1" t="str">
        <f>"11:13:07"</f>
        <v>11:13:07</v>
      </c>
      <c r="C375" s="1" t="str">
        <f>"002477"</f>
        <v>002477</v>
      </c>
      <c r="D375" s="1" t="str">
        <f>"雏鹰农牧"</f>
        <v>雏鹰农牧</v>
      </c>
      <c r="E375" s="1" t="str">
        <f t="shared" si="559"/>
        <v>卖出</v>
      </c>
      <c r="F375" s="1" t="str">
        <f>"4.600"</f>
        <v>4.600</v>
      </c>
      <c r="G375" s="1" t="str">
        <f>"-200.00"</f>
        <v>-200.00</v>
      </c>
      <c r="H375" s="1" t="str">
        <f t="shared" si="554"/>
        <v>0104152129</v>
      </c>
      <c r="I375" s="1" t="str">
        <f>"920.00"</f>
        <v>920.00</v>
      </c>
      <c r="J375" s="1" t="str">
        <f t="shared" si="531"/>
        <v>5.00</v>
      </c>
      <c r="K375" s="1" t="str">
        <f>"0.92"</f>
        <v>0.92</v>
      </c>
      <c r="L375" s="1" t="str">
        <f>"0.02"</f>
        <v>0.02</v>
      </c>
      <c r="M375" s="1" t="str">
        <f t="shared" si="511"/>
        <v>0.00</v>
      </c>
      <c r="N375" s="1" t="str">
        <f t="shared" si="560"/>
        <v>证券卖出</v>
      </c>
    </row>
    <row r="376" spans="1:14">
      <c r="A376" s="1" t="str">
        <f t="shared" si="547"/>
        <v>20171205</v>
      </c>
      <c r="B376" s="1" t="str">
        <f>"11:15:39"</f>
        <v>11:15:39</v>
      </c>
      <c r="C376" s="1" t="str">
        <f t="shared" ref="C376:C380" si="563">"000830"</f>
        <v>000830</v>
      </c>
      <c r="D376" s="1" t="str">
        <f t="shared" ref="D376:D380" si="564">"鲁西化工"</f>
        <v>鲁西化工</v>
      </c>
      <c r="E376" s="1" t="str">
        <f t="shared" ref="E376:E381" si="565">"买入"</f>
        <v>买入</v>
      </c>
      <c r="F376" s="1" t="str">
        <f>"16.580"</f>
        <v>16.580</v>
      </c>
      <c r="G376" s="1" t="str">
        <f t="shared" ref="G376:G379" si="566">"100.00"</f>
        <v>100.00</v>
      </c>
      <c r="H376" s="1" t="str">
        <f t="shared" si="554"/>
        <v>0104152129</v>
      </c>
      <c r="I376" s="1" t="str">
        <f>"1658.00"</f>
        <v>1658.00</v>
      </c>
      <c r="J376" s="1" t="str">
        <f t="shared" si="531"/>
        <v>5.00</v>
      </c>
      <c r="K376" s="1" t="str">
        <f t="shared" ref="K376:K381" si="567">"0.00"</f>
        <v>0.00</v>
      </c>
      <c r="L376" s="1" t="str">
        <f t="shared" si="562"/>
        <v>0.03</v>
      </c>
      <c r="M376" s="1" t="str">
        <f t="shared" si="511"/>
        <v>0.00</v>
      </c>
      <c r="N376" s="1" t="str">
        <f t="shared" ref="N376:N380" si="568">"证券买入"</f>
        <v>证券买入</v>
      </c>
    </row>
    <row r="377" spans="1:14">
      <c r="A377" s="1" t="str">
        <f t="shared" si="547"/>
        <v>20171205</v>
      </c>
      <c r="B377" s="1" t="str">
        <f>"13:00:04"</f>
        <v>13:00:04</v>
      </c>
      <c r="C377" s="1" t="str">
        <f t="shared" si="563"/>
        <v>000830</v>
      </c>
      <c r="D377" s="1" t="str">
        <f t="shared" si="564"/>
        <v>鲁西化工</v>
      </c>
      <c r="E377" s="1" t="str">
        <f t="shared" si="565"/>
        <v>买入</v>
      </c>
      <c r="F377" s="1" t="str">
        <f>"15.700"</f>
        <v>15.700</v>
      </c>
      <c r="G377" s="1" t="str">
        <f t="shared" si="566"/>
        <v>100.00</v>
      </c>
      <c r="H377" s="1" t="str">
        <f t="shared" si="554"/>
        <v>0104152129</v>
      </c>
      <c r="I377" s="1" t="str">
        <f>"1570.00"</f>
        <v>1570.00</v>
      </c>
      <c r="J377" s="1" t="str">
        <f t="shared" si="531"/>
        <v>5.00</v>
      </c>
      <c r="K377" s="1" t="str">
        <f t="shared" si="567"/>
        <v>0.00</v>
      </c>
      <c r="L377" s="1" t="str">
        <f t="shared" si="562"/>
        <v>0.03</v>
      </c>
      <c r="M377" s="1" t="str">
        <f t="shared" si="511"/>
        <v>0.00</v>
      </c>
      <c r="N377" s="1" t="str">
        <f t="shared" si="568"/>
        <v>证券买入</v>
      </c>
    </row>
    <row r="378" spans="1:14">
      <c r="A378" s="1" t="str">
        <f t="shared" si="547"/>
        <v>20171205</v>
      </c>
      <c r="B378" s="1" t="str">
        <f>"13:01:48"</f>
        <v>13:01:48</v>
      </c>
      <c r="C378" s="1" t="str">
        <f t="shared" si="563"/>
        <v>000830</v>
      </c>
      <c r="D378" s="1" t="str">
        <f t="shared" si="564"/>
        <v>鲁西化工</v>
      </c>
      <c r="E378" s="1" t="str">
        <f t="shared" si="565"/>
        <v>买入</v>
      </c>
      <c r="F378" s="1" t="str">
        <f>"15.870"</f>
        <v>15.870</v>
      </c>
      <c r="G378" s="1" t="str">
        <f t="shared" si="566"/>
        <v>100.00</v>
      </c>
      <c r="H378" s="1" t="str">
        <f t="shared" si="554"/>
        <v>0104152129</v>
      </c>
      <c r="I378" s="1" t="str">
        <f>"1587.00"</f>
        <v>1587.00</v>
      </c>
      <c r="J378" s="1" t="str">
        <f t="shared" si="531"/>
        <v>5.00</v>
      </c>
      <c r="K378" s="1" t="str">
        <f t="shared" si="567"/>
        <v>0.00</v>
      </c>
      <c r="L378" s="1" t="str">
        <f t="shared" si="562"/>
        <v>0.03</v>
      </c>
      <c r="M378" s="1" t="str">
        <f t="shared" si="511"/>
        <v>0.00</v>
      </c>
      <c r="N378" s="1" t="str">
        <f t="shared" si="568"/>
        <v>证券买入</v>
      </c>
    </row>
    <row r="379" spans="1:14">
      <c r="A379" s="1" t="str">
        <f t="shared" si="547"/>
        <v>20171205</v>
      </c>
      <c r="B379" s="1" t="str">
        <f>"13:03:07"</f>
        <v>13:03:07</v>
      </c>
      <c r="C379" s="1" t="str">
        <f t="shared" si="563"/>
        <v>000830</v>
      </c>
      <c r="D379" s="1" t="str">
        <f t="shared" si="564"/>
        <v>鲁西化工</v>
      </c>
      <c r="E379" s="1" t="str">
        <f t="shared" si="565"/>
        <v>买入</v>
      </c>
      <c r="F379" s="1" t="str">
        <f>"16.060"</f>
        <v>16.060</v>
      </c>
      <c r="G379" s="1" t="str">
        <f t="shared" si="566"/>
        <v>100.00</v>
      </c>
      <c r="H379" s="1" t="str">
        <f t="shared" si="554"/>
        <v>0104152129</v>
      </c>
      <c r="I379" s="1" t="str">
        <f>"1606.00"</f>
        <v>1606.00</v>
      </c>
      <c r="J379" s="1" t="str">
        <f t="shared" si="531"/>
        <v>5.00</v>
      </c>
      <c r="K379" s="1" t="str">
        <f t="shared" si="567"/>
        <v>0.00</v>
      </c>
      <c r="L379" s="1" t="str">
        <f t="shared" si="562"/>
        <v>0.03</v>
      </c>
      <c r="M379" s="1" t="str">
        <f t="shared" si="511"/>
        <v>0.00</v>
      </c>
      <c r="N379" s="1" t="str">
        <f t="shared" si="568"/>
        <v>证券买入</v>
      </c>
    </row>
    <row r="380" spans="1:14">
      <c r="A380" s="1" t="str">
        <f t="shared" si="547"/>
        <v>20171205</v>
      </c>
      <c r="B380" s="1" t="str">
        <f>"13:03:50"</f>
        <v>13:03:50</v>
      </c>
      <c r="C380" s="1" t="str">
        <f t="shared" si="563"/>
        <v>000830</v>
      </c>
      <c r="D380" s="1" t="str">
        <f t="shared" si="564"/>
        <v>鲁西化工</v>
      </c>
      <c r="E380" s="1" t="str">
        <f t="shared" si="565"/>
        <v>买入</v>
      </c>
      <c r="F380" s="1" t="str">
        <f>"16.040"</f>
        <v>16.040</v>
      </c>
      <c r="G380" s="1" t="str">
        <f>"200.00"</f>
        <v>200.00</v>
      </c>
      <c r="H380" s="1" t="str">
        <f t="shared" si="554"/>
        <v>0104152129</v>
      </c>
      <c r="I380" s="1" t="str">
        <f>"3208.00"</f>
        <v>3208.00</v>
      </c>
      <c r="J380" s="1" t="str">
        <f t="shared" si="531"/>
        <v>5.00</v>
      </c>
      <c r="K380" s="1" t="str">
        <f t="shared" si="567"/>
        <v>0.00</v>
      </c>
      <c r="L380" s="1" t="str">
        <f>"0.06"</f>
        <v>0.06</v>
      </c>
      <c r="M380" s="1" t="str">
        <f t="shared" si="511"/>
        <v>0.00</v>
      </c>
      <c r="N380" s="1" t="str">
        <f t="shared" si="568"/>
        <v>证券买入</v>
      </c>
    </row>
    <row r="381" spans="1:14">
      <c r="A381" s="1" t="str">
        <f t="shared" si="547"/>
        <v>20171205</v>
      </c>
      <c r="B381" s="1" t="str">
        <f>"22:14:30"</f>
        <v>22:14:30</v>
      </c>
      <c r="C381" s="1" t="str">
        <f>"741025"</f>
        <v>741025</v>
      </c>
      <c r="D381" s="1" t="str">
        <f>"华能配号"</f>
        <v>华能配号</v>
      </c>
      <c r="E381" s="1" t="str">
        <f t="shared" si="565"/>
        <v>买入</v>
      </c>
      <c r="F381" s="1" t="str">
        <f>"0.000"</f>
        <v>0.000</v>
      </c>
      <c r="G381" s="1" t="str">
        <f>"1.00"</f>
        <v>1.00</v>
      </c>
      <c r="H381" s="1" t="str">
        <f t="shared" ref="H381:H388" si="569">"A850418317"</f>
        <v>A850418317</v>
      </c>
      <c r="I381" s="1" t="str">
        <f t="shared" ref="I381:L381" si="570">"0.00"</f>
        <v>0.00</v>
      </c>
      <c r="J381" s="1" t="str">
        <f t="shared" si="570"/>
        <v>0.00</v>
      </c>
      <c r="K381" s="1" t="str">
        <f t="shared" si="567"/>
        <v>0.00</v>
      </c>
      <c r="L381" s="1" t="str">
        <f t="shared" si="570"/>
        <v>0.00</v>
      </c>
      <c r="M381" s="1" t="str">
        <f t="shared" si="511"/>
        <v>0.00</v>
      </c>
      <c r="N381" s="1" t="str">
        <f>"起始配号:100088342767"</f>
        <v>起始配号:100088342767</v>
      </c>
    </row>
    <row r="382" spans="1:14">
      <c r="A382" s="1" t="str">
        <f t="shared" ref="A382:A396" si="571">"20171206"</f>
        <v>20171206</v>
      </c>
      <c r="B382" s="1" t="str">
        <f>"10:09:11"</f>
        <v>10:09:11</v>
      </c>
      <c r="C382" s="1" t="str">
        <f t="shared" ref="C382:C388" si="572">"600460"</f>
        <v>600460</v>
      </c>
      <c r="D382" s="1" t="str">
        <f t="shared" ref="D382:D388" si="573">"士兰微"</f>
        <v>士兰微</v>
      </c>
      <c r="E382" s="1" t="str">
        <f t="shared" ref="E382:E393" si="574">"卖出"</f>
        <v>卖出</v>
      </c>
      <c r="F382" s="1" t="str">
        <f>"13.490"</f>
        <v>13.490</v>
      </c>
      <c r="G382" s="1" t="str">
        <f t="shared" ref="G382:G385" si="575">"-200.00"</f>
        <v>-200.00</v>
      </c>
      <c r="H382" s="1" t="str">
        <f t="shared" si="569"/>
        <v>A850418317</v>
      </c>
      <c r="I382" s="1" t="str">
        <f>"2698.00"</f>
        <v>2698.00</v>
      </c>
      <c r="J382" s="1" t="str">
        <f t="shared" ref="J382:J395" si="576">"5.00"</f>
        <v>5.00</v>
      </c>
      <c r="K382" s="1" t="str">
        <f t="shared" ref="K382:K385" si="577">"2.70"</f>
        <v>2.70</v>
      </c>
      <c r="L382" s="1" t="str">
        <f t="shared" ref="L382:L385" si="578">"0.05"</f>
        <v>0.05</v>
      </c>
      <c r="M382" s="1" t="str">
        <f t="shared" si="511"/>
        <v>0.00</v>
      </c>
      <c r="N382" s="1" t="str">
        <f t="shared" ref="N382:N393" si="579">"证券卖出"</f>
        <v>证券卖出</v>
      </c>
    </row>
    <row r="383" spans="1:14">
      <c r="A383" s="1" t="str">
        <f t="shared" si="571"/>
        <v>20171206</v>
      </c>
      <c r="B383" s="1" t="str">
        <f>"10:09:20"</f>
        <v>10:09:20</v>
      </c>
      <c r="C383" s="1" t="str">
        <f t="shared" si="572"/>
        <v>600460</v>
      </c>
      <c r="D383" s="1" t="str">
        <f t="shared" si="573"/>
        <v>士兰微</v>
      </c>
      <c r="E383" s="1" t="str">
        <f t="shared" si="574"/>
        <v>卖出</v>
      </c>
      <c r="F383" s="1" t="str">
        <f>"13.510"</f>
        <v>13.510</v>
      </c>
      <c r="G383" s="1" t="str">
        <f t="shared" si="575"/>
        <v>-200.00</v>
      </c>
      <c r="H383" s="1" t="str">
        <f t="shared" si="569"/>
        <v>A850418317</v>
      </c>
      <c r="I383" s="1" t="str">
        <f>"2702.00"</f>
        <v>2702.00</v>
      </c>
      <c r="J383" s="1" t="str">
        <f t="shared" si="576"/>
        <v>5.00</v>
      </c>
      <c r="K383" s="1" t="str">
        <f t="shared" si="577"/>
        <v>2.70</v>
      </c>
      <c r="L383" s="1" t="str">
        <f t="shared" si="578"/>
        <v>0.05</v>
      </c>
      <c r="M383" s="1" t="str">
        <f t="shared" si="511"/>
        <v>0.00</v>
      </c>
      <c r="N383" s="1" t="str">
        <f t="shared" si="579"/>
        <v>证券卖出</v>
      </c>
    </row>
    <row r="384" spans="1:14">
      <c r="A384" s="1" t="str">
        <f t="shared" si="571"/>
        <v>20171206</v>
      </c>
      <c r="B384" s="1" t="str">
        <f>"10:09:25"</f>
        <v>10:09:25</v>
      </c>
      <c r="C384" s="1" t="str">
        <f t="shared" si="572"/>
        <v>600460</v>
      </c>
      <c r="D384" s="1" t="str">
        <f t="shared" si="573"/>
        <v>士兰微</v>
      </c>
      <c r="E384" s="1" t="str">
        <f t="shared" si="574"/>
        <v>卖出</v>
      </c>
      <c r="F384" s="1" t="str">
        <f>"13.490"</f>
        <v>13.490</v>
      </c>
      <c r="G384" s="1" t="str">
        <f>"-500.00"</f>
        <v>-500.00</v>
      </c>
      <c r="H384" s="1" t="str">
        <f t="shared" si="569"/>
        <v>A850418317</v>
      </c>
      <c r="I384" s="1" t="str">
        <f>"6745.00"</f>
        <v>6745.00</v>
      </c>
      <c r="J384" s="1" t="str">
        <f t="shared" si="576"/>
        <v>5.00</v>
      </c>
      <c r="K384" s="1" t="str">
        <f>"6.75"</f>
        <v>6.75</v>
      </c>
      <c r="L384" s="1" t="str">
        <f>"0.13"</f>
        <v>0.13</v>
      </c>
      <c r="M384" s="1" t="str">
        <f t="shared" si="511"/>
        <v>0.00</v>
      </c>
      <c r="N384" s="1" t="str">
        <f t="shared" si="579"/>
        <v>证券卖出</v>
      </c>
    </row>
    <row r="385" spans="1:14">
      <c r="A385" s="1" t="str">
        <f t="shared" si="571"/>
        <v>20171206</v>
      </c>
      <c r="B385" s="1" t="str">
        <f>"10:09:32"</f>
        <v>10:09:32</v>
      </c>
      <c r="C385" s="1" t="str">
        <f t="shared" si="572"/>
        <v>600460</v>
      </c>
      <c r="D385" s="1" t="str">
        <f t="shared" si="573"/>
        <v>士兰微</v>
      </c>
      <c r="E385" s="1" t="str">
        <f t="shared" si="574"/>
        <v>卖出</v>
      </c>
      <c r="F385" s="1" t="str">
        <f>"13.500"</f>
        <v>13.500</v>
      </c>
      <c r="G385" s="1" t="str">
        <f t="shared" si="575"/>
        <v>-200.00</v>
      </c>
      <c r="H385" s="1" t="str">
        <f t="shared" si="569"/>
        <v>A850418317</v>
      </c>
      <c r="I385" s="1" t="str">
        <f>"2700.00"</f>
        <v>2700.00</v>
      </c>
      <c r="J385" s="1" t="str">
        <f t="shared" si="576"/>
        <v>5.00</v>
      </c>
      <c r="K385" s="1" t="str">
        <f t="shared" si="577"/>
        <v>2.70</v>
      </c>
      <c r="L385" s="1" t="str">
        <f t="shared" si="578"/>
        <v>0.05</v>
      </c>
      <c r="M385" s="1" t="str">
        <f t="shared" si="511"/>
        <v>0.00</v>
      </c>
      <c r="N385" s="1" t="str">
        <f t="shared" si="579"/>
        <v>证券卖出</v>
      </c>
    </row>
    <row r="386" spans="1:14">
      <c r="A386" s="1" t="str">
        <f t="shared" si="571"/>
        <v>20171206</v>
      </c>
      <c r="B386" s="1" t="str">
        <f>"10:10:33"</f>
        <v>10:10:33</v>
      </c>
      <c r="C386" s="1" t="str">
        <f t="shared" si="572"/>
        <v>600460</v>
      </c>
      <c r="D386" s="1" t="str">
        <f t="shared" si="573"/>
        <v>士兰微</v>
      </c>
      <c r="E386" s="1" t="str">
        <f t="shared" si="574"/>
        <v>卖出</v>
      </c>
      <c r="F386" s="1" t="str">
        <f>"13.590"</f>
        <v>13.590</v>
      </c>
      <c r="G386" s="1" t="str">
        <f t="shared" ref="G386:G389" si="580">"-100.00"</f>
        <v>-100.00</v>
      </c>
      <c r="H386" s="1" t="str">
        <f t="shared" si="569"/>
        <v>A850418317</v>
      </c>
      <c r="I386" s="1" t="str">
        <f>"1359.00"</f>
        <v>1359.00</v>
      </c>
      <c r="J386" s="1" t="str">
        <f t="shared" si="576"/>
        <v>5.00</v>
      </c>
      <c r="K386" s="1" t="str">
        <f>"1.36"</f>
        <v>1.36</v>
      </c>
      <c r="L386" s="1" t="str">
        <f t="shared" ref="L386:L389" si="581">"0.03"</f>
        <v>0.03</v>
      </c>
      <c r="M386" s="1" t="str">
        <f t="shared" si="511"/>
        <v>0.00</v>
      </c>
      <c r="N386" s="1" t="str">
        <f t="shared" si="579"/>
        <v>证券卖出</v>
      </c>
    </row>
    <row r="387" spans="1:14">
      <c r="A387" s="1" t="str">
        <f t="shared" si="571"/>
        <v>20171206</v>
      </c>
      <c r="B387" s="1" t="str">
        <f>"10:11:26"</f>
        <v>10:11:26</v>
      </c>
      <c r="C387" s="1" t="str">
        <f t="shared" si="572"/>
        <v>600460</v>
      </c>
      <c r="D387" s="1" t="str">
        <f t="shared" si="573"/>
        <v>士兰微</v>
      </c>
      <c r="E387" s="1" t="str">
        <f t="shared" si="574"/>
        <v>卖出</v>
      </c>
      <c r="F387" s="1" t="str">
        <f>"13.580"</f>
        <v>13.580</v>
      </c>
      <c r="G387" s="1" t="str">
        <f t="shared" si="580"/>
        <v>-100.00</v>
      </c>
      <c r="H387" s="1" t="str">
        <f t="shared" si="569"/>
        <v>A850418317</v>
      </c>
      <c r="I387" s="1" t="str">
        <f>"1358.00"</f>
        <v>1358.00</v>
      </c>
      <c r="J387" s="1" t="str">
        <f t="shared" si="576"/>
        <v>5.00</v>
      </c>
      <c r="K387" s="1" t="str">
        <f>"1.36"</f>
        <v>1.36</v>
      </c>
      <c r="L387" s="1" t="str">
        <f t="shared" si="581"/>
        <v>0.03</v>
      </c>
      <c r="M387" s="1" t="str">
        <f t="shared" si="511"/>
        <v>0.00</v>
      </c>
      <c r="N387" s="1" t="str">
        <f t="shared" si="579"/>
        <v>证券卖出</v>
      </c>
    </row>
    <row r="388" spans="1:14">
      <c r="A388" s="1" t="str">
        <f t="shared" si="571"/>
        <v>20171206</v>
      </c>
      <c r="B388" s="1" t="str">
        <f>"10:22:33"</f>
        <v>10:22:33</v>
      </c>
      <c r="C388" s="1" t="str">
        <f t="shared" si="572"/>
        <v>600460</v>
      </c>
      <c r="D388" s="1" t="str">
        <f t="shared" si="573"/>
        <v>士兰微</v>
      </c>
      <c r="E388" s="1" t="str">
        <f t="shared" si="574"/>
        <v>卖出</v>
      </c>
      <c r="F388" s="1" t="str">
        <f>"13.600"</f>
        <v>13.600</v>
      </c>
      <c r="G388" s="1" t="str">
        <f t="shared" ref="G388:G391" si="582">"-200.00"</f>
        <v>-200.00</v>
      </c>
      <c r="H388" s="1" t="str">
        <f t="shared" si="569"/>
        <v>A850418317</v>
      </c>
      <c r="I388" s="1" t="str">
        <f>"2720.00"</f>
        <v>2720.00</v>
      </c>
      <c r="J388" s="1" t="str">
        <f t="shared" si="576"/>
        <v>5.00</v>
      </c>
      <c r="K388" s="1" t="str">
        <f>"2.72"</f>
        <v>2.72</v>
      </c>
      <c r="L388" s="1" t="str">
        <f>"0.05"</f>
        <v>0.05</v>
      </c>
      <c r="M388" s="1" t="str">
        <f t="shared" si="511"/>
        <v>0.00</v>
      </c>
      <c r="N388" s="1" t="str">
        <f t="shared" si="579"/>
        <v>证券卖出</v>
      </c>
    </row>
    <row r="389" spans="1:14">
      <c r="A389" s="1" t="str">
        <f t="shared" si="571"/>
        <v>20171206</v>
      </c>
      <c r="B389" s="1" t="str">
        <f>"10:09:53"</f>
        <v>10:09:53</v>
      </c>
      <c r="C389" s="1" t="str">
        <f>"300101"</f>
        <v>300101</v>
      </c>
      <c r="D389" s="1" t="str">
        <f>"振芯科技"</f>
        <v>振芯科技</v>
      </c>
      <c r="E389" s="1" t="str">
        <f t="shared" si="574"/>
        <v>卖出</v>
      </c>
      <c r="F389" s="1" t="str">
        <f>"15.600"</f>
        <v>15.600</v>
      </c>
      <c r="G389" s="1" t="str">
        <f t="shared" si="580"/>
        <v>-100.00</v>
      </c>
      <c r="H389" s="1" t="str">
        <f t="shared" ref="H389:H395" si="583">"0104152129"</f>
        <v>0104152129</v>
      </c>
      <c r="I389" s="1" t="str">
        <f>"1560.00"</f>
        <v>1560.00</v>
      </c>
      <c r="J389" s="1" t="str">
        <f t="shared" si="576"/>
        <v>5.00</v>
      </c>
      <c r="K389" s="1" t="str">
        <f>"1.56"</f>
        <v>1.56</v>
      </c>
      <c r="L389" s="1" t="str">
        <f t="shared" si="581"/>
        <v>0.03</v>
      </c>
      <c r="M389" s="1" t="str">
        <f t="shared" si="511"/>
        <v>0.00</v>
      </c>
      <c r="N389" s="1" t="str">
        <f t="shared" si="579"/>
        <v>证券卖出</v>
      </c>
    </row>
    <row r="390" spans="1:14">
      <c r="A390" s="1" t="str">
        <f t="shared" si="571"/>
        <v>20171206</v>
      </c>
      <c r="B390" s="1" t="str">
        <f>"10:10:55"</f>
        <v>10:10:55</v>
      </c>
      <c r="C390" s="1" t="str">
        <f t="shared" ref="C390:C393" si="584">"000830"</f>
        <v>000830</v>
      </c>
      <c r="D390" s="1" t="str">
        <f t="shared" ref="D390:D393" si="585">"鲁西化工"</f>
        <v>鲁西化工</v>
      </c>
      <c r="E390" s="1" t="str">
        <f t="shared" si="574"/>
        <v>卖出</v>
      </c>
      <c r="F390" s="1" t="str">
        <f>"15.800"</f>
        <v>15.800</v>
      </c>
      <c r="G390" s="1" t="str">
        <f t="shared" si="582"/>
        <v>-200.00</v>
      </c>
      <c r="H390" s="1" t="str">
        <f t="shared" si="583"/>
        <v>0104152129</v>
      </c>
      <c r="I390" s="1" t="str">
        <f>"3160.00"</f>
        <v>3160.00</v>
      </c>
      <c r="J390" s="1" t="str">
        <f t="shared" si="576"/>
        <v>5.00</v>
      </c>
      <c r="K390" s="1" t="str">
        <f>"3.16"</f>
        <v>3.16</v>
      </c>
      <c r="L390" s="1" t="str">
        <f t="shared" ref="L390:L394" si="586">"0.06"</f>
        <v>0.06</v>
      </c>
      <c r="M390" s="1" t="str">
        <f t="shared" si="511"/>
        <v>0.00</v>
      </c>
      <c r="N390" s="1" t="str">
        <f t="shared" si="579"/>
        <v>证券卖出</v>
      </c>
    </row>
    <row r="391" spans="1:14">
      <c r="A391" s="1" t="str">
        <f t="shared" si="571"/>
        <v>20171206</v>
      </c>
      <c r="B391" s="1" t="str">
        <f>"10:11:05"</f>
        <v>10:11:05</v>
      </c>
      <c r="C391" s="1" t="str">
        <f t="shared" si="584"/>
        <v>000830</v>
      </c>
      <c r="D391" s="1" t="str">
        <f t="shared" si="585"/>
        <v>鲁西化工</v>
      </c>
      <c r="E391" s="1" t="str">
        <f t="shared" si="574"/>
        <v>卖出</v>
      </c>
      <c r="F391" s="1" t="str">
        <f>"15.790"</f>
        <v>15.790</v>
      </c>
      <c r="G391" s="1" t="str">
        <f t="shared" si="582"/>
        <v>-200.00</v>
      </c>
      <c r="H391" s="1" t="str">
        <f t="shared" si="583"/>
        <v>0104152129</v>
      </c>
      <c r="I391" s="1" t="str">
        <f>"3158.00"</f>
        <v>3158.00</v>
      </c>
      <c r="J391" s="1" t="str">
        <f t="shared" si="576"/>
        <v>5.00</v>
      </c>
      <c r="K391" s="1" t="str">
        <f>"3.16"</f>
        <v>3.16</v>
      </c>
      <c r="L391" s="1" t="str">
        <f t="shared" si="586"/>
        <v>0.06</v>
      </c>
      <c r="M391" s="1" t="str">
        <f t="shared" si="511"/>
        <v>0.00</v>
      </c>
      <c r="N391" s="1" t="str">
        <f t="shared" si="579"/>
        <v>证券卖出</v>
      </c>
    </row>
    <row r="392" spans="1:14">
      <c r="A392" s="1" t="str">
        <f t="shared" si="571"/>
        <v>20171206</v>
      </c>
      <c r="B392" s="1" t="str">
        <f>"10:11:24"</f>
        <v>10:11:24</v>
      </c>
      <c r="C392" s="1" t="str">
        <f t="shared" si="584"/>
        <v>000830</v>
      </c>
      <c r="D392" s="1" t="str">
        <f t="shared" si="585"/>
        <v>鲁西化工</v>
      </c>
      <c r="E392" s="1" t="str">
        <f t="shared" si="574"/>
        <v>卖出</v>
      </c>
      <c r="F392" s="1" t="str">
        <f>"15.780"</f>
        <v>15.780</v>
      </c>
      <c r="G392" s="1" t="str">
        <f>"-100.00"</f>
        <v>-100.00</v>
      </c>
      <c r="H392" s="1" t="str">
        <f t="shared" si="583"/>
        <v>0104152129</v>
      </c>
      <c r="I392" s="1" t="str">
        <f>"1578.00"</f>
        <v>1578.00</v>
      </c>
      <c r="J392" s="1" t="str">
        <f t="shared" si="576"/>
        <v>5.00</v>
      </c>
      <c r="K392" s="1" t="str">
        <f>"1.58"</f>
        <v>1.58</v>
      </c>
      <c r="L392" s="1" t="str">
        <f>"0.03"</f>
        <v>0.03</v>
      </c>
      <c r="M392" s="1" t="str">
        <f t="shared" si="511"/>
        <v>0.00</v>
      </c>
      <c r="N392" s="1" t="str">
        <f t="shared" si="579"/>
        <v>证券卖出</v>
      </c>
    </row>
    <row r="393" spans="1:14">
      <c r="A393" s="1" t="str">
        <f t="shared" si="571"/>
        <v>20171206</v>
      </c>
      <c r="B393" s="1" t="str">
        <f>"10:12:24"</f>
        <v>10:12:24</v>
      </c>
      <c r="C393" s="1" t="str">
        <f t="shared" si="584"/>
        <v>000830</v>
      </c>
      <c r="D393" s="1" t="str">
        <f t="shared" si="585"/>
        <v>鲁西化工</v>
      </c>
      <c r="E393" s="1" t="str">
        <f t="shared" si="574"/>
        <v>卖出</v>
      </c>
      <c r="F393" s="1" t="str">
        <f>"15.760"</f>
        <v>15.760</v>
      </c>
      <c r="G393" s="1" t="str">
        <f>"-200.00"</f>
        <v>-200.00</v>
      </c>
      <c r="H393" s="1" t="str">
        <f t="shared" si="583"/>
        <v>0104152129</v>
      </c>
      <c r="I393" s="1" t="str">
        <f>"3152.00"</f>
        <v>3152.00</v>
      </c>
      <c r="J393" s="1" t="str">
        <f t="shared" si="576"/>
        <v>5.00</v>
      </c>
      <c r="K393" s="1" t="str">
        <f>"3.15"</f>
        <v>3.15</v>
      </c>
      <c r="L393" s="1" t="str">
        <f t="shared" si="586"/>
        <v>0.06</v>
      </c>
      <c r="M393" s="1" t="str">
        <f t="shared" si="511"/>
        <v>0.00</v>
      </c>
      <c r="N393" s="1" t="str">
        <f t="shared" si="579"/>
        <v>证券卖出</v>
      </c>
    </row>
    <row r="394" spans="1:14">
      <c r="A394" s="1" t="str">
        <f t="shared" si="571"/>
        <v>20171206</v>
      </c>
      <c r="B394" s="1" t="str">
        <f>"14:10:47"</f>
        <v>14:10:47</v>
      </c>
      <c r="C394" s="1" t="str">
        <f>"300274"</f>
        <v>300274</v>
      </c>
      <c r="D394" s="1" t="str">
        <f>"阳光电源"</f>
        <v>阳光电源</v>
      </c>
      <c r="E394" s="1" t="str">
        <f t="shared" ref="E394:E400" si="587">"买入"</f>
        <v>买入</v>
      </c>
      <c r="F394" s="1" t="str">
        <f>"15.880"</f>
        <v>15.880</v>
      </c>
      <c r="G394" s="1" t="str">
        <f>"200.00"</f>
        <v>200.00</v>
      </c>
      <c r="H394" s="1" t="str">
        <f t="shared" si="583"/>
        <v>0104152129</v>
      </c>
      <c r="I394" s="1" t="str">
        <f>"3176.00"</f>
        <v>3176.00</v>
      </c>
      <c r="J394" s="1" t="str">
        <f t="shared" si="576"/>
        <v>5.00</v>
      </c>
      <c r="K394" s="1" t="str">
        <f t="shared" ref="K394:K400" si="588">"0.00"</f>
        <v>0.00</v>
      </c>
      <c r="L394" s="1" t="str">
        <f t="shared" si="586"/>
        <v>0.06</v>
      </c>
      <c r="M394" s="1" t="str">
        <f t="shared" si="511"/>
        <v>0.00</v>
      </c>
      <c r="N394" s="1" t="str">
        <f t="shared" ref="N394:N400" si="589">"证券买入"</f>
        <v>证券买入</v>
      </c>
    </row>
    <row r="395" spans="1:14">
      <c r="A395" s="1" t="str">
        <f t="shared" si="571"/>
        <v>20171206</v>
      </c>
      <c r="B395" s="1" t="str">
        <f>"14:22:54"</f>
        <v>14:22:54</v>
      </c>
      <c r="C395" s="1" t="str">
        <f>"002594"</f>
        <v>002594</v>
      </c>
      <c r="D395" s="1" t="str">
        <f>"比亚迪"</f>
        <v>比亚迪</v>
      </c>
      <c r="E395" s="1" t="str">
        <f t="shared" si="587"/>
        <v>买入</v>
      </c>
      <c r="F395" s="1" t="str">
        <f>"59.150"</f>
        <v>59.150</v>
      </c>
      <c r="G395" s="1" t="str">
        <f t="shared" ref="G395:G398" si="590">"100.00"</f>
        <v>100.00</v>
      </c>
      <c r="H395" s="1" t="str">
        <f t="shared" si="583"/>
        <v>0104152129</v>
      </c>
      <c r="I395" s="1" t="str">
        <f>"5915.00"</f>
        <v>5915.00</v>
      </c>
      <c r="J395" s="1" t="str">
        <f t="shared" si="576"/>
        <v>5.00</v>
      </c>
      <c r="K395" s="1" t="str">
        <f t="shared" si="588"/>
        <v>0.00</v>
      </c>
      <c r="L395" s="1" t="str">
        <f>"0.12"</f>
        <v>0.12</v>
      </c>
      <c r="M395" s="1" t="str">
        <f t="shared" si="511"/>
        <v>0.00</v>
      </c>
      <c r="N395" s="1" t="str">
        <f t="shared" si="589"/>
        <v>证券买入</v>
      </c>
    </row>
    <row r="396" spans="1:14">
      <c r="A396" s="1" t="str">
        <f t="shared" si="571"/>
        <v>20171206</v>
      </c>
      <c r="B396" s="1" t="str">
        <f>"22:54:04"</f>
        <v>22:54:04</v>
      </c>
      <c r="C396" s="1" t="str">
        <f>"736477"</f>
        <v>736477</v>
      </c>
      <c r="D396" s="1" t="str">
        <f>"振静配号"</f>
        <v>振静配号</v>
      </c>
      <c r="E396" s="1" t="str">
        <f t="shared" si="587"/>
        <v>买入</v>
      </c>
      <c r="F396" s="1" t="str">
        <f>"0.000"</f>
        <v>0.000</v>
      </c>
      <c r="G396" s="1" t="str">
        <f>"1.00"</f>
        <v>1.00</v>
      </c>
      <c r="H396" s="1" t="str">
        <f t="shared" ref="H396:H400" si="591">"A850418317"</f>
        <v>A850418317</v>
      </c>
      <c r="I396" s="1" t="str">
        <f t="shared" ref="I396:M396" si="592">"0.00"</f>
        <v>0.00</v>
      </c>
      <c r="J396" s="1" t="str">
        <f t="shared" si="592"/>
        <v>0.00</v>
      </c>
      <c r="K396" s="1" t="str">
        <f t="shared" si="588"/>
        <v>0.00</v>
      </c>
      <c r="L396" s="1" t="str">
        <f t="shared" si="592"/>
        <v>0.00</v>
      </c>
      <c r="M396" s="1" t="str">
        <f t="shared" si="592"/>
        <v>0.00</v>
      </c>
      <c r="N396" s="1" t="str">
        <f>"起始配号:100006341878"</f>
        <v>起始配号:100006341878</v>
      </c>
    </row>
    <row r="397" spans="1:14">
      <c r="A397" s="1" t="str">
        <f t="shared" ref="A397:A405" si="593">"20171207"</f>
        <v>20171207</v>
      </c>
      <c r="B397" s="1" t="str">
        <f>"10:00:37"</f>
        <v>10:00:37</v>
      </c>
      <c r="C397" s="1" t="str">
        <f>"600206"</f>
        <v>600206</v>
      </c>
      <c r="D397" s="1" t="str">
        <f>"有研新材"</f>
        <v>有研新材</v>
      </c>
      <c r="E397" s="1" t="str">
        <f t="shared" si="587"/>
        <v>买入</v>
      </c>
      <c r="F397" s="1" t="str">
        <f>"12.680"</f>
        <v>12.680</v>
      </c>
      <c r="G397" s="1" t="str">
        <f t="shared" si="590"/>
        <v>100.00</v>
      </c>
      <c r="H397" s="1" t="str">
        <f t="shared" si="591"/>
        <v>A850418317</v>
      </c>
      <c r="I397" s="1" t="str">
        <f>"1268.00"</f>
        <v>1268.00</v>
      </c>
      <c r="J397" s="1" t="str">
        <f t="shared" ref="J397:J403" si="594">"5.00"</f>
        <v>5.00</v>
      </c>
      <c r="K397" s="1" t="str">
        <f t="shared" si="588"/>
        <v>0.00</v>
      </c>
      <c r="L397" s="1" t="str">
        <f>"0.03"</f>
        <v>0.03</v>
      </c>
      <c r="M397" s="1" t="str">
        <f t="shared" ref="M397:M460" si="595">"0.00"</f>
        <v>0.00</v>
      </c>
      <c r="N397" s="1" t="str">
        <f t="shared" si="589"/>
        <v>证券买入</v>
      </c>
    </row>
    <row r="398" spans="1:14">
      <c r="A398" s="1" t="str">
        <f t="shared" si="593"/>
        <v>20171207</v>
      </c>
      <c r="B398" s="1" t="str">
        <f>"10:00:58"</f>
        <v>10:00:58</v>
      </c>
      <c r="C398" s="1" t="str">
        <f>"600460"</f>
        <v>600460</v>
      </c>
      <c r="D398" s="1" t="str">
        <f>"士兰微"</f>
        <v>士兰微</v>
      </c>
      <c r="E398" s="1" t="str">
        <f t="shared" si="587"/>
        <v>买入</v>
      </c>
      <c r="F398" s="1" t="str">
        <f>"15.000"</f>
        <v>15.000</v>
      </c>
      <c r="G398" s="1" t="str">
        <f t="shared" si="590"/>
        <v>100.00</v>
      </c>
      <c r="H398" s="1" t="str">
        <f t="shared" si="591"/>
        <v>A850418317</v>
      </c>
      <c r="I398" s="1" t="str">
        <f>"1500.00"</f>
        <v>1500.00</v>
      </c>
      <c r="J398" s="1" t="str">
        <f t="shared" si="594"/>
        <v>5.00</v>
      </c>
      <c r="K398" s="1" t="str">
        <f t="shared" si="588"/>
        <v>0.00</v>
      </c>
      <c r="L398" s="1" t="str">
        <f>"0.03"</f>
        <v>0.03</v>
      </c>
      <c r="M398" s="1" t="str">
        <f t="shared" si="595"/>
        <v>0.00</v>
      </c>
      <c r="N398" s="1" t="str">
        <f t="shared" si="589"/>
        <v>证券买入</v>
      </c>
    </row>
    <row r="399" spans="1:14">
      <c r="A399" s="1" t="str">
        <f t="shared" si="593"/>
        <v>20171207</v>
      </c>
      <c r="B399" s="1" t="str">
        <f>"10:09:04"</f>
        <v>10:09:04</v>
      </c>
      <c r="C399" s="1" t="str">
        <f>"600460"</f>
        <v>600460</v>
      </c>
      <c r="D399" s="1" t="str">
        <f>"士兰微"</f>
        <v>士兰微</v>
      </c>
      <c r="E399" s="1" t="str">
        <f t="shared" si="587"/>
        <v>买入</v>
      </c>
      <c r="F399" s="1" t="str">
        <f>"15.350"</f>
        <v>15.350</v>
      </c>
      <c r="G399" s="1" t="str">
        <f>"200.00"</f>
        <v>200.00</v>
      </c>
      <c r="H399" s="1" t="str">
        <f t="shared" si="591"/>
        <v>A850418317</v>
      </c>
      <c r="I399" s="1" t="str">
        <f>"3070.00"</f>
        <v>3070.00</v>
      </c>
      <c r="J399" s="1" t="str">
        <f t="shared" si="594"/>
        <v>5.00</v>
      </c>
      <c r="K399" s="1" t="str">
        <f t="shared" si="588"/>
        <v>0.00</v>
      </c>
      <c r="L399" s="1" t="str">
        <f t="shared" ref="L399:L401" si="596">"0.06"</f>
        <v>0.06</v>
      </c>
      <c r="M399" s="1" t="str">
        <f t="shared" si="595"/>
        <v>0.00</v>
      </c>
      <c r="N399" s="1" t="str">
        <f t="shared" si="589"/>
        <v>证券买入</v>
      </c>
    </row>
    <row r="400" spans="1:14">
      <c r="A400" s="1" t="str">
        <f t="shared" si="593"/>
        <v>20171207</v>
      </c>
      <c r="B400" s="1" t="str">
        <f>"10:28:27"</f>
        <v>10:28:27</v>
      </c>
      <c r="C400" s="1" t="str">
        <f>"600137"</f>
        <v>600137</v>
      </c>
      <c r="D400" s="1" t="str">
        <f>"浪莎股份"</f>
        <v>浪莎股份</v>
      </c>
      <c r="E400" s="1" t="str">
        <f t="shared" si="587"/>
        <v>买入</v>
      </c>
      <c r="F400" s="1" t="str">
        <f>"31.600"</f>
        <v>31.600</v>
      </c>
      <c r="G400" s="1" t="str">
        <f>"100.00"</f>
        <v>100.00</v>
      </c>
      <c r="H400" s="1" t="str">
        <f t="shared" si="591"/>
        <v>A850418317</v>
      </c>
      <c r="I400" s="1" t="str">
        <f>"3160.00"</f>
        <v>3160.00</v>
      </c>
      <c r="J400" s="1" t="str">
        <f t="shared" si="594"/>
        <v>5.00</v>
      </c>
      <c r="K400" s="1" t="str">
        <f t="shared" si="588"/>
        <v>0.00</v>
      </c>
      <c r="L400" s="1" t="str">
        <f t="shared" si="596"/>
        <v>0.06</v>
      </c>
      <c r="M400" s="1" t="str">
        <f t="shared" si="595"/>
        <v>0.00</v>
      </c>
      <c r="N400" s="1" t="str">
        <f t="shared" si="589"/>
        <v>证券买入</v>
      </c>
    </row>
    <row r="401" spans="1:14">
      <c r="A401" s="1" t="str">
        <f t="shared" si="593"/>
        <v>20171207</v>
      </c>
      <c r="B401" s="1" t="str">
        <f>"09:49:55"</f>
        <v>09:49:55</v>
      </c>
      <c r="C401" s="1" t="str">
        <f>"300274"</f>
        <v>300274</v>
      </c>
      <c r="D401" s="1" t="str">
        <f>"阳光电源"</f>
        <v>阳光电源</v>
      </c>
      <c r="E401" s="1" t="str">
        <f>"卖出"</f>
        <v>卖出</v>
      </c>
      <c r="F401" s="1" t="str">
        <f>"16.160"</f>
        <v>16.160</v>
      </c>
      <c r="G401" s="1" t="str">
        <f>"-200.00"</f>
        <v>-200.00</v>
      </c>
      <c r="H401" s="1" t="str">
        <f t="shared" ref="H401:H405" si="597">"0104152129"</f>
        <v>0104152129</v>
      </c>
      <c r="I401" s="1" t="str">
        <f>"3232.00"</f>
        <v>3232.00</v>
      </c>
      <c r="J401" s="1" t="str">
        <f t="shared" si="594"/>
        <v>5.00</v>
      </c>
      <c r="K401" s="1" t="str">
        <f>"3.23"</f>
        <v>3.23</v>
      </c>
      <c r="L401" s="1" t="str">
        <f t="shared" si="596"/>
        <v>0.06</v>
      </c>
      <c r="M401" s="1" t="str">
        <f t="shared" si="595"/>
        <v>0.00</v>
      </c>
      <c r="N401" s="1" t="str">
        <f>"证券卖出"</f>
        <v>证券卖出</v>
      </c>
    </row>
    <row r="402" spans="1:14">
      <c r="A402" s="1" t="str">
        <f t="shared" si="593"/>
        <v>20171207</v>
      </c>
      <c r="B402" s="1" t="str">
        <f>"09:50:37"</f>
        <v>09:50:37</v>
      </c>
      <c r="C402" s="1" t="str">
        <f>"002594"</f>
        <v>002594</v>
      </c>
      <c r="D402" s="1" t="str">
        <f>"比亚迪"</f>
        <v>比亚迪</v>
      </c>
      <c r="E402" s="1" t="str">
        <f>"卖出"</f>
        <v>卖出</v>
      </c>
      <c r="F402" s="1" t="str">
        <f>"59.900"</f>
        <v>59.900</v>
      </c>
      <c r="G402" s="1" t="str">
        <f>"-100.00"</f>
        <v>-100.00</v>
      </c>
      <c r="H402" s="1" t="str">
        <f t="shared" si="597"/>
        <v>0104152129</v>
      </c>
      <c r="I402" s="1" t="str">
        <f>"5990.00"</f>
        <v>5990.00</v>
      </c>
      <c r="J402" s="1" t="str">
        <f t="shared" si="594"/>
        <v>5.00</v>
      </c>
      <c r="K402" s="1" t="str">
        <f>"5.99"</f>
        <v>5.99</v>
      </c>
      <c r="L402" s="1" t="str">
        <f>"0.12"</f>
        <v>0.12</v>
      </c>
      <c r="M402" s="1" t="str">
        <f t="shared" si="595"/>
        <v>0.00</v>
      </c>
      <c r="N402" s="1" t="str">
        <f>"证券卖出"</f>
        <v>证券卖出</v>
      </c>
    </row>
    <row r="403" spans="1:14">
      <c r="A403" s="1" t="str">
        <f t="shared" si="593"/>
        <v>20171207</v>
      </c>
      <c r="B403" s="1" t="str">
        <f>"09:59:39"</f>
        <v>09:59:39</v>
      </c>
      <c r="C403" s="1" t="str">
        <f>"000830"</f>
        <v>000830</v>
      </c>
      <c r="D403" s="1" t="str">
        <f>"鲁西化工"</f>
        <v>鲁西化工</v>
      </c>
      <c r="E403" s="1" t="str">
        <f t="shared" ref="E403:E407" si="598">"买入"</f>
        <v>买入</v>
      </c>
      <c r="F403" s="1" t="str">
        <f>"16.690"</f>
        <v>16.690</v>
      </c>
      <c r="G403" s="1" t="str">
        <f>"200.00"</f>
        <v>200.00</v>
      </c>
      <c r="H403" s="1" t="str">
        <f t="shared" si="597"/>
        <v>0104152129</v>
      </c>
      <c r="I403" s="1" t="str">
        <f>"3338.00"</f>
        <v>3338.00</v>
      </c>
      <c r="J403" s="1" t="str">
        <f t="shared" si="594"/>
        <v>5.00</v>
      </c>
      <c r="K403" s="1" t="str">
        <f t="shared" ref="K403:K407" si="599">"0.00"</f>
        <v>0.00</v>
      </c>
      <c r="L403" s="1" t="str">
        <f>"0.07"</f>
        <v>0.07</v>
      </c>
      <c r="M403" s="1" t="str">
        <f t="shared" si="595"/>
        <v>0.00</v>
      </c>
      <c r="N403" s="1" t="str">
        <f t="shared" ref="N403:N407" si="600">"证券买入"</f>
        <v>证券买入</v>
      </c>
    </row>
    <row r="404" spans="1:14">
      <c r="A404" s="1" t="str">
        <f t="shared" si="593"/>
        <v>20171207</v>
      </c>
      <c r="B404" s="1" t="str">
        <f>"21:24:54"</f>
        <v>21:24:54</v>
      </c>
      <c r="C404" s="1" t="str">
        <f>"002918"</f>
        <v>002918</v>
      </c>
      <c r="D404" s="1" t="str">
        <f>"蒙娜丽莎"</f>
        <v>蒙娜丽莎</v>
      </c>
      <c r="E404" s="1" t="str">
        <f t="shared" si="598"/>
        <v>买入</v>
      </c>
      <c r="F404" s="1" t="str">
        <f>"0.000"</f>
        <v>0.000</v>
      </c>
      <c r="G404" s="1" t="str">
        <f>"2.00"</f>
        <v>2.00</v>
      </c>
      <c r="H404" s="1" t="str">
        <f t="shared" si="597"/>
        <v>0104152129</v>
      </c>
      <c r="I404" s="1" t="str">
        <f t="shared" ref="I404:L404" si="601">"0.00"</f>
        <v>0.00</v>
      </c>
      <c r="J404" s="1" t="str">
        <f t="shared" si="601"/>
        <v>0.00</v>
      </c>
      <c r="K404" s="1" t="str">
        <f t="shared" si="601"/>
        <v>0.00</v>
      </c>
      <c r="L404" s="1" t="str">
        <f t="shared" si="601"/>
        <v>0.00</v>
      </c>
      <c r="M404" s="1" t="str">
        <f t="shared" si="595"/>
        <v>0.00</v>
      </c>
      <c r="N404" s="1" t="str">
        <f>"起始配号:14451708"</f>
        <v>起始配号:14451708</v>
      </c>
    </row>
    <row r="405" spans="1:14">
      <c r="A405" s="1" t="str">
        <f t="shared" si="593"/>
        <v>20171207</v>
      </c>
      <c r="B405" s="1" t="str">
        <f>"21:24:54"</f>
        <v>21:24:54</v>
      </c>
      <c r="C405" s="1" t="str">
        <f>"002919"</f>
        <v>002919</v>
      </c>
      <c r="D405" s="1" t="str">
        <f>"名臣健康"</f>
        <v>名臣健康</v>
      </c>
      <c r="E405" s="1" t="str">
        <f t="shared" si="598"/>
        <v>买入</v>
      </c>
      <c r="F405" s="1" t="str">
        <f>"0.000"</f>
        <v>0.000</v>
      </c>
      <c r="G405" s="1" t="str">
        <f>"2.00"</f>
        <v>2.00</v>
      </c>
      <c r="H405" s="1" t="str">
        <f t="shared" si="597"/>
        <v>0104152129</v>
      </c>
      <c r="I405" s="1" t="str">
        <f t="shared" ref="I405:L405" si="602">"0.00"</f>
        <v>0.00</v>
      </c>
      <c r="J405" s="1" t="str">
        <f t="shared" si="602"/>
        <v>0.00</v>
      </c>
      <c r="K405" s="1" t="str">
        <f t="shared" si="602"/>
        <v>0.00</v>
      </c>
      <c r="L405" s="1" t="str">
        <f t="shared" si="602"/>
        <v>0.00</v>
      </c>
      <c r="M405" s="1" t="str">
        <f t="shared" si="595"/>
        <v>0.00</v>
      </c>
      <c r="N405" s="1" t="str">
        <f>"起始配号:8965573"</f>
        <v>起始配号:8965573</v>
      </c>
    </row>
    <row r="406" spans="1:14">
      <c r="A406" s="1" t="str">
        <f t="shared" ref="A406:A416" si="603">"20171208"</f>
        <v>20171208</v>
      </c>
      <c r="B406" s="1" t="str">
        <f>"10:02:17"</f>
        <v>10:02:17</v>
      </c>
      <c r="C406" s="1" t="str">
        <f t="shared" ref="C406:C410" si="604">"600460"</f>
        <v>600460</v>
      </c>
      <c r="D406" s="1" t="str">
        <f t="shared" ref="D406:D410" si="605">"士兰微"</f>
        <v>士兰微</v>
      </c>
      <c r="E406" s="1" t="str">
        <f t="shared" si="598"/>
        <v>买入</v>
      </c>
      <c r="F406" s="1" t="str">
        <f>"15.070"</f>
        <v>15.070</v>
      </c>
      <c r="G406" s="1" t="str">
        <f t="shared" ref="G406:G410" si="606">"100.00"</f>
        <v>100.00</v>
      </c>
      <c r="H406" s="1" t="str">
        <f t="shared" ref="H406:H410" si="607">"A850418317"</f>
        <v>A850418317</v>
      </c>
      <c r="I406" s="1" t="str">
        <f>"1507.00"</f>
        <v>1507.00</v>
      </c>
      <c r="J406" s="1" t="str">
        <f t="shared" ref="J406:J436" si="608">"5.00"</f>
        <v>5.00</v>
      </c>
      <c r="K406" s="1" t="str">
        <f t="shared" si="599"/>
        <v>0.00</v>
      </c>
      <c r="L406" s="1" t="str">
        <f t="shared" ref="L406:L410" si="609">"0.03"</f>
        <v>0.03</v>
      </c>
      <c r="M406" s="1" t="str">
        <f t="shared" si="595"/>
        <v>0.00</v>
      </c>
      <c r="N406" s="1" t="str">
        <f t="shared" si="600"/>
        <v>证券买入</v>
      </c>
    </row>
    <row r="407" spans="1:14">
      <c r="A407" s="1" t="str">
        <f t="shared" si="603"/>
        <v>20171208</v>
      </c>
      <c r="B407" s="1" t="str">
        <f>"10:02:22"</f>
        <v>10:02:22</v>
      </c>
      <c r="C407" s="1" t="str">
        <f t="shared" si="604"/>
        <v>600460</v>
      </c>
      <c r="D407" s="1" t="str">
        <f t="shared" si="605"/>
        <v>士兰微</v>
      </c>
      <c r="E407" s="1" t="str">
        <f t="shared" si="598"/>
        <v>买入</v>
      </c>
      <c r="F407" s="1" t="str">
        <f>"15.030"</f>
        <v>15.030</v>
      </c>
      <c r="G407" s="1" t="str">
        <f t="shared" si="606"/>
        <v>100.00</v>
      </c>
      <c r="H407" s="1" t="str">
        <f t="shared" si="607"/>
        <v>A850418317</v>
      </c>
      <c r="I407" s="1" t="str">
        <f>"1503.00"</f>
        <v>1503.00</v>
      </c>
      <c r="J407" s="1" t="str">
        <f t="shared" si="608"/>
        <v>5.00</v>
      </c>
      <c r="K407" s="1" t="str">
        <f t="shared" si="599"/>
        <v>0.00</v>
      </c>
      <c r="L407" s="1" t="str">
        <f t="shared" si="609"/>
        <v>0.03</v>
      </c>
      <c r="M407" s="1" t="str">
        <f t="shared" si="595"/>
        <v>0.00</v>
      </c>
      <c r="N407" s="1" t="str">
        <f t="shared" si="600"/>
        <v>证券买入</v>
      </c>
    </row>
    <row r="408" spans="1:14">
      <c r="A408" s="1" t="str">
        <f t="shared" si="603"/>
        <v>20171208</v>
      </c>
      <c r="B408" s="1" t="str">
        <f>"10:03:30"</f>
        <v>10:03:30</v>
      </c>
      <c r="C408" s="1" t="str">
        <f t="shared" si="604"/>
        <v>600460</v>
      </c>
      <c r="D408" s="1" t="str">
        <f t="shared" si="605"/>
        <v>士兰微</v>
      </c>
      <c r="E408" s="1" t="str">
        <f>"卖出"</f>
        <v>卖出</v>
      </c>
      <c r="F408" s="1" t="str">
        <f>"15.120"</f>
        <v>15.120</v>
      </c>
      <c r="G408" s="1" t="str">
        <f>"-300.00"</f>
        <v>-300.00</v>
      </c>
      <c r="H408" s="1" t="str">
        <f t="shared" si="607"/>
        <v>A850418317</v>
      </c>
      <c r="I408" s="1" t="str">
        <f>"4536.00"</f>
        <v>4536.00</v>
      </c>
      <c r="J408" s="1" t="str">
        <f t="shared" si="608"/>
        <v>5.00</v>
      </c>
      <c r="K408" s="1" t="str">
        <f>"4.54"</f>
        <v>4.54</v>
      </c>
      <c r="L408" s="1" t="str">
        <f>"0.09"</f>
        <v>0.09</v>
      </c>
      <c r="M408" s="1" t="str">
        <f t="shared" si="595"/>
        <v>0.00</v>
      </c>
      <c r="N408" s="1" t="str">
        <f>"证券卖出"</f>
        <v>证券卖出</v>
      </c>
    </row>
    <row r="409" spans="1:14">
      <c r="A409" s="1" t="str">
        <f t="shared" si="603"/>
        <v>20171208</v>
      </c>
      <c r="B409" s="1" t="str">
        <f>"10:05:55"</f>
        <v>10:05:55</v>
      </c>
      <c r="C409" s="1" t="str">
        <f t="shared" si="604"/>
        <v>600460</v>
      </c>
      <c r="D409" s="1" t="str">
        <f t="shared" si="605"/>
        <v>士兰微</v>
      </c>
      <c r="E409" s="1" t="str">
        <f t="shared" ref="E409:E416" si="610">"买入"</f>
        <v>买入</v>
      </c>
      <c r="F409" s="1" t="str">
        <f>"14.990"</f>
        <v>14.990</v>
      </c>
      <c r="G409" s="1" t="str">
        <f t="shared" si="606"/>
        <v>100.00</v>
      </c>
      <c r="H409" s="1" t="str">
        <f t="shared" si="607"/>
        <v>A850418317</v>
      </c>
      <c r="I409" s="1" t="str">
        <f>"1499.00"</f>
        <v>1499.00</v>
      </c>
      <c r="J409" s="1" t="str">
        <f t="shared" si="608"/>
        <v>5.00</v>
      </c>
      <c r="K409" s="1" t="str">
        <f t="shared" ref="K409:K416" si="611">"0.00"</f>
        <v>0.00</v>
      </c>
      <c r="L409" s="1" t="str">
        <f t="shared" si="609"/>
        <v>0.03</v>
      </c>
      <c r="M409" s="1" t="str">
        <f t="shared" si="595"/>
        <v>0.00</v>
      </c>
      <c r="N409" s="1" t="str">
        <f t="shared" ref="N409:N416" si="612">"证券买入"</f>
        <v>证券买入</v>
      </c>
    </row>
    <row r="410" spans="1:14">
      <c r="A410" s="1" t="str">
        <f t="shared" si="603"/>
        <v>20171208</v>
      </c>
      <c r="B410" s="1" t="str">
        <f>"11:18:00"</f>
        <v>11:18:00</v>
      </c>
      <c r="C410" s="1" t="str">
        <f t="shared" si="604"/>
        <v>600460</v>
      </c>
      <c r="D410" s="1" t="str">
        <f t="shared" si="605"/>
        <v>士兰微</v>
      </c>
      <c r="E410" s="1" t="str">
        <f t="shared" si="610"/>
        <v>买入</v>
      </c>
      <c r="F410" s="1" t="str">
        <f>"14.880"</f>
        <v>14.880</v>
      </c>
      <c r="G410" s="1" t="str">
        <f t="shared" si="606"/>
        <v>100.00</v>
      </c>
      <c r="H410" s="1" t="str">
        <f t="shared" si="607"/>
        <v>A850418317</v>
      </c>
      <c r="I410" s="1" t="str">
        <f>"1488.00"</f>
        <v>1488.00</v>
      </c>
      <c r="J410" s="1" t="str">
        <f t="shared" si="608"/>
        <v>5.00</v>
      </c>
      <c r="K410" s="1" t="str">
        <f t="shared" si="611"/>
        <v>0.00</v>
      </c>
      <c r="L410" s="1" t="str">
        <f t="shared" si="609"/>
        <v>0.03</v>
      </c>
      <c r="M410" s="1" t="str">
        <f t="shared" si="595"/>
        <v>0.00</v>
      </c>
      <c r="N410" s="1" t="str">
        <f t="shared" si="612"/>
        <v>证券买入</v>
      </c>
    </row>
    <row r="411" spans="1:14">
      <c r="A411" s="1" t="str">
        <f t="shared" si="603"/>
        <v>20171208</v>
      </c>
      <c r="B411" s="1" t="str">
        <f>"09:54:19"</f>
        <v>09:54:19</v>
      </c>
      <c r="C411" s="1" t="str">
        <f>"000830"</f>
        <v>000830</v>
      </c>
      <c r="D411" s="1" t="str">
        <f>"鲁西化工"</f>
        <v>鲁西化工</v>
      </c>
      <c r="E411" s="1" t="str">
        <f>"卖出"</f>
        <v>卖出</v>
      </c>
      <c r="F411" s="1" t="str">
        <f>"15.380"</f>
        <v>15.380</v>
      </c>
      <c r="G411" s="1" t="str">
        <f>"-200.00"</f>
        <v>-200.00</v>
      </c>
      <c r="H411" s="1" t="str">
        <f t="shared" ref="H411:H416" si="613">"0104152129"</f>
        <v>0104152129</v>
      </c>
      <c r="I411" s="1" t="str">
        <f>"3076.00"</f>
        <v>3076.00</v>
      </c>
      <c r="J411" s="1" t="str">
        <f t="shared" si="608"/>
        <v>5.00</v>
      </c>
      <c r="K411" s="1" t="str">
        <f>"3.08"</f>
        <v>3.08</v>
      </c>
      <c r="L411" s="1" t="str">
        <f>"0.06"</f>
        <v>0.06</v>
      </c>
      <c r="M411" s="1" t="str">
        <f t="shared" si="595"/>
        <v>0.00</v>
      </c>
      <c r="N411" s="1" t="str">
        <f>"证券卖出"</f>
        <v>证券卖出</v>
      </c>
    </row>
    <row r="412" spans="1:14">
      <c r="A412" s="1" t="str">
        <f t="shared" si="603"/>
        <v>20171208</v>
      </c>
      <c r="B412" s="1" t="str">
        <f>"09:59:10"</f>
        <v>09:59:10</v>
      </c>
      <c r="C412" s="1" t="str">
        <f>"300223"</f>
        <v>300223</v>
      </c>
      <c r="D412" s="1" t="str">
        <f>"北京君正"</f>
        <v>北京君正</v>
      </c>
      <c r="E412" s="1" t="str">
        <f t="shared" si="610"/>
        <v>买入</v>
      </c>
      <c r="F412" s="1" t="str">
        <f>"40.030"</f>
        <v>40.030</v>
      </c>
      <c r="G412" s="1" t="str">
        <f t="shared" ref="G412:G416" si="614">"100.00"</f>
        <v>100.00</v>
      </c>
      <c r="H412" s="1" t="str">
        <f t="shared" si="613"/>
        <v>0104152129</v>
      </c>
      <c r="I412" s="1" t="str">
        <f>"4003.00"</f>
        <v>4003.00</v>
      </c>
      <c r="J412" s="1" t="str">
        <f t="shared" si="608"/>
        <v>5.00</v>
      </c>
      <c r="K412" s="1" t="str">
        <f t="shared" si="611"/>
        <v>0.00</v>
      </c>
      <c r="L412" s="1" t="str">
        <f>"0.08"</f>
        <v>0.08</v>
      </c>
      <c r="M412" s="1" t="str">
        <f t="shared" si="595"/>
        <v>0.00</v>
      </c>
      <c r="N412" s="1" t="str">
        <f t="shared" si="612"/>
        <v>证券买入</v>
      </c>
    </row>
    <row r="413" spans="1:14">
      <c r="A413" s="1" t="str">
        <f t="shared" si="603"/>
        <v>20171208</v>
      </c>
      <c r="B413" s="1" t="str">
        <f>"10:46:34"</f>
        <v>10:46:34</v>
      </c>
      <c r="C413" s="1" t="str">
        <f>"300101"</f>
        <v>300101</v>
      </c>
      <c r="D413" s="1" t="str">
        <f>"振芯科技"</f>
        <v>振芯科技</v>
      </c>
      <c r="E413" s="1" t="str">
        <f t="shared" si="610"/>
        <v>买入</v>
      </c>
      <c r="F413" s="1" t="str">
        <f>"16.570"</f>
        <v>16.570</v>
      </c>
      <c r="G413" s="1" t="str">
        <f t="shared" si="614"/>
        <v>100.00</v>
      </c>
      <c r="H413" s="1" t="str">
        <f t="shared" si="613"/>
        <v>0104152129</v>
      </c>
      <c r="I413" s="1" t="str">
        <f>"1657.00"</f>
        <v>1657.00</v>
      </c>
      <c r="J413" s="1" t="str">
        <f t="shared" si="608"/>
        <v>5.00</v>
      </c>
      <c r="K413" s="1" t="str">
        <f t="shared" si="611"/>
        <v>0.00</v>
      </c>
      <c r="L413" s="1" t="str">
        <f t="shared" ref="L413:L415" si="615">"0.03"</f>
        <v>0.03</v>
      </c>
      <c r="M413" s="1" t="str">
        <f t="shared" si="595"/>
        <v>0.00</v>
      </c>
      <c r="N413" s="1" t="str">
        <f t="shared" si="612"/>
        <v>证券买入</v>
      </c>
    </row>
    <row r="414" spans="1:14">
      <c r="A414" s="1" t="str">
        <f t="shared" si="603"/>
        <v>20171208</v>
      </c>
      <c r="B414" s="1" t="str">
        <f>"13:01:02"</f>
        <v>13:01:02</v>
      </c>
      <c r="C414" s="1" t="str">
        <f t="shared" ref="C414:C420" si="616">"000759"</f>
        <v>000759</v>
      </c>
      <c r="D414" s="1" t="str">
        <f t="shared" ref="D414:D420" si="617">"中百集团"</f>
        <v>中百集团</v>
      </c>
      <c r="E414" s="1" t="str">
        <f t="shared" si="610"/>
        <v>买入</v>
      </c>
      <c r="F414" s="1" t="str">
        <f>"8.720"</f>
        <v>8.720</v>
      </c>
      <c r="G414" s="1" t="str">
        <f t="shared" ref="G414:G419" si="618">"200.00"</f>
        <v>200.00</v>
      </c>
      <c r="H414" s="1" t="str">
        <f t="shared" si="613"/>
        <v>0104152129</v>
      </c>
      <c r="I414" s="1" t="str">
        <f>"1744.00"</f>
        <v>1744.00</v>
      </c>
      <c r="J414" s="1" t="str">
        <f t="shared" si="608"/>
        <v>5.00</v>
      </c>
      <c r="K414" s="1" t="str">
        <f t="shared" si="611"/>
        <v>0.00</v>
      </c>
      <c r="L414" s="1" t="str">
        <f t="shared" si="615"/>
        <v>0.03</v>
      </c>
      <c r="M414" s="1" t="str">
        <f t="shared" si="595"/>
        <v>0.00</v>
      </c>
      <c r="N414" s="1" t="str">
        <f t="shared" si="612"/>
        <v>证券买入</v>
      </c>
    </row>
    <row r="415" spans="1:14">
      <c r="A415" s="1" t="str">
        <f t="shared" si="603"/>
        <v>20171208</v>
      </c>
      <c r="B415" s="1" t="str">
        <f>"13:01:33"</f>
        <v>13:01:33</v>
      </c>
      <c r="C415" s="1" t="str">
        <f t="shared" si="616"/>
        <v>000759</v>
      </c>
      <c r="D415" s="1" t="str">
        <f t="shared" si="617"/>
        <v>中百集团</v>
      </c>
      <c r="E415" s="1" t="str">
        <f t="shared" si="610"/>
        <v>买入</v>
      </c>
      <c r="F415" s="1" t="str">
        <f>"8.720"</f>
        <v>8.720</v>
      </c>
      <c r="G415" s="1" t="str">
        <f t="shared" si="618"/>
        <v>200.00</v>
      </c>
      <c r="H415" s="1" t="str">
        <f t="shared" si="613"/>
        <v>0104152129</v>
      </c>
      <c r="I415" s="1" t="str">
        <f>"1744.00"</f>
        <v>1744.00</v>
      </c>
      <c r="J415" s="1" t="str">
        <f t="shared" si="608"/>
        <v>5.00</v>
      </c>
      <c r="K415" s="1" t="str">
        <f t="shared" si="611"/>
        <v>0.00</v>
      </c>
      <c r="L415" s="1" t="str">
        <f t="shared" si="615"/>
        <v>0.03</v>
      </c>
      <c r="M415" s="1" t="str">
        <f t="shared" si="595"/>
        <v>0.00</v>
      </c>
      <c r="N415" s="1" t="str">
        <f t="shared" si="612"/>
        <v>证券买入</v>
      </c>
    </row>
    <row r="416" spans="1:14">
      <c r="A416" s="1" t="str">
        <f t="shared" si="603"/>
        <v>20171208</v>
      </c>
      <c r="B416" s="1" t="str">
        <f>"13:38:17"</f>
        <v>13:38:17</v>
      </c>
      <c r="C416" s="1" t="str">
        <f>"300176"</f>
        <v>300176</v>
      </c>
      <c r="D416" s="1" t="str">
        <f>"鸿特精密"</f>
        <v>鸿特精密</v>
      </c>
      <c r="E416" s="1" t="str">
        <f t="shared" si="610"/>
        <v>买入</v>
      </c>
      <c r="F416" s="1" t="str">
        <f>"125.450"</f>
        <v>125.450</v>
      </c>
      <c r="G416" s="1" t="str">
        <f t="shared" si="614"/>
        <v>100.00</v>
      </c>
      <c r="H416" s="1" t="str">
        <f t="shared" si="613"/>
        <v>0104152129</v>
      </c>
      <c r="I416" s="1" t="str">
        <f>"12545.00"</f>
        <v>12545.00</v>
      </c>
      <c r="J416" s="1" t="str">
        <f t="shared" si="608"/>
        <v>5.00</v>
      </c>
      <c r="K416" s="1" t="str">
        <f t="shared" si="611"/>
        <v>0.00</v>
      </c>
      <c r="L416" s="1" t="str">
        <f>"0.25"</f>
        <v>0.25</v>
      </c>
      <c r="M416" s="1" t="str">
        <f t="shared" si="595"/>
        <v>0.00</v>
      </c>
      <c r="N416" s="1" t="str">
        <f t="shared" si="612"/>
        <v>证券买入</v>
      </c>
    </row>
    <row r="417" spans="1:14">
      <c r="A417" s="1" t="str">
        <f t="shared" ref="A417:A420" si="619">"20171211"</f>
        <v>20171211</v>
      </c>
      <c r="B417" s="1" t="str">
        <f>"09:35:36"</f>
        <v>09:35:36</v>
      </c>
      <c r="C417" s="1" t="str">
        <f>"600137"</f>
        <v>600137</v>
      </c>
      <c r="D417" s="1" t="str">
        <f>"浪莎股份"</f>
        <v>浪莎股份</v>
      </c>
      <c r="E417" s="1" t="str">
        <f>"卖出"</f>
        <v>卖出</v>
      </c>
      <c r="F417" s="1" t="str">
        <f>"29.740"</f>
        <v>29.740</v>
      </c>
      <c r="G417" s="1" t="str">
        <f>"-100.00"</f>
        <v>-100.00</v>
      </c>
      <c r="H417" s="1" t="str">
        <f t="shared" ref="H417:H422" si="620">"A850418317"</f>
        <v>A850418317</v>
      </c>
      <c r="I417" s="1" t="str">
        <f>"2974.00"</f>
        <v>2974.00</v>
      </c>
      <c r="J417" s="1" t="str">
        <f t="shared" si="608"/>
        <v>5.00</v>
      </c>
      <c r="K417" s="1" t="str">
        <f>"2.97"</f>
        <v>2.97</v>
      </c>
      <c r="L417" s="1" t="str">
        <f>"0.06"</f>
        <v>0.06</v>
      </c>
      <c r="M417" s="1" t="str">
        <f t="shared" si="595"/>
        <v>0.00</v>
      </c>
      <c r="N417" s="1" t="str">
        <f>"证券卖出"</f>
        <v>证券卖出</v>
      </c>
    </row>
    <row r="418" spans="1:14">
      <c r="A418" s="1" t="str">
        <f t="shared" si="619"/>
        <v>20171211</v>
      </c>
      <c r="B418" s="1" t="str">
        <f>"09:35:21"</f>
        <v>09:35:21</v>
      </c>
      <c r="C418" s="1" t="str">
        <f t="shared" si="616"/>
        <v>000759</v>
      </c>
      <c r="D418" s="1" t="str">
        <f t="shared" si="617"/>
        <v>中百集团</v>
      </c>
      <c r="E418" s="1" t="str">
        <f t="shared" ref="E418:E422" si="621">"买入"</f>
        <v>买入</v>
      </c>
      <c r="F418" s="1" t="str">
        <f>"9.160"</f>
        <v>9.160</v>
      </c>
      <c r="G418" s="1" t="str">
        <f t="shared" ref="G418:G422" si="622">"100.00"</f>
        <v>100.00</v>
      </c>
      <c r="H418" s="1" t="str">
        <f t="shared" ref="H418:H420" si="623">"0104152129"</f>
        <v>0104152129</v>
      </c>
      <c r="I418" s="1" t="str">
        <f>"916.00"</f>
        <v>916.00</v>
      </c>
      <c r="J418" s="1" t="str">
        <f t="shared" si="608"/>
        <v>5.00</v>
      </c>
      <c r="K418" s="1" t="str">
        <f t="shared" ref="K418:K422" si="624">"0.00"</f>
        <v>0.00</v>
      </c>
      <c r="L418" s="1" t="str">
        <f t="shared" ref="L418:L422" si="625">"0.02"</f>
        <v>0.02</v>
      </c>
      <c r="M418" s="1" t="str">
        <f t="shared" si="595"/>
        <v>0.00</v>
      </c>
      <c r="N418" s="1" t="str">
        <f t="shared" ref="N418:N422" si="626">"证券买入"</f>
        <v>证券买入</v>
      </c>
    </row>
    <row r="419" spans="1:14">
      <c r="A419" s="1" t="str">
        <f t="shared" si="619"/>
        <v>20171211</v>
      </c>
      <c r="B419" s="1" t="str">
        <f>"09:37:46"</f>
        <v>09:37:46</v>
      </c>
      <c r="C419" s="1" t="str">
        <f t="shared" si="616"/>
        <v>000759</v>
      </c>
      <c r="D419" s="1" t="str">
        <f t="shared" si="617"/>
        <v>中百集团</v>
      </c>
      <c r="E419" s="1" t="str">
        <f t="shared" si="621"/>
        <v>买入</v>
      </c>
      <c r="F419" s="1" t="str">
        <f>"9.090"</f>
        <v>9.090</v>
      </c>
      <c r="G419" s="1" t="str">
        <f t="shared" si="618"/>
        <v>200.00</v>
      </c>
      <c r="H419" s="1" t="str">
        <f t="shared" si="623"/>
        <v>0104152129</v>
      </c>
      <c r="I419" s="1" t="str">
        <f>"1818.00"</f>
        <v>1818.00</v>
      </c>
      <c r="J419" s="1" t="str">
        <f t="shared" si="608"/>
        <v>5.00</v>
      </c>
      <c r="K419" s="1" t="str">
        <f t="shared" si="624"/>
        <v>0.00</v>
      </c>
      <c r="L419" s="1" t="str">
        <f>"0.04"</f>
        <v>0.04</v>
      </c>
      <c r="M419" s="1" t="str">
        <f t="shared" si="595"/>
        <v>0.00</v>
      </c>
      <c r="N419" s="1" t="str">
        <f t="shared" si="626"/>
        <v>证券买入</v>
      </c>
    </row>
    <row r="420" spans="1:14">
      <c r="A420" s="1" t="str">
        <f t="shared" si="619"/>
        <v>20171211</v>
      </c>
      <c r="B420" s="1" t="str">
        <f>"09:39:17"</f>
        <v>09:39:17</v>
      </c>
      <c r="C420" s="1" t="str">
        <f t="shared" si="616"/>
        <v>000759</v>
      </c>
      <c r="D420" s="1" t="str">
        <f t="shared" si="617"/>
        <v>中百集团</v>
      </c>
      <c r="E420" s="1" t="str">
        <f t="shared" si="621"/>
        <v>买入</v>
      </c>
      <c r="F420" s="1" t="str">
        <f>"9.070"</f>
        <v>9.070</v>
      </c>
      <c r="G420" s="1" t="str">
        <f t="shared" si="622"/>
        <v>100.00</v>
      </c>
      <c r="H420" s="1" t="str">
        <f t="shared" si="623"/>
        <v>0104152129</v>
      </c>
      <c r="I420" s="1" t="str">
        <f>"907.00"</f>
        <v>907.00</v>
      </c>
      <c r="J420" s="1" t="str">
        <f t="shared" si="608"/>
        <v>5.00</v>
      </c>
      <c r="K420" s="1" t="str">
        <f t="shared" si="624"/>
        <v>0.00</v>
      </c>
      <c r="L420" s="1" t="str">
        <f t="shared" si="625"/>
        <v>0.02</v>
      </c>
      <c r="M420" s="1" t="str">
        <f t="shared" si="595"/>
        <v>0.00</v>
      </c>
      <c r="N420" s="1" t="str">
        <f t="shared" si="626"/>
        <v>证券买入</v>
      </c>
    </row>
    <row r="421" spans="1:14">
      <c r="A421" s="1" t="str">
        <f t="shared" ref="A421:A426" si="627">"20171212"</f>
        <v>20171212</v>
      </c>
      <c r="B421" s="1" t="str">
        <f>"09:41:33"</f>
        <v>09:41:33</v>
      </c>
      <c r="C421" s="1" t="str">
        <f>"600460"</f>
        <v>600460</v>
      </c>
      <c r="D421" s="1" t="str">
        <f>"士兰微"</f>
        <v>士兰微</v>
      </c>
      <c r="E421" s="1" t="str">
        <f t="shared" si="621"/>
        <v>买入</v>
      </c>
      <c r="F421" s="1" t="str">
        <f>"14.680"</f>
        <v>14.680</v>
      </c>
      <c r="G421" s="1" t="str">
        <f t="shared" si="622"/>
        <v>100.00</v>
      </c>
      <c r="H421" s="1" t="str">
        <f t="shared" si="620"/>
        <v>A850418317</v>
      </c>
      <c r="I421" s="1" t="str">
        <f>"1468.00"</f>
        <v>1468.00</v>
      </c>
      <c r="J421" s="1" t="str">
        <f t="shared" si="608"/>
        <v>5.00</v>
      </c>
      <c r="K421" s="1" t="str">
        <f t="shared" si="624"/>
        <v>0.00</v>
      </c>
      <c r="L421" s="1" t="str">
        <f>"0.03"</f>
        <v>0.03</v>
      </c>
      <c r="M421" s="1" t="str">
        <f t="shared" si="595"/>
        <v>0.00</v>
      </c>
      <c r="N421" s="1" t="str">
        <f t="shared" si="626"/>
        <v>证券买入</v>
      </c>
    </row>
    <row r="422" spans="1:14">
      <c r="A422" s="1" t="str">
        <f t="shared" si="627"/>
        <v>20171212</v>
      </c>
      <c r="B422" s="1" t="str">
        <f>"09:44:26"</f>
        <v>09:44:26</v>
      </c>
      <c r="C422" s="1" t="str">
        <f>"600732"</f>
        <v>600732</v>
      </c>
      <c r="D422" s="1" t="str">
        <f>"ST新梅"</f>
        <v>ST新梅</v>
      </c>
      <c r="E422" s="1" t="str">
        <f t="shared" si="621"/>
        <v>买入</v>
      </c>
      <c r="F422" s="1" t="str">
        <f>"7.720"</f>
        <v>7.720</v>
      </c>
      <c r="G422" s="1" t="str">
        <f t="shared" si="622"/>
        <v>100.00</v>
      </c>
      <c r="H422" s="1" t="str">
        <f t="shared" si="620"/>
        <v>A850418317</v>
      </c>
      <c r="I422" s="1" t="str">
        <f>"772.00"</f>
        <v>772.00</v>
      </c>
      <c r="J422" s="1" t="str">
        <f t="shared" si="608"/>
        <v>5.00</v>
      </c>
      <c r="K422" s="1" t="str">
        <f t="shared" si="624"/>
        <v>0.00</v>
      </c>
      <c r="L422" s="1" t="str">
        <f t="shared" si="625"/>
        <v>0.02</v>
      </c>
      <c r="M422" s="1" t="str">
        <f t="shared" si="595"/>
        <v>0.00</v>
      </c>
      <c r="N422" s="1" t="str">
        <f t="shared" si="626"/>
        <v>证券买入</v>
      </c>
    </row>
    <row r="423" spans="1:14">
      <c r="A423" s="1" t="str">
        <f t="shared" si="627"/>
        <v>20171212</v>
      </c>
      <c r="B423" s="1" t="str">
        <f>"09:36:20"</f>
        <v>09:36:20</v>
      </c>
      <c r="C423" s="1" t="str">
        <f t="shared" ref="C423:C426" si="628">"000759"</f>
        <v>000759</v>
      </c>
      <c r="D423" s="1" t="str">
        <f t="shared" ref="D423:D426" si="629">"中百集团"</f>
        <v>中百集团</v>
      </c>
      <c r="E423" s="1" t="str">
        <f>"卖出"</f>
        <v>卖出</v>
      </c>
      <c r="F423" s="1" t="str">
        <f>"9.320"</f>
        <v>9.320</v>
      </c>
      <c r="G423" s="1" t="str">
        <f>"-400.00"</f>
        <v>-400.00</v>
      </c>
      <c r="H423" s="1" t="str">
        <f t="shared" ref="H423:H426" si="630">"0104152129"</f>
        <v>0104152129</v>
      </c>
      <c r="I423" s="1" t="str">
        <f>"3728.00"</f>
        <v>3728.00</v>
      </c>
      <c r="J423" s="1" t="str">
        <f t="shared" si="608"/>
        <v>5.00</v>
      </c>
      <c r="K423" s="1" t="str">
        <f>"3.73"</f>
        <v>3.73</v>
      </c>
      <c r="L423" s="1" t="str">
        <f>"0.07"</f>
        <v>0.07</v>
      </c>
      <c r="M423" s="1" t="str">
        <f t="shared" si="595"/>
        <v>0.00</v>
      </c>
      <c r="N423" s="1" t="str">
        <f>"证券卖出"</f>
        <v>证券卖出</v>
      </c>
    </row>
    <row r="424" spans="1:14">
      <c r="A424" s="1" t="str">
        <f t="shared" si="627"/>
        <v>20171212</v>
      </c>
      <c r="B424" s="1" t="str">
        <f>"09:37:20"</f>
        <v>09:37:20</v>
      </c>
      <c r="C424" s="1" t="str">
        <f t="shared" si="628"/>
        <v>000759</v>
      </c>
      <c r="D424" s="1" t="str">
        <f t="shared" si="629"/>
        <v>中百集团</v>
      </c>
      <c r="E424" s="1" t="str">
        <f>"卖出"</f>
        <v>卖出</v>
      </c>
      <c r="F424" s="1" t="str">
        <f>"9.250"</f>
        <v>9.250</v>
      </c>
      <c r="G424" s="1" t="str">
        <f>"-200.00"</f>
        <v>-200.00</v>
      </c>
      <c r="H424" s="1" t="str">
        <f t="shared" si="630"/>
        <v>0104152129</v>
      </c>
      <c r="I424" s="1" t="str">
        <f>"1850.00"</f>
        <v>1850.00</v>
      </c>
      <c r="J424" s="1" t="str">
        <f t="shared" si="608"/>
        <v>5.00</v>
      </c>
      <c r="K424" s="1" t="str">
        <f>"1.85"</f>
        <v>1.85</v>
      </c>
      <c r="L424" s="1" t="str">
        <f t="shared" ref="L424:L428" si="631">"0.04"</f>
        <v>0.04</v>
      </c>
      <c r="M424" s="1" t="str">
        <f t="shared" si="595"/>
        <v>0.00</v>
      </c>
      <c r="N424" s="1" t="str">
        <f>"证券卖出"</f>
        <v>证券卖出</v>
      </c>
    </row>
    <row r="425" spans="1:14">
      <c r="A425" s="1" t="str">
        <f t="shared" si="627"/>
        <v>20171212</v>
      </c>
      <c r="B425" s="1" t="str">
        <f>"09:37:54"</f>
        <v>09:37:54</v>
      </c>
      <c r="C425" s="1" t="str">
        <f>"300236"</f>
        <v>300236</v>
      </c>
      <c r="D425" s="1" t="str">
        <f>"上海新阳"</f>
        <v>上海新阳</v>
      </c>
      <c r="E425" s="1" t="str">
        <f t="shared" ref="E425:E428" si="632">"买入"</f>
        <v>买入</v>
      </c>
      <c r="F425" s="1" t="str">
        <f>"35.680"</f>
        <v>35.680</v>
      </c>
      <c r="G425" s="1" t="str">
        <f>"100.00"</f>
        <v>100.00</v>
      </c>
      <c r="H425" s="1" t="str">
        <f t="shared" si="630"/>
        <v>0104152129</v>
      </c>
      <c r="I425" s="1" t="str">
        <f>"3568.00"</f>
        <v>3568.00</v>
      </c>
      <c r="J425" s="1" t="str">
        <f t="shared" si="608"/>
        <v>5.00</v>
      </c>
      <c r="K425" s="1" t="str">
        <f t="shared" ref="K425:K428" si="633">"0.00"</f>
        <v>0.00</v>
      </c>
      <c r="L425" s="1" t="str">
        <f>"0.07"</f>
        <v>0.07</v>
      </c>
      <c r="M425" s="1" t="str">
        <f t="shared" si="595"/>
        <v>0.00</v>
      </c>
      <c r="N425" s="1" t="str">
        <f t="shared" ref="N425:N428" si="634">"证券买入"</f>
        <v>证券买入</v>
      </c>
    </row>
    <row r="426" spans="1:14">
      <c r="A426" s="1" t="str">
        <f t="shared" si="627"/>
        <v>20171212</v>
      </c>
      <c r="B426" s="1" t="str">
        <f>"09:51:26"</f>
        <v>09:51:26</v>
      </c>
      <c r="C426" s="1" t="str">
        <f t="shared" si="628"/>
        <v>000759</v>
      </c>
      <c r="D426" s="1" t="str">
        <f t="shared" si="629"/>
        <v>中百集团</v>
      </c>
      <c r="E426" s="1" t="str">
        <f t="shared" si="632"/>
        <v>买入</v>
      </c>
      <c r="F426" s="1" t="str">
        <f>"9.360"</f>
        <v>9.360</v>
      </c>
      <c r="G426" s="1" t="str">
        <f t="shared" ref="G426:G428" si="635">"200.00"</f>
        <v>200.00</v>
      </c>
      <c r="H426" s="1" t="str">
        <f t="shared" si="630"/>
        <v>0104152129</v>
      </c>
      <c r="I426" s="1" t="str">
        <f>"1872.00"</f>
        <v>1872.00</v>
      </c>
      <c r="J426" s="1" t="str">
        <f t="shared" si="608"/>
        <v>5.00</v>
      </c>
      <c r="K426" s="1" t="str">
        <f t="shared" si="633"/>
        <v>0.00</v>
      </c>
      <c r="L426" s="1" t="str">
        <f t="shared" si="631"/>
        <v>0.04</v>
      </c>
      <c r="M426" s="1" t="str">
        <f t="shared" si="595"/>
        <v>0.00</v>
      </c>
      <c r="N426" s="1" t="str">
        <f t="shared" si="634"/>
        <v>证券买入</v>
      </c>
    </row>
    <row r="427" spans="1:14">
      <c r="A427" s="1" t="str">
        <f t="shared" ref="A427:A435" si="636">"20171213"</f>
        <v>20171213</v>
      </c>
      <c r="B427" s="1" t="str">
        <f>"09:37:24"</f>
        <v>09:37:24</v>
      </c>
      <c r="C427" s="1" t="str">
        <f>"600500"</f>
        <v>600500</v>
      </c>
      <c r="D427" s="1" t="str">
        <f>"中化国际"</f>
        <v>中化国际</v>
      </c>
      <c r="E427" s="1" t="str">
        <f t="shared" si="632"/>
        <v>买入</v>
      </c>
      <c r="F427" s="1" t="str">
        <f>"8.980"</f>
        <v>8.980</v>
      </c>
      <c r="G427" s="1" t="str">
        <f t="shared" si="635"/>
        <v>200.00</v>
      </c>
      <c r="H427" s="1" t="str">
        <f t="shared" ref="H427:H432" si="637">"A850418317"</f>
        <v>A850418317</v>
      </c>
      <c r="I427" s="1" t="str">
        <f>"1796.00"</f>
        <v>1796.00</v>
      </c>
      <c r="J427" s="1" t="str">
        <f t="shared" si="608"/>
        <v>5.00</v>
      </c>
      <c r="K427" s="1" t="str">
        <f t="shared" si="633"/>
        <v>0.00</v>
      </c>
      <c r="L427" s="1" t="str">
        <f t="shared" si="631"/>
        <v>0.04</v>
      </c>
      <c r="M427" s="1" t="str">
        <f t="shared" si="595"/>
        <v>0.00</v>
      </c>
      <c r="N427" s="1" t="str">
        <f t="shared" si="634"/>
        <v>证券买入</v>
      </c>
    </row>
    <row r="428" spans="1:14">
      <c r="A428" s="1" t="str">
        <f t="shared" si="636"/>
        <v>20171213</v>
      </c>
      <c r="B428" s="1" t="str">
        <f>"09:38:56"</f>
        <v>09:38:56</v>
      </c>
      <c r="C428" s="1" t="str">
        <f>"600500"</f>
        <v>600500</v>
      </c>
      <c r="D428" s="1" t="str">
        <f>"中化国际"</f>
        <v>中化国际</v>
      </c>
      <c r="E428" s="1" t="str">
        <f t="shared" si="632"/>
        <v>买入</v>
      </c>
      <c r="F428" s="1" t="str">
        <f>"9.070"</f>
        <v>9.070</v>
      </c>
      <c r="G428" s="1" t="str">
        <f t="shared" si="635"/>
        <v>200.00</v>
      </c>
      <c r="H428" s="1" t="str">
        <f t="shared" si="637"/>
        <v>A850418317</v>
      </c>
      <c r="I428" s="1" t="str">
        <f>"1814.00"</f>
        <v>1814.00</v>
      </c>
      <c r="J428" s="1" t="str">
        <f t="shared" si="608"/>
        <v>5.00</v>
      </c>
      <c r="K428" s="1" t="str">
        <f t="shared" si="633"/>
        <v>0.00</v>
      </c>
      <c r="L428" s="1" t="str">
        <f t="shared" si="631"/>
        <v>0.04</v>
      </c>
      <c r="M428" s="1" t="str">
        <f t="shared" si="595"/>
        <v>0.00</v>
      </c>
      <c r="N428" s="1" t="str">
        <f t="shared" si="634"/>
        <v>证券买入</v>
      </c>
    </row>
    <row r="429" spans="1:14">
      <c r="A429" s="1" t="str">
        <f t="shared" si="636"/>
        <v>20171213</v>
      </c>
      <c r="B429" s="1" t="str">
        <f>"09:57:46"</f>
        <v>09:57:46</v>
      </c>
      <c r="C429" s="1" t="str">
        <f>"600206"</f>
        <v>600206</v>
      </c>
      <c r="D429" s="1" t="str">
        <f>"有研新材"</f>
        <v>有研新材</v>
      </c>
      <c r="E429" s="1" t="str">
        <f t="shared" ref="E429:E434" si="638">"卖出"</f>
        <v>卖出</v>
      </c>
      <c r="F429" s="1" t="str">
        <f>"12.860"</f>
        <v>12.860</v>
      </c>
      <c r="G429" s="1" t="str">
        <f t="shared" ref="G429:G433" si="639">"-100.00"</f>
        <v>-100.00</v>
      </c>
      <c r="H429" s="1" t="str">
        <f t="shared" si="637"/>
        <v>A850418317</v>
      </c>
      <c r="I429" s="1" t="str">
        <f>"1286.00"</f>
        <v>1286.00</v>
      </c>
      <c r="J429" s="1" t="str">
        <f t="shared" si="608"/>
        <v>5.00</v>
      </c>
      <c r="K429" s="1" t="str">
        <f>"1.29"</f>
        <v>1.29</v>
      </c>
      <c r="L429" s="1" t="str">
        <f t="shared" ref="L429:L431" si="640">"0.03"</f>
        <v>0.03</v>
      </c>
      <c r="M429" s="1" t="str">
        <f t="shared" si="595"/>
        <v>0.00</v>
      </c>
      <c r="N429" s="1" t="str">
        <f t="shared" ref="N429:N434" si="641">"证券卖出"</f>
        <v>证券卖出</v>
      </c>
    </row>
    <row r="430" spans="1:14">
      <c r="A430" s="1" t="str">
        <f t="shared" si="636"/>
        <v>20171213</v>
      </c>
      <c r="B430" s="1" t="str">
        <f>"10:02:55"</f>
        <v>10:02:55</v>
      </c>
      <c r="C430" s="1" t="str">
        <f>"600460"</f>
        <v>600460</v>
      </c>
      <c r="D430" s="1" t="str">
        <f>"士兰微"</f>
        <v>士兰微</v>
      </c>
      <c r="E430" s="1" t="str">
        <f t="shared" si="638"/>
        <v>卖出</v>
      </c>
      <c r="F430" s="1" t="str">
        <f>"15.170"</f>
        <v>15.170</v>
      </c>
      <c r="G430" s="1" t="str">
        <f t="shared" si="639"/>
        <v>-100.00</v>
      </c>
      <c r="H430" s="1" t="str">
        <f t="shared" si="637"/>
        <v>A850418317</v>
      </c>
      <c r="I430" s="1" t="str">
        <f>"1517.00"</f>
        <v>1517.00</v>
      </c>
      <c r="J430" s="1" t="str">
        <f t="shared" si="608"/>
        <v>5.00</v>
      </c>
      <c r="K430" s="1" t="str">
        <f>"1.52"</f>
        <v>1.52</v>
      </c>
      <c r="L430" s="1" t="str">
        <f t="shared" si="640"/>
        <v>0.03</v>
      </c>
      <c r="M430" s="1" t="str">
        <f t="shared" si="595"/>
        <v>0.00</v>
      </c>
      <c r="N430" s="1" t="str">
        <f t="shared" si="641"/>
        <v>证券卖出</v>
      </c>
    </row>
    <row r="431" spans="1:14">
      <c r="A431" s="1" t="str">
        <f t="shared" si="636"/>
        <v>20171213</v>
      </c>
      <c r="B431" s="1" t="str">
        <f>"13:16:03"</f>
        <v>13:16:03</v>
      </c>
      <c r="C431" s="1" t="str">
        <f>"600171"</f>
        <v>600171</v>
      </c>
      <c r="D431" s="1" t="str">
        <f>"上海贝岭"</f>
        <v>上海贝岭</v>
      </c>
      <c r="E431" s="1" t="str">
        <f t="shared" ref="E431:E438" si="642">"买入"</f>
        <v>买入</v>
      </c>
      <c r="F431" s="1" t="str">
        <f>"16.920"</f>
        <v>16.920</v>
      </c>
      <c r="G431" s="1" t="str">
        <f>"100.00"</f>
        <v>100.00</v>
      </c>
      <c r="H431" s="1" t="str">
        <f t="shared" si="637"/>
        <v>A850418317</v>
      </c>
      <c r="I431" s="1" t="str">
        <f>"1692.00"</f>
        <v>1692.00</v>
      </c>
      <c r="J431" s="1" t="str">
        <f t="shared" si="608"/>
        <v>5.00</v>
      </c>
      <c r="K431" s="1" t="str">
        <f t="shared" ref="K431:K438" si="643">"0.00"</f>
        <v>0.00</v>
      </c>
      <c r="L431" s="1" t="str">
        <f t="shared" si="640"/>
        <v>0.03</v>
      </c>
      <c r="M431" s="1" t="str">
        <f t="shared" si="595"/>
        <v>0.00</v>
      </c>
      <c r="N431" s="1" t="str">
        <f t="shared" ref="N431:N436" si="644">"证券买入"</f>
        <v>证券买入</v>
      </c>
    </row>
    <row r="432" spans="1:14">
      <c r="A432" s="1" t="str">
        <f t="shared" si="636"/>
        <v>20171213</v>
      </c>
      <c r="B432" s="1" t="str">
        <f>"14:58:50"</f>
        <v>14:58:50</v>
      </c>
      <c r="C432" s="1" t="str">
        <f>"600460"</f>
        <v>600460</v>
      </c>
      <c r="D432" s="1" t="str">
        <f>"士兰微"</f>
        <v>士兰微</v>
      </c>
      <c r="E432" s="1" t="str">
        <f t="shared" si="638"/>
        <v>卖出</v>
      </c>
      <c r="F432" s="1" t="str">
        <f>"15.240"</f>
        <v>15.240</v>
      </c>
      <c r="G432" s="1" t="str">
        <f>"-200.00"</f>
        <v>-200.00</v>
      </c>
      <c r="H432" s="1" t="str">
        <f t="shared" si="637"/>
        <v>A850418317</v>
      </c>
      <c r="I432" s="1" t="str">
        <f>"3048.00"</f>
        <v>3048.00</v>
      </c>
      <c r="J432" s="1" t="str">
        <f t="shared" si="608"/>
        <v>5.00</v>
      </c>
      <c r="K432" s="1" t="str">
        <f>"3.05"</f>
        <v>3.05</v>
      </c>
      <c r="L432" s="1" t="str">
        <f>"0.06"</f>
        <v>0.06</v>
      </c>
      <c r="M432" s="1" t="str">
        <f t="shared" si="595"/>
        <v>0.00</v>
      </c>
      <c r="N432" s="1" t="str">
        <f t="shared" si="641"/>
        <v>证券卖出</v>
      </c>
    </row>
    <row r="433" spans="1:14">
      <c r="A433" s="1" t="str">
        <f t="shared" si="636"/>
        <v>20171213</v>
      </c>
      <c r="B433" s="1" t="str">
        <f>"09:30:00"</f>
        <v>09:30:00</v>
      </c>
      <c r="C433" s="1" t="str">
        <f>"300236"</f>
        <v>300236</v>
      </c>
      <c r="D433" s="1" t="str">
        <f>"上海新阳"</f>
        <v>上海新阳</v>
      </c>
      <c r="E433" s="1" t="str">
        <f t="shared" si="638"/>
        <v>卖出</v>
      </c>
      <c r="F433" s="1" t="str">
        <f>"36.180"</f>
        <v>36.180</v>
      </c>
      <c r="G433" s="1" t="str">
        <f t="shared" si="639"/>
        <v>-100.00</v>
      </c>
      <c r="H433" s="1" t="str">
        <f t="shared" ref="H433:H435" si="645">"0104152129"</f>
        <v>0104152129</v>
      </c>
      <c r="I433" s="1" t="str">
        <f>"3618.00"</f>
        <v>3618.00</v>
      </c>
      <c r="J433" s="1" t="str">
        <f t="shared" si="608"/>
        <v>5.00</v>
      </c>
      <c r="K433" s="1" t="str">
        <f>"3.62"</f>
        <v>3.62</v>
      </c>
      <c r="L433" s="1" t="str">
        <f>"0.07"</f>
        <v>0.07</v>
      </c>
      <c r="M433" s="1" t="str">
        <f t="shared" si="595"/>
        <v>0.00</v>
      </c>
      <c r="N433" s="1" t="str">
        <f t="shared" si="641"/>
        <v>证券卖出</v>
      </c>
    </row>
    <row r="434" spans="1:14">
      <c r="A434" s="1" t="str">
        <f t="shared" si="636"/>
        <v>20171213</v>
      </c>
      <c r="B434" s="1" t="str">
        <f>"09:42:26"</f>
        <v>09:42:26</v>
      </c>
      <c r="C434" s="1" t="str">
        <f>"000759"</f>
        <v>000759</v>
      </c>
      <c r="D434" s="1" t="str">
        <f>"中百集团"</f>
        <v>中百集团</v>
      </c>
      <c r="E434" s="1" t="str">
        <f t="shared" si="638"/>
        <v>卖出</v>
      </c>
      <c r="F434" s="1" t="str">
        <f>"9.150"</f>
        <v>9.150</v>
      </c>
      <c r="G434" s="1" t="str">
        <f>"-200.00"</f>
        <v>-200.00</v>
      </c>
      <c r="H434" s="1" t="str">
        <f t="shared" si="645"/>
        <v>0104152129</v>
      </c>
      <c r="I434" s="1" t="str">
        <f>"1830.00"</f>
        <v>1830.00</v>
      </c>
      <c r="J434" s="1" t="str">
        <f t="shared" si="608"/>
        <v>5.00</v>
      </c>
      <c r="K434" s="1" t="str">
        <f>"1.83"</f>
        <v>1.83</v>
      </c>
      <c r="L434" s="1" t="str">
        <f>"0.04"</f>
        <v>0.04</v>
      </c>
      <c r="M434" s="1" t="str">
        <f t="shared" si="595"/>
        <v>0.00</v>
      </c>
      <c r="N434" s="1" t="str">
        <f t="shared" si="641"/>
        <v>证券卖出</v>
      </c>
    </row>
    <row r="435" spans="1:14">
      <c r="A435" s="1" t="str">
        <f t="shared" si="636"/>
        <v>20171213</v>
      </c>
      <c r="B435" s="1" t="str">
        <f>"13:35:23"</f>
        <v>13:35:23</v>
      </c>
      <c r="C435" s="1" t="str">
        <f>"002797"</f>
        <v>002797</v>
      </c>
      <c r="D435" s="1" t="str">
        <f>"第一创业"</f>
        <v>第一创业</v>
      </c>
      <c r="E435" s="1" t="str">
        <f t="shared" si="642"/>
        <v>买入</v>
      </c>
      <c r="F435" s="1" t="str">
        <f>"9.580"</f>
        <v>9.580</v>
      </c>
      <c r="G435" s="1" t="str">
        <f>"300.00"</f>
        <v>300.00</v>
      </c>
      <c r="H435" s="1" t="str">
        <f t="shared" si="645"/>
        <v>0104152129</v>
      </c>
      <c r="I435" s="1" t="str">
        <f>"2874.00"</f>
        <v>2874.00</v>
      </c>
      <c r="J435" s="1" t="str">
        <f t="shared" si="608"/>
        <v>5.00</v>
      </c>
      <c r="K435" s="1" t="str">
        <f t="shared" si="643"/>
        <v>0.00</v>
      </c>
      <c r="L435" s="1" t="str">
        <f>"0.06"</f>
        <v>0.06</v>
      </c>
      <c r="M435" s="1" t="str">
        <f t="shared" si="595"/>
        <v>0.00</v>
      </c>
      <c r="N435" s="1" t="str">
        <f t="shared" si="644"/>
        <v>证券买入</v>
      </c>
    </row>
    <row r="436" spans="1:14">
      <c r="A436" s="1" t="str">
        <f t="shared" ref="A436:A438" si="646">"20171214"</f>
        <v>20171214</v>
      </c>
      <c r="B436" s="1" t="str">
        <f>"11:16:17"</f>
        <v>11:16:17</v>
      </c>
      <c r="C436" s="1" t="str">
        <f t="shared" ref="C436:C441" si="647">"600280"</f>
        <v>600280</v>
      </c>
      <c r="D436" s="1" t="str">
        <f t="shared" ref="D436:D441" si="648">"中央商场"</f>
        <v>中央商场</v>
      </c>
      <c r="E436" s="1" t="str">
        <f t="shared" si="642"/>
        <v>买入</v>
      </c>
      <c r="F436" s="1" t="str">
        <f>"9.400"</f>
        <v>9.400</v>
      </c>
      <c r="G436" s="1" t="str">
        <f t="shared" ref="G436:G441" si="649">"100.00"</f>
        <v>100.00</v>
      </c>
      <c r="H436" s="1" t="str">
        <f t="shared" ref="H436:H452" si="650">"A850418317"</f>
        <v>A850418317</v>
      </c>
      <c r="I436" s="1" t="str">
        <f>"940.00"</f>
        <v>940.00</v>
      </c>
      <c r="J436" s="1" t="str">
        <f t="shared" si="608"/>
        <v>5.00</v>
      </c>
      <c r="K436" s="1" t="str">
        <f t="shared" si="643"/>
        <v>0.00</v>
      </c>
      <c r="L436" s="1" t="str">
        <f t="shared" ref="L436:L441" si="651">"0.02"</f>
        <v>0.02</v>
      </c>
      <c r="M436" s="1" t="str">
        <f t="shared" si="595"/>
        <v>0.00</v>
      </c>
      <c r="N436" s="1" t="str">
        <f t="shared" si="644"/>
        <v>证券买入</v>
      </c>
    </row>
    <row r="437" spans="1:14">
      <c r="A437" s="1" t="str">
        <f t="shared" si="646"/>
        <v>20171214</v>
      </c>
      <c r="B437" s="1" t="str">
        <f>"21:18:44"</f>
        <v>21:18:44</v>
      </c>
      <c r="C437" s="1" t="str">
        <f>"300684"</f>
        <v>300684</v>
      </c>
      <c r="D437" s="1" t="str">
        <f>"中石科技"</f>
        <v>中石科技</v>
      </c>
      <c r="E437" s="1" t="str">
        <f t="shared" si="642"/>
        <v>买入</v>
      </c>
      <c r="F437" s="1" t="str">
        <f>"0.000"</f>
        <v>0.000</v>
      </c>
      <c r="G437" s="1" t="str">
        <f>"2.00"</f>
        <v>2.00</v>
      </c>
      <c r="H437" s="1" t="str">
        <f>"0104152129"</f>
        <v>0104152129</v>
      </c>
      <c r="I437" s="1" t="str">
        <f t="shared" ref="I437:L437" si="652">"0.00"</f>
        <v>0.00</v>
      </c>
      <c r="J437" s="1" t="str">
        <f t="shared" si="652"/>
        <v>0.00</v>
      </c>
      <c r="K437" s="1" t="str">
        <f t="shared" si="643"/>
        <v>0.00</v>
      </c>
      <c r="L437" s="1" t="str">
        <f t="shared" si="652"/>
        <v>0.00</v>
      </c>
      <c r="M437" s="1" t="str">
        <f t="shared" si="595"/>
        <v>0.00</v>
      </c>
      <c r="N437" s="1" t="str">
        <f>"起始配号:11108585"</f>
        <v>起始配号:11108585</v>
      </c>
    </row>
    <row r="438" spans="1:14">
      <c r="A438" s="1" t="str">
        <f t="shared" si="646"/>
        <v>20171214</v>
      </c>
      <c r="B438" s="1" t="str">
        <f>"21:18:55"</f>
        <v>21:18:55</v>
      </c>
      <c r="C438" s="1" t="str">
        <f>"002920"</f>
        <v>002920</v>
      </c>
      <c r="D438" s="1" t="str">
        <f>"德赛西威"</f>
        <v>德赛西威</v>
      </c>
      <c r="E438" s="1" t="str">
        <f t="shared" si="642"/>
        <v>买入</v>
      </c>
      <c r="F438" s="1" t="str">
        <f>"0.000"</f>
        <v>0.000</v>
      </c>
      <c r="G438" s="1" t="str">
        <f>"2.00"</f>
        <v>2.00</v>
      </c>
      <c r="H438" s="1" t="str">
        <f>"0104152129"</f>
        <v>0104152129</v>
      </c>
      <c r="I438" s="1" t="str">
        <f t="shared" ref="I438:L438" si="653">"0.00"</f>
        <v>0.00</v>
      </c>
      <c r="J438" s="1" t="str">
        <f t="shared" si="653"/>
        <v>0.00</v>
      </c>
      <c r="K438" s="1" t="str">
        <f t="shared" si="643"/>
        <v>0.00</v>
      </c>
      <c r="L438" s="1" t="str">
        <f t="shared" si="653"/>
        <v>0.00</v>
      </c>
      <c r="M438" s="1" t="str">
        <f t="shared" si="595"/>
        <v>0.00</v>
      </c>
      <c r="N438" s="1" t="str">
        <f>"起始配号:24789828"</f>
        <v>起始配号:24789828</v>
      </c>
    </row>
    <row r="439" spans="1:14">
      <c r="A439" s="1" t="str">
        <f t="shared" ref="A439:A461" si="654">"20171215"</f>
        <v>20171215</v>
      </c>
      <c r="B439" s="1" t="str">
        <f>"09:47:32"</f>
        <v>09:47:32</v>
      </c>
      <c r="C439" s="1" t="str">
        <f>"600500"</f>
        <v>600500</v>
      </c>
      <c r="D439" s="1" t="str">
        <f>"中化国际"</f>
        <v>中化国际</v>
      </c>
      <c r="E439" s="1" t="str">
        <f>"卖出"</f>
        <v>卖出</v>
      </c>
      <c r="F439" s="1" t="str">
        <f>"8.810"</f>
        <v>8.810</v>
      </c>
      <c r="G439" s="1" t="str">
        <f>"-400.00"</f>
        <v>-400.00</v>
      </c>
      <c r="H439" s="1" t="str">
        <f t="shared" si="650"/>
        <v>A850418317</v>
      </c>
      <c r="I439" s="1" t="str">
        <f>"3524.00"</f>
        <v>3524.00</v>
      </c>
      <c r="J439" s="1" t="str">
        <f t="shared" ref="J439:J460" si="655">"5.00"</f>
        <v>5.00</v>
      </c>
      <c r="K439" s="1" t="str">
        <f>"3.52"</f>
        <v>3.52</v>
      </c>
      <c r="L439" s="1" t="str">
        <f>"0.07"</f>
        <v>0.07</v>
      </c>
      <c r="M439" s="1" t="str">
        <f t="shared" si="595"/>
        <v>0.00</v>
      </c>
      <c r="N439" s="1" t="str">
        <f>"证券卖出"</f>
        <v>证券卖出</v>
      </c>
    </row>
    <row r="440" spans="1:14">
      <c r="A440" s="1" t="str">
        <f t="shared" si="654"/>
        <v>20171215</v>
      </c>
      <c r="B440" s="1" t="str">
        <f>"09:52:11"</f>
        <v>09:52:11</v>
      </c>
      <c r="C440" s="1" t="str">
        <f t="shared" si="647"/>
        <v>600280</v>
      </c>
      <c r="D440" s="1" t="str">
        <f t="shared" si="648"/>
        <v>中央商场</v>
      </c>
      <c r="E440" s="1" t="str">
        <f t="shared" ref="E440:E444" si="656">"买入"</f>
        <v>买入</v>
      </c>
      <c r="F440" s="1" t="str">
        <f>"9.170"</f>
        <v>9.170</v>
      </c>
      <c r="G440" s="1" t="str">
        <f t="shared" si="649"/>
        <v>100.00</v>
      </c>
      <c r="H440" s="1" t="str">
        <f t="shared" si="650"/>
        <v>A850418317</v>
      </c>
      <c r="I440" s="1" t="str">
        <f>"917.00"</f>
        <v>917.00</v>
      </c>
      <c r="J440" s="1" t="str">
        <f t="shared" si="655"/>
        <v>5.00</v>
      </c>
      <c r="K440" s="1" t="str">
        <f t="shared" ref="K440:K444" si="657">"0.00"</f>
        <v>0.00</v>
      </c>
      <c r="L440" s="1" t="str">
        <f t="shared" si="651"/>
        <v>0.02</v>
      </c>
      <c r="M440" s="1" t="str">
        <f t="shared" si="595"/>
        <v>0.00</v>
      </c>
      <c r="N440" s="1" t="str">
        <f t="shared" ref="N440:N444" si="658">"证券买入"</f>
        <v>证券买入</v>
      </c>
    </row>
    <row r="441" spans="1:14">
      <c r="A441" s="1" t="str">
        <f t="shared" si="654"/>
        <v>20171215</v>
      </c>
      <c r="B441" s="1" t="str">
        <f>"09:52:42"</f>
        <v>09:52:42</v>
      </c>
      <c r="C441" s="1" t="str">
        <f t="shared" si="647"/>
        <v>600280</v>
      </c>
      <c r="D441" s="1" t="str">
        <f t="shared" si="648"/>
        <v>中央商场</v>
      </c>
      <c r="E441" s="1" t="str">
        <f t="shared" si="656"/>
        <v>买入</v>
      </c>
      <c r="F441" s="1" t="str">
        <f>"9.200"</f>
        <v>9.200</v>
      </c>
      <c r="G441" s="1" t="str">
        <f t="shared" si="649"/>
        <v>100.00</v>
      </c>
      <c r="H441" s="1" t="str">
        <f t="shared" si="650"/>
        <v>A850418317</v>
      </c>
      <c r="I441" s="1" t="str">
        <f>"920.00"</f>
        <v>920.00</v>
      </c>
      <c r="J441" s="1" t="str">
        <f t="shared" si="655"/>
        <v>5.00</v>
      </c>
      <c r="K441" s="1" t="str">
        <f t="shared" si="657"/>
        <v>0.00</v>
      </c>
      <c r="L441" s="1" t="str">
        <f t="shared" si="651"/>
        <v>0.02</v>
      </c>
      <c r="M441" s="1" t="str">
        <f t="shared" si="595"/>
        <v>0.00</v>
      </c>
      <c r="N441" s="1" t="str">
        <f t="shared" si="658"/>
        <v>证券买入</v>
      </c>
    </row>
    <row r="442" spans="1:14">
      <c r="A442" s="1" t="str">
        <f t="shared" si="654"/>
        <v>20171215</v>
      </c>
      <c r="B442" s="1" t="str">
        <f>"10:05:45"</f>
        <v>10:05:45</v>
      </c>
      <c r="C442" s="1" t="str">
        <f>"600460"</f>
        <v>600460</v>
      </c>
      <c r="D442" s="1" t="str">
        <f>"士兰微"</f>
        <v>士兰微</v>
      </c>
      <c r="E442" s="1" t="str">
        <f>"卖出"</f>
        <v>卖出</v>
      </c>
      <c r="F442" s="1" t="str">
        <f>"15.540"</f>
        <v>15.540</v>
      </c>
      <c r="G442" s="1" t="str">
        <f>"-200.00"</f>
        <v>-200.00</v>
      </c>
      <c r="H442" s="1" t="str">
        <f t="shared" si="650"/>
        <v>A850418317</v>
      </c>
      <c r="I442" s="1" t="str">
        <f>"3108.00"</f>
        <v>3108.00</v>
      </c>
      <c r="J442" s="1" t="str">
        <f t="shared" si="655"/>
        <v>5.00</v>
      </c>
      <c r="K442" s="1" t="str">
        <f>"3.11"</f>
        <v>3.11</v>
      </c>
      <c r="L442" s="1" t="str">
        <f>"0.06"</f>
        <v>0.06</v>
      </c>
      <c r="M442" s="1" t="str">
        <f t="shared" si="595"/>
        <v>0.00</v>
      </c>
      <c r="N442" s="1" t="str">
        <f>"证券卖出"</f>
        <v>证券卖出</v>
      </c>
    </row>
    <row r="443" spans="1:14">
      <c r="A443" s="1" t="str">
        <f t="shared" si="654"/>
        <v>20171215</v>
      </c>
      <c r="B443" s="1" t="str">
        <f>"10:13:44"</f>
        <v>10:13:44</v>
      </c>
      <c r="C443" s="1" t="str">
        <f t="shared" ref="C443:C446" si="659">"600171"</f>
        <v>600171</v>
      </c>
      <c r="D443" s="1" t="str">
        <f t="shared" ref="D443:D446" si="660">"上海贝岭"</f>
        <v>上海贝岭</v>
      </c>
      <c r="E443" s="1" t="str">
        <f t="shared" si="656"/>
        <v>买入</v>
      </c>
      <c r="F443" s="1" t="str">
        <f>"17.960"</f>
        <v>17.960</v>
      </c>
      <c r="G443" s="1" t="str">
        <f t="shared" ref="G443:G446" si="661">"100.00"</f>
        <v>100.00</v>
      </c>
      <c r="H443" s="1" t="str">
        <f t="shared" si="650"/>
        <v>A850418317</v>
      </c>
      <c r="I443" s="1" t="str">
        <f>"1796.00"</f>
        <v>1796.00</v>
      </c>
      <c r="J443" s="1" t="str">
        <f t="shared" si="655"/>
        <v>5.00</v>
      </c>
      <c r="K443" s="1" t="str">
        <f t="shared" si="657"/>
        <v>0.00</v>
      </c>
      <c r="L443" s="1" t="str">
        <f t="shared" ref="L443:L447" si="662">"0.04"</f>
        <v>0.04</v>
      </c>
      <c r="M443" s="1" t="str">
        <f t="shared" si="595"/>
        <v>0.00</v>
      </c>
      <c r="N443" s="1" t="str">
        <f t="shared" si="658"/>
        <v>证券买入</v>
      </c>
    </row>
    <row r="444" spans="1:14">
      <c r="A444" s="1" t="str">
        <f t="shared" si="654"/>
        <v>20171215</v>
      </c>
      <c r="B444" s="1" t="str">
        <f>"10:14:39"</f>
        <v>10:14:39</v>
      </c>
      <c r="C444" s="1" t="str">
        <f t="shared" si="659"/>
        <v>600171</v>
      </c>
      <c r="D444" s="1" t="str">
        <f t="shared" si="660"/>
        <v>上海贝岭</v>
      </c>
      <c r="E444" s="1" t="str">
        <f t="shared" si="656"/>
        <v>买入</v>
      </c>
      <c r="F444" s="1" t="str">
        <f>"17.990"</f>
        <v>17.990</v>
      </c>
      <c r="G444" s="1" t="str">
        <f t="shared" si="661"/>
        <v>100.00</v>
      </c>
      <c r="H444" s="1" t="str">
        <f t="shared" si="650"/>
        <v>A850418317</v>
      </c>
      <c r="I444" s="1" t="str">
        <f>"1799.00"</f>
        <v>1799.00</v>
      </c>
      <c r="J444" s="1" t="str">
        <f t="shared" si="655"/>
        <v>5.00</v>
      </c>
      <c r="K444" s="1" t="str">
        <f t="shared" si="657"/>
        <v>0.00</v>
      </c>
      <c r="L444" s="1" t="str">
        <f t="shared" si="662"/>
        <v>0.04</v>
      </c>
      <c r="M444" s="1" t="str">
        <f t="shared" si="595"/>
        <v>0.00</v>
      </c>
      <c r="N444" s="1" t="str">
        <f t="shared" si="658"/>
        <v>证券买入</v>
      </c>
    </row>
    <row r="445" spans="1:14">
      <c r="A445" s="1" t="str">
        <f t="shared" si="654"/>
        <v>20171215</v>
      </c>
      <c r="B445" s="1" t="str">
        <f>"10:27:57"</f>
        <v>10:27:57</v>
      </c>
      <c r="C445" s="1" t="str">
        <f>"600732"</f>
        <v>600732</v>
      </c>
      <c r="D445" s="1" t="str">
        <f>"ST新梅"</f>
        <v>ST新梅</v>
      </c>
      <c r="E445" s="1" t="str">
        <f>"卖出"</f>
        <v>卖出</v>
      </c>
      <c r="F445" s="1" t="str">
        <f>"8.130"</f>
        <v>8.130</v>
      </c>
      <c r="G445" s="1" t="str">
        <f>"-100.00"</f>
        <v>-100.00</v>
      </c>
      <c r="H445" s="1" t="str">
        <f t="shared" si="650"/>
        <v>A850418317</v>
      </c>
      <c r="I445" s="1" t="str">
        <f>"813.00"</f>
        <v>813.00</v>
      </c>
      <c r="J445" s="1" t="str">
        <f t="shared" si="655"/>
        <v>5.00</v>
      </c>
      <c r="K445" s="1" t="str">
        <f>"0.81"</f>
        <v>0.81</v>
      </c>
      <c r="L445" s="1" t="str">
        <f>"0.02"</f>
        <v>0.02</v>
      </c>
      <c r="M445" s="1" t="str">
        <f t="shared" si="595"/>
        <v>0.00</v>
      </c>
      <c r="N445" s="1" t="str">
        <f>"证券卖出"</f>
        <v>证券卖出</v>
      </c>
    </row>
    <row r="446" spans="1:14">
      <c r="A446" s="1" t="str">
        <f t="shared" si="654"/>
        <v>20171215</v>
      </c>
      <c r="B446" s="1" t="str">
        <f>"10:35:12"</f>
        <v>10:35:12</v>
      </c>
      <c r="C446" s="1" t="str">
        <f t="shared" si="659"/>
        <v>600171</v>
      </c>
      <c r="D446" s="1" t="str">
        <f t="shared" si="660"/>
        <v>上海贝岭</v>
      </c>
      <c r="E446" s="1" t="str">
        <f t="shared" ref="E446:E452" si="663">"买入"</f>
        <v>买入</v>
      </c>
      <c r="F446" s="1" t="str">
        <f>"17.920"</f>
        <v>17.920</v>
      </c>
      <c r="G446" s="1" t="str">
        <f t="shared" si="661"/>
        <v>100.00</v>
      </c>
      <c r="H446" s="1" t="str">
        <f t="shared" si="650"/>
        <v>A850418317</v>
      </c>
      <c r="I446" s="1" t="str">
        <f>"1792.00"</f>
        <v>1792.00</v>
      </c>
      <c r="J446" s="1" t="str">
        <f t="shared" si="655"/>
        <v>5.00</v>
      </c>
      <c r="K446" s="1" t="str">
        <f t="shared" ref="K446:K452" si="664">"0.00"</f>
        <v>0.00</v>
      </c>
      <c r="L446" s="1" t="str">
        <f t="shared" si="662"/>
        <v>0.04</v>
      </c>
      <c r="M446" s="1" t="str">
        <f t="shared" si="595"/>
        <v>0.00</v>
      </c>
      <c r="N446" s="1" t="str">
        <f t="shared" ref="N446:N452" si="665">"证券买入"</f>
        <v>证券买入</v>
      </c>
    </row>
    <row r="447" spans="1:14">
      <c r="A447" s="1" t="str">
        <f t="shared" si="654"/>
        <v>20171215</v>
      </c>
      <c r="B447" s="1" t="str">
        <f>"11:01:22"</f>
        <v>11:01:22</v>
      </c>
      <c r="C447" s="1" t="str">
        <f t="shared" ref="C447:C451" si="666">"600280"</f>
        <v>600280</v>
      </c>
      <c r="D447" s="1" t="str">
        <f t="shared" ref="D447:D451" si="667">"中央商场"</f>
        <v>中央商场</v>
      </c>
      <c r="E447" s="1" t="str">
        <f t="shared" si="663"/>
        <v>买入</v>
      </c>
      <c r="F447" s="1" t="str">
        <f>"9.380"</f>
        <v>9.380</v>
      </c>
      <c r="G447" s="1" t="str">
        <f>"200.00"</f>
        <v>200.00</v>
      </c>
      <c r="H447" s="1" t="str">
        <f t="shared" si="650"/>
        <v>A850418317</v>
      </c>
      <c r="I447" s="1" t="str">
        <f>"1876.00"</f>
        <v>1876.00</v>
      </c>
      <c r="J447" s="1" t="str">
        <f t="shared" si="655"/>
        <v>5.00</v>
      </c>
      <c r="K447" s="1" t="str">
        <f t="shared" si="664"/>
        <v>0.00</v>
      </c>
      <c r="L447" s="1" t="str">
        <f t="shared" si="662"/>
        <v>0.04</v>
      </c>
      <c r="M447" s="1" t="str">
        <f t="shared" si="595"/>
        <v>0.00</v>
      </c>
      <c r="N447" s="1" t="str">
        <f t="shared" si="665"/>
        <v>证券买入</v>
      </c>
    </row>
    <row r="448" spans="1:14">
      <c r="A448" s="1" t="str">
        <f t="shared" si="654"/>
        <v>20171215</v>
      </c>
      <c r="B448" s="1" t="str">
        <f>"11:01:43"</f>
        <v>11:01:43</v>
      </c>
      <c r="C448" s="1" t="str">
        <f t="shared" si="666"/>
        <v>600280</v>
      </c>
      <c r="D448" s="1" t="str">
        <f t="shared" si="667"/>
        <v>中央商场</v>
      </c>
      <c r="E448" s="1" t="str">
        <f t="shared" si="663"/>
        <v>买入</v>
      </c>
      <c r="F448" s="1" t="str">
        <f>"9.370"</f>
        <v>9.370</v>
      </c>
      <c r="G448" s="1" t="str">
        <f>"100.00"</f>
        <v>100.00</v>
      </c>
      <c r="H448" s="1" t="str">
        <f t="shared" si="650"/>
        <v>A850418317</v>
      </c>
      <c r="I448" s="1" t="str">
        <f>"937.00"</f>
        <v>937.00</v>
      </c>
      <c r="J448" s="1" t="str">
        <f t="shared" si="655"/>
        <v>5.00</v>
      </c>
      <c r="K448" s="1" t="str">
        <f t="shared" si="664"/>
        <v>0.00</v>
      </c>
      <c r="L448" s="1" t="str">
        <f>"0.02"</f>
        <v>0.02</v>
      </c>
      <c r="M448" s="1" t="str">
        <f t="shared" si="595"/>
        <v>0.00</v>
      </c>
      <c r="N448" s="1" t="str">
        <f t="shared" si="665"/>
        <v>证券买入</v>
      </c>
    </row>
    <row r="449" spans="1:14">
      <c r="A449" s="1" t="str">
        <f t="shared" si="654"/>
        <v>20171215</v>
      </c>
      <c r="B449" s="1" t="str">
        <f>"11:14:33"</f>
        <v>11:14:33</v>
      </c>
      <c r="C449" s="1" t="str">
        <f t="shared" si="666"/>
        <v>600280</v>
      </c>
      <c r="D449" s="1" t="str">
        <f t="shared" si="667"/>
        <v>中央商场</v>
      </c>
      <c r="E449" s="1" t="str">
        <f t="shared" si="663"/>
        <v>买入</v>
      </c>
      <c r="F449" s="1" t="str">
        <f>"9.480"</f>
        <v>9.480</v>
      </c>
      <c r="G449" s="1" t="str">
        <f>"200.00"</f>
        <v>200.00</v>
      </c>
      <c r="H449" s="1" t="str">
        <f t="shared" si="650"/>
        <v>A850418317</v>
      </c>
      <c r="I449" s="1" t="str">
        <f>"1896.00"</f>
        <v>1896.00</v>
      </c>
      <c r="J449" s="1" t="str">
        <f t="shared" si="655"/>
        <v>5.00</v>
      </c>
      <c r="K449" s="1" t="str">
        <f t="shared" si="664"/>
        <v>0.00</v>
      </c>
      <c r="L449" s="1" t="str">
        <f>"0.04"</f>
        <v>0.04</v>
      </c>
      <c r="M449" s="1" t="str">
        <f t="shared" si="595"/>
        <v>0.00</v>
      </c>
      <c r="N449" s="1" t="str">
        <f t="shared" si="665"/>
        <v>证券买入</v>
      </c>
    </row>
    <row r="450" spans="1:14">
      <c r="A450" s="1" t="str">
        <f t="shared" si="654"/>
        <v>20171215</v>
      </c>
      <c r="B450" s="1" t="str">
        <f>"11:21:35"</f>
        <v>11:21:35</v>
      </c>
      <c r="C450" s="1" t="str">
        <f t="shared" si="666"/>
        <v>600280</v>
      </c>
      <c r="D450" s="1" t="str">
        <f t="shared" si="667"/>
        <v>中央商场</v>
      </c>
      <c r="E450" s="1" t="str">
        <f t="shared" si="663"/>
        <v>买入</v>
      </c>
      <c r="F450" s="1" t="str">
        <f>"9.530"</f>
        <v>9.530</v>
      </c>
      <c r="G450" s="1" t="str">
        <f>"300.00"</f>
        <v>300.00</v>
      </c>
      <c r="H450" s="1" t="str">
        <f t="shared" si="650"/>
        <v>A850418317</v>
      </c>
      <c r="I450" s="1" t="str">
        <f>"2859.00"</f>
        <v>2859.00</v>
      </c>
      <c r="J450" s="1" t="str">
        <f t="shared" si="655"/>
        <v>5.00</v>
      </c>
      <c r="K450" s="1" t="str">
        <f t="shared" si="664"/>
        <v>0.00</v>
      </c>
      <c r="L450" s="1" t="str">
        <f>"0.06"</f>
        <v>0.06</v>
      </c>
      <c r="M450" s="1" t="str">
        <f t="shared" si="595"/>
        <v>0.00</v>
      </c>
      <c r="N450" s="1" t="str">
        <f t="shared" si="665"/>
        <v>证券买入</v>
      </c>
    </row>
    <row r="451" spans="1:14">
      <c r="A451" s="1" t="str">
        <f t="shared" si="654"/>
        <v>20171215</v>
      </c>
      <c r="B451" s="1" t="str">
        <f>"11:23:07"</f>
        <v>11:23:07</v>
      </c>
      <c r="C451" s="1" t="str">
        <f t="shared" si="666"/>
        <v>600280</v>
      </c>
      <c r="D451" s="1" t="str">
        <f t="shared" si="667"/>
        <v>中央商场</v>
      </c>
      <c r="E451" s="1" t="str">
        <f t="shared" si="663"/>
        <v>买入</v>
      </c>
      <c r="F451" s="1" t="str">
        <f>"9.580"</f>
        <v>9.580</v>
      </c>
      <c r="G451" s="1" t="str">
        <f>"400.00"</f>
        <v>400.00</v>
      </c>
      <c r="H451" s="1" t="str">
        <f t="shared" si="650"/>
        <v>A850418317</v>
      </c>
      <c r="I451" s="1" t="str">
        <f>"3832.00"</f>
        <v>3832.00</v>
      </c>
      <c r="J451" s="1" t="str">
        <f t="shared" si="655"/>
        <v>5.00</v>
      </c>
      <c r="K451" s="1" t="str">
        <f t="shared" si="664"/>
        <v>0.00</v>
      </c>
      <c r="L451" s="1" t="str">
        <f>"0.08"</f>
        <v>0.08</v>
      </c>
      <c r="M451" s="1" t="str">
        <f t="shared" si="595"/>
        <v>0.00</v>
      </c>
      <c r="N451" s="1" t="str">
        <f t="shared" si="665"/>
        <v>证券买入</v>
      </c>
    </row>
    <row r="452" spans="1:14">
      <c r="A452" s="1" t="str">
        <f t="shared" si="654"/>
        <v>20171215</v>
      </c>
      <c r="B452" s="1" t="str">
        <f>"13:02:31"</f>
        <v>13:02:31</v>
      </c>
      <c r="C452" s="1" t="str">
        <f>"600171"</f>
        <v>600171</v>
      </c>
      <c r="D452" s="1" t="str">
        <f>"上海贝岭"</f>
        <v>上海贝岭</v>
      </c>
      <c r="E452" s="1" t="str">
        <f t="shared" si="663"/>
        <v>买入</v>
      </c>
      <c r="F452" s="1" t="str">
        <f>"17.300"</f>
        <v>17.300</v>
      </c>
      <c r="G452" s="1" t="str">
        <f t="shared" ref="G452:G455" si="668">"100.00"</f>
        <v>100.00</v>
      </c>
      <c r="H452" s="1" t="str">
        <f t="shared" si="650"/>
        <v>A850418317</v>
      </c>
      <c r="I452" s="1" t="str">
        <f>"1730.00"</f>
        <v>1730.00</v>
      </c>
      <c r="J452" s="1" t="str">
        <f t="shared" si="655"/>
        <v>5.00</v>
      </c>
      <c r="K452" s="1" t="str">
        <f t="shared" si="664"/>
        <v>0.00</v>
      </c>
      <c r="L452" s="1" t="str">
        <f>"0.03"</f>
        <v>0.03</v>
      </c>
      <c r="M452" s="1" t="str">
        <f t="shared" si="595"/>
        <v>0.00</v>
      </c>
      <c r="N452" s="1" t="str">
        <f t="shared" si="665"/>
        <v>证券买入</v>
      </c>
    </row>
    <row r="453" spans="1:14">
      <c r="A453" s="1" t="str">
        <f t="shared" si="654"/>
        <v>20171215</v>
      </c>
      <c r="B453" s="1" t="str">
        <f>"09:30:01"</f>
        <v>09:30:01</v>
      </c>
      <c r="C453" s="1" t="str">
        <f t="shared" ref="C453:C456" si="669">"000759"</f>
        <v>000759</v>
      </c>
      <c r="D453" s="1" t="str">
        <f t="shared" ref="D453:D456" si="670">"中百集团"</f>
        <v>中百集团</v>
      </c>
      <c r="E453" s="1" t="str">
        <f t="shared" ref="E453:E460" si="671">"卖出"</f>
        <v>卖出</v>
      </c>
      <c r="F453" s="1" t="str">
        <f>"10.710"</f>
        <v>10.710</v>
      </c>
      <c r="G453" s="1" t="str">
        <f t="shared" ref="G453:G458" si="672">"-100.00"</f>
        <v>-100.00</v>
      </c>
      <c r="H453" s="1" t="str">
        <f t="shared" ref="H453:H461" si="673">"0104152129"</f>
        <v>0104152129</v>
      </c>
      <c r="I453" s="1" t="str">
        <f>"1071.00"</f>
        <v>1071.00</v>
      </c>
      <c r="J453" s="1" t="str">
        <f t="shared" si="655"/>
        <v>5.00</v>
      </c>
      <c r="K453" s="1" t="str">
        <f>"1.07"</f>
        <v>1.07</v>
      </c>
      <c r="L453" s="1" t="str">
        <f t="shared" ref="L453:L456" si="674">"0.02"</f>
        <v>0.02</v>
      </c>
      <c r="M453" s="1" t="str">
        <f t="shared" si="595"/>
        <v>0.00</v>
      </c>
      <c r="N453" s="1" t="str">
        <f t="shared" ref="N453:N460" si="675">"证券卖出"</f>
        <v>证券卖出</v>
      </c>
    </row>
    <row r="454" spans="1:14">
      <c r="A454" s="1" t="str">
        <f t="shared" si="654"/>
        <v>20171215</v>
      </c>
      <c r="B454" s="1" t="str">
        <f>"09:53:08"</f>
        <v>09:53:08</v>
      </c>
      <c r="C454" s="1" t="str">
        <f t="shared" si="669"/>
        <v>000759</v>
      </c>
      <c r="D454" s="1" t="str">
        <f t="shared" si="670"/>
        <v>中百集团</v>
      </c>
      <c r="E454" s="1" t="str">
        <f>"买入"</f>
        <v>买入</v>
      </c>
      <c r="F454" s="1" t="str">
        <f>"10.730"</f>
        <v>10.730</v>
      </c>
      <c r="G454" s="1" t="str">
        <f t="shared" si="668"/>
        <v>100.00</v>
      </c>
      <c r="H454" s="1" t="str">
        <f t="shared" si="673"/>
        <v>0104152129</v>
      </c>
      <c r="I454" s="1" t="str">
        <f>"1073.00"</f>
        <v>1073.00</v>
      </c>
      <c r="J454" s="1" t="str">
        <f t="shared" si="655"/>
        <v>5.00</v>
      </c>
      <c r="K454" s="1" t="str">
        <f>"0.00"</f>
        <v>0.00</v>
      </c>
      <c r="L454" s="1" t="str">
        <f t="shared" si="674"/>
        <v>0.02</v>
      </c>
      <c r="M454" s="1" t="str">
        <f t="shared" si="595"/>
        <v>0.00</v>
      </c>
      <c r="N454" s="1" t="str">
        <f>"证券买入"</f>
        <v>证券买入</v>
      </c>
    </row>
    <row r="455" spans="1:14">
      <c r="A455" s="1" t="str">
        <f t="shared" si="654"/>
        <v>20171215</v>
      </c>
      <c r="B455" s="1" t="str">
        <f>"09:57:58"</f>
        <v>09:57:58</v>
      </c>
      <c r="C455" s="1" t="str">
        <f t="shared" si="669"/>
        <v>000759</v>
      </c>
      <c r="D455" s="1" t="str">
        <f t="shared" si="670"/>
        <v>中百集团</v>
      </c>
      <c r="E455" s="1" t="str">
        <f>"买入"</f>
        <v>买入</v>
      </c>
      <c r="F455" s="1" t="str">
        <f>"10.830"</f>
        <v>10.830</v>
      </c>
      <c r="G455" s="1" t="str">
        <f t="shared" si="668"/>
        <v>100.00</v>
      </c>
      <c r="H455" s="1" t="str">
        <f t="shared" si="673"/>
        <v>0104152129</v>
      </c>
      <c r="I455" s="1" t="str">
        <f>"1083.00"</f>
        <v>1083.00</v>
      </c>
      <c r="J455" s="1" t="str">
        <f t="shared" si="655"/>
        <v>5.00</v>
      </c>
      <c r="K455" s="1" t="str">
        <f>"0.00"</f>
        <v>0.00</v>
      </c>
      <c r="L455" s="1" t="str">
        <f t="shared" si="674"/>
        <v>0.02</v>
      </c>
      <c r="M455" s="1" t="str">
        <f t="shared" si="595"/>
        <v>0.00</v>
      </c>
      <c r="N455" s="1" t="str">
        <f>"证券买入"</f>
        <v>证券买入</v>
      </c>
    </row>
    <row r="456" spans="1:14">
      <c r="A456" s="1" t="str">
        <f t="shared" si="654"/>
        <v>20171215</v>
      </c>
      <c r="B456" s="1" t="str">
        <f>"10:01:13"</f>
        <v>10:01:13</v>
      </c>
      <c r="C456" s="1" t="str">
        <f t="shared" si="669"/>
        <v>000759</v>
      </c>
      <c r="D456" s="1" t="str">
        <f t="shared" si="670"/>
        <v>中百集团</v>
      </c>
      <c r="E456" s="1" t="str">
        <f t="shared" si="671"/>
        <v>卖出</v>
      </c>
      <c r="F456" s="1" t="str">
        <f>"11.090"</f>
        <v>11.090</v>
      </c>
      <c r="G456" s="1" t="str">
        <f t="shared" si="672"/>
        <v>-100.00</v>
      </c>
      <c r="H456" s="1" t="str">
        <f t="shared" si="673"/>
        <v>0104152129</v>
      </c>
      <c r="I456" s="1" t="str">
        <f>"1109.00"</f>
        <v>1109.00</v>
      </c>
      <c r="J456" s="1" t="str">
        <f t="shared" si="655"/>
        <v>5.00</v>
      </c>
      <c r="K456" s="1" t="str">
        <f>"1.11"</f>
        <v>1.11</v>
      </c>
      <c r="L456" s="1" t="str">
        <f t="shared" si="674"/>
        <v>0.02</v>
      </c>
      <c r="M456" s="1" t="str">
        <f t="shared" si="595"/>
        <v>0.00</v>
      </c>
      <c r="N456" s="1" t="str">
        <f t="shared" si="675"/>
        <v>证券卖出</v>
      </c>
    </row>
    <row r="457" spans="1:14">
      <c r="A457" s="1" t="str">
        <f t="shared" si="654"/>
        <v>20171215</v>
      </c>
      <c r="B457" s="1" t="str">
        <f>"10:04:53"</f>
        <v>10:04:53</v>
      </c>
      <c r="C457" s="1" t="str">
        <f>"300176"</f>
        <v>300176</v>
      </c>
      <c r="D457" s="1" t="str">
        <f>"鸿特精密"</f>
        <v>鸿特精密</v>
      </c>
      <c r="E457" s="1" t="str">
        <f t="shared" si="671"/>
        <v>卖出</v>
      </c>
      <c r="F457" s="1" t="str">
        <f>"129.360"</f>
        <v>129.360</v>
      </c>
      <c r="G457" s="1" t="str">
        <f t="shared" si="672"/>
        <v>-100.00</v>
      </c>
      <c r="H457" s="1" t="str">
        <f t="shared" si="673"/>
        <v>0104152129</v>
      </c>
      <c r="I457" s="1" t="str">
        <f>"12936.00"</f>
        <v>12936.00</v>
      </c>
      <c r="J457" s="1" t="str">
        <f t="shared" si="655"/>
        <v>5.00</v>
      </c>
      <c r="K457" s="1" t="str">
        <f>"12.94"</f>
        <v>12.94</v>
      </c>
      <c r="L457" s="1" t="str">
        <f>"0.26"</f>
        <v>0.26</v>
      </c>
      <c r="M457" s="1" t="str">
        <f t="shared" si="595"/>
        <v>0.00</v>
      </c>
      <c r="N457" s="1" t="str">
        <f t="shared" si="675"/>
        <v>证券卖出</v>
      </c>
    </row>
    <row r="458" spans="1:14">
      <c r="A458" s="1" t="str">
        <f t="shared" si="654"/>
        <v>20171215</v>
      </c>
      <c r="B458" s="1" t="str">
        <f>"10:12:15"</f>
        <v>10:12:15</v>
      </c>
      <c r="C458" s="1" t="str">
        <f>"300101"</f>
        <v>300101</v>
      </c>
      <c r="D458" s="1" t="str">
        <f>"振芯科技"</f>
        <v>振芯科技</v>
      </c>
      <c r="E458" s="1" t="str">
        <f t="shared" si="671"/>
        <v>卖出</v>
      </c>
      <c r="F458" s="1" t="str">
        <f>"15.840"</f>
        <v>15.840</v>
      </c>
      <c r="G458" s="1" t="str">
        <f t="shared" si="672"/>
        <v>-100.00</v>
      </c>
      <c r="H458" s="1" t="str">
        <f t="shared" si="673"/>
        <v>0104152129</v>
      </c>
      <c r="I458" s="1" t="str">
        <f>"1584.00"</f>
        <v>1584.00</v>
      </c>
      <c r="J458" s="1" t="str">
        <f t="shared" si="655"/>
        <v>5.00</v>
      </c>
      <c r="K458" s="1" t="str">
        <f>"1.58"</f>
        <v>1.58</v>
      </c>
      <c r="L458" s="1" t="str">
        <f>"0.03"</f>
        <v>0.03</v>
      </c>
      <c r="M458" s="1" t="str">
        <f t="shared" si="595"/>
        <v>0.00</v>
      </c>
      <c r="N458" s="1" t="str">
        <f t="shared" si="675"/>
        <v>证券卖出</v>
      </c>
    </row>
    <row r="459" spans="1:14">
      <c r="A459" s="1" t="str">
        <f t="shared" si="654"/>
        <v>20171215</v>
      </c>
      <c r="B459" s="1" t="str">
        <f>"10:15:22"</f>
        <v>10:15:22</v>
      </c>
      <c r="C459" s="1" t="str">
        <f>"002797"</f>
        <v>002797</v>
      </c>
      <c r="D459" s="1" t="str">
        <f>"第一创业"</f>
        <v>第一创业</v>
      </c>
      <c r="E459" s="1" t="str">
        <f t="shared" si="671"/>
        <v>卖出</v>
      </c>
      <c r="F459" s="1" t="str">
        <f>"9.530"</f>
        <v>9.530</v>
      </c>
      <c r="G459" s="1" t="str">
        <f>"-300.00"</f>
        <v>-300.00</v>
      </c>
      <c r="H459" s="1" t="str">
        <f t="shared" si="673"/>
        <v>0104152129</v>
      </c>
      <c r="I459" s="1" t="str">
        <f>"2859.00"</f>
        <v>2859.00</v>
      </c>
      <c r="J459" s="1" t="str">
        <f t="shared" si="655"/>
        <v>5.00</v>
      </c>
      <c r="K459" s="1" t="str">
        <f>"2.86"</f>
        <v>2.86</v>
      </c>
      <c r="L459" s="1" t="str">
        <f>"0.06"</f>
        <v>0.06</v>
      </c>
      <c r="M459" s="1" t="str">
        <f t="shared" si="595"/>
        <v>0.00</v>
      </c>
      <c r="N459" s="1" t="str">
        <f t="shared" si="675"/>
        <v>证券卖出</v>
      </c>
    </row>
    <row r="460" spans="1:14">
      <c r="A460" s="1" t="str">
        <f t="shared" si="654"/>
        <v>20171215</v>
      </c>
      <c r="B460" s="1" t="str">
        <f>"11:18:26"</f>
        <v>11:18:26</v>
      </c>
      <c r="C460" s="1" t="str">
        <f>"300223"</f>
        <v>300223</v>
      </c>
      <c r="D460" s="1" t="str">
        <f>"北京君正"</f>
        <v>北京君正</v>
      </c>
      <c r="E460" s="1" t="str">
        <f t="shared" si="671"/>
        <v>卖出</v>
      </c>
      <c r="F460" s="1" t="str">
        <f>"36.860"</f>
        <v>36.860</v>
      </c>
      <c r="G460" s="1" t="str">
        <f>"-100.00"</f>
        <v>-100.00</v>
      </c>
      <c r="H460" s="1" t="str">
        <f t="shared" si="673"/>
        <v>0104152129</v>
      </c>
      <c r="I460" s="1" t="str">
        <f>"3686.00"</f>
        <v>3686.00</v>
      </c>
      <c r="J460" s="1" t="str">
        <f t="shared" si="655"/>
        <v>5.00</v>
      </c>
      <c r="K460" s="1" t="str">
        <f>"3.69"</f>
        <v>3.69</v>
      </c>
      <c r="L460" s="1" t="str">
        <f>"0.07"</f>
        <v>0.07</v>
      </c>
      <c r="M460" s="1" t="str">
        <f t="shared" si="595"/>
        <v>0.00</v>
      </c>
      <c r="N460" s="1" t="str">
        <f t="shared" si="675"/>
        <v>证券卖出</v>
      </c>
    </row>
    <row r="461" spans="1:14">
      <c r="A461" s="1" t="str">
        <f t="shared" si="654"/>
        <v>20171215</v>
      </c>
      <c r="B461" s="1" t="str">
        <f>"22:43:12"</f>
        <v>22:43:12</v>
      </c>
      <c r="C461" s="1" t="str">
        <f>"002921"</f>
        <v>002921</v>
      </c>
      <c r="D461" s="1" t="str">
        <f>"联诚精密"</f>
        <v>联诚精密</v>
      </c>
      <c r="E461" s="1" t="str">
        <f t="shared" ref="E461:E463" si="676">"买入"</f>
        <v>买入</v>
      </c>
      <c r="F461" s="1" t="str">
        <f>"0.000"</f>
        <v>0.000</v>
      </c>
      <c r="G461" s="1" t="str">
        <f>"2.00"</f>
        <v>2.00</v>
      </c>
      <c r="H461" s="1" t="str">
        <f t="shared" si="673"/>
        <v>0104152129</v>
      </c>
      <c r="I461" s="1" t="str">
        <f t="shared" ref="I461:M461" si="677">"0.00"</f>
        <v>0.00</v>
      </c>
      <c r="J461" s="1" t="str">
        <f t="shared" si="677"/>
        <v>0.00</v>
      </c>
      <c r="K461" s="1" t="str">
        <f t="shared" si="677"/>
        <v>0.00</v>
      </c>
      <c r="L461" s="1" t="str">
        <f t="shared" si="677"/>
        <v>0.00</v>
      </c>
      <c r="M461" s="1" t="str">
        <f t="shared" si="677"/>
        <v>0.00</v>
      </c>
      <c r="N461" s="1" t="str">
        <f>"起始配号:20584409"</f>
        <v>起始配号:20584409</v>
      </c>
    </row>
    <row r="462" spans="1:14">
      <c r="A462" s="1" t="str">
        <f t="shared" ref="A462:A472" si="678">"20171218"</f>
        <v>20171218</v>
      </c>
      <c r="B462" s="1" t="str">
        <f>"09:30:00"</f>
        <v>09:30:00</v>
      </c>
      <c r="C462" s="1" t="str">
        <f>"603010"</f>
        <v>603010</v>
      </c>
      <c r="D462" s="1" t="str">
        <f>"万盛股份"</f>
        <v>万盛股份</v>
      </c>
      <c r="E462" s="1" t="str">
        <f t="shared" si="676"/>
        <v>买入</v>
      </c>
      <c r="F462" s="1" t="str">
        <f>"32.950"</f>
        <v>32.950</v>
      </c>
      <c r="G462" s="1" t="str">
        <f>"100.00"</f>
        <v>100.00</v>
      </c>
      <c r="H462" s="1" t="str">
        <f t="shared" ref="H462:H469" si="679">"A850418317"</f>
        <v>A850418317</v>
      </c>
      <c r="I462" s="1" t="str">
        <f>"3295.00"</f>
        <v>3295.00</v>
      </c>
      <c r="J462" s="1" t="str">
        <f t="shared" ref="J462:J479" si="680">"5.00"</f>
        <v>5.00</v>
      </c>
      <c r="K462" s="1" t="str">
        <f t="shared" ref="K462:K465" si="681">"0.00"</f>
        <v>0.00</v>
      </c>
      <c r="L462" s="1" t="str">
        <f>"0.07"</f>
        <v>0.07</v>
      </c>
      <c r="M462" s="1" t="str">
        <f t="shared" ref="M462:M525" si="682">"0.00"</f>
        <v>0.00</v>
      </c>
      <c r="N462" s="1" t="str">
        <f t="shared" ref="N462:N465" si="683">"证券买入"</f>
        <v>证券买入</v>
      </c>
    </row>
    <row r="463" spans="1:14">
      <c r="A463" s="1" t="str">
        <f t="shared" si="678"/>
        <v>20171218</v>
      </c>
      <c r="B463" s="1" t="str">
        <f>"09:44:46"</f>
        <v>09:44:46</v>
      </c>
      <c r="C463" s="1" t="str">
        <f>"601933"</f>
        <v>601933</v>
      </c>
      <c r="D463" s="1" t="str">
        <f>"永辉超市"</f>
        <v>永辉超市</v>
      </c>
      <c r="E463" s="1" t="str">
        <f t="shared" si="676"/>
        <v>买入</v>
      </c>
      <c r="F463" s="1" t="str">
        <f>"10.750"</f>
        <v>10.750</v>
      </c>
      <c r="G463" s="1" t="str">
        <f>"100.00"</f>
        <v>100.00</v>
      </c>
      <c r="H463" s="1" t="str">
        <f t="shared" si="679"/>
        <v>A850418317</v>
      </c>
      <c r="I463" s="1" t="str">
        <f>"1075.00"</f>
        <v>1075.00</v>
      </c>
      <c r="J463" s="1" t="str">
        <f t="shared" si="680"/>
        <v>5.00</v>
      </c>
      <c r="K463" s="1" t="str">
        <f t="shared" si="681"/>
        <v>0.00</v>
      </c>
      <c r="L463" s="1" t="str">
        <f>"0.02"</f>
        <v>0.02</v>
      </c>
      <c r="M463" s="1" t="str">
        <f t="shared" si="682"/>
        <v>0.00</v>
      </c>
      <c r="N463" s="1" t="str">
        <f t="shared" si="683"/>
        <v>证券买入</v>
      </c>
    </row>
    <row r="464" spans="1:14">
      <c r="A464" s="1" t="str">
        <f t="shared" si="678"/>
        <v>20171218</v>
      </c>
      <c r="B464" s="1" t="str">
        <f>"09:45:01"</f>
        <v>09:45:01</v>
      </c>
      <c r="C464" s="1" t="str">
        <f t="shared" ref="C464:C467" si="684">"600280"</f>
        <v>600280</v>
      </c>
      <c r="D464" s="1" t="str">
        <f t="shared" ref="D464:D467" si="685">"中央商场"</f>
        <v>中央商场</v>
      </c>
      <c r="E464" s="1" t="str">
        <f t="shared" ref="E464:E469" si="686">"卖出"</f>
        <v>卖出</v>
      </c>
      <c r="F464" s="1" t="str">
        <f>"9.160"</f>
        <v>9.160</v>
      </c>
      <c r="G464" s="1" t="str">
        <f>"-500.00"</f>
        <v>-500.00</v>
      </c>
      <c r="H464" s="1" t="str">
        <f t="shared" si="679"/>
        <v>A850418317</v>
      </c>
      <c r="I464" s="1" t="str">
        <f>"4580.00"</f>
        <v>4580.00</v>
      </c>
      <c r="J464" s="1" t="str">
        <f t="shared" si="680"/>
        <v>5.00</v>
      </c>
      <c r="K464" s="1" t="str">
        <f>"4.58"</f>
        <v>4.58</v>
      </c>
      <c r="L464" s="1" t="str">
        <f>"0.09"</f>
        <v>0.09</v>
      </c>
      <c r="M464" s="1" t="str">
        <f t="shared" si="682"/>
        <v>0.00</v>
      </c>
      <c r="N464" s="1" t="str">
        <f t="shared" ref="N464:N469" si="687">"证券卖出"</f>
        <v>证券卖出</v>
      </c>
    </row>
    <row r="465" spans="1:14">
      <c r="A465" s="1" t="str">
        <f t="shared" si="678"/>
        <v>20171218</v>
      </c>
      <c r="B465" s="1" t="str">
        <f>"09:45:29"</f>
        <v>09:45:29</v>
      </c>
      <c r="C465" s="1" t="str">
        <f>"601933"</f>
        <v>601933</v>
      </c>
      <c r="D465" s="1" t="str">
        <f>"永辉超市"</f>
        <v>永辉超市</v>
      </c>
      <c r="E465" s="1" t="str">
        <f>"买入"</f>
        <v>买入</v>
      </c>
      <c r="F465" s="1" t="str">
        <f>"10.760"</f>
        <v>10.760</v>
      </c>
      <c r="G465" s="1" t="str">
        <f>"500.00"</f>
        <v>500.00</v>
      </c>
      <c r="H465" s="1" t="str">
        <f t="shared" si="679"/>
        <v>A850418317</v>
      </c>
      <c r="I465" s="1" t="str">
        <f>"5380.00"</f>
        <v>5380.00</v>
      </c>
      <c r="J465" s="1" t="str">
        <f t="shared" si="680"/>
        <v>5.00</v>
      </c>
      <c r="K465" s="1" t="str">
        <f t="shared" si="681"/>
        <v>0.00</v>
      </c>
      <c r="L465" s="1" t="str">
        <f>"0.11"</f>
        <v>0.11</v>
      </c>
      <c r="M465" s="1" t="str">
        <f t="shared" si="682"/>
        <v>0.00</v>
      </c>
      <c r="N465" s="1" t="str">
        <f t="shared" si="683"/>
        <v>证券买入</v>
      </c>
    </row>
    <row r="466" spans="1:14">
      <c r="A466" s="1" t="str">
        <f t="shared" si="678"/>
        <v>20171218</v>
      </c>
      <c r="B466" s="1" t="str">
        <f>"09:46:36"</f>
        <v>09:46:36</v>
      </c>
      <c r="C466" s="1" t="str">
        <f t="shared" si="684"/>
        <v>600280</v>
      </c>
      <c r="D466" s="1" t="str">
        <f t="shared" si="685"/>
        <v>中央商场</v>
      </c>
      <c r="E466" s="1" t="str">
        <f t="shared" si="686"/>
        <v>卖出</v>
      </c>
      <c r="F466" s="1" t="str">
        <f>"9.120"</f>
        <v>9.120</v>
      </c>
      <c r="G466" s="1" t="str">
        <f>"-300.00"</f>
        <v>-300.00</v>
      </c>
      <c r="H466" s="1" t="str">
        <f t="shared" si="679"/>
        <v>A850418317</v>
      </c>
      <c r="I466" s="1" t="str">
        <f>"2736.00"</f>
        <v>2736.00</v>
      </c>
      <c r="J466" s="1" t="str">
        <f t="shared" si="680"/>
        <v>5.00</v>
      </c>
      <c r="K466" s="1" t="str">
        <f>"2.74"</f>
        <v>2.74</v>
      </c>
      <c r="L466" s="1" t="str">
        <f>"0.05"</f>
        <v>0.05</v>
      </c>
      <c r="M466" s="1" t="str">
        <f t="shared" si="682"/>
        <v>0.00</v>
      </c>
      <c r="N466" s="1" t="str">
        <f t="shared" si="687"/>
        <v>证券卖出</v>
      </c>
    </row>
    <row r="467" spans="1:14">
      <c r="A467" s="1" t="str">
        <f t="shared" si="678"/>
        <v>20171218</v>
      </c>
      <c r="B467" s="1" t="str">
        <f>"13:30:26"</f>
        <v>13:30:26</v>
      </c>
      <c r="C467" s="1" t="str">
        <f t="shared" si="684"/>
        <v>600280</v>
      </c>
      <c r="D467" s="1" t="str">
        <f t="shared" si="685"/>
        <v>中央商场</v>
      </c>
      <c r="E467" s="1" t="str">
        <f t="shared" si="686"/>
        <v>卖出</v>
      </c>
      <c r="F467" s="1" t="str">
        <f>"8.740"</f>
        <v>8.740</v>
      </c>
      <c r="G467" s="1" t="str">
        <f>"-500.00"</f>
        <v>-500.00</v>
      </c>
      <c r="H467" s="1" t="str">
        <f t="shared" si="679"/>
        <v>A850418317</v>
      </c>
      <c r="I467" s="1" t="str">
        <f>"4370.00"</f>
        <v>4370.00</v>
      </c>
      <c r="J467" s="1" t="str">
        <f t="shared" si="680"/>
        <v>5.00</v>
      </c>
      <c r="K467" s="1" t="str">
        <f>"4.37"</f>
        <v>4.37</v>
      </c>
      <c r="L467" s="1" t="str">
        <f>"0.09"</f>
        <v>0.09</v>
      </c>
      <c r="M467" s="1" t="str">
        <f t="shared" si="682"/>
        <v>0.00</v>
      </c>
      <c r="N467" s="1" t="str">
        <f t="shared" si="687"/>
        <v>证券卖出</v>
      </c>
    </row>
    <row r="468" spans="1:14">
      <c r="A468" s="1" t="str">
        <f t="shared" si="678"/>
        <v>20171218</v>
      </c>
      <c r="B468" s="1" t="str">
        <f>"13:32:00"</f>
        <v>13:32:00</v>
      </c>
      <c r="C468" s="1" t="str">
        <f>"600171"</f>
        <v>600171</v>
      </c>
      <c r="D468" s="1" t="str">
        <f>"上海贝岭"</f>
        <v>上海贝岭</v>
      </c>
      <c r="E468" s="1" t="str">
        <f t="shared" si="686"/>
        <v>卖出</v>
      </c>
      <c r="F468" s="1" t="str">
        <f>"17.670"</f>
        <v>17.670</v>
      </c>
      <c r="G468" s="1" t="str">
        <f>"-200.00"</f>
        <v>-200.00</v>
      </c>
      <c r="H468" s="1" t="str">
        <f t="shared" si="679"/>
        <v>A850418317</v>
      </c>
      <c r="I468" s="1" t="str">
        <f>"3534.00"</f>
        <v>3534.00</v>
      </c>
      <c r="J468" s="1" t="str">
        <f t="shared" si="680"/>
        <v>5.00</v>
      </c>
      <c r="K468" s="1" t="str">
        <f>"3.53"</f>
        <v>3.53</v>
      </c>
      <c r="L468" s="1" t="str">
        <f>"0.07"</f>
        <v>0.07</v>
      </c>
      <c r="M468" s="1" t="str">
        <f t="shared" si="682"/>
        <v>0.00</v>
      </c>
      <c r="N468" s="1" t="str">
        <f t="shared" si="687"/>
        <v>证券卖出</v>
      </c>
    </row>
    <row r="469" spans="1:14">
      <c r="A469" s="1" t="str">
        <f t="shared" si="678"/>
        <v>20171218</v>
      </c>
      <c r="B469" s="1" t="str">
        <f>"13:32:28"</f>
        <v>13:32:28</v>
      </c>
      <c r="C469" s="1" t="str">
        <f>"600171"</f>
        <v>600171</v>
      </c>
      <c r="D469" s="1" t="str">
        <f>"上海贝岭"</f>
        <v>上海贝岭</v>
      </c>
      <c r="E469" s="1" t="str">
        <f t="shared" si="686"/>
        <v>卖出</v>
      </c>
      <c r="F469" s="1" t="str">
        <f>"17.640"</f>
        <v>17.640</v>
      </c>
      <c r="G469" s="1" t="str">
        <f t="shared" ref="G469:G473" si="688">"-100.00"</f>
        <v>-100.00</v>
      </c>
      <c r="H469" s="1" t="str">
        <f t="shared" si="679"/>
        <v>A850418317</v>
      </c>
      <c r="I469" s="1" t="str">
        <f>"1764.00"</f>
        <v>1764.00</v>
      </c>
      <c r="J469" s="1" t="str">
        <f t="shared" si="680"/>
        <v>5.00</v>
      </c>
      <c r="K469" s="1" t="str">
        <f>"1.76"</f>
        <v>1.76</v>
      </c>
      <c r="L469" s="1" t="str">
        <f>"0.04"</f>
        <v>0.04</v>
      </c>
      <c r="M469" s="1" t="str">
        <f t="shared" si="682"/>
        <v>0.00</v>
      </c>
      <c r="N469" s="1" t="str">
        <f t="shared" si="687"/>
        <v>证券卖出</v>
      </c>
    </row>
    <row r="470" spans="1:14">
      <c r="A470" s="1" t="str">
        <f t="shared" si="678"/>
        <v>20171218</v>
      </c>
      <c r="B470" s="1" t="str">
        <f>"09:31:34"</f>
        <v>09:31:34</v>
      </c>
      <c r="C470" s="1" t="str">
        <f>"002264"</f>
        <v>002264</v>
      </c>
      <c r="D470" s="1" t="str">
        <f>"新 华 都"</f>
        <v>新 华 都</v>
      </c>
      <c r="E470" s="1" t="str">
        <f>"买入"</f>
        <v>买入</v>
      </c>
      <c r="F470" s="1" t="str">
        <f>"12.780"</f>
        <v>12.780</v>
      </c>
      <c r="G470" s="1" t="str">
        <f>"300.00"</f>
        <v>300.00</v>
      </c>
      <c r="H470" s="1" t="str">
        <f t="shared" ref="H470:H472" si="689">"0104152129"</f>
        <v>0104152129</v>
      </c>
      <c r="I470" s="1" t="str">
        <f>"3834.00"</f>
        <v>3834.00</v>
      </c>
      <c r="J470" s="1" t="str">
        <f t="shared" si="680"/>
        <v>5.00</v>
      </c>
      <c r="K470" s="1" t="str">
        <f>"0.00"</f>
        <v>0.00</v>
      </c>
      <c r="L470" s="1" t="str">
        <f>"0.08"</f>
        <v>0.08</v>
      </c>
      <c r="M470" s="1" t="str">
        <f t="shared" si="682"/>
        <v>0.00</v>
      </c>
      <c r="N470" s="1" t="str">
        <f>"证券买入"</f>
        <v>证券买入</v>
      </c>
    </row>
    <row r="471" spans="1:14">
      <c r="A471" s="1" t="str">
        <f t="shared" si="678"/>
        <v>20171218</v>
      </c>
      <c r="B471" s="1" t="str">
        <f>"09:43:52"</f>
        <v>09:43:52</v>
      </c>
      <c r="C471" s="1" t="str">
        <f>"000759"</f>
        <v>000759</v>
      </c>
      <c r="D471" s="1" t="str">
        <f>"中百集团"</f>
        <v>中百集团</v>
      </c>
      <c r="E471" s="1" t="str">
        <f t="shared" ref="E471:E479" si="690">"卖出"</f>
        <v>卖出</v>
      </c>
      <c r="F471" s="1" t="str">
        <f>"10.550"</f>
        <v>10.550</v>
      </c>
      <c r="G471" s="1" t="str">
        <f t="shared" si="688"/>
        <v>-100.00</v>
      </c>
      <c r="H471" s="1" t="str">
        <f t="shared" si="689"/>
        <v>0104152129</v>
      </c>
      <c r="I471" s="1" t="str">
        <f>"1055.00"</f>
        <v>1055.00</v>
      </c>
      <c r="J471" s="1" t="str">
        <f t="shared" si="680"/>
        <v>5.00</v>
      </c>
      <c r="K471" s="1" t="str">
        <f>"1.06"</f>
        <v>1.06</v>
      </c>
      <c r="L471" s="1" t="str">
        <f t="shared" ref="L471:L475" si="691">"0.02"</f>
        <v>0.02</v>
      </c>
      <c r="M471" s="1" t="str">
        <f t="shared" si="682"/>
        <v>0.00</v>
      </c>
      <c r="N471" s="1" t="str">
        <f t="shared" ref="N471:N479" si="692">"证券卖出"</f>
        <v>证券卖出</v>
      </c>
    </row>
    <row r="472" spans="1:14">
      <c r="A472" s="1" t="str">
        <f t="shared" si="678"/>
        <v>20171218</v>
      </c>
      <c r="B472" s="1" t="str">
        <f>"10:02:41"</f>
        <v>10:02:41</v>
      </c>
      <c r="C472" s="1" t="str">
        <f>"000759"</f>
        <v>000759</v>
      </c>
      <c r="D472" s="1" t="str">
        <f>"中百集团"</f>
        <v>中百集团</v>
      </c>
      <c r="E472" s="1" t="str">
        <f t="shared" si="690"/>
        <v>卖出</v>
      </c>
      <c r="F472" s="1" t="str">
        <f>"10.560"</f>
        <v>10.560</v>
      </c>
      <c r="G472" s="1" t="str">
        <f t="shared" si="688"/>
        <v>-100.00</v>
      </c>
      <c r="H472" s="1" t="str">
        <f t="shared" si="689"/>
        <v>0104152129</v>
      </c>
      <c r="I472" s="1" t="str">
        <f>"1056.00"</f>
        <v>1056.00</v>
      </c>
      <c r="J472" s="1" t="str">
        <f t="shared" si="680"/>
        <v>5.00</v>
      </c>
      <c r="K472" s="1" t="str">
        <f>"1.06"</f>
        <v>1.06</v>
      </c>
      <c r="L472" s="1" t="str">
        <f t="shared" si="691"/>
        <v>0.02</v>
      </c>
      <c r="M472" s="1" t="str">
        <f t="shared" si="682"/>
        <v>0.00</v>
      </c>
      <c r="N472" s="1" t="str">
        <f t="shared" si="692"/>
        <v>证券卖出</v>
      </c>
    </row>
    <row r="473" spans="1:14">
      <c r="A473" s="1" t="str">
        <f t="shared" ref="A473:A480" si="693">"20171219"</f>
        <v>20171219</v>
      </c>
      <c r="B473" s="1" t="str">
        <f>"09:25:02"</f>
        <v>09:25:02</v>
      </c>
      <c r="C473" s="1" t="str">
        <f>"603010"</f>
        <v>603010</v>
      </c>
      <c r="D473" s="1" t="str">
        <f>"万盛股份"</f>
        <v>万盛股份</v>
      </c>
      <c r="E473" s="1" t="str">
        <f t="shared" si="690"/>
        <v>卖出</v>
      </c>
      <c r="F473" s="1" t="str">
        <f>"31.220"</f>
        <v>31.220</v>
      </c>
      <c r="G473" s="1" t="str">
        <f t="shared" si="688"/>
        <v>-100.00</v>
      </c>
      <c r="H473" s="1" t="str">
        <f t="shared" ref="H473:H478" si="694">"A850418317"</f>
        <v>A850418317</v>
      </c>
      <c r="I473" s="1" t="str">
        <f>"3122.00"</f>
        <v>3122.00</v>
      </c>
      <c r="J473" s="1" t="str">
        <f t="shared" si="680"/>
        <v>5.00</v>
      </c>
      <c r="K473" s="1" t="str">
        <f>"3.12"</f>
        <v>3.12</v>
      </c>
      <c r="L473" s="1" t="str">
        <f>"0.06"</f>
        <v>0.06</v>
      </c>
      <c r="M473" s="1" t="str">
        <f t="shared" si="682"/>
        <v>0.00</v>
      </c>
      <c r="N473" s="1" t="str">
        <f t="shared" si="692"/>
        <v>证券卖出</v>
      </c>
    </row>
    <row r="474" spans="1:14">
      <c r="A474" s="1" t="str">
        <f t="shared" si="693"/>
        <v>20171219</v>
      </c>
      <c r="B474" s="1" t="str">
        <f>"09:30:00"</f>
        <v>09:30:00</v>
      </c>
      <c r="C474" s="1" t="str">
        <f>"600280"</f>
        <v>600280</v>
      </c>
      <c r="D474" s="1" t="str">
        <f>"中央商场"</f>
        <v>中央商场</v>
      </c>
      <c r="E474" s="1" t="str">
        <f t="shared" si="690"/>
        <v>卖出</v>
      </c>
      <c r="F474" s="1" t="str">
        <f>"8.480"</f>
        <v>8.480</v>
      </c>
      <c r="G474" s="1" t="str">
        <f t="shared" ref="G474:G478" si="695">"-200.00"</f>
        <v>-200.00</v>
      </c>
      <c r="H474" s="1" t="str">
        <f t="shared" si="694"/>
        <v>A850418317</v>
      </c>
      <c r="I474" s="1" t="str">
        <f>"1696.00"</f>
        <v>1696.00</v>
      </c>
      <c r="J474" s="1" t="str">
        <f t="shared" si="680"/>
        <v>5.00</v>
      </c>
      <c r="K474" s="1" t="str">
        <f>"1.70"</f>
        <v>1.70</v>
      </c>
      <c r="L474" s="1" t="str">
        <f>"0.03"</f>
        <v>0.03</v>
      </c>
      <c r="M474" s="1" t="str">
        <f t="shared" si="682"/>
        <v>0.00</v>
      </c>
      <c r="N474" s="1" t="str">
        <f t="shared" si="692"/>
        <v>证券卖出</v>
      </c>
    </row>
    <row r="475" spans="1:14">
      <c r="A475" s="1" t="str">
        <f t="shared" si="693"/>
        <v>20171219</v>
      </c>
      <c r="B475" s="1" t="str">
        <f>"10:07:50"</f>
        <v>10:07:50</v>
      </c>
      <c r="C475" s="1" t="str">
        <f t="shared" ref="C475:C478" si="696">"601933"</f>
        <v>601933</v>
      </c>
      <c r="D475" s="1" t="str">
        <f t="shared" ref="D475:D478" si="697">"永辉超市"</f>
        <v>永辉超市</v>
      </c>
      <c r="E475" s="1" t="str">
        <f t="shared" si="690"/>
        <v>卖出</v>
      </c>
      <c r="F475" s="1" t="str">
        <f>"10.320"</f>
        <v>10.320</v>
      </c>
      <c r="G475" s="1" t="str">
        <f>"-100.00"</f>
        <v>-100.00</v>
      </c>
      <c r="H475" s="1" t="str">
        <f t="shared" si="694"/>
        <v>A850418317</v>
      </c>
      <c r="I475" s="1" t="str">
        <f>"1032.00"</f>
        <v>1032.00</v>
      </c>
      <c r="J475" s="1" t="str">
        <f t="shared" si="680"/>
        <v>5.00</v>
      </c>
      <c r="K475" s="1" t="str">
        <f>"1.03"</f>
        <v>1.03</v>
      </c>
      <c r="L475" s="1" t="str">
        <f t="shared" si="691"/>
        <v>0.02</v>
      </c>
      <c r="M475" s="1" t="str">
        <f t="shared" si="682"/>
        <v>0.00</v>
      </c>
      <c r="N475" s="1" t="str">
        <f t="shared" si="692"/>
        <v>证券卖出</v>
      </c>
    </row>
    <row r="476" spans="1:14">
      <c r="A476" s="1" t="str">
        <f t="shared" si="693"/>
        <v>20171219</v>
      </c>
      <c r="B476" s="1" t="str">
        <f>"10:08:09"</f>
        <v>10:08:09</v>
      </c>
      <c r="C476" s="1" t="str">
        <f t="shared" si="696"/>
        <v>601933</v>
      </c>
      <c r="D476" s="1" t="str">
        <f t="shared" si="697"/>
        <v>永辉超市</v>
      </c>
      <c r="E476" s="1" t="str">
        <f t="shared" si="690"/>
        <v>卖出</v>
      </c>
      <c r="F476" s="1" t="str">
        <f>"10.320"</f>
        <v>10.320</v>
      </c>
      <c r="G476" s="1" t="str">
        <f t="shared" si="695"/>
        <v>-200.00</v>
      </c>
      <c r="H476" s="1" t="str">
        <f t="shared" si="694"/>
        <v>A850418317</v>
      </c>
      <c r="I476" s="1" t="str">
        <f>"2064.00"</f>
        <v>2064.00</v>
      </c>
      <c r="J476" s="1" t="str">
        <f t="shared" si="680"/>
        <v>5.00</v>
      </c>
      <c r="K476" s="1" t="str">
        <f>"2.06"</f>
        <v>2.06</v>
      </c>
      <c r="L476" s="1" t="str">
        <f t="shared" ref="L476:L482" si="698">"0.04"</f>
        <v>0.04</v>
      </c>
      <c r="M476" s="1" t="str">
        <f t="shared" si="682"/>
        <v>0.00</v>
      </c>
      <c r="N476" s="1" t="str">
        <f t="shared" si="692"/>
        <v>证券卖出</v>
      </c>
    </row>
    <row r="477" spans="1:14">
      <c r="A477" s="1" t="str">
        <f t="shared" si="693"/>
        <v>20171219</v>
      </c>
      <c r="B477" s="1" t="str">
        <f>"10:09:24"</f>
        <v>10:09:24</v>
      </c>
      <c r="C477" s="1" t="str">
        <f t="shared" si="696"/>
        <v>601933</v>
      </c>
      <c r="D477" s="1" t="str">
        <f t="shared" si="697"/>
        <v>永辉超市</v>
      </c>
      <c r="E477" s="1" t="str">
        <f t="shared" si="690"/>
        <v>卖出</v>
      </c>
      <c r="F477" s="1" t="str">
        <f>"10.310"</f>
        <v>10.310</v>
      </c>
      <c r="G477" s="1" t="str">
        <f>"-100.00"</f>
        <v>-100.00</v>
      </c>
      <c r="H477" s="1" t="str">
        <f t="shared" si="694"/>
        <v>A850418317</v>
      </c>
      <c r="I477" s="1" t="str">
        <f>"1031.00"</f>
        <v>1031.00</v>
      </c>
      <c r="J477" s="1" t="str">
        <f t="shared" si="680"/>
        <v>5.00</v>
      </c>
      <c r="K477" s="1" t="str">
        <f>"1.03"</f>
        <v>1.03</v>
      </c>
      <c r="L477" s="1" t="str">
        <f>"0.02"</f>
        <v>0.02</v>
      </c>
      <c r="M477" s="1" t="str">
        <f t="shared" si="682"/>
        <v>0.00</v>
      </c>
      <c r="N477" s="1" t="str">
        <f t="shared" si="692"/>
        <v>证券卖出</v>
      </c>
    </row>
    <row r="478" spans="1:14">
      <c r="A478" s="1" t="str">
        <f t="shared" si="693"/>
        <v>20171219</v>
      </c>
      <c r="B478" s="1" t="str">
        <f>"10:55:08"</f>
        <v>10:55:08</v>
      </c>
      <c r="C478" s="1" t="str">
        <f t="shared" si="696"/>
        <v>601933</v>
      </c>
      <c r="D478" s="1" t="str">
        <f t="shared" si="697"/>
        <v>永辉超市</v>
      </c>
      <c r="E478" s="1" t="str">
        <f t="shared" si="690"/>
        <v>卖出</v>
      </c>
      <c r="F478" s="1" t="str">
        <f>"10.250"</f>
        <v>10.250</v>
      </c>
      <c r="G478" s="1" t="str">
        <f t="shared" si="695"/>
        <v>-200.00</v>
      </c>
      <c r="H478" s="1" t="str">
        <f t="shared" si="694"/>
        <v>A850418317</v>
      </c>
      <c r="I478" s="1" t="str">
        <f>"2050.00"</f>
        <v>2050.00</v>
      </c>
      <c r="J478" s="1" t="str">
        <f t="shared" si="680"/>
        <v>5.00</v>
      </c>
      <c r="K478" s="1" t="str">
        <f>"2.05"</f>
        <v>2.05</v>
      </c>
      <c r="L478" s="1" t="str">
        <f t="shared" si="698"/>
        <v>0.04</v>
      </c>
      <c r="M478" s="1" t="str">
        <f t="shared" si="682"/>
        <v>0.00</v>
      </c>
      <c r="N478" s="1" t="str">
        <f t="shared" si="692"/>
        <v>证券卖出</v>
      </c>
    </row>
    <row r="479" spans="1:14">
      <c r="A479" s="1" t="str">
        <f t="shared" si="693"/>
        <v>20171219</v>
      </c>
      <c r="B479" s="1" t="str">
        <f>"09:30:01"</f>
        <v>09:30:01</v>
      </c>
      <c r="C479" s="1" t="str">
        <f>"002264"</f>
        <v>002264</v>
      </c>
      <c r="D479" s="1" t="str">
        <f>"新 华 都"</f>
        <v>新 华 都</v>
      </c>
      <c r="E479" s="1" t="str">
        <f t="shared" si="690"/>
        <v>卖出</v>
      </c>
      <c r="F479" s="1" t="str">
        <f>"11.250"</f>
        <v>11.250</v>
      </c>
      <c r="G479" s="1" t="str">
        <f>"-300.00"</f>
        <v>-300.00</v>
      </c>
      <c r="H479" s="1" t="str">
        <f>"0104152129"</f>
        <v>0104152129</v>
      </c>
      <c r="I479" s="1" t="str">
        <f>"3375.00"</f>
        <v>3375.00</v>
      </c>
      <c r="J479" s="1" t="str">
        <f t="shared" si="680"/>
        <v>5.00</v>
      </c>
      <c r="K479" s="1" t="str">
        <f>"3.38"</f>
        <v>3.38</v>
      </c>
      <c r="L479" s="1" t="str">
        <f>"0.07"</f>
        <v>0.07</v>
      </c>
      <c r="M479" s="1" t="str">
        <f t="shared" si="682"/>
        <v>0.00</v>
      </c>
      <c r="N479" s="1" t="str">
        <f t="shared" si="692"/>
        <v>证券卖出</v>
      </c>
    </row>
    <row r="480" spans="1:14">
      <c r="A480" s="1" t="str">
        <f t="shared" si="693"/>
        <v>20171219</v>
      </c>
      <c r="B480" s="1" t="str">
        <f>"21:47:05"</f>
        <v>21:47:05</v>
      </c>
      <c r="C480" s="1" t="str">
        <f>"300735"</f>
        <v>300735</v>
      </c>
      <c r="D480" s="1" t="str">
        <f>"光弘科技"</f>
        <v>光弘科技</v>
      </c>
      <c r="E480" s="1" t="str">
        <f t="shared" ref="E480:E487" si="699">"买入"</f>
        <v>买入</v>
      </c>
      <c r="F480" s="1" t="str">
        <f>"0.000"</f>
        <v>0.000</v>
      </c>
      <c r="G480" s="1" t="str">
        <f>"2.00"</f>
        <v>2.00</v>
      </c>
      <c r="H480" s="1" t="str">
        <f>"0104152129"</f>
        <v>0104152129</v>
      </c>
      <c r="I480" s="1" t="str">
        <f t="shared" ref="I480:L480" si="700">"0.00"</f>
        <v>0.00</v>
      </c>
      <c r="J480" s="1" t="str">
        <f t="shared" si="700"/>
        <v>0.00</v>
      </c>
      <c r="K480" s="1" t="str">
        <f t="shared" si="700"/>
        <v>0.00</v>
      </c>
      <c r="L480" s="1" t="str">
        <f t="shared" si="700"/>
        <v>0.00</v>
      </c>
      <c r="M480" s="1" t="str">
        <f t="shared" si="682"/>
        <v>0.00</v>
      </c>
      <c r="N480" s="1" t="str">
        <f>"起始配号:23187531"</f>
        <v>起始配号:23187531</v>
      </c>
    </row>
    <row r="481" spans="1:14">
      <c r="A481" s="1" t="str">
        <f t="shared" ref="A481:A487" si="701">"20171220"</f>
        <v>20171220</v>
      </c>
      <c r="B481" s="1" t="str">
        <f>"09:45:43"</f>
        <v>09:45:43</v>
      </c>
      <c r="C481" s="1" t="str">
        <f>"601933"</f>
        <v>601933</v>
      </c>
      <c r="D481" s="1" t="str">
        <f>"永辉超市"</f>
        <v>永辉超市</v>
      </c>
      <c r="E481" s="1" t="str">
        <f t="shared" si="699"/>
        <v>买入</v>
      </c>
      <c r="F481" s="1" t="str">
        <f>"10.630"</f>
        <v>10.630</v>
      </c>
      <c r="G481" s="1" t="str">
        <f t="shared" ref="G481:G483" si="702">"200.00"</f>
        <v>200.00</v>
      </c>
      <c r="H481" s="1" t="str">
        <f t="shared" ref="H481:H485" si="703">"A850418317"</f>
        <v>A850418317</v>
      </c>
      <c r="I481" s="1" t="str">
        <f>"2126.00"</f>
        <v>2126.00</v>
      </c>
      <c r="J481" s="1" t="str">
        <f t="shared" ref="J481:J486" si="704">"5.00"</f>
        <v>5.00</v>
      </c>
      <c r="K481" s="1" t="str">
        <f t="shared" ref="K481:K487" si="705">"0.00"</f>
        <v>0.00</v>
      </c>
      <c r="L481" s="1" t="str">
        <f t="shared" si="698"/>
        <v>0.04</v>
      </c>
      <c r="M481" s="1" t="str">
        <f t="shared" si="682"/>
        <v>0.00</v>
      </c>
      <c r="N481" s="1" t="str">
        <f t="shared" ref="N481:N486" si="706">"证券买入"</f>
        <v>证券买入</v>
      </c>
    </row>
    <row r="482" spans="1:14">
      <c r="A482" s="1" t="str">
        <f t="shared" si="701"/>
        <v>20171220</v>
      </c>
      <c r="B482" s="1" t="str">
        <f>"09:45:48"</f>
        <v>09:45:48</v>
      </c>
      <c r="C482" s="1" t="str">
        <f>"601933"</f>
        <v>601933</v>
      </c>
      <c r="D482" s="1" t="str">
        <f>"永辉超市"</f>
        <v>永辉超市</v>
      </c>
      <c r="E482" s="1" t="str">
        <f t="shared" si="699"/>
        <v>买入</v>
      </c>
      <c r="F482" s="1" t="str">
        <f>"10.640"</f>
        <v>10.640</v>
      </c>
      <c r="G482" s="1" t="str">
        <f t="shared" si="702"/>
        <v>200.00</v>
      </c>
      <c r="H482" s="1" t="str">
        <f t="shared" si="703"/>
        <v>A850418317</v>
      </c>
      <c r="I482" s="1" t="str">
        <f>"2128.00"</f>
        <v>2128.00</v>
      </c>
      <c r="J482" s="1" t="str">
        <f t="shared" si="704"/>
        <v>5.00</v>
      </c>
      <c r="K482" s="1" t="str">
        <f t="shared" si="705"/>
        <v>0.00</v>
      </c>
      <c r="L482" s="1" t="str">
        <f t="shared" si="698"/>
        <v>0.04</v>
      </c>
      <c r="M482" s="1" t="str">
        <f t="shared" si="682"/>
        <v>0.00</v>
      </c>
      <c r="N482" s="1" t="str">
        <f t="shared" si="706"/>
        <v>证券买入</v>
      </c>
    </row>
    <row r="483" spans="1:14">
      <c r="A483" s="1" t="str">
        <f t="shared" si="701"/>
        <v>20171220</v>
      </c>
      <c r="B483" s="1" t="str">
        <f>"09:56:39"</f>
        <v>09:56:39</v>
      </c>
      <c r="C483" s="1" t="str">
        <f>"600835"</f>
        <v>600835</v>
      </c>
      <c r="D483" s="1" t="str">
        <f>"上海机电"</f>
        <v>上海机电</v>
      </c>
      <c r="E483" s="1" t="str">
        <f t="shared" si="699"/>
        <v>买入</v>
      </c>
      <c r="F483" s="1" t="str">
        <f>"27.090"</f>
        <v>27.090</v>
      </c>
      <c r="G483" s="1" t="str">
        <f t="shared" si="702"/>
        <v>200.00</v>
      </c>
      <c r="H483" s="1" t="str">
        <f t="shared" si="703"/>
        <v>A850418317</v>
      </c>
      <c r="I483" s="1" t="str">
        <f>"5418.00"</f>
        <v>5418.00</v>
      </c>
      <c r="J483" s="1" t="str">
        <f t="shared" si="704"/>
        <v>5.00</v>
      </c>
      <c r="K483" s="1" t="str">
        <f t="shared" si="705"/>
        <v>0.00</v>
      </c>
      <c r="L483" s="1" t="str">
        <f>"0.11"</f>
        <v>0.11</v>
      </c>
      <c r="M483" s="1" t="str">
        <f t="shared" si="682"/>
        <v>0.00</v>
      </c>
      <c r="N483" s="1" t="str">
        <f t="shared" si="706"/>
        <v>证券买入</v>
      </c>
    </row>
    <row r="484" spans="1:14">
      <c r="A484" s="1" t="str">
        <f t="shared" si="701"/>
        <v>20171220</v>
      </c>
      <c r="B484" s="1" t="str">
        <f>"10:05:01"</f>
        <v>10:05:01</v>
      </c>
      <c r="C484" s="1" t="str">
        <f>"601318"</f>
        <v>601318</v>
      </c>
      <c r="D484" s="1" t="str">
        <f>"中国平安"</f>
        <v>中国平安</v>
      </c>
      <c r="E484" s="1" t="str">
        <f t="shared" si="699"/>
        <v>买入</v>
      </c>
      <c r="F484" s="1" t="str">
        <f>"73.810"</f>
        <v>73.810</v>
      </c>
      <c r="G484" s="1" t="str">
        <f>"100.00"</f>
        <v>100.00</v>
      </c>
      <c r="H484" s="1" t="str">
        <f t="shared" si="703"/>
        <v>A850418317</v>
      </c>
      <c r="I484" s="1" t="str">
        <f>"7381.00"</f>
        <v>7381.00</v>
      </c>
      <c r="J484" s="1" t="str">
        <f t="shared" si="704"/>
        <v>5.00</v>
      </c>
      <c r="K484" s="1" t="str">
        <f t="shared" si="705"/>
        <v>0.00</v>
      </c>
      <c r="L484" s="1" t="str">
        <f>"0.15"</f>
        <v>0.15</v>
      </c>
      <c r="M484" s="1" t="str">
        <f t="shared" si="682"/>
        <v>0.00</v>
      </c>
      <c r="N484" s="1" t="str">
        <f t="shared" si="706"/>
        <v>证券买入</v>
      </c>
    </row>
    <row r="485" spans="1:14">
      <c r="A485" s="1" t="str">
        <f t="shared" si="701"/>
        <v>20171220</v>
      </c>
      <c r="B485" s="1" t="str">
        <f>"14:50:26"</f>
        <v>14:50:26</v>
      </c>
      <c r="C485" s="1" t="str">
        <f>"600198"</f>
        <v>600198</v>
      </c>
      <c r="D485" s="1" t="str">
        <f>"大唐电信"</f>
        <v>大唐电信</v>
      </c>
      <c r="E485" s="1" t="str">
        <f t="shared" si="699"/>
        <v>买入</v>
      </c>
      <c r="F485" s="1" t="str">
        <f>"11.840"</f>
        <v>11.840</v>
      </c>
      <c r="G485" s="1" t="str">
        <f>"200.00"</f>
        <v>200.00</v>
      </c>
      <c r="H485" s="1" t="str">
        <f t="shared" si="703"/>
        <v>A850418317</v>
      </c>
      <c r="I485" s="1" t="str">
        <f>"2368.00"</f>
        <v>2368.00</v>
      </c>
      <c r="J485" s="1" t="str">
        <f t="shared" si="704"/>
        <v>5.00</v>
      </c>
      <c r="K485" s="1" t="str">
        <f t="shared" si="705"/>
        <v>0.00</v>
      </c>
      <c r="L485" s="1" t="str">
        <f>"0.05"</f>
        <v>0.05</v>
      </c>
      <c r="M485" s="1" t="str">
        <f t="shared" si="682"/>
        <v>0.00</v>
      </c>
      <c r="N485" s="1" t="str">
        <f t="shared" si="706"/>
        <v>证券买入</v>
      </c>
    </row>
    <row r="486" spans="1:14">
      <c r="A486" s="1" t="str">
        <f t="shared" si="701"/>
        <v>20171220</v>
      </c>
      <c r="B486" s="1" t="str">
        <f>"10:05:55"</f>
        <v>10:05:55</v>
      </c>
      <c r="C486" s="1" t="str">
        <f>"000858"</f>
        <v>000858</v>
      </c>
      <c r="D486" s="1" t="str">
        <f>"五 粮 液"</f>
        <v>五 粮 液</v>
      </c>
      <c r="E486" s="1" t="str">
        <f t="shared" si="699"/>
        <v>买入</v>
      </c>
      <c r="F486" s="1" t="str">
        <f>"80.600"</f>
        <v>80.600</v>
      </c>
      <c r="G486" s="1" t="str">
        <f>"100.00"</f>
        <v>100.00</v>
      </c>
      <c r="H486" s="1" t="str">
        <f t="shared" ref="H486:H490" si="707">"0104152129"</f>
        <v>0104152129</v>
      </c>
      <c r="I486" s="1" t="str">
        <f>"8060.00"</f>
        <v>8060.00</v>
      </c>
      <c r="J486" s="1" t="str">
        <f t="shared" si="704"/>
        <v>5.00</v>
      </c>
      <c r="K486" s="1" t="str">
        <f t="shared" si="705"/>
        <v>0.00</v>
      </c>
      <c r="L486" s="1" t="str">
        <f>"0.16"</f>
        <v>0.16</v>
      </c>
      <c r="M486" s="1" t="str">
        <f t="shared" si="682"/>
        <v>0.00</v>
      </c>
      <c r="N486" s="1" t="str">
        <f t="shared" si="706"/>
        <v>证券买入</v>
      </c>
    </row>
    <row r="487" spans="1:14">
      <c r="A487" s="1" t="str">
        <f t="shared" si="701"/>
        <v>20171220</v>
      </c>
      <c r="B487" s="1" t="str">
        <f>"22:10:33"</f>
        <v>22:10:33</v>
      </c>
      <c r="C487" s="1" t="str">
        <f>"002922"</f>
        <v>002922</v>
      </c>
      <c r="D487" s="1" t="str">
        <f>"伊戈尔"</f>
        <v>伊戈尔</v>
      </c>
      <c r="E487" s="1" t="str">
        <f t="shared" si="699"/>
        <v>买入</v>
      </c>
      <c r="F487" s="1" t="str">
        <f t="shared" ref="F487:F493" si="708">"0.000"</f>
        <v>0.000</v>
      </c>
      <c r="G487" s="1" t="str">
        <f>"2.00"</f>
        <v>2.00</v>
      </c>
      <c r="H487" s="1" t="str">
        <f t="shared" si="707"/>
        <v>0104152129</v>
      </c>
      <c r="I487" s="1" t="str">
        <f t="shared" ref="I487:L487" si="709">"0.00"</f>
        <v>0.00</v>
      </c>
      <c r="J487" s="1" t="str">
        <f t="shared" si="709"/>
        <v>0.00</v>
      </c>
      <c r="K487" s="1" t="str">
        <f t="shared" si="705"/>
        <v>0.00</v>
      </c>
      <c r="L487" s="1" t="str">
        <f t="shared" si="709"/>
        <v>0.00</v>
      </c>
      <c r="M487" s="1" t="str">
        <f t="shared" si="682"/>
        <v>0.00</v>
      </c>
      <c r="N487" s="1" t="str">
        <f>"起始配号:9386208"</f>
        <v>起始配号:9386208</v>
      </c>
    </row>
    <row r="488" spans="1:14">
      <c r="A488" s="1" t="str">
        <f t="shared" ref="A488:A490" si="710">"20171221"</f>
        <v>20171221</v>
      </c>
      <c r="B488" s="1" t="str">
        <f>"09:53:30"</f>
        <v>09:53:30</v>
      </c>
      <c r="C488" s="1" t="str">
        <f>"600198"</f>
        <v>600198</v>
      </c>
      <c r="D488" s="1" t="str">
        <f>"大唐电信"</f>
        <v>大唐电信</v>
      </c>
      <c r="E488" s="1" t="str">
        <f>"卖出"</f>
        <v>卖出</v>
      </c>
      <c r="F488" s="1" t="str">
        <f>"11.530"</f>
        <v>11.530</v>
      </c>
      <c r="G488" s="1" t="str">
        <f>"-200.00"</f>
        <v>-200.00</v>
      </c>
      <c r="H488" s="1" t="str">
        <f t="shared" ref="H488:H491" si="711">"A850418317"</f>
        <v>A850418317</v>
      </c>
      <c r="I488" s="1" t="str">
        <f>"2306.00"</f>
        <v>2306.00</v>
      </c>
      <c r="J488" s="1" t="str">
        <f>"5.00"</f>
        <v>5.00</v>
      </c>
      <c r="K488" s="1" t="str">
        <f>"2.31"</f>
        <v>2.31</v>
      </c>
      <c r="L488" s="1" t="str">
        <f>"0.05"</f>
        <v>0.05</v>
      </c>
      <c r="M488" s="1" t="str">
        <f t="shared" si="682"/>
        <v>0.00</v>
      </c>
      <c r="N488" s="1" t="str">
        <f>"证券卖出"</f>
        <v>证券卖出</v>
      </c>
    </row>
    <row r="489" spans="1:14">
      <c r="A489" s="1" t="str">
        <f t="shared" si="710"/>
        <v>20171221</v>
      </c>
      <c r="B489" s="1" t="str">
        <f>"09:53:40"</f>
        <v>09:53:40</v>
      </c>
      <c r="C489" s="1" t="str">
        <f>"601933"</f>
        <v>601933</v>
      </c>
      <c r="D489" s="1" t="str">
        <f>"永辉超市"</f>
        <v>永辉超市</v>
      </c>
      <c r="E489" s="1" t="str">
        <f t="shared" ref="E489:E497" si="712">"买入"</f>
        <v>买入</v>
      </c>
      <c r="F489" s="1" t="str">
        <f>"10.590"</f>
        <v>10.590</v>
      </c>
      <c r="G489" s="1" t="str">
        <f>"200.00"</f>
        <v>200.00</v>
      </c>
      <c r="H489" s="1" t="str">
        <f t="shared" si="711"/>
        <v>A850418317</v>
      </c>
      <c r="I489" s="1" t="str">
        <f>"2118.00"</f>
        <v>2118.00</v>
      </c>
      <c r="J489" s="1" t="str">
        <f>"5.00"</f>
        <v>5.00</v>
      </c>
      <c r="K489" s="1" t="str">
        <f>"0.00"</f>
        <v>0.00</v>
      </c>
      <c r="L489" s="1" t="str">
        <f>"0.04"</f>
        <v>0.04</v>
      </c>
      <c r="M489" s="1" t="str">
        <f t="shared" si="682"/>
        <v>0.00</v>
      </c>
      <c r="N489" s="1" t="str">
        <f>"证券买入"</f>
        <v>证券买入</v>
      </c>
    </row>
    <row r="490" spans="1:14">
      <c r="A490" s="1" t="str">
        <f t="shared" si="710"/>
        <v>20171221</v>
      </c>
      <c r="B490" s="1" t="str">
        <f>"22:02:14"</f>
        <v>22:02:14</v>
      </c>
      <c r="C490" s="1" t="str">
        <f>"072460"</f>
        <v>072460</v>
      </c>
      <c r="D490" s="1" t="str">
        <f>"赣锋发债"</f>
        <v>赣锋发债</v>
      </c>
      <c r="E490" s="1" t="str">
        <f t="shared" si="712"/>
        <v>买入</v>
      </c>
      <c r="F490" s="1" t="str">
        <f t="shared" si="708"/>
        <v>0.000</v>
      </c>
      <c r="G490" s="1" t="str">
        <f t="shared" ref="G490:G493" si="713">"1000.00"</f>
        <v>1000.00</v>
      </c>
      <c r="H490" s="1" t="str">
        <f t="shared" si="707"/>
        <v>0104152129</v>
      </c>
      <c r="I490" s="1" t="str">
        <f t="shared" ref="I490:L490" si="714">"0.00"</f>
        <v>0.00</v>
      </c>
      <c r="J490" s="1" t="str">
        <f t="shared" si="714"/>
        <v>0.00</v>
      </c>
      <c r="K490" s="1" t="str">
        <f t="shared" si="714"/>
        <v>0.00</v>
      </c>
      <c r="L490" s="1" t="str">
        <f t="shared" si="714"/>
        <v>0.00</v>
      </c>
      <c r="M490" s="1" t="str">
        <f t="shared" si="682"/>
        <v>0.00</v>
      </c>
      <c r="N490" s="1" t="str">
        <f>"起始配号:152494379"</f>
        <v>起始配号:152494379</v>
      </c>
    </row>
    <row r="491" spans="1:14">
      <c r="A491" s="1" t="str">
        <f t="shared" ref="A491:A493" si="715">"20171222"</f>
        <v>20171222</v>
      </c>
      <c r="B491" s="1" t="str">
        <f>"21:49:40"</f>
        <v>21:49:40</v>
      </c>
      <c r="C491" s="1" t="str">
        <f>"744863"</f>
        <v>744863</v>
      </c>
      <c r="D491" s="1" t="str">
        <f>"内蒙配号"</f>
        <v>内蒙配号</v>
      </c>
      <c r="E491" s="1" t="str">
        <f t="shared" si="712"/>
        <v>买入</v>
      </c>
      <c r="F491" s="1" t="str">
        <f t="shared" si="708"/>
        <v>0.000</v>
      </c>
      <c r="G491" s="1" t="str">
        <f t="shared" si="713"/>
        <v>1000.00</v>
      </c>
      <c r="H491" s="1" t="str">
        <f t="shared" si="711"/>
        <v>A850418317</v>
      </c>
      <c r="I491" s="1" t="str">
        <f t="shared" ref="I491:L491" si="716">"0.00"</f>
        <v>0.00</v>
      </c>
      <c r="J491" s="1" t="str">
        <f t="shared" si="716"/>
        <v>0.00</v>
      </c>
      <c r="K491" s="1" t="str">
        <f t="shared" si="716"/>
        <v>0.00</v>
      </c>
      <c r="L491" s="1" t="str">
        <f t="shared" si="716"/>
        <v>0.00</v>
      </c>
      <c r="M491" s="1" t="str">
        <f t="shared" si="682"/>
        <v>0.00</v>
      </c>
      <c r="N491" s="1" t="str">
        <f>"起始配号:100613763020"</f>
        <v>起始配号:100613763020</v>
      </c>
    </row>
    <row r="492" spans="1:14">
      <c r="A492" s="1" t="str">
        <f t="shared" si="715"/>
        <v>20171222</v>
      </c>
      <c r="B492" s="1" t="str">
        <f>"21:49:30"</f>
        <v>21:49:30</v>
      </c>
      <c r="C492" s="1" t="str">
        <f>"072078"</f>
        <v>072078</v>
      </c>
      <c r="D492" s="1" t="str">
        <f>"太阳发债"</f>
        <v>太阳发债</v>
      </c>
      <c r="E492" s="1" t="str">
        <f t="shared" si="712"/>
        <v>买入</v>
      </c>
      <c r="F492" s="1" t="str">
        <f t="shared" si="708"/>
        <v>0.000</v>
      </c>
      <c r="G492" s="1" t="str">
        <f t="shared" si="713"/>
        <v>1000.00</v>
      </c>
      <c r="H492" s="1" t="str">
        <f t="shared" ref="H492:H495" si="717">"0104152129"</f>
        <v>0104152129</v>
      </c>
      <c r="I492" s="1" t="str">
        <f t="shared" ref="I492:L492" si="718">"0.00"</f>
        <v>0.00</v>
      </c>
      <c r="J492" s="1" t="str">
        <f t="shared" si="718"/>
        <v>0.00</v>
      </c>
      <c r="K492" s="1" t="str">
        <f t="shared" si="718"/>
        <v>0.00</v>
      </c>
      <c r="L492" s="1" t="str">
        <f t="shared" si="718"/>
        <v>0.00</v>
      </c>
      <c r="M492" s="1" t="str">
        <f t="shared" si="682"/>
        <v>0.00</v>
      </c>
      <c r="N492" s="1" t="str">
        <f>"起始配号:701848300"</f>
        <v>起始配号:701848300</v>
      </c>
    </row>
    <row r="493" spans="1:14">
      <c r="A493" s="1" t="str">
        <f t="shared" si="715"/>
        <v>20171222</v>
      </c>
      <c r="B493" s="1" t="str">
        <f>"21:49:30"</f>
        <v>21:49:30</v>
      </c>
      <c r="C493" s="1" t="str">
        <f t="shared" ref="C493:C497" si="719">"072100"</f>
        <v>072100</v>
      </c>
      <c r="D493" s="1" t="str">
        <f t="shared" ref="D493:D497" si="720">"天康发债"</f>
        <v>天康发债</v>
      </c>
      <c r="E493" s="1" t="str">
        <f t="shared" si="712"/>
        <v>买入</v>
      </c>
      <c r="F493" s="1" t="str">
        <f t="shared" si="708"/>
        <v>0.000</v>
      </c>
      <c r="G493" s="1" t="str">
        <f t="shared" si="713"/>
        <v>1000.00</v>
      </c>
      <c r="H493" s="1" t="str">
        <f t="shared" si="717"/>
        <v>0104152129</v>
      </c>
      <c r="I493" s="1" t="str">
        <f t="shared" ref="I493:L493" si="721">"0.00"</f>
        <v>0.00</v>
      </c>
      <c r="J493" s="1" t="str">
        <f t="shared" si="721"/>
        <v>0.00</v>
      </c>
      <c r="K493" s="1" t="str">
        <f t="shared" si="721"/>
        <v>0.00</v>
      </c>
      <c r="L493" s="1" t="str">
        <f t="shared" si="721"/>
        <v>0.00</v>
      </c>
      <c r="M493" s="1" t="str">
        <f t="shared" si="682"/>
        <v>0.00</v>
      </c>
      <c r="N493" s="1" t="str">
        <f>"起始配号:653894856"</f>
        <v>起始配号:653894856</v>
      </c>
    </row>
    <row r="494" spans="1:14">
      <c r="A494" s="1" t="str">
        <f t="shared" ref="A494:A497" si="722">"20171225"</f>
        <v>20171225</v>
      </c>
      <c r="B494" s="1" t="str">
        <f>"16:00:00"</f>
        <v>16:00:00</v>
      </c>
      <c r="C494" s="1" t="str">
        <f>"733863"</f>
        <v>733863</v>
      </c>
      <c r="D494" s="1" t="str">
        <f>"内蒙发债"</f>
        <v>内蒙发债</v>
      </c>
      <c r="E494" s="1" t="str">
        <f t="shared" si="712"/>
        <v>买入</v>
      </c>
      <c r="F494" s="1" t="str">
        <f t="shared" ref="F494:F497" si="723">"100.000"</f>
        <v>100.000</v>
      </c>
      <c r="G494" s="1" t="str">
        <f>"20.00"</f>
        <v>20.00</v>
      </c>
      <c r="H494" s="1" t="str">
        <f t="shared" ref="H494:H502" si="724">"A850418317"</f>
        <v>A850418317</v>
      </c>
      <c r="I494" s="1" t="str">
        <f t="shared" ref="I494:L494" si="725">"0.00"</f>
        <v>0.00</v>
      </c>
      <c r="J494" s="1" t="str">
        <f t="shared" si="725"/>
        <v>0.00</v>
      </c>
      <c r="K494" s="1" t="str">
        <f t="shared" si="725"/>
        <v>0.00</v>
      </c>
      <c r="L494" s="1" t="str">
        <f t="shared" si="725"/>
        <v>0.00</v>
      </c>
      <c r="M494" s="1" t="str">
        <f t="shared" si="682"/>
        <v>0.00</v>
      </c>
      <c r="N494" s="1" t="str">
        <f>"债券信用申购中签"</f>
        <v>债券信用申购中签</v>
      </c>
    </row>
    <row r="495" spans="1:14">
      <c r="A495" s="1" t="str">
        <f t="shared" si="722"/>
        <v>20171225</v>
      </c>
      <c r="B495" s="1" t="str">
        <f>"16:00:00"</f>
        <v>16:00:00</v>
      </c>
      <c r="C495" s="1" t="str">
        <f t="shared" si="719"/>
        <v>072100</v>
      </c>
      <c r="D495" s="1" t="str">
        <f t="shared" si="720"/>
        <v>天康发债</v>
      </c>
      <c r="E495" s="1" t="str">
        <f t="shared" si="712"/>
        <v>买入</v>
      </c>
      <c r="F495" s="1" t="str">
        <f t="shared" si="723"/>
        <v>100.000</v>
      </c>
      <c r="G495" s="1" t="str">
        <f>"10.00"</f>
        <v>10.00</v>
      </c>
      <c r="H495" s="1" t="str">
        <f t="shared" si="717"/>
        <v>0104152129</v>
      </c>
      <c r="I495" s="1" t="str">
        <f t="shared" ref="I495:L495" si="726">"0.00"</f>
        <v>0.00</v>
      </c>
      <c r="J495" s="1" t="str">
        <f t="shared" si="726"/>
        <v>0.00</v>
      </c>
      <c r="K495" s="1" t="str">
        <f t="shared" si="726"/>
        <v>0.00</v>
      </c>
      <c r="L495" s="1" t="str">
        <f t="shared" si="726"/>
        <v>0.00</v>
      </c>
      <c r="M495" s="1" t="str">
        <f t="shared" si="682"/>
        <v>0.00</v>
      </c>
      <c r="N495" s="1" t="str">
        <f>"债券信用申购中签"</f>
        <v>债券信用申购中签</v>
      </c>
    </row>
    <row r="496" spans="1:14">
      <c r="A496" s="1" t="str">
        <f t="shared" si="722"/>
        <v>20171225</v>
      </c>
      <c r="B496" s="1" t="str">
        <f>"17:00:00"</f>
        <v>17:00:00</v>
      </c>
      <c r="C496" s="1" t="str">
        <f>"733863"</f>
        <v>733863</v>
      </c>
      <c r="D496" s="1" t="str">
        <f>"内蒙发债"</f>
        <v>内蒙发债</v>
      </c>
      <c r="E496" s="1" t="str">
        <f t="shared" si="712"/>
        <v>买入</v>
      </c>
      <c r="F496" s="1" t="str">
        <f t="shared" si="723"/>
        <v>100.000</v>
      </c>
      <c r="G496" s="1" t="str">
        <f t="shared" ref="G496:L496" si="727">"0.00"</f>
        <v>0.00</v>
      </c>
      <c r="H496" s="1" t="str">
        <f t="shared" si="724"/>
        <v>A850418317</v>
      </c>
      <c r="I496" s="1" t="str">
        <f>"2000.00"</f>
        <v>2000.00</v>
      </c>
      <c r="J496" s="1" t="str">
        <f t="shared" si="727"/>
        <v>0.00</v>
      </c>
      <c r="K496" s="1" t="str">
        <f t="shared" si="727"/>
        <v>0.00</v>
      </c>
      <c r="L496" s="1" t="str">
        <f t="shared" si="727"/>
        <v>0.00</v>
      </c>
      <c r="M496" s="1" t="str">
        <f t="shared" si="682"/>
        <v>0.00</v>
      </c>
      <c r="N496" s="1" t="str">
        <f>"债券信用申购中签, 请确保T+2日可用于缴款的资金余额不低于：2000元"</f>
        <v>债券信用申购中签, 请确保T+2日可用于缴款的资金余额不低于：2000元</v>
      </c>
    </row>
    <row r="497" spans="1:14">
      <c r="A497" s="1" t="str">
        <f t="shared" si="722"/>
        <v>20171225</v>
      </c>
      <c r="B497" s="1" t="str">
        <f>"17:00:00"</f>
        <v>17:00:00</v>
      </c>
      <c r="C497" s="1" t="str">
        <f t="shared" si="719"/>
        <v>072100</v>
      </c>
      <c r="D497" s="1" t="str">
        <f t="shared" si="720"/>
        <v>天康发债</v>
      </c>
      <c r="E497" s="1" t="str">
        <f t="shared" si="712"/>
        <v>买入</v>
      </c>
      <c r="F497" s="1" t="str">
        <f t="shared" si="723"/>
        <v>100.000</v>
      </c>
      <c r="G497" s="1" t="str">
        <f t="shared" ref="G497:L497" si="728">"0.00"</f>
        <v>0.00</v>
      </c>
      <c r="H497" s="1" t="str">
        <f>"0104152129"</f>
        <v>0104152129</v>
      </c>
      <c r="I497" s="1" t="str">
        <f>"1000.00"</f>
        <v>1000.00</v>
      </c>
      <c r="J497" s="1" t="str">
        <f t="shared" si="728"/>
        <v>0.00</v>
      </c>
      <c r="K497" s="1" t="str">
        <f t="shared" si="728"/>
        <v>0.00</v>
      </c>
      <c r="L497" s="1" t="str">
        <f t="shared" si="728"/>
        <v>0.00</v>
      </c>
      <c r="M497" s="1" t="str">
        <f t="shared" si="682"/>
        <v>0.00</v>
      </c>
      <c r="N497" s="1" t="str">
        <f>"债券信用申购中签, 请确保T+2日可用于缴款的资金余额不低于：1000元"</f>
        <v>债券信用申购中签, 请确保T+2日可用于缴款的资金余额不低于：1000元</v>
      </c>
    </row>
    <row r="498" spans="1:14">
      <c r="A498" s="1" t="str">
        <f t="shared" ref="A498:A510" si="729">"20171226"</f>
        <v>20171226</v>
      </c>
      <c r="B498" s="1" t="str">
        <f>"09:39:40"</f>
        <v>09:39:40</v>
      </c>
      <c r="C498" s="1" t="str">
        <f>"600835"</f>
        <v>600835</v>
      </c>
      <c r="D498" s="1" t="str">
        <f>"上海机电"</f>
        <v>上海机电</v>
      </c>
      <c r="E498" s="1" t="str">
        <f t="shared" ref="E498:E505" si="730">"卖出"</f>
        <v>卖出</v>
      </c>
      <c r="F498" s="1" t="str">
        <f>"26.470"</f>
        <v>26.470</v>
      </c>
      <c r="G498" s="1" t="str">
        <f t="shared" ref="G498:G503" si="731">"-100.00"</f>
        <v>-100.00</v>
      </c>
      <c r="H498" s="1" t="str">
        <f t="shared" si="724"/>
        <v>A850418317</v>
      </c>
      <c r="I498" s="1" t="str">
        <f>"2647.00"</f>
        <v>2647.00</v>
      </c>
      <c r="J498" s="1" t="str">
        <f t="shared" ref="J498:J503" si="732">"5.00"</f>
        <v>5.00</v>
      </c>
      <c r="K498" s="1" t="str">
        <f>"2.65"</f>
        <v>2.65</v>
      </c>
      <c r="L498" s="1" t="str">
        <f>"0.05"</f>
        <v>0.05</v>
      </c>
      <c r="M498" s="1" t="str">
        <f t="shared" si="682"/>
        <v>0.00</v>
      </c>
      <c r="N498" s="1" t="str">
        <f t="shared" ref="N498:N503" si="733">"证券卖出"</f>
        <v>证券卖出</v>
      </c>
    </row>
    <row r="499" spans="1:14">
      <c r="A499" s="1" t="str">
        <f t="shared" si="729"/>
        <v>20171226</v>
      </c>
      <c r="B499" s="1" t="str">
        <f>"09:42:39"</f>
        <v>09:42:39</v>
      </c>
      <c r="C499" s="1" t="str">
        <f>"600171"</f>
        <v>600171</v>
      </c>
      <c r="D499" s="1" t="str">
        <f>"上海贝岭"</f>
        <v>上海贝岭</v>
      </c>
      <c r="E499" s="1" t="str">
        <f t="shared" si="730"/>
        <v>卖出</v>
      </c>
      <c r="F499" s="1" t="str">
        <f>"16.050"</f>
        <v>16.050</v>
      </c>
      <c r="G499" s="1" t="str">
        <f>"-200.00"</f>
        <v>-200.00</v>
      </c>
      <c r="H499" s="1" t="str">
        <f t="shared" si="724"/>
        <v>A850418317</v>
      </c>
      <c r="I499" s="1" t="str">
        <f>"3210.00"</f>
        <v>3210.00</v>
      </c>
      <c r="J499" s="1" t="str">
        <f t="shared" si="732"/>
        <v>5.00</v>
      </c>
      <c r="K499" s="1" t="str">
        <f>"3.21"</f>
        <v>3.21</v>
      </c>
      <c r="L499" s="1" t="str">
        <f>"0.06"</f>
        <v>0.06</v>
      </c>
      <c r="M499" s="1" t="str">
        <f t="shared" si="682"/>
        <v>0.00</v>
      </c>
      <c r="N499" s="1" t="str">
        <f t="shared" si="733"/>
        <v>证券卖出</v>
      </c>
    </row>
    <row r="500" spans="1:14">
      <c r="A500" s="1" t="str">
        <f t="shared" si="729"/>
        <v>20171226</v>
      </c>
      <c r="B500" s="1" t="str">
        <f>"09:43:06"</f>
        <v>09:43:06</v>
      </c>
      <c r="C500" s="1" t="str">
        <f>"601318"</f>
        <v>601318</v>
      </c>
      <c r="D500" s="1" t="str">
        <f>"中国平安"</f>
        <v>中国平安</v>
      </c>
      <c r="E500" s="1" t="str">
        <f t="shared" si="730"/>
        <v>卖出</v>
      </c>
      <c r="F500" s="1" t="str">
        <f>"73.680"</f>
        <v>73.680</v>
      </c>
      <c r="G500" s="1" t="str">
        <f t="shared" si="731"/>
        <v>-100.00</v>
      </c>
      <c r="H500" s="1" t="str">
        <f t="shared" si="724"/>
        <v>A850418317</v>
      </c>
      <c r="I500" s="1" t="str">
        <f>"7368.00"</f>
        <v>7368.00</v>
      </c>
      <c r="J500" s="1" t="str">
        <f t="shared" si="732"/>
        <v>5.00</v>
      </c>
      <c r="K500" s="1" t="str">
        <f>"7.37"</f>
        <v>7.37</v>
      </c>
      <c r="L500" s="1" t="str">
        <f>"0.15"</f>
        <v>0.15</v>
      </c>
      <c r="M500" s="1" t="str">
        <f t="shared" si="682"/>
        <v>0.00</v>
      </c>
      <c r="N500" s="1" t="str">
        <f t="shared" si="733"/>
        <v>证券卖出</v>
      </c>
    </row>
    <row r="501" spans="1:14">
      <c r="A501" s="1" t="str">
        <f t="shared" si="729"/>
        <v>20171226</v>
      </c>
      <c r="B501" s="1" t="str">
        <f>"09:44:19"</f>
        <v>09:44:19</v>
      </c>
      <c r="C501" s="1" t="str">
        <f>"601933"</f>
        <v>601933</v>
      </c>
      <c r="D501" s="1" t="str">
        <f>"永辉超市"</f>
        <v>永辉超市</v>
      </c>
      <c r="E501" s="1" t="str">
        <f t="shared" si="730"/>
        <v>卖出</v>
      </c>
      <c r="F501" s="1" t="str">
        <f>"10.350"</f>
        <v>10.350</v>
      </c>
      <c r="G501" s="1" t="str">
        <f>"-200.00"</f>
        <v>-200.00</v>
      </c>
      <c r="H501" s="1" t="str">
        <f t="shared" si="724"/>
        <v>A850418317</v>
      </c>
      <c r="I501" s="1" t="str">
        <f>"2070.00"</f>
        <v>2070.00</v>
      </c>
      <c r="J501" s="1" t="str">
        <f t="shared" si="732"/>
        <v>5.00</v>
      </c>
      <c r="K501" s="1" t="str">
        <f>"2.07"</f>
        <v>2.07</v>
      </c>
      <c r="L501" s="1" t="str">
        <f>"0.04"</f>
        <v>0.04</v>
      </c>
      <c r="M501" s="1" t="str">
        <f t="shared" si="682"/>
        <v>0.00</v>
      </c>
      <c r="N501" s="1" t="str">
        <f t="shared" si="733"/>
        <v>证券卖出</v>
      </c>
    </row>
    <row r="502" spans="1:14">
      <c r="A502" s="1" t="str">
        <f t="shared" si="729"/>
        <v>20171226</v>
      </c>
      <c r="B502" s="1" t="str">
        <f>"09:45:23"</f>
        <v>09:45:23</v>
      </c>
      <c r="C502" s="1" t="str">
        <f>"600835"</f>
        <v>600835</v>
      </c>
      <c r="D502" s="1" t="str">
        <f>"上海机电"</f>
        <v>上海机电</v>
      </c>
      <c r="E502" s="1" t="str">
        <f t="shared" si="730"/>
        <v>卖出</v>
      </c>
      <c r="F502" s="1" t="str">
        <f>"26.520"</f>
        <v>26.520</v>
      </c>
      <c r="G502" s="1" t="str">
        <f t="shared" si="731"/>
        <v>-100.00</v>
      </c>
      <c r="H502" s="1" t="str">
        <f t="shared" si="724"/>
        <v>A850418317</v>
      </c>
      <c r="I502" s="1" t="str">
        <f>"2652.00"</f>
        <v>2652.00</v>
      </c>
      <c r="J502" s="1" t="str">
        <f t="shared" si="732"/>
        <v>5.00</v>
      </c>
      <c r="K502" s="1" t="str">
        <f>"2.65"</f>
        <v>2.65</v>
      </c>
      <c r="L502" s="1" t="str">
        <f>"0.05"</f>
        <v>0.05</v>
      </c>
      <c r="M502" s="1" t="str">
        <f t="shared" si="682"/>
        <v>0.00</v>
      </c>
      <c r="N502" s="1" t="str">
        <f t="shared" si="733"/>
        <v>证券卖出</v>
      </c>
    </row>
    <row r="503" spans="1:14">
      <c r="A503" s="1" t="str">
        <f t="shared" si="729"/>
        <v>20171226</v>
      </c>
      <c r="B503" s="1" t="str">
        <f>"09:43:56"</f>
        <v>09:43:56</v>
      </c>
      <c r="C503" s="1" t="str">
        <f>"000858"</f>
        <v>000858</v>
      </c>
      <c r="D503" s="1" t="str">
        <f>"五 粮 液"</f>
        <v>五 粮 液</v>
      </c>
      <c r="E503" s="1" t="str">
        <f t="shared" si="730"/>
        <v>卖出</v>
      </c>
      <c r="F503" s="1" t="str">
        <f>"79.330"</f>
        <v>79.330</v>
      </c>
      <c r="G503" s="1" t="str">
        <f t="shared" si="731"/>
        <v>-100.00</v>
      </c>
      <c r="H503" s="1" t="str">
        <f t="shared" ref="H503:H507" si="734">"0104152129"</f>
        <v>0104152129</v>
      </c>
      <c r="I503" s="1" t="str">
        <f>"7933.00"</f>
        <v>7933.00</v>
      </c>
      <c r="J503" s="1" t="str">
        <f t="shared" si="732"/>
        <v>5.00</v>
      </c>
      <c r="K503" s="1" t="str">
        <f>"7.93"</f>
        <v>7.93</v>
      </c>
      <c r="L503" s="1" t="str">
        <f>"0.16"</f>
        <v>0.16</v>
      </c>
      <c r="M503" s="1" t="str">
        <f t="shared" si="682"/>
        <v>0.00</v>
      </c>
      <c r="N503" s="1" t="str">
        <f t="shared" si="733"/>
        <v>证券卖出</v>
      </c>
    </row>
    <row r="504" spans="1:14">
      <c r="A504" s="1" t="str">
        <f t="shared" si="729"/>
        <v>20171226</v>
      </c>
      <c r="B504" s="1" t="str">
        <f>"16:57:00"</f>
        <v>16:57:00</v>
      </c>
      <c r="C504" s="1" t="str">
        <f>"733863"</f>
        <v>733863</v>
      </c>
      <c r="D504" s="1" t="str">
        <f>"内蒙发债"</f>
        <v>内蒙发债</v>
      </c>
      <c r="E504" s="1" t="str">
        <f t="shared" si="730"/>
        <v>卖出</v>
      </c>
      <c r="F504" s="1" t="str">
        <f t="shared" ref="F504:F507" si="735">"100.000"</f>
        <v>100.000</v>
      </c>
      <c r="G504" s="1" t="str">
        <f t="shared" ref="G504:L504" si="736">"0.00"</f>
        <v>0.00</v>
      </c>
      <c r="H504" s="1" t="str">
        <f t="shared" ref="H504:H508" si="737">"A850418317"</f>
        <v>A850418317</v>
      </c>
      <c r="I504" s="1" t="str">
        <f>"2000.00"</f>
        <v>2000.00</v>
      </c>
      <c r="J504" s="1" t="str">
        <f t="shared" si="736"/>
        <v>0.00</v>
      </c>
      <c r="K504" s="1" t="str">
        <f t="shared" si="736"/>
        <v>0.00</v>
      </c>
      <c r="L504" s="1" t="str">
        <f t="shared" si="736"/>
        <v>0.00</v>
      </c>
      <c r="M504" s="1" t="str">
        <f t="shared" si="682"/>
        <v>0.00</v>
      </c>
      <c r="N504" s="1" t="str">
        <f>"债券信用发行T+2日解冻"</f>
        <v>债券信用发行T+2日解冻</v>
      </c>
    </row>
    <row r="505" spans="1:14">
      <c r="A505" s="1" t="str">
        <f t="shared" si="729"/>
        <v>20171226</v>
      </c>
      <c r="B505" s="1" t="str">
        <f>"16:57:00"</f>
        <v>16:57:00</v>
      </c>
      <c r="C505" s="1" t="str">
        <f>"072100"</f>
        <v>072100</v>
      </c>
      <c r="D505" s="1" t="str">
        <f>"天康发债"</f>
        <v>天康发债</v>
      </c>
      <c r="E505" s="1" t="str">
        <f t="shared" si="730"/>
        <v>卖出</v>
      </c>
      <c r="F505" s="1" t="str">
        <f t="shared" si="735"/>
        <v>100.000</v>
      </c>
      <c r="G505" s="1" t="str">
        <f t="shared" ref="G505:L505" si="738">"0.00"</f>
        <v>0.00</v>
      </c>
      <c r="H505" s="1" t="str">
        <f t="shared" si="734"/>
        <v>0104152129</v>
      </c>
      <c r="I505" s="1" t="str">
        <f>"1000.00"</f>
        <v>1000.00</v>
      </c>
      <c r="J505" s="1" t="str">
        <f t="shared" si="738"/>
        <v>0.00</v>
      </c>
      <c r="K505" s="1" t="str">
        <f t="shared" si="738"/>
        <v>0.00</v>
      </c>
      <c r="L505" s="1" t="str">
        <f t="shared" si="738"/>
        <v>0.00</v>
      </c>
      <c r="M505" s="1" t="str">
        <f t="shared" si="682"/>
        <v>0.00</v>
      </c>
      <c r="N505" s="1" t="str">
        <f>"债券信用发行T+2日解冻"</f>
        <v>债券信用发行T+2日解冻</v>
      </c>
    </row>
    <row r="506" spans="1:14">
      <c r="A506" s="1" t="str">
        <f t="shared" si="729"/>
        <v>20171226</v>
      </c>
      <c r="B506" s="1" t="str">
        <f>"16:59:00"</f>
        <v>16:59:00</v>
      </c>
      <c r="C506" s="1" t="str">
        <f>"733863"</f>
        <v>733863</v>
      </c>
      <c r="D506" s="1" t="str">
        <f>"内蒙发债"</f>
        <v>内蒙发债</v>
      </c>
      <c r="E506" s="1" t="str">
        <f t="shared" ref="E506:E511" si="739">"买入"</f>
        <v>买入</v>
      </c>
      <c r="F506" s="1" t="str">
        <f t="shared" si="735"/>
        <v>100.000</v>
      </c>
      <c r="G506" s="1" t="str">
        <f t="shared" ref="G506:L506" si="740">"0.00"</f>
        <v>0.00</v>
      </c>
      <c r="H506" s="1" t="str">
        <f t="shared" si="737"/>
        <v>A850418317</v>
      </c>
      <c r="I506" s="1" t="str">
        <f>"2000.00"</f>
        <v>2000.00</v>
      </c>
      <c r="J506" s="1" t="str">
        <f t="shared" si="740"/>
        <v>0.00</v>
      </c>
      <c r="K506" s="1" t="str">
        <f t="shared" si="740"/>
        <v>0.00</v>
      </c>
      <c r="L506" s="1" t="str">
        <f t="shared" si="740"/>
        <v>0.00</v>
      </c>
      <c r="M506" s="1" t="str">
        <f t="shared" si="682"/>
        <v>0.00</v>
      </c>
      <c r="N506" s="1" t="str">
        <f>"债券信用发行T+2日缴款"</f>
        <v>债券信用发行T+2日缴款</v>
      </c>
    </row>
    <row r="507" spans="1:14">
      <c r="A507" s="1" t="str">
        <f t="shared" si="729"/>
        <v>20171226</v>
      </c>
      <c r="B507" s="1" t="str">
        <f>"16:59:00"</f>
        <v>16:59:00</v>
      </c>
      <c r="C507" s="1" t="str">
        <f>"072100"</f>
        <v>072100</v>
      </c>
      <c r="D507" s="1" t="str">
        <f>"天康发债"</f>
        <v>天康发债</v>
      </c>
      <c r="E507" s="1" t="str">
        <f t="shared" si="739"/>
        <v>买入</v>
      </c>
      <c r="F507" s="1" t="str">
        <f t="shared" si="735"/>
        <v>100.000</v>
      </c>
      <c r="G507" s="1" t="str">
        <f t="shared" ref="G507:L507" si="741">"0.00"</f>
        <v>0.00</v>
      </c>
      <c r="H507" s="1" t="str">
        <f t="shared" si="734"/>
        <v>0104152129</v>
      </c>
      <c r="I507" s="1" t="str">
        <f>"1000.00"</f>
        <v>1000.00</v>
      </c>
      <c r="J507" s="1" t="str">
        <f t="shared" si="741"/>
        <v>0.00</v>
      </c>
      <c r="K507" s="1" t="str">
        <f t="shared" si="741"/>
        <v>0.00</v>
      </c>
      <c r="L507" s="1" t="str">
        <f t="shared" si="741"/>
        <v>0.00</v>
      </c>
      <c r="M507" s="1" t="str">
        <f t="shared" si="682"/>
        <v>0.00</v>
      </c>
      <c r="N507" s="1" t="str">
        <f>"债券信用发行T+2日缴款"</f>
        <v>债券信用发行T+2日缴款</v>
      </c>
    </row>
    <row r="508" spans="1:14">
      <c r="A508" s="1" t="str">
        <f t="shared" si="729"/>
        <v>20171226</v>
      </c>
      <c r="B508" s="1" t="str">
        <f>"22:26:02"</f>
        <v>22:26:02</v>
      </c>
      <c r="C508" s="1" t="str">
        <f>"736161"</f>
        <v>736161</v>
      </c>
      <c r="D508" s="1" t="str">
        <f>"科华配号"</f>
        <v>科华配号</v>
      </c>
      <c r="E508" s="1" t="str">
        <f t="shared" si="739"/>
        <v>买入</v>
      </c>
      <c r="F508" s="1" t="str">
        <f t="shared" ref="F508:F510" si="742">"0.000"</f>
        <v>0.000</v>
      </c>
      <c r="G508" s="1" t="str">
        <f>"1.00"</f>
        <v>1.00</v>
      </c>
      <c r="H508" s="1" t="str">
        <f t="shared" si="737"/>
        <v>A850418317</v>
      </c>
      <c r="I508" s="1" t="str">
        <f t="shared" ref="I508:L508" si="743">"0.00"</f>
        <v>0.00</v>
      </c>
      <c r="J508" s="1" t="str">
        <f t="shared" si="743"/>
        <v>0.00</v>
      </c>
      <c r="K508" s="1" t="str">
        <f t="shared" si="743"/>
        <v>0.00</v>
      </c>
      <c r="L508" s="1" t="str">
        <f t="shared" si="743"/>
        <v>0.00</v>
      </c>
      <c r="M508" s="1" t="str">
        <f t="shared" si="682"/>
        <v>0.00</v>
      </c>
      <c r="N508" s="1" t="str">
        <f>"起始配号:100017164820"</f>
        <v>起始配号:100017164820</v>
      </c>
    </row>
    <row r="509" spans="1:14">
      <c r="A509" s="1" t="str">
        <f t="shared" si="729"/>
        <v>20171226</v>
      </c>
      <c r="B509" s="1" t="str">
        <f>"22:23:41"</f>
        <v>22:23:41</v>
      </c>
      <c r="C509" s="1" t="str">
        <f>"300664"</f>
        <v>300664</v>
      </c>
      <c r="D509" s="1" t="str">
        <f>"鹏鹞环保"</f>
        <v>鹏鹞环保</v>
      </c>
      <c r="E509" s="1" t="str">
        <f t="shared" si="739"/>
        <v>买入</v>
      </c>
      <c r="F509" s="1" t="str">
        <f t="shared" si="742"/>
        <v>0.000</v>
      </c>
      <c r="G509" s="1" t="str">
        <f>"2.00"</f>
        <v>2.00</v>
      </c>
      <c r="H509" s="1" t="str">
        <f t="shared" ref="H509:H517" si="744">"0104152129"</f>
        <v>0104152129</v>
      </c>
      <c r="I509" s="1" t="str">
        <f t="shared" ref="I509:L509" si="745">"0.00"</f>
        <v>0.00</v>
      </c>
      <c r="J509" s="1" t="str">
        <f t="shared" si="745"/>
        <v>0.00</v>
      </c>
      <c r="K509" s="1" t="str">
        <f t="shared" si="745"/>
        <v>0.00</v>
      </c>
      <c r="L509" s="1" t="str">
        <f t="shared" si="745"/>
        <v>0.00</v>
      </c>
      <c r="M509" s="1" t="str">
        <f t="shared" si="682"/>
        <v>0.00</v>
      </c>
      <c r="N509" s="1" t="str">
        <f>"起始配号:48347474"</f>
        <v>起始配号:48347474</v>
      </c>
    </row>
    <row r="510" spans="1:14">
      <c r="A510" s="1" t="str">
        <f t="shared" si="729"/>
        <v>20171226</v>
      </c>
      <c r="B510" s="1" t="str">
        <f>"22:24:21"</f>
        <v>22:24:21</v>
      </c>
      <c r="C510" s="1" t="str">
        <f>"002923"</f>
        <v>002923</v>
      </c>
      <c r="D510" s="1" t="str">
        <f>"润都股份"</f>
        <v>润都股份</v>
      </c>
      <c r="E510" s="1" t="str">
        <f t="shared" si="739"/>
        <v>买入</v>
      </c>
      <c r="F510" s="1" t="str">
        <f t="shared" si="742"/>
        <v>0.000</v>
      </c>
      <c r="G510" s="1" t="str">
        <f>"2.00"</f>
        <v>2.00</v>
      </c>
      <c r="H510" s="1" t="str">
        <f t="shared" si="744"/>
        <v>0104152129</v>
      </c>
      <c r="I510" s="1" t="str">
        <f t="shared" ref="I510:L510" si="746">"0.00"</f>
        <v>0.00</v>
      </c>
      <c r="J510" s="1" t="str">
        <f t="shared" si="746"/>
        <v>0.00</v>
      </c>
      <c r="K510" s="1" t="str">
        <f t="shared" si="746"/>
        <v>0.00</v>
      </c>
      <c r="L510" s="1" t="str">
        <f t="shared" si="746"/>
        <v>0.00</v>
      </c>
      <c r="M510" s="1" t="str">
        <f t="shared" si="682"/>
        <v>0.00</v>
      </c>
      <c r="N510" s="1" t="str">
        <f>"起始配号:34298881"</f>
        <v>起始配号:34298881</v>
      </c>
    </row>
    <row r="511" spans="1:14">
      <c r="A511" s="1" t="str">
        <f t="shared" ref="A511:A523" si="747">"20171227"</f>
        <v>20171227</v>
      </c>
      <c r="B511" s="1" t="str">
        <f>"09:25:00"</f>
        <v>09:25:00</v>
      </c>
      <c r="C511" s="1" t="str">
        <f>"600291"</f>
        <v>600291</v>
      </c>
      <c r="D511" s="1" t="str">
        <f>"西水股份"</f>
        <v>西水股份</v>
      </c>
      <c r="E511" s="1" t="str">
        <f t="shared" si="739"/>
        <v>买入</v>
      </c>
      <c r="F511" s="1" t="str">
        <f>"23.860"</f>
        <v>23.860</v>
      </c>
      <c r="G511" s="1" t="str">
        <f>"200.00"</f>
        <v>200.00</v>
      </c>
      <c r="H511" s="1" t="str">
        <f>"A850418317"</f>
        <v>A850418317</v>
      </c>
      <c r="I511" s="1" t="str">
        <f>"4772.00"</f>
        <v>4772.00</v>
      </c>
      <c r="J511" s="1" t="str">
        <f t="shared" ref="J511:J517" si="748">"5.00"</f>
        <v>5.00</v>
      </c>
      <c r="K511" s="1" t="str">
        <f t="shared" ref="K511:K523" si="749">"0.00"</f>
        <v>0.00</v>
      </c>
      <c r="L511" s="1" t="str">
        <f>"0.10"</f>
        <v>0.10</v>
      </c>
      <c r="M511" s="1" t="str">
        <f t="shared" si="682"/>
        <v>0.00</v>
      </c>
      <c r="N511" s="1" t="str">
        <f t="shared" ref="N511:N517" si="750">"证券买入"</f>
        <v>证券买入</v>
      </c>
    </row>
    <row r="512" spans="1:14">
      <c r="A512" s="1" t="str">
        <f t="shared" si="747"/>
        <v>20171227</v>
      </c>
      <c r="B512" s="1" t="str">
        <f>"09:35:56"</f>
        <v>09:35:56</v>
      </c>
      <c r="C512" s="1" t="str">
        <f>"601933"</f>
        <v>601933</v>
      </c>
      <c r="D512" s="1" t="str">
        <f>"永辉超市"</f>
        <v>永辉超市</v>
      </c>
      <c r="E512" s="1" t="str">
        <f>"卖出"</f>
        <v>卖出</v>
      </c>
      <c r="F512" s="1" t="str">
        <f>"10.120"</f>
        <v>10.120</v>
      </c>
      <c r="G512" s="1" t="str">
        <f>"-400.00"</f>
        <v>-400.00</v>
      </c>
      <c r="H512" s="1" t="str">
        <f>"A850418317"</f>
        <v>A850418317</v>
      </c>
      <c r="I512" s="1" t="str">
        <f>"4048.00"</f>
        <v>4048.00</v>
      </c>
      <c r="J512" s="1" t="str">
        <f t="shared" si="748"/>
        <v>5.00</v>
      </c>
      <c r="K512" s="1" t="str">
        <f>"4.05"</f>
        <v>4.05</v>
      </c>
      <c r="L512" s="1" t="str">
        <f t="shared" ref="L512:L516" si="751">"0.08"</f>
        <v>0.08</v>
      </c>
      <c r="M512" s="1" t="str">
        <f t="shared" si="682"/>
        <v>0.00</v>
      </c>
      <c r="N512" s="1" t="str">
        <f>"证券卖出"</f>
        <v>证券卖出</v>
      </c>
    </row>
    <row r="513" spans="1:14">
      <c r="A513" s="1" t="str">
        <f t="shared" si="747"/>
        <v>20171227</v>
      </c>
      <c r="B513" s="1" t="str">
        <f>"09:30:02"</f>
        <v>09:30:02</v>
      </c>
      <c r="C513" s="1" t="str">
        <f>"000608"</f>
        <v>000608</v>
      </c>
      <c r="D513" s="1" t="str">
        <f>"阳光股份"</f>
        <v>阳光股份</v>
      </c>
      <c r="E513" s="1" t="str">
        <f t="shared" ref="E513:E517" si="752">"买入"</f>
        <v>买入</v>
      </c>
      <c r="F513" s="1" t="str">
        <f>"6.420"</f>
        <v>6.420</v>
      </c>
      <c r="G513" s="1" t="str">
        <f>"500.00"</f>
        <v>500.00</v>
      </c>
      <c r="H513" s="1" t="str">
        <f t="shared" si="744"/>
        <v>0104152129</v>
      </c>
      <c r="I513" s="1" t="str">
        <f>"3210.00"</f>
        <v>3210.00</v>
      </c>
      <c r="J513" s="1" t="str">
        <f t="shared" si="748"/>
        <v>5.00</v>
      </c>
      <c r="K513" s="1" t="str">
        <f t="shared" si="749"/>
        <v>0.00</v>
      </c>
      <c r="L513" s="1" t="str">
        <f>"0.06"</f>
        <v>0.06</v>
      </c>
      <c r="M513" s="1" t="str">
        <f t="shared" si="682"/>
        <v>0.00</v>
      </c>
      <c r="N513" s="1" t="str">
        <f t="shared" si="750"/>
        <v>证券买入</v>
      </c>
    </row>
    <row r="514" spans="1:14">
      <c r="A514" s="1" t="str">
        <f t="shared" si="747"/>
        <v>20171227</v>
      </c>
      <c r="B514" s="1" t="str">
        <f>"09:30:10"</f>
        <v>09:30:10</v>
      </c>
      <c r="C514" s="1" t="str">
        <f>"300072"</f>
        <v>300072</v>
      </c>
      <c r="D514" s="1" t="str">
        <f>"三聚环保"</f>
        <v>三聚环保</v>
      </c>
      <c r="E514" s="1" t="str">
        <f t="shared" si="752"/>
        <v>买入</v>
      </c>
      <c r="F514" s="1" t="str">
        <f>"37.110"</f>
        <v>37.110</v>
      </c>
      <c r="G514" s="1" t="str">
        <f t="shared" ref="G514:G517" si="753">"100.00"</f>
        <v>100.00</v>
      </c>
      <c r="H514" s="1" t="str">
        <f t="shared" si="744"/>
        <v>0104152129</v>
      </c>
      <c r="I514" s="1" t="str">
        <f>"3711.00"</f>
        <v>3711.00</v>
      </c>
      <c r="J514" s="1" t="str">
        <f t="shared" si="748"/>
        <v>5.00</v>
      </c>
      <c r="K514" s="1" t="str">
        <f t="shared" si="749"/>
        <v>0.00</v>
      </c>
      <c r="L514" s="1" t="str">
        <f>"0.07"</f>
        <v>0.07</v>
      </c>
      <c r="M514" s="1" t="str">
        <f t="shared" si="682"/>
        <v>0.00</v>
      </c>
      <c r="N514" s="1" t="str">
        <f t="shared" si="750"/>
        <v>证券买入</v>
      </c>
    </row>
    <row r="515" spans="1:14">
      <c r="A515" s="1" t="str">
        <f t="shared" si="747"/>
        <v>20171227</v>
      </c>
      <c r="B515" s="1" t="str">
        <f>"10:14:11"</f>
        <v>10:14:11</v>
      </c>
      <c r="C515" s="1" t="str">
        <f>"300349"</f>
        <v>300349</v>
      </c>
      <c r="D515" s="1" t="str">
        <f>"金卡智能"</f>
        <v>金卡智能</v>
      </c>
      <c r="E515" s="1" t="str">
        <f t="shared" si="752"/>
        <v>买入</v>
      </c>
      <c r="F515" s="1" t="str">
        <f>"39.950"</f>
        <v>39.950</v>
      </c>
      <c r="G515" s="1" t="str">
        <f t="shared" si="753"/>
        <v>100.00</v>
      </c>
      <c r="H515" s="1" t="str">
        <f t="shared" si="744"/>
        <v>0104152129</v>
      </c>
      <c r="I515" s="1" t="str">
        <f>"3995.00"</f>
        <v>3995.00</v>
      </c>
      <c r="J515" s="1" t="str">
        <f t="shared" si="748"/>
        <v>5.00</v>
      </c>
      <c r="K515" s="1" t="str">
        <f t="shared" si="749"/>
        <v>0.00</v>
      </c>
      <c r="L515" s="1" t="str">
        <f t="shared" si="751"/>
        <v>0.08</v>
      </c>
      <c r="M515" s="1" t="str">
        <f t="shared" si="682"/>
        <v>0.00</v>
      </c>
      <c r="N515" s="1" t="str">
        <f t="shared" si="750"/>
        <v>证券买入</v>
      </c>
    </row>
    <row r="516" spans="1:14">
      <c r="A516" s="1" t="str">
        <f t="shared" si="747"/>
        <v>20171227</v>
      </c>
      <c r="B516" s="1" t="str">
        <f>"10:16:17"</f>
        <v>10:16:17</v>
      </c>
      <c r="C516" s="1" t="str">
        <f>"300349"</f>
        <v>300349</v>
      </c>
      <c r="D516" s="1" t="str">
        <f>"金卡智能"</f>
        <v>金卡智能</v>
      </c>
      <c r="E516" s="1" t="str">
        <f t="shared" si="752"/>
        <v>买入</v>
      </c>
      <c r="F516" s="1" t="str">
        <f>"39.750"</f>
        <v>39.750</v>
      </c>
      <c r="G516" s="1" t="str">
        <f t="shared" si="753"/>
        <v>100.00</v>
      </c>
      <c r="H516" s="1" t="str">
        <f t="shared" si="744"/>
        <v>0104152129</v>
      </c>
      <c r="I516" s="1" t="str">
        <f>"3975.00"</f>
        <v>3975.00</v>
      </c>
      <c r="J516" s="1" t="str">
        <f t="shared" si="748"/>
        <v>5.00</v>
      </c>
      <c r="K516" s="1" t="str">
        <f t="shared" si="749"/>
        <v>0.00</v>
      </c>
      <c r="L516" s="1" t="str">
        <f t="shared" si="751"/>
        <v>0.08</v>
      </c>
      <c r="M516" s="1" t="str">
        <f t="shared" si="682"/>
        <v>0.00</v>
      </c>
      <c r="N516" s="1" t="str">
        <f t="shared" si="750"/>
        <v>证券买入</v>
      </c>
    </row>
    <row r="517" spans="1:14">
      <c r="A517" s="1" t="str">
        <f t="shared" si="747"/>
        <v>20171227</v>
      </c>
      <c r="B517" s="1" t="str">
        <f>"14:08:37"</f>
        <v>14:08:37</v>
      </c>
      <c r="C517" s="1" t="str">
        <f>"002594"</f>
        <v>002594</v>
      </c>
      <c r="D517" s="1" t="str">
        <f>"比亚迪"</f>
        <v>比亚迪</v>
      </c>
      <c r="E517" s="1" t="str">
        <f t="shared" si="752"/>
        <v>买入</v>
      </c>
      <c r="F517" s="1" t="str">
        <f>"69.000"</f>
        <v>69.000</v>
      </c>
      <c r="G517" s="1" t="str">
        <f t="shared" si="753"/>
        <v>100.00</v>
      </c>
      <c r="H517" s="1" t="str">
        <f t="shared" si="744"/>
        <v>0104152129</v>
      </c>
      <c r="I517" s="1" t="str">
        <f>"6900.00"</f>
        <v>6900.00</v>
      </c>
      <c r="J517" s="1" t="str">
        <f t="shared" si="748"/>
        <v>5.00</v>
      </c>
      <c r="K517" s="1" t="str">
        <f t="shared" si="749"/>
        <v>0.00</v>
      </c>
      <c r="L517" s="1" t="str">
        <f>"0.14"</f>
        <v>0.14</v>
      </c>
      <c r="M517" s="1" t="str">
        <f t="shared" si="682"/>
        <v>0.00</v>
      </c>
      <c r="N517" s="1" t="str">
        <f t="shared" si="750"/>
        <v>证券买入</v>
      </c>
    </row>
    <row r="518" spans="1:14">
      <c r="A518" s="1" t="str">
        <f t="shared" si="747"/>
        <v>20171227</v>
      </c>
      <c r="B518" s="1" t="str">
        <f>"00:00:01"</f>
        <v>00:00:01</v>
      </c>
      <c r="C518" s="1" t="str">
        <f t="shared" ref="C518:C520" si="754">"733863"</f>
        <v>733863</v>
      </c>
      <c r="D518" s="1" t="str">
        <f t="shared" ref="D518:D520" si="755">"内蒙发债"</f>
        <v>内蒙发债</v>
      </c>
      <c r="E518" s="1" t="str">
        <f t="shared" ref="E518:E522" si="756">"卖出"</f>
        <v>卖出</v>
      </c>
      <c r="F518" s="1" t="str">
        <f t="shared" ref="F518:F523" si="757">"100.000"</f>
        <v>100.000</v>
      </c>
      <c r="G518" s="1" t="str">
        <f>"-20.00"</f>
        <v>-20.00</v>
      </c>
      <c r="H518" s="1" t="str">
        <f t="shared" ref="H518:H520" si="758">"A850418317"</f>
        <v>A850418317</v>
      </c>
      <c r="I518" s="1" t="str">
        <f t="shared" ref="I518:L518" si="759">"0.00"</f>
        <v>0.00</v>
      </c>
      <c r="J518" s="1" t="str">
        <f t="shared" si="759"/>
        <v>0.00</v>
      </c>
      <c r="K518" s="1" t="str">
        <f t="shared" si="749"/>
        <v>0.00</v>
      </c>
      <c r="L518" s="1" t="str">
        <f t="shared" si="759"/>
        <v>0.00</v>
      </c>
      <c r="M518" s="1" t="str">
        <f t="shared" si="682"/>
        <v>0.00</v>
      </c>
      <c r="N518" s="1" t="str">
        <f>"债券信用配售确认股份回冲"</f>
        <v>债券信用配售确认股份回冲</v>
      </c>
    </row>
    <row r="519" spans="1:14">
      <c r="A519" s="1" t="str">
        <f t="shared" si="747"/>
        <v>20171227</v>
      </c>
      <c r="B519" s="1" t="str">
        <f>"15:59:00"</f>
        <v>15:59:00</v>
      </c>
      <c r="C519" s="1" t="str">
        <f t="shared" si="754"/>
        <v>733863</v>
      </c>
      <c r="D519" s="1" t="str">
        <f t="shared" si="755"/>
        <v>内蒙发债</v>
      </c>
      <c r="E519" s="1" t="str">
        <f t="shared" si="756"/>
        <v>卖出</v>
      </c>
      <c r="F519" s="1" t="str">
        <f t="shared" si="757"/>
        <v>100.000</v>
      </c>
      <c r="G519" s="1" t="str">
        <f t="shared" ref="G519:L519" si="760">"0.00"</f>
        <v>0.00</v>
      </c>
      <c r="H519" s="1" t="str">
        <f t="shared" si="758"/>
        <v>A850418317</v>
      </c>
      <c r="I519" s="1" t="str">
        <f>"2000.00"</f>
        <v>2000.00</v>
      </c>
      <c r="J519" s="1" t="str">
        <f t="shared" si="760"/>
        <v>0.00</v>
      </c>
      <c r="K519" s="1" t="str">
        <f t="shared" si="749"/>
        <v>0.00</v>
      </c>
      <c r="L519" s="1" t="str">
        <f t="shared" si="760"/>
        <v>0.00</v>
      </c>
      <c r="M519" s="1" t="str">
        <f t="shared" si="682"/>
        <v>0.00</v>
      </c>
      <c r="N519" s="1" t="str">
        <f>"债券信用发行T+2日缴款回冲"</f>
        <v>债券信用发行T+2日缴款回冲</v>
      </c>
    </row>
    <row r="520" spans="1:14">
      <c r="A520" s="1" t="str">
        <f t="shared" si="747"/>
        <v>20171227</v>
      </c>
      <c r="B520" s="1" t="str">
        <f>"16:00:00"</f>
        <v>16:00:00</v>
      </c>
      <c r="C520" s="1" t="str">
        <f t="shared" si="754"/>
        <v>733863</v>
      </c>
      <c r="D520" s="1" t="str">
        <f t="shared" si="755"/>
        <v>内蒙发债</v>
      </c>
      <c r="E520" s="1" t="str">
        <f>"买入"</f>
        <v>买入</v>
      </c>
      <c r="F520" s="1" t="str">
        <f t="shared" si="757"/>
        <v>100.000</v>
      </c>
      <c r="G520" s="1" t="str">
        <f>"20.00"</f>
        <v>20.00</v>
      </c>
      <c r="H520" s="1" t="str">
        <f t="shared" si="758"/>
        <v>A850418317</v>
      </c>
      <c r="I520" s="1" t="str">
        <f>"2000.00"</f>
        <v>2000.00</v>
      </c>
      <c r="J520" s="1" t="str">
        <f>"0.00"</f>
        <v>0.00</v>
      </c>
      <c r="K520" s="1" t="str">
        <f t="shared" si="749"/>
        <v>0.00</v>
      </c>
      <c r="L520" s="1" t="str">
        <f>"0.00"</f>
        <v>0.00</v>
      </c>
      <c r="M520" s="1" t="str">
        <f t="shared" si="682"/>
        <v>0.00</v>
      </c>
      <c r="N520" s="1" t="str">
        <f>"债券信用配售确认"</f>
        <v>债券信用配售确认</v>
      </c>
    </row>
    <row r="521" spans="1:14">
      <c r="A521" s="1" t="str">
        <f t="shared" si="747"/>
        <v>20171227</v>
      </c>
      <c r="B521" s="1" t="str">
        <f>"00:00:01"</f>
        <v>00:00:01</v>
      </c>
      <c r="C521" s="1" t="str">
        <f t="shared" ref="C521:C523" si="761">"072100"</f>
        <v>072100</v>
      </c>
      <c r="D521" s="1" t="str">
        <f t="shared" ref="D521:D523" si="762">"天康发债"</f>
        <v>天康发债</v>
      </c>
      <c r="E521" s="1" t="str">
        <f t="shared" si="756"/>
        <v>卖出</v>
      </c>
      <c r="F521" s="1" t="str">
        <f t="shared" si="757"/>
        <v>100.000</v>
      </c>
      <c r="G521" s="1" t="str">
        <f>"-10.00"</f>
        <v>-10.00</v>
      </c>
      <c r="H521" s="1" t="str">
        <f t="shared" ref="H521:H527" si="763">"0104152129"</f>
        <v>0104152129</v>
      </c>
      <c r="I521" s="1" t="str">
        <f t="shared" ref="I521:L521" si="764">"0.00"</f>
        <v>0.00</v>
      </c>
      <c r="J521" s="1" t="str">
        <f t="shared" si="764"/>
        <v>0.00</v>
      </c>
      <c r="K521" s="1" t="str">
        <f t="shared" si="749"/>
        <v>0.00</v>
      </c>
      <c r="L521" s="1" t="str">
        <f t="shared" si="764"/>
        <v>0.00</v>
      </c>
      <c r="M521" s="1" t="str">
        <f t="shared" si="682"/>
        <v>0.00</v>
      </c>
      <c r="N521" s="1" t="str">
        <f>"债券信用配售确认股份回冲"</f>
        <v>债券信用配售确认股份回冲</v>
      </c>
    </row>
    <row r="522" spans="1:14">
      <c r="A522" s="1" t="str">
        <f t="shared" si="747"/>
        <v>20171227</v>
      </c>
      <c r="B522" s="1" t="str">
        <f>"15:59:00"</f>
        <v>15:59:00</v>
      </c>
      <c r="C522" s="1" t="str">
        <f t="shared" si="761"/>
        <v>072100</v>
      </c>
      <c r="D522" s="1" t="str">
        <f t="shared" si="762"/>
        <v>天康发债</v>
      </c>
      <c r="E522" s="1" t="str">
        <f t="shared" si="756"/>
        <v>卖出</v>
      </c>
      <c r="F522" s="1" t="str">
        <f t="shared" si="757"/>
        <v>100.000</v>
      </c>
      <c r="G522" s="1" t="str">
        <f t="shared" ref="G522:L522" si="765">"0.00"</f>
        <v>0.00</v>
      </c>
      <c r="H522" s="1" t="str">
        <f t="shared" si="763"/>
        <v>0104152129</v>
      </c>
      <c r="I522" s="1" t="str">
        <f>"1000.00"</f>
        <v>1000.00</v>
      </c>
      <c r="J522" s="1" t="str">
        <f t="shared" si="765"/>
        <v>0.00</v>
      </c>
      <c r="K522" s="1" t="str">
        <f t="shared" si="749"/>
        <v>0.00</v>
      </c>
      <c r="L522" s="1" t="str">
        <f t="shared" si="765"/>
        <v>0.00</v>
      </c>
      <c r="M522" s="1" t="str">
        <f t="shared" si="682"/>
        <v>0.00</v>
      </c>
      <c r="N522" s="1" t="str">
        <f>"债券信用发行T+2日缴款回冲"</f>
        <v>债券信用发行T+2日缴款回冲</v>
      </c>
    </row>
    <row r="523" spans="1:14">
      <c r="A523" s="1" t="str">
        <f t="shared" si="747"/>
        <v>20171227</v>
      </c>
      <c r="B523" s="1" t="str">
        <f>"16:00:00"</f>
        <v>16:00:00</v>
      </c>
      <c r="C523" s="1" t="str">
        <f t="shared" si="761"/>
        <v>072100</v>
      </c>
      <c r="D523" s="1" t="str">
        <f t="shared" si="762"/>
        <v>天康发债</v>
      </c>
      <c r="E523" s="1" t="str">
        <f t="shared" ref="E523:E530" si="766">"买入"</f>
        <v>买入</v>
      </c>
      <c r="F523" s="1" t="str">
        <f t="shared" si="757"/>
        <v>100.000</v>
      </c>
      <c r="G523" s="1" t="str">
        <f>"10.00"</f>
        <v>10.00</v>
      </c>
      <c r="H523" s="1" t="str">
        <f t="shared" si="763"/>
        <v>0104152129</v>
      </c>
      <c r="I523" s="1" t="str">
        <f>"1000.00"</f>
        <v>1000.00</v>
      </c>
      <c r="J523" s="1" t="str">
        <f>"0.00"</f>
        <v>0.00</v>
      </c>
      <c r="K523" s="1" t="str">
        <f t="shared" si="749"/>
        <v>0.00</v>
      </c>
      <c r="L523" s="1" t="str">
        <f>"0.00"</f>
        <v>0.00</v>
      </c>
      <c r="M523" s="1" t="str">
        <f t="shared" si="682"/>
        <v>0.00</v>
      </c>
      <c r="N523" s="1" t="str">
        <f>"债券信用配售确认"</f>
        <v>债券信用配售确认</v>
      </c>
    </row>
    <row r="524" spans="1:14">
      <c r="A524" s="1" t="str">
        <f t="shared" ref="A524:A526" si="767">"20171228"</f>
        <v>20171228</v>
      </c>
      <c r="B524" s="1" t="str">
        <f>"10:02:51"</f>
        <v>10:02:51</v>
      </c>
      <c r="C524" s="1" t="str">
        <f>"300072"</f>
        <v>300072</v>
      </c>
      <c r="D524" s="1" t="str">
        <f>"三聚环保"</f>
        <v>三聚环保</v>
      </c>
      <c r="E524" s="1" t="str">
        <f t="shared" ref="E524:E527" si="768">"卖出"</f>
        <v>卖出</v>
      </c>
      <c r="F524" s="1" t="str">
        <f>"36.000"</f>
        <v>36.000</v>
      </c>
      <c r="G524" s="1" t="str">
        <f>"-100.00"</f>
        <v>-100.00</v>
      </c>
      <c r="H524" s="1" t="str">
        <f t="shared" si="763"/>
        <v>0104152129</v>
      </c>
      <c r="I524" s="1" t="str">
        <f>"3600.00"</f>
        <v>3600.00</v>
      </c>
      <c r="J524" s="1" t="str">
        <f t="shared" ref="J524:J528" si="769">"5.00"</f>
        <v>5.00</v>
      </c>
      <c r="K524" s="1" t="str">
        <f>"3.60"</f>
        <v>3.60</v>
      </c>
      <c r="L524" s="1" t="str">
        <f>"0.07"</f>
        <v>0.07</v>
      </c>
      <c r="M524" s="1" t="str">
        <f t="shared" si="682"/>
        <v>0.00</v>
      </c>
      <c r="N524" s="1" t="str">
        <f t="shared" ref="N524:N527" si="770">"证券卖出"</f>
        <v>证券卖出</v>
      </c>
    </row>
    <row r="525" spans="1:14">
      <c r="A525" s="1" t="str">
        <f t="shared" si="767"/>
        <v>20171228</v>
      </c>
      <c r="B525" s="1" t="str">
        <f>"13:36:42"</f>
        <v>13:36:42</v>
      </c>
      <c r="C525" s="1" t="str">
        <f>"300349"</f>
        <v>300349</v>
      </c>
      <c r="D525" s="1" t="str">
        <f>"金卡智能"</f>
        <v>金卡智能</v>
      </c>
      <c r="E525" s="1" t="str">
        <f t="shared" si="768"/>
        <v>卖出</v>
      </c>
      <c r="F525" s="1" t="str">
        <f>"38.350"</f>
        <v>38.350</v>
      </c>
      <c r="G525" s="1" t="str">
        <f>"-200.00"</f>
        <v>-200.00</v>
      </c>
      <c r="H525" s="1" t="str">
        <f t="shared" si="763"/>
        <v>0104152129</v>
      </c>
      <c r="I525" s="1" t="str">
        <f>"7670.00"</f>
        <v>7670.00</v>
      </c>
      <c r="J525" s="1" t="str">
        <f t="shared" si="769"/>
        <v>5.00</v>
      </c>
      <c r="K525" s="1" t="str">
        <f>"7.67"</f>
        <v>7.67</v>
      </c>
      <c r="L525" s="1" t="str">
        <f>"0.15"</f>
        <v>0.15</v>
      </c>
      <c r="M525" s="1" t="str">
        <f t="shared" si="682"/>
        <v>0.00</v>
      </c>
      <c r="N525" s="1" t="str">
        <f t="shared" si="770"/>
        <v>证券卖出</v>
      </c>
    </row>
    <row r="526" spans="1:14">
      <c r="A526" s="1" t="str">
        <f t="shared" si="767"/>
        <v>20171228</v>
      </c>
      <c r="B526" s="1" t="str">
        <f>"21:33:34"</f>
        <v>21:33:34</v>
      </c>
      <c r="C526" s="1" t="str">
        <f>"300736"</f>
        <v>300736</v>
      </c>
      <c r="D526" s="1" t="str">
        <f>"百华悦邦"</f>
        <v>百华悦邦</v>
      </c>
      <c r="E526" s="1" t="str">
        <f t="shared" si="766"/>
        <v>买入</v>
      </c>
      <c r="F526" s="1" t="str">
        <f>"0.000"</f>
        <v>0.000</v>
      </c>
      <c r="G526" s="1" t="str">
        <f>"2.00"</f>
        <v>2.00</v>
      </c>
      <c r="H526" s="1" t="str">
        <f t="shared" si="763"/>
        <v>0104152129</v>
      </c>
      <c r="I526" s="1" t="str">
        <f t="shared" ref="I526:M526" si="771">"0.00"</f>
        <v>0.00</v>
      </c>
      <c r="J526" s="1" t="str">
        <f t="shared" si="771"/>
        <v>0.00</v>
      </c>
      <c r="K526" s="1" t="str">
        <f t="shared" si="771"/>
        <v>0.00</v>
      </c>
      <c r="L526" s="1" t="str">
        <f t="shared" si="771"/>
        <v>0.00</v>
      </c>
      <c r="M526" s="1" t="str">
        <f t="shared" si="771"/>
        <v>0.00</v>
      </c>
      <c r="N526" s="1" t="str">
        <f>"起始配号:12860451"</f>
        <v>起始配号:12860451</v>
      </c>
    </row>
    <row r="527" spans="1:14">
      <c r="A527" s="1" t="str">
        <f>"20171229"</f>
        <v>20171229</v>
      </c>
      <c r="B527" s="1" t="str">
        <f>"11:03:19"</f>
        <v>11:03:19</v>
      </c>
      <c r="C527" s="1" t="str">
        <f>"000608"</f>
        <v>000608</v>
      </c>
      <c r="D527" s="1" t="str">
        <f>"阳光股份"</f>
        <v>阳光股份</v>
      </c>
      <c r="E527" s="1" t="str">
        <f t="shared" si="768"/>
        <v>卖出</v>
      </c>
      <c r="F527" s="1" t="str">
        <f>"6.300"</f>
        <v>6.300</v>
      </c>
      <c r="G527" s="1" t="str">
        <f>"-500.00"</f>
        <v>-500.00</v>
      </c>
      <c r="H527" s="1" t="str">
        <f t="shared" si="763"/>
        <v>0104152129</v>
      </c>
      <c r="I527" s="1" t="str">
        <f>"3150.00"</f>
        <v>3150.00</v>
      </c>
      <c r="J527" s="1" t="str">
        <f t="shared" si="769"/>
        <v>5.00</v>
      </c>
      <c r="K527" s="1" t="str">
        <f>"3.15"</f>
        <v>3.15</v>
      </c>
      <c r="L527" s="1" t="str">
        <f>"0.06"</f>
        <v>0.06</v>
      </c>
      <c r="M527" s="1" t="str">
        <f t="shared" ref="M527:M591" si="772">"0.00"</f>
        <v>0.00</v>
      </c>
      <c r="N527" s="1" t="str">
        <f t="shared" si="770"/>
        <v>证券卖出</v>
      </c>
    </row>
    <row r="528" spans="1:14">
      <c r="A528" s="1" t="str">
        <f>"20180102"</f>
        <v>20180102</v>
      </c>
      <c r="B528" s="1" t="str">
        <f>"09:47:20"</f>
        <v>09:47:20</v>
      </c>
      <c r="C528" s="1" t="str">
        <f>"600372"</f>
        <v>600372</v>
      </c>
      <c r="D528" s="1" t="str">
        <f>"中航电子"</f>
        <v>中航电子</v>
      </c>
      <c r="E528" s="1" t="str">
        <f t="shared" si="766"/>
        <v>买入</v>
      </c>
      <c r="F528" s="1" t="str">
        <f>"13.810"</f>
        <v>13.810</v>
      </c>
      <c r="G528" s="1" t="str">
        <f>"200.00"</f>
        <v>200.00</v>
      </c>
      <c r="H528" s="1" t="str">
        <f t="shared" ref="H528:H530" si="773">"A850418317"</f>
        <v>A850418317</v>
      </c>
      <c r="I528" s="1" t="str">
        <f>"2762.00"</f>
        <v>2762.00</v>
      </c>
      <c r="J528" s="1" t="str">
        <f t="shared" si="769"/>
        <v>5.00</v>
      </c>
      <c r="K528" s="1" t="str">
        <f t="shared" ref="K528:K543" si="774">"0.00"</f>
        <v>0.00</v>
      </c>
      <c r="L528" s="1" t="str">
        <f>"0.06"</f>
        <v>0.06</v>
      </c>
      <c r="M528" s="1" t="str">
        <f t="shared" si="772"/>
        <v>0.00</v>
      </c>
      <c r="N528" s="1" t="str">
        <f t="shared" ref="N528:N532" si="775">"证券买入"</f>
        <v>证券买入</v>
      </c>
    </row>
    <row r="529" spans="1:14">
      <c r="A529" s="1" t="str">
        <f>"20180103"</f>
        <v>20180103</v>
      </c>
      <c r="B529" s="1" t="str">
        <f>"22:37:59"</f>
        <v>22:37:59</v>
      </c>
      <c r="C529" s="1" t="str">
        <f>"791828"</f>
        <v>791828</v>
      </c>
      <c r="D529" s="1" t="str">
        <f>"美凯配号"</f>
        <v>美凯配号</v>
      </c>
      <c r="E529" s="1" t="str">
        <f t="shared" si="766"/>
        <v>买入</v>
      </c>
      <c r="F529" s="1" t="str">
        <f t="shared" ref="F529:F536" si="776">"0.000"</f>
        <v>0.000</v>
      </c>
      <c r="G529" s="1" t="str">
        <f>"1.00"</f>
        <v>1.00</v>
      </c>
      <c r="H529" s="1" t="str">
        <f t="shared" si="773"/>
        <v>A850418317</v>
      </c>
      <c r="I529" s="1" t="str">
        <f t="shared" ref="I529:M529" si="777">"0.00"</f>
        <v>0.00</v>
      </c>
      <c r="J529" s="1" t="str">
        <f t="shared" si="777"/>
        <v>0.00</v>
      </c>
      <c r="K529" s="1" t="str">
        <f t="shared" si="777"/>
        <v>0.00</v>
      </c>
      <c r="L529" s="1" t="str">
        <f t="shared" si="777"/>
        <v>0.00</v>
      </c>
      <c r="M529" s="1" t="str">
        <f t="shared" si="777"/>
        <v>0.00</v>
      </c>
      <c r="N529" s="1" t="str">
        <f>"起始配号:100026462734"</f>
        <v>起始配号:100026462734</v>
      </c>
    </row>
    <row r="530" spans="1:14">
      <c r="A530" s="1" t="str">
        <f t="shared" ref="A530:A535" si="778">"20180104"</f>
        <v>20180104</v>
      </c>
      <c r="B530" s="1" t="str">
        <f>"09:30:25"</f>
        <v>09:30:25</v>
      </c>
      <c r="C530" s="1" t="str">
        <f>"601128"</f>
        <v>601128</v>
      </c>
      <c r="D530" s="1" t="str">
        <f>"常熟银行"</f>
        <v>常熟银行</v>
      </c>
      <c r="E530" s="1" t="str">
        <f t="shared" si="766"/>
        <v>买入</v>
      </c>
      <c r="F530" s="1" t="str">
        <f>"7.540"</f>
        <v>7.540</v>
      </c>
      <c r="G530" s="1" t="str">
        <f>"100.00"</f>
        <v>100.00</v>
      </c>
      <c r="H530" s="1" t="str">
        <f t="shared" si="773"/>
        <v>A850418317</v>
      </c>
      <c r="I530" s="1" t="str">
        <f>"754.00"</f>
        <v>754.00</v>
      </c>
      <c r="J530" s="1" t="str">
        <f t="shared" ref="J530:J532" si="779">"5.00"</f>
        <v>5.00</v>
      </c>
      <c r="K530" s="1" t="str">
        <f t="shared" si="774"/>
        <v>0.00</v>
      </c>
      <c r="L530" s="1" t="str">
        <f>"0.02"</f>
        <v>0.02</v>
      </c>
      <c r="M530" s="1" t="str">
        <f t="shared" si="772"/>
        <v>0.00</v>
      </c>
      <c r="N530" s="1" t="str">
        <f t="shared" si="775"/>
        <v>证券买入</v>
      </c>
    </row>
    <row r="531" spans="1:14">
      <c r="A531" s="1" t="str">
        <f t="shared" si="778"/>
        <v>20180104</v>
      </c>
      <c r="B531" s="1" t="str">
        <f>"09:25:00"</f>
        <v>09:25:00</v>
      </c>
      <c r="C531" s="1" t="str">
        <f>"002594"</f>
        <v>002594</v>
      </c>
      <c r="D531" s="1" t="str">
        <f>"比亚迪"</f>
        <v>比亚迪</v>
      </c>
      <c r="E531" s="1" t="str">
        <f>"卖出"</f>
        <v>卖出</v>
      </c>
      <c r="F531" s="1" t="str">
        <f>"66.000"</f>
        <v>66.000</v>
      </c>
      <c r="G531" s="1" t="str">
        <f>"-100.00"</f>
        <v>-100.00</v>
      </c>
      <c r="H531" s="1" t="str">
        <f t="shared" ref="H531:H536" si="780">"0104152129"</f>
        <v>0104152129</v>
      </c>
      <c r="I531" s="1" t="str">
        <f>"6600.00"</f>
        <v>6600.00</v>
      </c>
      <c r="J531" s="1" t="str">
        <f t="shared" si="779"/>
        <v>5.00</v>
      </c>
      <c r="K531" s="1" t="str">
        <f>"6.60"</f>
        <v>6.60</v>
      </c>
      <c r="L531" s="1" t="str">
        <f>"0.13"</f>
        <v>0.13</v>
      </c>
      <c r="M531" s="1" t="str">
        <f t="shared" si="772"/>
        <v>0.00</v>
      </c>
      <c r="N531" s="1" t="str">
        <f>"证券卖出"</f>
        <v>证券卖出</v>
      </c>
    </row>
    <row r="532" spans="1:14">
      <c r="A532" s="1" t="str">
        <f t="shared" si="778"/>
        <v>20180104</v>
      </c>
      <c r="B532" s="1" t="str">
        <f>"09:30:01"</f>
        <v>09:30:01</v>
      </c>
      <c r="C532" s="1" t="str">
        <f>"002373"</f>
        <v>002373</v>
      </c>
      <c r="D532" s="1" t="str">
        <f>"千方科技"</f>
        <v>千方科技</v>
      </c>
      <c r="E532" s="1" t="str">
        <f t="shared" ref="E532:E538" si="781">"买入"</f>
        <v>买入</v>
      </c>
      <c r="F532" s="1" t="str">
        <f>"14.900"</f>
        <v>14.900</v>
      </c>
      <c r="G532" s="1" t="str">
        <f>"400.00"</f>
        <v>400.00</v>
      </c>
      <c r="H532" s="1" t="str">
        <f t="shared" si="780"/>
        <v>0104152129</v>
      </c>
      <c r="I532" s="1" t="str">
        <f>"5960.00"</f>
        <v>5960.00</v>
      </c>
      <c r="J532" s="1" t="str">
        <f t="shared" si="779"/>
        <v>5.00</v>
      </c>
      <c r="K532" s="1" t="str">
        <f t="shared" si="774"/>
        <v>0.00</v>
      </c>
      <c r="L532" s="1" t="str">
        <f>"0.12"</f>
        <v>0.12</v>
      </c>
      <c r="M532" s="1" t="str">
        <f t="shared" si="772"/>
        <v>0.00</v>
      </c>
      <c r="N532" s="1" t="str">
        <f t="shared" si="775"/>
        <v>证券买入</v>
      </c>
    </row>
    <row r="533" spans="1:14">
      <c r="A533" s="1" t="str">
        <f t="shared" si="778"/>
        <v>20180104</v>
      </c>
      <c r="B533" s="1" t="str">
        <f>"22:05:06"</f>
        <v>22:05:06</v>
      </c>
      <c r="C533" s="1" t="str">
        <f>"736056"</f>
        <v>736056</v>
      </c>
      <c r="D533" s="1" t="str">
        <f>"德邦配号"</f>
        <v>德邦配号</v>
      </c>
      <c r="E533" s="1" t="str">
        <f t="shared" si="781"/>
        <v>买入</v>
      </c>
      <c r="F533" s="1" t="str">
        <f t="shared" si="776"/>
        <v>0.000</v>
      </c>
      <c r="G533" s="1" t="str">
        <f>"1.00"</f>
        <v>1.00</v>
      </c>
      <c r="H533" s="1" t="str">
        <f>"A850418317"</f>
        <v>A850418317</v>
      </c>
      <c r="I533" s="1" t="str">
        <f t="shared" ref="I533:L533" si="782">"0.00"</f>
        <v>0.00</v>
      </c>
      <c r="J533" s="1" t="str">
        <f t="shared" si="782"/>
        <v>0.00</v>
      </c>
      <c r="K533" s="1" t="str">
        <f t="shared" si="774"/>
        <v>0.00</v>
      </c>
      <c r="L533" s="1" t="str">
        <f t="shared" si="782"/>
        <v>0.00</v>
      </c>
      <c r="M533" s="1" t="str">
        <f t="shared" si="772"/>
        <v>0.00</v>
      </c>
      <c r="N533" s="1" t="str">
        <f>"起始配号:100037256229"</f>
        <v>起始配号:100037256229</v>
      </c>
    </row>
    <row r="534" spans="1:14">
      <c r="A534" s="1" t="str">
        <f t="shared" si="778"/>
        <v>20180104</v>
      </c>
      <c r="B534" s="1" t="str">
        <f>"22:04:01"</f>
        <v>22:04:01</v>
      </c>
      <c r="C534" s="1" t="str">
        <f>"002925"</f>
        <v>002925</v>
      </c>
      <c r="D534" s="1" t="str">
        <f>"盈趣科技"</f>
        <v>盈趣科技</v>
      </c>
      <c r="E534" s="1" t="str">
        <f t="shared" si="781"/>
        <v>买入</v>
      </c>
      <c r="F534" s="1" t="str">
        <f t="shared" si="776"/>
        <v>0.000</v>
      </c>
      <c r="G534" s="1" t="str">
        <f t="shared" ref="G534:G536" si="783">"2.00"</f>
        <v>2.00</v>
      </c>
      <c r="H534" s="1" t="str">
        <f t="shared" si="780"/>
        <v>0104152129</v>
      </c>
      <c r="I534" s="1" t="str">
        <f t="shared" ref="I534:L534" si="784">"0.00"</f>
        <v>0.00</v>
      </c>
      <c r="J534" s="1" t="str">
        <f t="shared" si="784"/>
        <v>0.00</v>
      </c>
      <c r="K534" s="1" t="str">
        <f t="shared" si="774"/>
        <v>0.00</v>
      </c>
      <c r="L534" s="1" t="str">
        <f t="shared" si="784"/>
        <v>0.00</v>
      </c>
      <c r="M534" s="1" t="str">
        <f t="shared" si="772"/>
        <v>0.00</v>
      </c>
      <c r="N534" s="1" t="str">
        <f>"起始配号:76228592"</f>
        <v>起始配号:76228592</v>
      </c>
    </row>
    <row r="535" spans="1:14">
      <c r="A535" s="1" t="str">
        <f t="shared" si="778"/>
        <v>20180104</v>
      </c>
      <c r="B535" s="1" t="str">
        <f>"22:04:35"</f>
        <v>22:04:35</v>
      </c>
      <c r="C535" s="1" t="str">
        <f>"300733"</f>
        <v>300733</v>
      </c>
      <c r="D535" s="1" t="str">
        <f>"西菱动力"</f>
        <v>西菱动力</v>
      </c>
      <c r="E535" s="1" t="str">
        <f t="shared" si="781"/>
        <v>买入</v>
      </c>
      <c r="F535" s="1" t="str">
        <f t="shared" si="776"/>
        <v>0.000</v>
      </c>
      <c r="G535" s="1" t="str">
        <f t="shared" si="783"/>
        <v>2.00</v>
      </c>
      <c r="H535" s="1" t="str">
        <f t="shared" si="780"/>
        <v>0104152129</v>
      </c>
      <c r="I535" s="1" t="str">
        <f t="shared" ref="I535:L535" si="785">"0.00"</f>
        <v>0.00</v>
      </c>
      <c r="J535" s="1" t="str">
        <f t="shared" si="785"/>
        <v>0.00</v>
      </c>
      <c r="K535" s="1" t="str">
        <f t="shared" si="774"/>
        <v>0.00</v>
      </c>
      <c r="L535" s="1" t="str">
        <f t="shared" si="785"/>
        <v>0.00</v>
      </c>
      <c r="M535" s="1" t="str">
        <f t="shared" si="772"/>
        <v>0.00</v>
      </c>
      <c r="N535" s="1" t="str">
        <f>"起始配号:57249605"</f>
        <v>起始配号:57249605</v>
      </c>
    </row>
    <row r="536" spans="1:14">
      <c r="A536" s="1" t="str">
        <f>"20180105"</f>
        <v>20180105</v>
      </c>
      <c r="B536" s="1" t="str">
        <f>"22:25:28"</f>
        <v>22:25:28</v>
      </c>
      <c r="C536" s="1" t="str">
        <f>"300624"</f>
        <v>300624</v>
      </c>
      <c r="D536" s="1" t="str">
        <f>"万兴科技"</f>
        <v>万兴科技</v>
      </c>
      <c r="E536" s="1" t="str">
        <f t="shared" si="781"/>
        <v>买入</v>
      </c>
      <c r="F536" s="1" t="str">
        <f t="shared" si="776"/>
        <v>0.000</v>
      </c>
      <c r="G536" s="1" t="str">
        <f t="shared" si="783"/>
        <v>2.00</v>
      </c>
      <c r="H536" s="1" t="str">
        <f t="shared" si="780"/>
        <v>0104152129</v>
      </c>
      <c r="I536" s="1" t="str">
        <f t="shared" ref="I536:L536" si="786">"0.00"</f>
        <v>0.00</v>
      </c>
      <c r="J536" s="1" t="str">
        <f t="shared" si="786"/>
        <v>0.00</v>
      </c>
      <c r="K536" s="1" t="str">
        <f t="shared" si="774"/>
        <v>0.00</v>
      </c>
      <c r="L536" s="1" t="str">
        <f t="shared" si="786"/>
        <v>0.00</v>
      </c>
      <c r="M536" s="1" t="str">
        <f t="shared" si="772"/>
        <v>0.00</v>
      </c>
      <c r="N536" s="1" t="str">
        <f>"起始配号:48919104"</f>
        <v>起始配号:48919104</v>
      </c>
    </row>
    <row r="537" spans="1:14">
      <c r="A537" s="1" t="str">
        <f>"20180108"</f>
        <v>20180108</v>
      </c>
      <c r="B537" s="1" t="str">
        <f>"16:00:00"</f>
        <v>16:00:00</v>
      </c>
      <c r="C537" s="1" t="str">
        <f>"110041"</f>
        <v>110041</v>
      </c>
      <c r="D537" s="1" t="str">
        <f>"蒙电转债"</f>
        <v>蒙电转债</v>
      </c>
      <c r="E537" s="1" t="str">
        <f t="shared" si="781"/>
        <v>买入</v>
      </c>
      <c r="F537" s="1" t="str">
        <f>"100.000"</f>
        <v>100.000</v>
      </c>
      <c r="G537" s="1" t="str">
        <f>"20.00"</f>
        <v>20.00</v>
      </c>
      <c r="H537" s="1" t="str">
        <f t="shared" ref="H537:H545" si="787">"A850418317"</f>
        <v>A850418317</v>
      </c>
      <c r="I537" s="1" t="str">
        <f t="shared" ref="I537:L537" si="788">"0.00"</f>
        <v>0.00</v>
      </c>
      <c r="J537" s="1" t="str">
        <f t="shared" si="788"/>
        <v>0.00</v>
      </c>
      <c r="K537" s="1" t="str">
        <f t="shared" si="774"/>
        <v>0.00</v>
      </c>
      <c r="L537" s="1" t="str">
        <f t="shared" si="788"/>
        <v>0.00</v>
      </c>
      <c r="M537" s="1" t="str">
        <f t="shared" si="772"/>
        <v>0.00</v>
      </c>
      <c r="N537" s="1" t="str">
        <f>"新股入账"</f>
        <v>新股入账</v>
      </c>
    </row>
    <row r="538" spans="1:14">
      <c r="A538" s="1" t="str">
        <f>"20180108"</f>
        <v>20180108</v>
      </c>
      <c r="B538" s="1" t="str">
        <f>"17:00:01"</f>
        <v>17:00:01</v>
      </c>
      <c r="C538" s="1" t="str">
        <f>"128030"</f>
        <v>128030</v>
      </c>
      <c r="D538" s="1" t="str">
        <f>"128030"</f>
        <v>128030</v>
      </c>
      <c r="E538" s="1" t="str">
        <f t="shared" si="781"/>
        <v>买入</v>
      </c>
      <c r="F538" s="1" t="str">
        <f>"100.000"</f>
        <v>100.000</v>
      </c>
      <c r="G538" s="1" t="str">
        <f>"10.00"</f>
        <v>10.00</v>
      </c>
      <c r="H538" s="1" t="str">
        <f>"0104152129"</f>
        <v>0104152129</v>
      </c>
      <c r="I538" s="1" t="str">
        <f t="shared" ref="I538:L538" si="789">"0.00"</f>
        <v>0.00</v>
      </c>
      <c r="J538" s="1" t="str">
        <f t="shared" si="789"/>
        <v>0.00</v>
      </c>
      <c r="K538" s="1" t="str">
        <f t="shared" si="774"/>
        <v>0.00</v>
      </c>
      <c r="L538" s="1" t="str">
        <f t="shared" si="789"/>
        <v>0.00</v>
      </c>
      <c r="M538" s="1" t="str">
        <f t="shared" si="772"/>
        <v>0.00</v>
      </c>
      <c r="N538" s="1" t="str">
        <f>"新股入账"</f>
        <v>新股入账</v>
      </c>
    </row>
    <row r="539" spans="1:14">
      <c r="A539" s="1" t="str">
        <f>"20180109"</f>
        <v>20180109</v>
      </c>
      <c r="B539" s="1" t="str">
        <f>"09:32:53"</f>
        <v>09:32:53</v>
      </c>
      <c r="C539" s="1" t="str">
        <f>"110041"</f>
        <v>110041</v>
      </c>
      <c r="D539" s="1" t="str">
        <f>"N蒙电转"</f>
        <v>N蒙电转</v>
      </c>
      <c r="E539" s="1" t="str">
        <f>"卖出"</f>
        <v>卖出</v>
      </c>
      <c r="F539" s="1" t="str">
        <f>"103.810"</f>
        <v>103.810</v>
      </c>
      <c r="G539" s="1" t="str">
        <f>"-20.00"</f>
        <v>-20.00</v>
      </c>
      <c r="H539" s="1" t="str">
        <f t="shared" si="787"/>
        <v>A850418317</v>
      </c>
      <c r="I539" s="1" t="str">
        <f>"2076.20"</f>
        <v>2076.20</v>
      </c>
      <c r="J539" s="1" t="str">
        <f>"1.00"</f>
        <v>1.00</v>
      </c>
      <c r="K539" s="1" t="str">
        <f t="shared" si="774"/>
        <v>0.00</v>
      </c>
      <c r="L539" s="1" t="str">
        <f>"0.00"</f>
        <v>0.00</v>
      </c>
      <c r="M539" s="1" t="str">
        <f t="shared" si="772"/>
        <v>0.00</v>
      </c>
      <c r="N539" s="1" t="str">
        <f>"证券卖出"</f>
        <v>证券卖出</v>
      </c>
    </row>
    <row r="540" spans="1:14">
      <c r="A540" s="1" t="str">
        <f>"20180109"</f>
        <v>20180109</v>
      </c>
      <c r="B540" s="1" t="str">
        <f>"09:35:04"</f>
        <v>09:35:04</v>
      </c>
      <c r="C540" s="1" t="str">
        <f>"000012"</f>
        <v>000012</v>
      </c>
      <c r="D540" s="1" t="str">
        <f>"南 玻Ａ"</f>
        <v>南 玻Ａ</v>
      </c>
      <c r="E540" s="1" t="str">
        <f t="shared" ref="E540:E543" si="790">"买入"</f>
        <v>买入</v>
      </c>
      <c r="F540" s="1" t="str">
        <f>"9.030"</f>
        <v>9.030</v>
      </c>
      <c r="G540" s="1" t="str">
        <f>"200.00"</f>
        <v>200.00</v>
      </c>
      <c r="H540" s="1" t="str">
        <f>"0104152129"</f>
        <v>0104152129</v>
      </c>
      <c r="I540" s="1" t="str">
        <f>"1806.00"</f>
        <v>1806.00</v>
      </c>
      <c r="J540" s="1" t="str">
        <f t="shared" ref="J540:J546" si="791">"5.00"</f>
        <v>5.00</v>
      </c>
      <c r="K540" s="1" t="str">
        <f t="shared" si="774"/>
        <v>0.00</v>
      </c>
      <c r="L540" s="1" t="str">
        <f>"0.04"</f>
        <v>0.04</v>
      </c>
      <c r="M540" s="1" t="str">
        <f t="shared" si="772"/>
        <v>0.00</v>
      </c>
      <c r="N540" s="1" t="str">
        <f t="shared" ref="N540:N543" si="792">"证券买入"</f>
        <v>证券买入</v>
      </c>
    </row>
    <row r="541" spans="1:14">
      <c r="A541" s="1" t="str">
        <f t="shared" ref="A541:A548" si="793">"20180110"</f>
        <v>20180110</v>
      </c>
      <c r="B541" s="1" t="str">
        <f>"09:30:01"</f>
        <v>09:30:01</v>
      </c>
      <c r="C541" s="1" t="str">
        <f>"603866"</f>
        <v>603866</v>
      </c>
      <c r="D541" s="1" t="str">
        <f>"桃李面包"</f>
        <v>桃李面包</v>
      </c>
      <c r="E541" s="1" t="str">
        <f t="shared" si="790"/>
        <v>买入</v>
      </c>
      <c r="F541" s="1" t="str">
        <f>"42.480"</f>
        <v>42.480</v>
      </c>
      <c r="G541" s="1" t="str">
        <f t="shared" ref="G541:G543" si="794">"100.00"</f>
        <v>100.00</v>
      </c>
      <c r="H541" s="1" t="str">
        <f t="shared" si="787"/>
        <v>A850418317</v>
      </c>
      <c r="I541" s="1" t="str">
        <f>"4248.00"</f>
        <v>4248.00</v>
      </c>
      <c r="J541" s="1" t="str">
        <f t="shared" si="791"/>
        <v>5.00</v>
      </c>
      <c r="K541" s="1" t="str">
        <f t="shared" si="774"/>
        <v>0.00</v>
      </c>
      <c r="L541" s="1" t="str">
        <f>"0.08"</f>
        <v>0.08</v>
      </c>
      <c r="M541" s="1" t="str">
        <f t="shared" si="772"/>
        <v>0.00</v>
      </c>
      <c r="N541" s="1" t="str">
        <f t="shared" si="792"/>
        <v>证券买入</v>
      </c>
    </row>
    <row r="542" spans="1:14">
      <c r="A542" s="1" t="str">
        <f t="shared" si="793"/>
        <v>20180110</v>
      </c>
      <c r="B542" s="1" t="str">
        <f>"09:30:01"</f>
        <v>09:30:01</v>
      </c>
      <c r="C542" s="1" t="str">
        <f>"600426"</f>
        <v>600426</v>
      </c>
      <c r="D542" s="1" t="str">
        <f>"华鲁恒升"</f>
        <v>华鲁恒升</v>
      </c>
      <c r="E542" s="1" t="str">
        <f t="shared" si="790"/>
        <v>买入</v>
      </c>
      <c r="F542" s="1" t="str">
        <f>"18.330"</f>
        <v>18.330</v>
      </c>
      <c r="G542" s="1" t="str">
        <f t="shared" si="794"/>
        <v>100.00</v>
      </c>
      <c r="H542" s="1" t="str">
        <f t="shared" si="787"/>
        <v>A850418317</v>
      </c>
      <c r="I542" s="1" t="str">
        <f>"1833.00"</f>
        <v>1833.00</v>
      </c>
      <c r="J542" s="1" t="str">
        <f t="shared" si="791"/>
        <v>5.00</v>
      </c>
      <c r="K542" s="1" t="str">
        <f t="shared" si="774"/>
        <v>0.00</v>
      </c>
      <c r="L542" s="1" t="str">
        <f>"0.04"</f>
        <v>0.04</v>
      </c>
      <c r="M542" s="1" t="str">
        <f t="shared" si="772"/>
        <v>0.00</v>
      </c>
      <c r="N542" s="1" t="str">
        <f t="shared" si="792"/>
        <v>证券买入</v>
      </c>
    </row>
    <row r="543" spans="1:14">
      <c r="A543" s="1" t="str">
        <f t="shared" si="793"/>
        <v>20180110</v>
      </c>
      <c r="B543" s="1" t="str">
        <f>"09:31:08"</f>
        <v>09:31:08</v>
      </c>
      <c r="C543" s="1" t="str">
        <f>"603866"</f>
        <v>603866</v>
      </c>
      <c r="D543" s="1" t="str">
        <f>"桃李面包"</f>
        <v>桃李面包</v>
      </c>
      <c r="E543" s="1" t="str">
        <f t="shared" si="790"/>
        <v>买入</v>
      </c>
      <c r="F543" s="1" t="str">
        <f>"42.680"</f>
        <v>42.680</v>
      </c>
      <c r="G543" s="1" t="str">
        <f t="shared" si="794"/>
        <v>100.00</v>
      </c>
      <c r="H543" s="1" t="str">
        <f t="shared" si="787"/>
        <v>A850418317</v>
      </c>
      <c r="I543" s="1" t="str">
        <f>"4268.00"</f>
        <v>4268.00</v>
      </c>
      <c r="J543" s="1" t="str">
        <f t="shared" si="791"/>
        <v>5.00</v>
      </c>
      <c r="K543" s="1" t="str">
        <f t="shared" si="774"/>
        <v>0.00</v>
      </c>
      <c r="L543" s="1" t="str">
        <f>"0.09"</f>
        <v>0.09</v>
      </c>
      <c r="M543" s="1" t="str">
        <f t="shared" si="772"/>
        <v>0.00</v>
      </c>
      <c r="N543" s="1" t="str">
        <f t="shared" si="792"/>
        <v>证券买入</v>
      </c>
    </row>
    <row r="544" spans="1:14">
      <c r="A544" s="1" t="str">
        <f t="shared" si="793"/>
        <v>20180110</v>
      </c>
      <c r="B544" s="1" t="str">
        <f>"11:07:51"</f>
        <v>11:07:51</v>
      </c>
      <c r="C544" s="1" t="str">
        <f>"600372"</f>
        <v>600372</v>
      </c>
      <c r="D544" s="1" t="str">
        <f>"中航电子"</f>
        <v>中航电子</v>
      </c>
      <c r="E544" s="1" t="str">
        <f>"卖出"</f>
        <v>卖出</v>
      </c>
      <c r="F544" s="1" t="str">
        <f>"14.080"</f>
        <v>14.080</v>
      </c>
      <c r="G544" s="1" t="str">
        <f>"-200.00"</f>
        <v>-200.00</v>
      </c>
      <c r="H544" s="1" t="str">
        <f t="shared" si="787"/>
        <v>A850418317</v>
      </c>
      <c r="I544" s="1" t="str">
        <f>"2816.00"</f>
        <v>2816.00</v>
      </c>
      <c r="J544" s="1" t="str">
        <f t="shared" si="791"/>
        <v>5.00</v>
      </c>
      <c r="K544" s="1" t="str">
        <f>"2.82"</f>
        <v>2.82</v>
      </c>
      <c r="L544" s="1" t="str">
        <f>"0.06"</f>
        <v>0.06</v>
      </c>
      <c r="M544" s="1" t="str">
        <f t="shared" si="772"/>
        <v>0.00</v>
      </c>
      <c r="N544" s="1" t="str">
        <f>"证券卖出"</f>
        <v>证券卖出</v>
      </c>
    </row>
    <row r="545" spans="1:14">
      <c r="A545" s="1" t="str">
        <f t="shared" si="793"/>
        <v>20180110</v>
      </c>
      <c r="B545" s="1" t="str">
        <f>"14:02:00"</f>
        <v>14:02:00</v>
      </c>
      <c r="C545" s="1" t="str">
        <f>"601128"</f>
        <v>601128</v>
      </c>
      <c r="D545" s="1" t="str">
        <f>"常熟银行"</f>
        <v>常熟银行</v>
      </c>
      <c r="E545" s="1" t="str">
        <f>"卖出"</f>
        <v>卖出</v>
      </c>
      <c r="F545" s="1" t="str">
        <f>"7.860"</f>
        <v>7.860</v>
      </c>
      <c r="G545" s="1" t="str">
        <f>"-100.00"</f>
        <v>-100.00</v>
      </c>
      <c r="H545" s="1" t="str">
        <f t="shared" si="787"/>
        <v>A850418317</v>
      </c>
      <c r="I545" s="1" t="str">
        <f>"786.00"</f>
        <v>786.00</v>
      </c>
      <c r="J545" s="1" t="str">
        <f t="shared" si="791"/>
        <v>5.00</v>
      </c>
      <c r="K545" s="1" t="str">
        <f>"0.79"</f>
        <v>0.79</v>
      </c>
      <c r="L545" s="1" t="str">
        <f>"0.02"</f>
        <v>0.02</v>
      </c>
      <c r="M545" s="1" t="str">
        <f t="shared" si="772"/>
        <v>0.00</v>
      </c>
      <c r="N545" s="1" t="str">
        <f>"证券卖出"</f>
        <v>证券卖出</v>
      </c>
    </row>
    <row r="546" spans="1:14">
      <c r="A546" s="1" t="str">
        <f t="shared" si="793"/>
        <v>20180110</v>
      </c>
      <c r="B546" s="1" t="str">
        <f>"10:00:29"</f>
        <v>10:00:29</v>
      </c>
      <c r="C546" s="1" t="str">
        <f>"000926"</f>
        <v>000926</v>
      </c>
      <c r="D546" s="1" t="str">
        <f>"福星股份"</f>
        <v>福星股份</v>
      </c>
      <c r="E546" s="1" t="str">
        <f t="shared" ref="E546:E552" si="795">"买入"</f>
        <v>买入</v>
      </c>
      <c r="F546" s="1" t="str">
        <f>"11.980"</f>
        <v>11.980</v>
      </c>
      <c r="G546" s="1" t="str">
        <f>"200.00"</f>
        <v>200.00</v>
      </c>
      <c r="H546" s="1" t="str">
        <f>"0104152129"</f>
        <v>0104152129</v>
      </c>
      <c r="I546" s="1" t="str">
        <f>"2396.00"</f>
        <v>2396.00</v>
      </c>
      <c r="J546" s="1" t="str">
        <f t="shared" si="791"/>
        <v>5.00</v>
      </c>
      <c r="K546" s="1" t="str">
        <f t="shared" ref="K546:K552" si="796">"0.00"</f>
        <v>0.00</v>
      </c>
      <c r="L546" s="1" t="str">
        <f>"0.05"</f>
        <v>0.05</v>
      </c>
      <c r="M546" s="1" t="str">
        <f t="shared" si="772"/>
        <v>0.00</v>
      </c>
      <c r="N546" s="1" t="str">
        <f t="shared" ref="N546:N552" si="797">"证券买入"</f>
        <v>证券买入</v>
      </c>
    </row>
    <row r="547" spans="1:14">
      <c r="A547" s="1" t="str">
        <f t="shared" si="793"/>
        <v>20180110</v>
      </c>
      <c r="B547" s="1" t="str">
        <f>"21:59:55"</f>
        <v>21:59:55</v>
      </c>
      <c r="C547" s="1" t="str">
        <f>"736895"</f>
        <v>736895</v>
      </c>
      <c r="D547" s="1" t="str">
        <f>"天永配号"</f>
        <v>天永配号</v>
      </c>
      <c r="E547" s="1" t="str">
        <f t="shared" si="795"/>
        <v>买入</v>
      </c>
      <c r="F547" s="1" t="str">
        <f>"0.000"</f>
        <v>0.000</v>
      </c>
      <c r="G547" s="1" t="str">
        <f>"1.00"</f>
        <v>1.00</v>
      </c>
      <c r="H547" s="1" t="str">
        <f t="shared" ref="H547:H552" si="798">"A850418317"</f>
        <v>A850418317</v>
      </c>
      <c r="I547" s="1" t="str">
        <f t="shared" ref="I547:L547" si="799">"0.00"</f>
        <v>0.00</v>
      </c>
      <c r="J547" s="1" t="str">
        <f t="shared" si="799"/>
        <v>0.00</v>
      </c>
      <c r="K547" s="1" t="str">
        <f t="shared" si="799"/>
        <v>0.00</v>
      </c>
      <c r="L547" s="1" t="str">
        <f t="shared" si="799"/>
        <v>0.00</v>
      </c>
      <c r="M547" s="1" t="str">
        <f t="shared" si="772"/>
        <v>0.00</v>
      </c>
      <c r="N547" s="1" t="str">
        <f>"起始配号:100018110576"</f>
        <v>起始配号:100018110576</v>
      </c>
    </row>
    <row r="548" spans="1:14">
      <c r="A548" s="1" t="str">
        <f t="shared" si="793"/>
        <v>20180110</v>
      </c>
      <c r="B548" s="1" t="str">
        <f>"22:01:29"</f>
        <v>22:01:29</v>
      </c>
      <c r="C548" s="1" t="str">
        <f>"300738"</f>
        <v>300738</v>
      </c>
      <c r="D548" s="1" t="str">
        <f>"奥飞数据"</f>
        <v>奥飞数据</v>
      </c>
      <c r="E548" s="1" t="str">
        <f t="shared" si="795"/>
        <v>买入</v>
      </c>
      <c r="F548" s="1" t="str">
        <f>"0.000"</f>
        <v>0.000</v>
      </c>
      <c r="G548" s="1" t="str">
        <f>"2.00"</f>
        <v>2.00</v>
      </c>
      <c r="H548" s="1" t="str">
        <f>"0104152129"</f>
        <v>0104152129</v>
      </c>
      <c r="I548" s="1" t="str">
        <f t="shared" ref="I548:L548" si="800">"0.00"</f>
        <v>0.00</v>
      </c>
      <c r="J548" s="1" t="str">
        <f t="shared" si="800"/>
        <v>0.00</v>
      </c>
      <c r="K548" s="1" t="str">
        <f t="shared" si="800"/>
        <v>0.00</v>
      </c>
      <c r="L548" s="1" t="str">
        <f t="shared" si="800"/>
        <v>0.00</v>
      </c>
      <c r="M548" s="1" t="str">
        <f t="shared" si="772"/>
        <v>0.00</v>
      </c>
      <c r="N548" s="1" t="str">
        <f>"起始配号:34375553"</f>
        <v>起始配号:34375553</v>
      </c>
    </row>
    <row r="549" spans="1:14">
      <c r="A549" s="1" t="str">
        <f t="shared" ref="A549:A558" si="801">"20180111"</f>
        <v>20180111</v>
      </c>
      <c r="B549" s="1" t="str">
        <f>"09:25:01"</f>
        <v>09:25:01</v>
      </c>
      <c r="C549" s="1" t="str">
        <f>"601139"</f>
        <v>601139</v>
      </c>
      <c r="D549" s="1" t="str">
        <f>"深圳燃气"</f>
        <v>深圳燃气</v>
      </c>
      <c r="E549" s="1" t="str">
        <f t="shared" si="795"/>
        <v>买入</v>
      </c>
      <c r="F549" s="1" t="str">
        <f>"8.500"</f>
        <v>8.500</v>
      </c>
      <c r="G549" s="1" t="str">
        <f>"400.00"</f>
        <v>400.00</v>
      </c>
      <c r="H549" s="1" t="str">
        <f t="shared" si="798"/>
        <v>A850418317</v>
      </c>
      <c r="I549" s="1" t="str">
        <f>"3400.00"</f>
        <v>3400.00</v>
      </c>
      <c r="J549" s="1" t="str">
        <f t="shared" ref="J549:J557" si="802">"5.00"</f>
        <v>5.00</v>
      </c>
      <c r="K549" s="1" t="str">
        <f t="shared" si="796"/>
        <v>0.00</v>
      </c>
      <c r="L549" s="1" t="str">
        <f>"0.07"</f>
        <v>0.07</v>
      </c>
      <c r="M549" s="1" t="str">
        <f t="shared" si="772"/>
        <v>0.00</v>
      </c>
      <c r="N549" s="1" t="str">
        <f t="shared" si="797"/>
        <v>证券买入</v>
      </c>
    </row>
    <row r="550" spans="1:14">
      <c r="A550" s="1" t="str">
        <f t="shared" si="801"/>
        <v>20180111</v>
      </c>
      <c r="B550" s="1" t="str">
        <f>"09:30:35"</f>
        <v>09:30:35</v>
      </c>
      <c r="C550" s="1" t="str">
        <f>"603993"</f>
        <v>603993</v>
      </c>
      <c r="D550" s="1" t="str">
        <f>"洛阳钼业"</f>
        <v>洛阳钼业</v>
      </c>
      <c r="E550" s="1" t="str">
        <f t="shared" si="795"/>
        <v>买入</v>
      </c>
      <c r="F550" s="1" t="str">
        <f>"7.620"</f>
        <v>7.620</v>
      </c>
      <c r="G550" s="1" t="str">
        <f>"200.00"</f>
        <v>200.00</v>
      </c>
      <c r="H550" s="1" t="str">
        <f t="shared" si="798"/>
        <v>A850418317</v>
      </c>
      <c r="I550" s="1" t="str">
        <f>"1524.00"</f>
        <v>1524.00</v>
      </c>
      <c r="J550" s="1" t="str">
        <f t="shared" si="802"/>
        <v>5.00</v>
      </c>
      <c r="K550" s="1" t="str">
        <f t="shared" si="796"/>
        <v>0.00</v>
      </c>
      <c r="L550" s="1" t="str">
        <f>"0.03"</f>
        <v>0.03</v>
      </c>
      <c r="M550" s="1" t="str">
        <f t="shared" si="772"/>
        <v>0.00</v>
      </c>
      <c r="N550" s="1" t="str">
        <f t="shared" si="797"/>
        <v>证券买入</v>
      </c>
    </row>
    <row r="551" spans="1:14">
      <c r="A551" s="1" t="str">
        <f t="shared" si="801"/>
        <v>20180111</v>
      </c>
      <c r="B551" s="1" t="str">
        <f>"09:35:56"</f>
        <v>09:35:56</v>
      </c>
      <c r="C551" s="1" t="str">
        <f>"603993"</f>
        <v>603993</v>
      </c>
      <c r="D551" s="1" t="str">
        <f>"洛阳钼业"</f>
        <v>洛阳钼业</v>
      </c>
      <c r="E551" s="1" t="str">
        <f t="shared" si="795"/>
        <v>买入</v>
      </c>
      <c r="F551" s="1" t="str">
        <f>"7.670"</f>
        <v>7.670</v>
      </c>
      <c r="G551" s="1" t="str">
        <f>"100.00"</f>
        <v>100.00</v>
      </c>
      <c r="H551" s="1" t="str">
        <f t="shared" si="798"/>
        <v>A850418317</v>
      </c>
      <c r="I551" s="1" t="str">
        <f>"767.00"</f>
        <v>767.00</v>
      </c>
      <c r="J551" s="1" t="str">
        <f t="shared" si="802"/>
        <v>5.00</v>
      </c>
      <c r="K551" s="1" t="str">
        <f t="shared" si="796"/>
        <v>0.00</v>
      </c>
      <c r="L551" s="1" t="str">
        <f>"0.02"</f>
        <v>0.02</v>
      </c>
      <c r="M551" s="1" t="str">
        <f t="shared" si="772"/>
        <v>0.00</v>
      </c>
      <c r="N551" s="1" t="str">
        <f t="shared" si="797"/>
        <v>证券买入</v>
      </c>
    </row>
    <row r="552" spans="1:14">
      <c r="A552" s="1" t="str">
        <f t="shared" si="801"/>
        <v>20180111</v>
      </c>
      <c r="B552" s="1" t="str">
        <f>"09:51:17"</f>
        <v>09:51:17</v>
      </c>
      <c r="C552" s="1" t="str">
        <f>"601139"</f>
        <v>601139</v>
      </c>
      <c r="D552" s="1" t="str">
        <f>"深圳燃气"</f>
        <v>深圳燃气</v>
      </c>
      <c r="E552" s="1" t="str">
        <f t="shared" si="795"/>
        <v>买入</v>
      </c>
      <c r="F552" s="1" t="str">
        <f>"8.430"</f>
        <v>8.430</v>
      </c>
      <c r="G552" s="1" t="str">
        <f>"100.00"</f>
        <v>100.00</v>
      </c>
      <c r="H552" s="1" t="str">
        <f t="shared" si="798"/>
        <v>A850418317</v>
      </c>
      <c r="I552" s="1" t="str">
        <f>"843.00"</f>
        <v>843.00</v>
      </c>
      <c r="J552" s="1" t="str">
        <f t="shared" si="802"/>
        <v>5.00</v>
      </c>
      <c r="K552" s="1" t="str">
        <f t="shared" si="796"/>
        <v>0.00</v>
      </c>
      <c r="L552" s="1" t="str">
        <f>"0.02"</f>
        <v>0.02</v>
      </c>
      <c r="M552" s="1" t="str">
        <f t="shared" si="772"/>
        <v>0.00</v>
      </c>
      <c r="N552" s="1" t="str">
        <f t="shared" si="797"/>
        <v>证券买入</v>
      </c>
    </row>
    <row r="553" spans="1:14">
      <c r="A553" s="1" t="str">
        <f t="shared" si="801"/>
        <v>20180111</v>
      </c>
      <c r="B553" s="1" t="str">
        <f>"09:25:00"</f>
        <v>09:25:00</v>
      </c>
      <c r="C553" s="1" t="str">
        <f>"002373"</f>
        <v>002373</v>
      </c>
      <c r="D553" s="1" t="str">
        <f>"千方科技"</f>
        <v>千方科技</v>
      </c>
      <c r="E553" s="1" t="str">
        <f t="shared" ref="E553:E555" si="803">"卖出"</f>
        <v>卖出</v>
      </c>
      <c r="F553" s="1" t="str">
        <f>"14.570"</f>
        <v>14.570</v>
      </c>
      <c r="G553" s="1" t="str">
        <f>"-400.00"</f>
        <v>-400.00</v>
      </c>
      <c r="H553" s="1" t="str">
        <f t="shared" ref="H553:H557" si="804">"0104152129"</f>
        <v>0104152129</v>
      </c>
      <c r="I553" s="1" t="str">
        <f>"5828.00"</f>
        <v>5828.00</v>
      </c>
      <c r="J553" s="1" t="str">
        <f t="shared" si="802"/>
        <v>5.00</v>
      </c>
      <c r="K553" s="1" t="str">
        <f>"5.83"</f>
        <v>5.83</v>
      </c>
      <c r="L553" s="1" t="str">
        <f>"0.12"</f>
        <v>0.12</v>
      </c>
      <c r="M553" s="1" t="str">
        <f t="shared" si="772"/>
        <v>0.00</v>
      </c>
      <c r="N553" s="1" t="str">
        <f t="shared" ref="N553:N555" si="805">"证券卖出"</f>
        <v>证券卖出</v>
      </c>
    </row>
    <row r="554" spans="1:14">
      <c r="A554" s="1" t="str">
        <f t="shared" si="801"/>
        <v>20180111</v>
      </c>
      <c r="B554" s="1" t="str">
        <f>"09:25:00"</f>
        <v>09:25:00</v>
      </c>
      <c r="C554" s="1" t="str">
        <f>"000012"</f>
        <v>000012</v>
      </c>
      <c r="D554" s="1" t="str">
        <f>"南 玻Ａ"</f>
        <v>南 玻Ａ</v>
      </c>
      <c r="E554" s="1" t="str">
        <f t="shared" si="803"/>
        <v>卖出</v>
      </c>
      <c r="F554" s="1" t="str">
        <f>"8.800"</f>
        <v>8.800</v>
      </c>
      <c r="G554" s="1" t="str">
        <f>"-200.00"</f>
        <v>-200.00</v>
      </c>
      <c r="H554" s="1" t="str">
        <f t="shared" si="804"/>
        <v>0104152129</v>
      </c>
      <c r="I554" s="1" t="str">
        <f>"1760.00"</f>
        <v>1760.00</v>
      </c>
      <c r="J554" s="1" t="str">
        <f t="shared" si="802"/>
        <v>5.00</v>
      </c>
      <c r="K554" s="1" t="str">
        <f>"1.76"</f>
        <v>1.76</v>
      </c>
      <c r="L554" s="1" t="str">
        <f>"0.04"</f>
        <v>0.04</v>
      </c>
      <c r="M554" s="1" t="str">
        <f t="shared" si="772"/>
        <v>0.00</v>
      </c>
      <c r="N554" s="1" t="str">
        <f t="shared" si="805"/>
        <v>证券卖出</v>
      </c>
    </row>
    <row r="555" spans="1:14">
      <c r="A555" s="1" t="str">
        <f t="shared" si="801"/>
        <v>20180111</v>
      </c>
      <c r="B555" s="1" t="str">
        <f>"09:42:59"</f>
        <v>09:42:59</v>
      </c>
      <c r="C555" s="1" t="str">
        <f>"000926"</f>
        <v>000926</v>
      </c>
      <c r="D555" s="1" t="str">
        <f>"福星股份"</f>
        <v>福星股份</v>
      </c>
      <c r="E555" s="1" t="str">
        <f t="shared" si="803"/>
        <v>卖出</v>
      </c>
      <c r="F555" s="1" t="str">
        <f>"12.130"</f>
        <v>12.130</v>
      </c>
      <c r="G555" s="1" t="str">
        <f>"-200.00"</f>
        <v>-200.00</v>
      </c>
      <c r="H555" s="1" t="str">
        <f t="shared" si="804"/>
        <v>0104152129</v>
      </c>
      <c r="I555" s="1" t="str">
        <f>"2426.00"</f>
        <v>2426.00</v>
      </c>
      <c r="J555" s="1" t="str">
        <f t="shared" si="802"/>
        <v>5.00</v>
      </c>
      <c r="K555" s="1" t="str">
        <f>"2.43"</f>
        <v>2.43</v>
      </c>
      <c r="L555" s="1" t="str">
        <f t="shared" ref="L555:L559" si="806">"0.05"</f>
        <v>0.05</v>
      </c>
      <c r="M555" s="1" t="str">
        <f t="shared" si="772"/>
        <v>0.00</v>
      </c>
      <c r="N555" s="1" t="str">
        <f t="shared" si="805"/>
        <v>证券卖出</v>
      </c>
    </row>
    <row r="556" spans="1:14">
      <c r="A556" s="1" t="str">
        <f t="shared" si="801"/>
        <v>20180111</v>
      </c>
      <c r="B556" s="1" t="str">
        <f>"09:43:18"</f>
        <v>09:43:18</v>
      </c>
      <c r="C556" s="1" t="str">
        <f>"002195"</f>
        <v>002195</v>
      </c>
      <c r="D556" s="1" t="str">
        <f>"二三四五"</f>
        <v>二三四五</v>
      </c>
      <c r="E556" s="1" t="str">
        <f t="shared" ref="E556:E558" si="807">"买入"</f>
        <v>买入</v>
      </c>
      <c r="F556" s="1" t="str">
        <f>"6.500"</f>
        <v>6.500</v>
      </c>
      <c r="G556" s="1" t="str">
        <f>"400.00"</f>
        <v>400.00</v>
      </c>
      <c r="H556" s="1" t="str">
        <f t="shared" si="804"/>
        <v>0104152129</v>
      </c>
      <c r="I556" s="1" t="str">
        <f>"2600.00"</f>
        <v>2600.00</v>
      </c>
      <c r="J556" s="1" t="str">
        <f t="shared" si="802"/>
        <v>5.00</v>
      </c>
      <c r="K556" s="1" t="str">
        <f t="shared" ref="K556:K558" si="808">"0.00"</f>
        <v>0.00</v>
      </c>
      <c r="L556" s="1" t="str">
        <f t="shared" si="806"/>
        <v>0.05</v>
      </c>
      <c r="M556" s="1" t="str">
        <f t="shared" si="772"/>
        <v>0.00</v>
      </c>
      <c r="N556" s="1" t="str">
        <f t="shared" ref="N556:N560" si="809">"证券买入"</f>
        <v>证券买入</v>
      </c>
    </row>
    <row r="557" spans="1:14">
      <c r="A557" s="1" t="str">
        <f t="shared" si="801"/>
        <v>20180111</v>
      </c>
      <c r="B557" s="1" t="str">
        <f>"10:09:41"</f>
        <v>10:09:41</v>
      </c>
      <c r="C557" s="1" t="str">
        <f>"000016"</f>
        <v>000016</v>
      </c>
      <c r="D557" s="1" t="str">
        <f>"深康佳Ａ"</f>
        <v>深康佳Ａ</v>
      </c>
      <c r="E557" s="1" t="str">
        <f t="shared" si="807"/>
        <v>买入</v>
      </c>
      <c r="F557" s="1" t="str">
        <f>"6.590"</f>
        <v>6.590</v>
      </c>
      <c r="G557" s="1" t="str">
        <f>"100.00"</f>
        <v>100.00</v>
      </c>
      <c r="H557" s="1" t="str">
        <f t="shared" si="804"/>
        <v>0104152129</v>
      </c>
      <c r="I557" s="1" t="str">
        <f>"659.00"</f>
        <v>659.00</v>
      </c>
      <c r="J557" s="1" t="str">
        <f t="shared" si="802"/>
        <v>5.00</v>
      </c>
      <c r="K557" s="1" t="str">
        <f t="shared" si="808"/>
        <v>0.00</v>
      </c>
      <c r="L557" s="1" t="str">
        <f>"0.01"</f>
        <v>0.01</v>
      </c>
      <c r="M557" s="1" t="str">
        <f t="shared" si="772"/>
        <v>0.00</v>
      </c>
      <c r="N557" s="1" t="str">
        <f t="shared" si="809"/>
        <v>证券买入</v>
      </c>
    </row>
    <row r="558" spans="1:14">
      <c r="A558" s="1" t="str">
        <f t="shared" si="801"/>
        <v>20180111</v>
      </c>
      <c r="B558" s="1" t="str">
        <f>"21:59:17"</f>
        <v>21:59:17</v>
      </c>
      <c r="C558" s="1" t="str">
        <f>"736356"</f>
        <v>736356</v>
      </c>
      <c r="D558" s="1" t="str">
        <f>"华菱配号"</f>
        <v>华菱配号</v>
      </c>
      <c r="E558" s="1" t="str">
        <f t="shared" si="807"/>
        <v>买入</v>
      </c>
      <c r="F558" s="1" t="str">
        <f>"0.000"</f>
        <v>0.000</v>
      </c>
      <c r="G558" s="1" t="str">
        <f>"1.00"</f>
        <v>1.00</v>
      </c>
      <c r="H558" s="1" t="str">
        <f t="shared" ref="H558:H565" si="810">"A850418317"</f>
        <v>A850418317</v>
      </c>
      <c r="I558" s="1" t="str">
        <f t="shared" ref="I558:L558" si="811">"0.00"</f>
        <v>0.00</v>
      </c>
      <c r="J558" s="1" t="str">
        <f t="shared" si="811"/>
        <v>0.00</v>
      </c>
      <c r="K558" s="1" t="str">
        <f t="shared" si="808"/>
        <v>0.00</v>
      </c>
      <c r="L558" s="1" t="str">
        <f t="shared" si="811"/>
        <v>0.00</v>
      </c>
      <c r="M558" s="1" t="str">
        <f t="shared" si="772"/>
        <v>0.00</v>
      </c>
      <c r="N558" s="1" t="str">
        <f>"起始配号:100006740999"</f>
        <v>起始配号:100006740999</v>
      </c>
    </row>
    <row r="559" spans="1:14">
      <c r="A559" s="1" t="str">
        <f>"20180112"</f>
        <v>20180112</v>
      </c>
      <c r="B559" s="1" t="str">
        <f>"09:39:47"</f>
        <v>09:39:47</v>
      </c>
      <c r="C559" s="1" t="str">
        <f>"002195"</f>
        <v>002195</v>
      </c>
      <c r="D559" s="1" t="str">
        <f>"二三四五"</f>
        <v>二三四五</v>
      </c>
      <c r="E559" s="1" t="str">
        <f t="shared" ref="E559:E565" si="812">"卖出"</f>
        <v>卖出</v>
      </c>
      <c r="F559" s="1" t="str">
        <f>"6.570"</f>
        <v>6.570</v>
      </c>
      <c r="G559" s="1" t="str">
        <f>"-400.00"</f>
        <v>-400.00</v>
      </c>
      <c r="H559" s="1" t="str">
        <f>"0104152129"</f>
        <v>0104152129</v>
      </c>
      <c r="I559" s="1" t="str">
        <f>"2628.00"</f>
        <v>2628.00</v>
      </c>
      <c r="J559" s="1" t="str">
        <f t="shared" ref="J559:J578" si="813">"5.00"</f>
        <v>5.00</v>
      </c>
      <c r="K559" s="1" t="str">
        <f>"2.63"</f>
        <v>2.63</v>
      </c>
      <c r="L559" s="1" t="str">
        <f t="shared" si="806"/>
        <v>0.05</v>
      </c>
      <c r="M559" s="1" t="str">
        <f t="shared" si="772"/>
        <v>0.00</v>
      </c>
      <c r="N559" s="1" t="str">
        <f t="shared" ref="N559:N565" si="814">"证券卖出"</f>
        <v>证券卖出</v>
      </c>
    </row>
    <row r="560" spans="1:14">
      <c r="A560" s="1" t="str">
        <f>"20180112"</f>
        <v>20180112</v>
      </c>
      <c r="B560" s="1" t="str">
        <f>"09:46:33"</f>
        <v>09:46:33</v>
      </c>
      <c r="C560" s="1" t="str">
        <f>"300418"</f>
        <v>300418</v>
      </c>
      <c r="D560" s="1" t="str">
        <f>"昆仑万维"</f>
        <v>昆仑万维</v>
      </c>
      <c r="E560" s="1" t="str">
        <f>"买入"</f>
        <v>买入</v>
      </c>
      <c r="F560" s="1" t="str">
        <f>"21.940"</f>
        <v>21.940</v>
      </c>
      <c r="G560" s="1" t="str">
        <f>"100.00"</f>
        <v>100.00</v>
      </c>
      <c r="H560" s="1" t="str">
        <f>"0104152129"</f>
        <v>0104152129</v>
      </c>
      <c r="I560" s="1" t="str">
        <f>"2194.00"</f>
        <v>2194.00</v>
      </c>
      <c r="J560" s="1" t="str">
        <f t="shared" si="813"/>
        <v>5.00</v>
      </c>
      <c r="K560" s="1" t="str">
        <f>"0.00"</f>
        <v>0.00</v>
      </c>
      <c r="L560" s="1" t="str">
        <f>"0.04"</f>
        <v>0.04</v>
      </c>
      <c r="M560" s="1" t="str">
        <f t="shared" si="772"/>
        <v>0.00</v>
      </c>
      <c r="N560" s="1" t="str">
        <f t="shared" si="809"/>
        <v>证券买入</v>
      </c>
    </row>
    <row r="561" spans="1:14">
      <c r="A561" s="1" t="str">
        <f t="shared" ref="A561:A571" si="815">"20180115"</f>
        <v>20180115</v>
      </c>
      <c r="B561" s="1" t="str">
        <f>"09:31:17"</f>
        <v>09:31:17</v>
      </c>
      <c r="C561" s="1" t="str">
        <f>"603866"</f>
        <v>603866</v>
      </c>
      <c r="D561" s="1" t="str">
        <f>"桃李面包"</f>
        <v>桃李面包</v>
      </c>
      <c r="E561" s="1" t="str">
        <f t="shared" si="812"/>
        <v>卖出</v>
      </c>
      <c r="F561" s="1" t="str">
        <f>"42.660"</f>
        <v>42.660</v>
      </c>
      <c r="G561" s="1" t="str">
        <f>"-100.00"</f>
        <v>-100.00</v>
      </c>
      <c r="H561" s="1" t="str">
        <f t="shared" si="810"/>
        <v>A850418317</v>
      </c>
      <c r="I561" s="1" t="str">
        <f>"4266.00"</f>
        <v>4266.00</v>
      </c>
      <c r="J561" s="1" t="str">
        <f t="shared" si="813"/>
        <v>5.00</v>
      </c>
      <c r="K561" s="1" t="str">
        <f>"4.27"</f>
        <v>4.27</v>
      </c>
      <c r="L561" s="1" t="str">
        <f>"0.09"</f>
        <v>0.09</v>
      </c>
      <c r="M561" s="1" t="str">
        <f t="shared" si="772"/>
        <v>0.00</v>
      </c>
      <c r="N561" s="1" t="str">
        <f t="shared" si="814"/>
        <v>证券卖出</v>
      </c>
    </row>
    <row r="562" spans="1:14">
      <c r="A562" s="1" t="str">
        <f t="shared" si="815"/>
        <v>20180115</v>
      </c>
      <c r="B562" s="1" t="str">
        <f>"09:37:37"</f>
        <v>09:37:37</v>
      </c>
      <c r="C562" s="1" t="str">
        <f>"603866"</f>
        <v>603866</v>
      </c>
      <c r="D562" s="1" t="str">
        <f>"桃李面包"</f>
        <v>桃李面包</v>
      </c>
      <c r="E562" s="1" t="str">
        <f t="shared" si="812"/>
        <v>卖出</v>
      </c>
      <c r="F562" s="1" t="str">
        <f>"42.810"</f>
        <v>42.810</v>
      </c>
      <c r="G562" s="1" t="str">
        <f>"-100.00"</f>
        <v>-100.00</v>
      </c>
      <c r="H562" s="1" t="str">
        <f t="shared" si="810"/>
        <v>A850418317</v>
      </c>
      <c r="I562" s="1" t="str">
        <f>"4281.00"</f>
        <v>4281.00</v>
      </c>
      <c r="J562" s="1" t="str">
        <f t="shared" si="813"/>
        <v>5.00</v>
      </c>
      <c r="K562" s="1" t="str">
        <f>"4.28"</f>
        <v>4.28</v>
      </c>
      <c r="L562" s="1" t="str">
        <f>"0.09"</f>
        <v>0.09</v>
      </c>
      <c r="M562" s="1" t="str">
        <f t="shared" si="772"/>
        <v>0.00</v>
      </c>
      <c r="N562" s="1" t="str">
        <f t="shared" si="814"/>
        <v>证券卖出</v>
      </c>
    </row>
    <row r="563" spans="1:14">
      <c r="A563" s="1" t="str">
        <f t="shared" si="815"/>
        <v>20180115</v>
      </c>
      <c r="B563" s="1" t="str">
        <f>"09:39:14"</f>
        <v>09:39:14</v>
      </c>
      <c r="C563" s="1" t="str">
        <f>"600291"</f>
        <v>600291</v>
      </c>
      <c r="D563" s="1" t="str">
        <f>"西水股份"</f>
        <v>西水股份</v>
      </c>
      <c r="E563" s="1" t="str">
        <f t="shared" si="812"/>
        <v>卖出</v>
      </c>
      <c r="F563" s="1" t="str">
        <f>"24.360"</f>
        <v>24.360</v>
      </c>
      <c r="G563" s="1" t="str">
        <f>"-200.00"</f>
        <v>-200.00</v>
      </c>
      <c r="H563" s="1" t="str">
        <f t="shared" si="810"/>
        <v>A850418317</v>
      </c>
      <c r="I563" s="1" t="str">
        <f>"4872.00"</f>
        <v>4872.00</v>
      </c>
      <c r="J563" s="1" t="str">
        <f t="shared" si="813"/>
        <v>5.00</v>
      </c>
      <c r="K563" s="1" t="str">
        <f>"4.87"</f>
        <v>4.87</v>
      </c>
      <c r="L563" s="1" t="str">
        <f>"0.10"</f>
        <v>0.10</v>
      </c>
      <c r="M563" s="1" t="str">
        <f t="shared" si="772"/>
        <v>0.00</v>
      </c>
      <c r="N563" s="1" t="str">
        <f t="shared" si="814"/>
        <v>证券卖出</v>
      </c>
    </row>
    <row r="564" spans="1:14">
      <c r="A564" s="1" t="str">
        <f t="shared" si="815"/>
        <v>20180115</v>
      </c>
      <c r="B564" s="1" t="str">
        <f>"13:00:58"</f>
        <v>13:00:58</v>
      </c>
      <c r="C564" s="1" t="str">
        <f>"603993"</f>
        <v>603993</v>
      </c>
      <c r="D564" s="1" t="str">
        <f>"洛阳钼业"</f>
        <v>洛阳钼业</v>
      </c>
      <c r="E564" s="1" t="str">
        <f t="shared" si="812"/>
        <v>卖出</v>
      </c>
      <c r="F564" s="1" t="str">
        <f>"7.690"</f>
        <v>7.690</v>
      </c>
      <c r="G564" s="1" t="str">
        <f>"-300.00"</f>
        <v>-300.00</v>
      </c>
      <c r="H564" s="1" t="str">
        <f t="shared" si="810"/>
        <v>A850418317</v>
      </c>
      <c r="I564" s="1" t="str">
        <f>"2307.00"</f>
        <v>2307.00</v>
      </c>
      <c r="J564" s="1" t="str">
        <f t="shared" si="813"/>
        <v>5.00</v>
      </c>
      <c r="K564" s="1" t="str">
        <f>"2.31"</f>
        <v>2.31</v>
      </c>
      <c r="L564" s="1" t="str">
        <f>"0.05"</f>
        <v>0.05</v>
      </c>
      <c r="M564" s="1" t="str">
        <f t="shared" si="772"/>
        <v>0.00</v>
      </c>
      <c r="N564" s="1" t="str">
        <f t="shared" si="814"/>
        <v>证券卖出</v>
      </c>
    </row>
    <row r="565" spans="1:14">
      <c r="A565" s="1" t="str">
        <f t="shared" si="815"/>
        <v>20180115</v>
      </c>
      <c r="B565" s="1" t="str">
        <f>"13:11:48"</f>
        <v>13:11:48</v>
      </c>
      <c r="C565" s="1" t="str">
        <f>"601139"</f>
        <v>601139</v>
      </c>
      <c r="D565" s="1" t="str">
        <f>"深圳燃气"</f>
        <v>深圳燃气</v>
      </c>
      <c r="E565" s="1" t="str">
        <f t="shared" si="812"/>
        <v>卖出</v>
      </c>
      <c r="F565" s="1" t="str">
        <f>"8.190"</f>
        <v>8.190</v>
      </c>
      <c r="G565" s="1" t="str">
        <f>"-500.00"</f>
        <v>-500.00</v>
      </c>
      <c r="H565" s="1" t="str">
        <f t="shared" si="810"/>
        <v>A850418317</v>
      </c>
      <c r="I565" s="1" t="str">
        <f>"4095.00"</f>
        <v>4095.00</v>
      </c>
      <c r="J565" s="1" t="str">
        <f t="shared" si="813"/>
        <v>5.00</v>
      </c>
      <c r="K565" s="1" t="str">
        <f>"4.10"</f>
        <v>4.10</v>
      </c>
      <c r="L565" s="1" t="str">
        <f>"0.08"</f>
        <v>0.08</v>
      </c>
      <c r="M565" s="1" t="str">
        <f t="shared" si="772"/>
        <v>0.00</v>
      </c>
      <c r="N565" s="1" t="str">
        <f t="shared" si="814"/>
        <v>证券卖出</v>
      </c>
    </row>
    <row r="566" spans="1:14">
      <c r="A566" s="1" t="str">
        <f t="shared" si="815"/>
        <v>20180115</v>
      </c>
      <c r="B566" s="1" t="str">
        <f>"09:32:37"</f>
        <v>09:32:37</v>
      </c>
      <c r="C566" s="1" t="str">
        <f>"002907"</f>
        <v>002907</v>
      </c>
      <c r="D566" s="1" t="str">
        <f>"华森制药"</f>
        <v>华森制药</v>
      </c>
      <c r="E566" s="1" t="str">
        <f t="shared" ref="E566:E573" si="816">"买入"</f>
        <v>买入</v>
      </c>
      <c r="F566" s="1" t="str">
        <f>"34.300"</f>
        <v>34.300</v>
      </c>
      <c r="G566" s="1" t="str">
        <f t="shared" ref="G566:G571" si="817">"100.00"</f>
        <v>100.00</v>
      </c>
      <c r="H566" s="1" t="str">
        <f t="shared" ref="H566:H571" si="818">"0104152129"</f>
        <v>0104152129</v>
      </c>
      <c r="I566" s="1" t="str">
        <f>"3430.00"</f>
        <v>3430.00</v>
      </c>
      <c r="J566" s="1" t="str">
        <f t="shared" si="813"/>
        <v>5.00</v>
      </c>
      <c r="K566" s="1" t="str">
        <f t="shared" ref="K566:K573" si="819">"0.00"</f>
        <v>0.00</v>
      </c>
      <c r="L566" s="1" t="str">
        <f>"0.07"</f>
        <v>0.07</v>
      </c>
      <c r="M566" s="1" t="str">
        <f t="shared" si="772"/>
        <v>0.00</v>
      </c>
      <c r="N566" s="1" t="str">
        <f t="shared" ref="N566:N573" si="820">"证券买入"</f>
        <v>证券买入</v>
      </c>
    </row>
    <row r="567" spans="1:14">
      <c r="A567" s="1" t="str">
        <f t="shared" si="815"/>
        <v>20180115</v>
      </c>
      <c r="B567" s="1" t="str">
        <f>"11:24:41"</f>
        <v>11:24:41</v>
      </c>
      <c r="C567" s="1" t="str">
        <f>"300418"</f>
        <v>300418</v>
      </c>
      <c r="D567" s="1" t="str">
        <f>"昆仑万维"</f>
        <v>昆仑万维</v>
      </c>
      <c r="E567" s="1" t="str">
        <f>"卖出"</f>
        <v>卖出</v>
      </c>
      <c r="F567" s="1" t="str">
        <f>"22.190"</f>
        <v>22.190</v>
      </c>
      <c r="G567" s="1" t="str">
        <f>"-100.00"</f>
        <v>-100.00</v>
      </c>
      <c r="H567" s="1" t="str">
        <f t="shared" si="818"/>
        <v>0104152129</v>
      </c>
      <c r="I567" s="1" t="str">
        <f>"2219.00"</f>
        <v>2219.00</v>
      </c>
      <c r="J567" s="1" t="str">
        <f t="shared" si="813"/>
        <v>5.00</v>
      </c>
      <c r="K567" s="1" t="str">
        <f>"2.22"</f>
        <v>2.22</v>
      </c>
      <c r="L567" s="1" t="str">
        <f>"0.04"</f>
        <v>0.04</v>
      </c>
      <c r="M567" s="1" t="str">
        <f t="shared" si="772"/>
        <v>0.00</v>
      </c>
      <c r="N567" s="1" t="str">
        <f>"证券卖出"</f>
        <v>证券卖出</v>
      </c>
    </row>
    <row r="568" spans="1:14">
      <c r="A568" s="1" t="str">
        <f t="shared" si="815"/>
        <v>20180115</v>
      </c>
      <c r="B568" s="1" t="str">
        <f>"11:26:55"</f>
        <v>11:26:55</v>
      </c>
      <c r="C568" s="1" t="str">
        <f>"000016"</f>
        <v>000016</v>
      </c>
      <c r="D568" s="1" t="str">
        <f>"深康佳Ａ"</f>
        <v>深康佳Ａ</v>
      </c>
      <c r="E568" s="1" t="str">
        <f>"卖出"</f>
        <v>卖出</v>
      </c>
      <c r="F568" s="1" t="str">
        <f>"6.530"</f>
        <v>6.530</v>
      </c>
      <c r="G568" s="1" t="str">
        <f>"-100.00"</f>
        <v>-100.00</v>
      </c>
      <c r="H568" s="1" t="str">
        <f t="shared" si="818"/>
        <v>0104152129</v>
      </c>
      <c r="I568" s="1" t="str">
        <f>"653.00"</f>
        <v>653.00</v>
      </c>
      <c r="J568" s="1" t="str">
        <f t="shared" si="813"/>
        <v>5.00</v>
      </c>
      <c r="K568" s="1" t="str">
        <f>"0.65"</f>
        <v>0.65</v>
      </c>
      <c r="L568" s="1" t="str">
        <f>"0.01"</f>
        <v>0.01</v>
      </c>
      <c r="M568" s="1" t="str">
        <f t="shared" si="772"/>
        <v>0.00</v>
      </c>
      <c r="N568" s="1" t="str">
        <f>"证券卖出"</f>
        <v>证券卖出</v>
      </c>
    </row>
    <row r="569" spans="1:14">
      <c r="A569" s="1" t="str">
        <f t="shared" si="815"/>
        <v>20180115</v>
      </c>
      <c r="B569" s="1" t="str">
        <f>"13:12:03"</f>
        <v>13:12:03</v>
      </c>
      <c r="C569" s="1" t="str">
        <f>"002873"</f>
        <v>002873</v>
      </c>
      <c r="D569" s="1" t="str">
        <f>"新天药业"</f>
        <v>新天药业</v>
      </c>
      <c r="E569" s="1" t="str">
        <f t="shared" si="816"/>
        <v>买入</v>
      </c>
      <c r="F569" s="1" t="str">
        <f>"46.790"</f>
        <v>46.790</v>
      </c>
      <c r="G569" s="1" t="str">
        <f t="shared" si="817"/>
        <v>100.00</v>
      </c>
      <c r="H569" s="1" t="str">
        <f t="shared" si="818"/>
        <v>0104152129</v>
      </c>
      <c r="I569" s="1" t="str">
        <f>"4679.00"</f>
        <v>4679.00</v>
      </c>
      <c r="J569" s="1" t="str">
        <f t="shared" si="813"/>
        <v>5.00</v>
      </c>
      <c r="K569" s="1" t="str">
        <f t="shared" si="819"/>
        <v>0.00</v>
      </c>
      <c r="L569" s="1" t="str">
        <f>"0.09"</f>
        <v>0.09</v>
      </c>
      <c r="M569" s="1" t="str">
        <f t="shared" si="772"/>
        <v>0.00</v>
      </c>
      <c r="N569" s="1" t="str">
        <f t="shared" si="820"/>
        <v>证券买入</v>
      </c>
    </row>
    <row r="570" spans="1:14">
      <c r="A570" s="1" t="str">
        <f t="shared" si="815"/>
        <v>20180115</v>
      </c>
      <c r="B570" s="1" t="str">
        <f>"14:41:28"</f>
        <v>14:41:28</v>
      </c>
      <c r="C570" s="1" t="str">
        <f t="shared" ref="C570:C574" si="821">"002908"</f>
        <v>002908</v>
      </c>
      <c r="D570" s="1" t="str">
        <f t="shared" ref="D570:D574" si="822">"德生科技"</f>
        <v>德生科技</v>
      </c>
      <c r="E570" s="1" t="str">
        <f t="shared" si="816"/>
        <v>买入</v>
      </c>
      <c r="F570" s="1" t="str">
        <f>"40.600"</f>
        <v>40.600</v>
      </c>
      <c r="G570" s="1" t="str">
        <f t="shared" si="817"/>
        <v>100.00</v>
      </c>
      <c r="H570" s="1" t="str">
        <f t="shared" si="818"/>
        <v>0104152129</v>
      </c>
      <c r="I570" s="1" t="str">
        <f>"4060.00"</f>
        <v>4060.00</v>
      </c>
      <c r="J570" s="1" t="str">
        <f t="shared" si="813"/>
        <v>5.00</v>
      </c>
      <c r="K570" s="1" t="str">
        <f t="shared" si="819"/>
        <v>0.00</v>
      </c>
      <c r="L570" s="1" t="str">
        <f>"0.08"</f>
        <v>0.08</v>
      </c>
      <c r="M570" s="1" t="str">
        <f t="shared" si="772"/>
        <v>0.00</v>
      </c>
      <c r="N570" s="1" t="str">
        <f t="shared" si="820"/>
        <v>证券买入</v>
      </c>
    </row>
    <row r="571" spans="1:14">
      <c r="A571" s="1" t="str">
        <f t="shared" si="815"/>
        <v>20180115</v>
      </c>
      <c r="B571" s="1" t="str">
        <f>"14:52:34"</f>
        <v>14:52:34</v>
      </c>
      <c r="C571" s="1" t="str">
        <f t="shared" si="821"/>
        <v>002908</v>
      </c>
      <c r="D571" s="1" t="str">
        <f t="shared" si="822"/>
        <v>德生科技</v>
      </c>
      <c r="E571" s="1" t="str">
        <f t="shared" si="816"/>
        <v>买入</v>
      </c>
      <c r="F571" s="1" t="str">
        <f>"38.800"</f>
        <v>38.800</v>
      </c>
      <c r="G571" s="1" t="str">
        <f t="shared" si="817"/>
        <v>100.00</v>
      </c>
      <c r="H571" s="1" t="str">
        <f t="shared" si="818"/>
        <v>0104152129</v>
      </c>
      <c r="I571" s="1" t="str">
        <f>"3880.00"</f>
        <v>3880.00</v>
      </c>
      <c r="J571" s="1" t="str">
        <f t="shared" si="813"/>
        <v>5.00</v>
      </c>
      <c r="K571" s="1" t="str">
        <f t="shared" si="819"/>
        <v>0.00</v>
      </c>
      <c r="L571" s="1" t="str">
        <f>"0.08"</f>
        <v>0.08</v>
      </c>
      <c r="M571" s="1" t="str">
        <f t="shared" si="772"/>
        <v>0.00</v>
      </c>
      <c r="N571" s="1" t="str">
        <f t="shared" si="820"/>
        <v>证券买入</v>
      </c>
    </row>
    <row r="572" spans="1:14">
      <c r="A572" s="1" t="str">
        <f t="shared" ref="A572:A577" si="823">"20180116"</f>
        <v>20180116</v>
      </c>
      <c r="B572" s="1" t="str">
        <f>"10:01:21"</f>
        <v>10:01:21</v>
      </c>
      <c r="C572" s="1" t="str">
        <f>"600426"</f>
        <v>600426</v>
      </c>
      <c r="D572" s="1" t="str">
        <f>"华鲁恒升"</f>
        <v>华鲁恒升</v>
      </c>
      <c r="E572" s="1" t="str">
        <f t="shared" si="816"/>
        <v>买入</v>
      </c>
      <c r="F572" s="1" t="str">
        <f>"18.570"</f>
        <v>18.570</v>
      </c>
      <c r="G572" s="1" t="str">
        <f>"300.00"</f>
        <v>300.00</v>
      </c>
      <c r="H572" s="1" t="str">
        <f>"A850418317"</f>
        <v>A850418317</v>
      </c>
      <c r="I572" s="1" t="str">
        <f>"5571.00"</f>
        <v>5571.00</v>
      </c>
      <c r="J572" s="1" t="str">
        <f t="shared" si="813"/>
        <v>5.00</v>
      </c>
      <c r="K572" s="1" t="str">
        <f t="shared" si="819"/>
        <v>0.00</v>
      </c>
      <c r="L572" s="1" t="str">
        <f>"0.11"</f>
        <v>0.11</v>
      </c>
      <c r="M572" s="1" t="str">
        <f t="shared" si="772"/>
        <v>0.00</v>
      </c>
      <c r="N572" s="1" t="str">
        <f t="shared" si="820"/>
        <v>证券买入</v>
      </c>
    </row>
    <row r="573" spans="1:14">
      <c r="A573" s="1" t="str">
        <f t="shared" si="823"/>
        <v>20180116</v>
      </c>
      <c r="B573" s="1" t="str">
        <f>"10:43:32"</f>
        <v>10:43:32</v>
      </c>
      <c r="C573" s="1" t="str">
        <f>"600789"</f>
        <v>600789</v>
      </c>
      <c r="D573" s="1" t="str">
        <f>"鲁抗医药"</f>
        <v>鲁抗医药</v>
      </c>
      <c r="E573" s="1" t="str">
        <f t="shared" si="816"/>
        <v>买入</v>
      </c>
      <c r="F573" s="1" t="str">
        <f>"8.720"</f>
        <v>8.720</v>
      </c>
      <c r="G573" s="1" t="str">
        <f>"100.00"</f>
        <v>100.00</v>
      </c>
      <c r="H573" s="1" t="str">
        <f>"A850418317"</f>
        <v>A850418317</v>
      </c>
      <c r="I573" s="1" t="str">
        <f>"872.00"</f>
        <v>872.00</v>
      </c>
      <c r="J573" s="1" t="str">
        <f t="shared" si="813"/>
        <v>5.00</v>
      </c>
      <c r="K573" s="1" t="str">
        <f t="shared" si="819"/>
        <v>0.00</v>
      </c>
      <c r="L573" s="1" t="str">
        <f>"0.02"</f>
        <v>0.02</v>
      </c>
      <c r="M573" s="1" t="str">
        <f t="shared" si="772"/>
        <v>0.00</v>
      </c>
      <c r="N573" s="1" t="str">
        <f t="shared" si="820"/>
        <v>证券买入</v>
      </c>
    </row>
    <row r="574" spans="1:14">
      <c r="A574" s="1" t="str">
        <f t="shared" si="823"/>
        <v>20180116</v>
      </c>
      <c r="B574" s="1" t="str">
        <f>"09:37:00"</f>
        <v>09:37:00</v>
      </c>
      <c r="C574" s="1" t="str">
        <f t="shared" si="821"/>
        <v>002908</v>
      </c>
      <c r="D574" s="1" t="str">
        <f t="shared" si="822"/>
        <v>德生科技</v>
      </c>
      <c r="E574" s="1" t="str">
        <f t="shared" ref="E574:E578" si="824">"卖出"</f>
        <v>卖出</v>
      </c>
      <c r="F574" s="1" t="str">
        <f>"40.650"</f>
        <v>40.650</v>
      </c>
      <c r="G574" s="1" t="str">
        <f>"-200.00"</f>
        <v>-200.00</v>
      </c>
      <c r="H574" s="1" t="str">
        <f t="shared" ref="H574:H578" si="825">"0104152129"</f>
        <v>0104152129</v>
      </c>
      <c r="I574" s="1" t="str">
        <f>"8130.00"</f>
        <v>8130.00</v>
      </c>
      <c r="J574" s="1" t="str">
        <f t="shared" si="813"/>
        <v>5.00</v>
      </c>
      <c r="K574" s="1" t="str">
        <f>"8.13"</f>
        <v>8.13</v>
      </c>
      <c r="L574" s="1" t="str">
        <f>"0.16"</f>
        <v>0.16</v>
      </c>
      <c r="M574" s="1" t="str">
        <f t="shared" si="772"/>
        <v>0.00</v>
      </c>
      <c r="N574" s="1" t="str">
        <f t="shared" ref="N574:N578" si="826">"证券卖出"</f>
        <v>证券卖出</v>
      </c>
    </row>
    <row r="575" spans="1:14">
      <c r="A575" s="1" t="str">
        <f t="shared" si="823"/>
        <v>20180116</v>
      </c>
      <c r="B575" s="1" t="str">
        <f>"09:42:39"</f>
        <v>09:42:39</v>
      </c>
      <c r="C575" s="1" t="str">
        <f>"002873"</f>
        <v>002873</v>
      </c>
      <c r="D575" s="1" t="str">
        <f>"新天药业"</f>
        <v>新天药业</v>
      </c>
      <c r="E575" s="1" t="str">
        <f t="shared" si="824"/>
        <v>卖出</v>
      </c>
      <c r="F575" s="1" t="str">
        <f>"43.460"</f>
        <v>43.460</v>
      </c>
      <c r="G575" s="1" t="str">
        <f>"-100.00"</f>
        <v>-100.00</v>
      </c>
      <c r="H575" s="1" t="str">
        <f t="shared" si="825"/>
        <v>0104152129</v>
      </c>
      <c r="I575" s="1" t="str">
        <f>"4346.00"</f>
        <v>4346.00</v>
      </c>
      <c r="J575" s="1" t="str">
        <f t="shared" si="813"/>
        <v>5.00</v>
      </c>
      <c r="K575" s="1" t="str">
        <f>"4.35"</f>
        <v>4.35</v>
      </c>
      <c r="L575" s="1" t="str">
        <f>"0.09"</f>
        <v>0.09</v>
      </c>
      <c r="M575" s="1" t="str">
        <f t="shared" si="772"/>
        <v>0.00</v>
      </c>
      <c r="N575" s="1" t="str">
        <f t="shared" si="826"/>
        <v>证券卖出</v>
      </c>
    </row>
    <row r="576" spans="1:14">
      <c r="A576" s="1" t="str">
        <f t="shared" si="823"/>
        <v>20180116</v>
      </c>
      <c r="B576" s="1" t="str">
        <f>"09:42:50"</f>
        <v>09:42:50</v>
      </c>
      <c r="C576" s="1" t="str">
        <f>"002908"</f>
        <v>002908</v>
      </c>
      <c r="D576" s="1" t="str">
        <f>"德生科技"</f>
        <v>德生科技</v>
      </c>
      <c r="E576" s="1" t="str">
        <f t="shared" ref="E576:E582" si="827">"买入"</f>
        <v>买入</v>
      </c>
      <c r="F576" s="1" t="str">
        <f>"41.970"</f>
        <v>41.970</v>
      </c>
      <c r="G576" s="1" t="str">
        <f>"200.00"</f>
        <v>200.00</v>
      </c>
      <c r="H576" s="1" t="str">
        <f t="shared" si="825"/>
        <v>0104152129</v>
      </c>
      <c r="I576" s="1" t="str">
        <f>"8394.00"</f>
        <v>8394.00</v>
      </c>
      <c r="J576" s="1" t="str">
        <f t="shared" si="813"/>
        <v>5.00</v>
      </c>
      <c r="K576" s="1" t="str">
        <f t="shared" ref="K576:K582" si="828">"0.00"</f>
        <v>0.00</v>
      </c>
      <c r="L576" s="1" t="str">
        <f>"0.17"</f>
        <v>0.17</v>
      </c>
      <c r="M576" s="1" t="str">
        <f t="shared" si="772"/>
        <v>0.00</v>
      </c>
      <c r="N576" s="1" t="str">
        <f t="shared" ref="N576:N582" si="829">"证券买入"</f>
        <v>证券买入</v>
      </c>
    </row>
    <row r="577" spans="1:14">
      <c r="A577" s="1" t="str">
        <f t="shared" si="823"/>
        <v>20180116</v>
      </c>
      <c r="B577" s="1" t="str">
        <f>"10:06:22"</f>
        <v>10:06:22</v>
      </c>
      <c r="C577" s="1" t="str">
        <f>"300612"</f>
        <v>300612</v>
      </c>
      <c r="D577" s="1" t="str">
        <f>"宣亚国际"</f>
        <v>宣亚国际</v>
      </c>
      <c r="E577" s="1" t="str">
        <f t="shared" si="827"/>
        <v>买入</v>
      </c>
      <c r="F577" s="1" t="str">
        <f>"42.000"</f>
        <v>42.000</v>
      </c>
      <c r="G577" s="1" t="str">
        <f t="shared" ref="G577:G582" si="830">"100.00"</f>
        <v>100.00</v>
      </c>
      <c r="H577" s="1" t="str">
        <f t="shared" si="825"/>
        <v>0104152129</v>
      </c>
      <c r="I577" s="1" t="str">
        <f>"4200.00"</f>
        <v>4200.00</v>
      </c>
      <c r="J577" s="1" t="str">
        <f t="shared" si="813"/>
        <v>5.00</v>
      </c>
      <c r="K577" s="1" t="str">
        <f t="shared" si="828"/>
        <v>0.00</v>
      </c>
      <c r="L577" s="1" t="str">
        <f>"0.08"</f>
        <v>0.08</v>
      </c>
      <c r="M577" s="1" t="str">
        <f t="shared" si="772"/>
        <v>0.00</v>
      </c>
      <c r="N577" s="1" t="str">
        <f t="shared" si="829"/>
        <v>证券买入</v>
      </c>
    </row>
    <row r="578" spans="1:14">
      <c r="A578" s="1" t="str">
        <f>"20180117"</f>
        <v>20180117</v>
      </c>
      <c r="B578" s="1" t="str">
        <f>"14:55:30"</f>
        <v>14:55:30</v>
      </c>
      <c r="C578" s="1" t="str">
        <f>"002908"</f>
        <v>002908</v>
      </c>
      <c r="D578" s="1" t="str">
        <f>"德生科技"</f>
        <v>德生科技</v>
      </c>
      <c r="E578" s="1" t="str">
        <f t="shared" si="824"/>
        <v>卖出</v>
      </c>
      <c r="F578" s="1" t="str">
        <f>"39.480"</f>
        <v>39.480</v>
      </c>
      <c r="G578" s="1" t="str">
        <f>"-100.00"</f>
        <v>-100.00</v>
      </c>
      <c r="H578" s="1" t="str">
        <f t="shared" si="825"/>
        <v>0104152129</v>
      </c>
      <c r="I578" s="1" t="str">
        <f>"3948.00"</f>
        <v>3948.00</v>
      </c>
      <c r="J578" s="1" t="str">
        <f t="shared" si="813"/>
        <v>5.00</v>
      </c>
      <c r="K578" s="1" t="str">
        <f>"3.95"</f>
        <v>3.95</v>
      </c>
      <c r="L578" s="1" t="str">
        <f>"0.08"</f>
        <v>0.08</v>
      </c>
      <c r="M578" s="1" t="str">
        <f t="shared" si="772"/>
        <v>0.00</v>
      </c>
      <c r="N578" s="1" t="str">
        <f t="shared" si="826"/>
        <v>证券卖出</v>
      </c>
    </row>
    <row r="579" spans="1:14">
      <c r="A579" s="1" t="str">
        <f>"20180117"</f>
        <v>20180117</v>
      </c>
      <c r="B579" s="1" t="str">
        <f>"22:19:10"</f>
        <v>22:19:10</v>
      </c>
      <c r="C579" s="1" t="str">
        <f>"791838"</f>
        <v>791838</v>
      </c>
      <c r="D579" s="1" t="str">
        <f>"成银配号"</f>
        <v>成银配号</v>
      </c>
      <c r="E579" s="1" t="str">
        <f t="shared" si="827"/>
        <v>买入</v>
      </c>
      <c r="F579" s="1" t="str">
        <f>"0.000"</f>
        <v>0.000</v>
      </c>
      <c r="G579" s="1" t="str">
        <f>"1.00"</f>
        <v>1.00</v>
      </c>
      <c r="H579" s="1" t="str">
        <f t="shared" ref="H579:H582" si="831">"A850418317"</f>
        <v>A850418317</v>
      </c>
      <c r="I579" s="1" t="str">
        <f t="shared" ref="I579:L579" si="832">"0.00"</f>
        <v>0.00</v>
      </c>
      <c r="J579" s="1" t="str">
        <f t="shared" si="832"/>
        <v>0.00</v>
      </c>
      <c r="K579" s="1" t="str">
        <f t="shared" si="828"/>
        <v>0.00</v>
      </c>
      <c r="L579" s="1" t="str">
        <f t="shared" si="832"/>
        <v>0.00</v>
      </c>
      <c r="M579" s="1" t="str">
        <f t="shared" si="772"/>
        <v>0.00</v>
      </c>
      <c r="N579" s="1" t="str">
        <f>"起始配号:100010822800"</f>
        <v>起始配号:100010822800</v>
      </c>
    </row>
    <row r="580" spans="1:14">
      <c r="A580" s="1" t="str">
        <f t="shared" ref="A580:A587" si="833">"20180118"</f>
        <v>20180118</v>
      </c>
      <c r="B580" s="1" t="str">
        <f>"09:30:01"</f>
        <v>09:30:01</v>
      </c>
      <c r="C580" s="1" t="str">
        <f>"600789"</f>
        <v>600789</v>
      </c>
      <c r="D580" s="1" t="str">
        <f>"鲁抗医药"</f>
        <v>鲁抗医药</v>
      </c>
      <c r="E580" s="1" t="str">
        <f t="shared" si="827"/>
        <v>买入</v>
      </c>
      <c r="F580" s="1" t="str">
        <f>"8.720"</f>
        <v>8.720</v>
      </c>
      <c r="G580" s="1" t="str">
        <f t="shared" si="830"/>
        <v>100.00</v>
      </c>
      <c r="H580" s="1" t="str">
        <f t="shared" si="831"/>
        <v>A850418317</v>
      </c>
      <c r="I580" s="1" t="str">
        <f>"872.00"</f>
        <v>872.00</v>
      </c>
      <c r="J580" s="1" t="str">
        <f t="shared" ref="J580:J624" si="834">"5.00"</f>
        <v>5.00</v>
      </c>
      <c r="K580" s="1" t="str">
        <f t="shared" si="828"/>
        <v>0.00</v>
      </c>
      <c r="L580" s="1" t="str">
        <f>"0.02"</f>
        <v>0.02</v>
      </c>
      <c r="M580" s="1" t="str">
        <f t="shared" si="772"/>
        <v>0.00</v>
      </c>
      <c r="N580" s="1" t="str">
        <f t="shared" si="829"/>
        <v>证券买入</v>
      </c>
    </row>
    <row r="581" spans="1:14">
      <c r="A581" s="1" t="str">
        <f t="shared" si="833"/>
        <v>20180118</v>
      </c>
      <c r="B581" s="1" t="str">
        <f>"09:38:19"</f>
        <v>09:38:19</v>
      </c>
      <c r="C581" s="1" t="str">
        <f>"600985"</f>
        <v>600985</v>
      </c>
      <c r="D581" s="1" t="str">
        <f>"雷鸣科化"</f>
        <v>雷鸣科化</v>
      </c>
      <c r="E581" s="1" t="str">
        <f t="shared" si="827"/>
        <v>买入</v>
      </c>
      <c r="F581" s="1" t="str">
        <f>"16.160"</f>
        <v>16.160</v>
      </c>
      <c r="G581" s="1" t="str">
        <f>"200.00"</f>
        <v>200.00</v>
      </c>
      <c r="H581" s="1" t="str">
        <f t="shared" si="831"/>
        <v>A850418317</v>
      </c>
      <c r="I581" s="1" t="str">
        <f>"3232.00"</f>
        <v>3232.00</v>
      </c>
      <c r="J581" s="1" t="str">
        <f t="shared" si="834"/>
        <v>5.00</v>
      </c>
      <c r="K581" s="1" t="str">
        <f t="shared" si="828"/>
        <v>0.00</v>
      </c>
      <c r="L581" s="1" t="str">
        <f>"0.06"</f>
        <v>0.06</v>
      </c>
      <c r="M581" s="1" t="str">
        <f t="shared" si="772"/>
        <v>0.00</v>
      </c>
      <c r="N581" s="1" t="str">
        <f t="shared" si="829"/>
        <v>证券买入</v>
      </c>
    </row>
    <row r="582" spans="1:14">
      <c r="A582" s="1" t="str">
        <f t="shared" si="833"/>
        <v>20180118</v>
      </c>
      <c r="B582" s="1" t="str">
        <f>"10:18:35"</f>
        <v>10:18:35</v>
      </c>
      <c r="C582" s="1" t="str">
        <f>"600789"</f>
        <v>600789</v>
      </c>
      <c r="D582" s="1" t="str">
        <f>"鲁抗医药"</f>
        <v>鲁抗医药</v>
      </c>
      <c r="E582" s="1" t="str">
        <f t="shared" si="827"/>
        <v>买入</v>
      </c>
      <c r="F582" s="1" t="str">
        <f>"8.660"</f>
        <v>8.660</v>
      </c>
      <c r="G582" s="1" t="str">
        <f t="shared" si="830"/>
        <v>100.00</v>
      </c>
      <c r="H582" s="1" t="str">
        <f t="shared" si="831"/>
        <v>A850418317</v>
      </c>
      <c r="I582" s="1" t="str">
        <f>"866.00"</f>
        <v>866.00</v>
      </c>
      <c r="J582" s="1" t="str">
        <f t="shared" si="834"/>
        <v>5.00</v>
      </c>
      <c r="K582" s="1" t="str">
        <f t="shared" si="828"/>
        <v>0.00</v>
      </c>
      <c r="L582" s="1" t="str">
        <f>"0.02"</f>
        <v>0.02</v>
      </c>
      <c r="M582" s="1" t="str">
        <f t="shared" si="772"/>
        <v>0.00</v>
      </c>
      <c r="N582" s="1" t="str">
        <f t="shared" si="829"/>
        <v>证券买入</v>
      </c>
    </row>
    <row r="583" spans="1:14">
      <c r="A583" s="1" t="str">
        <f t="shared" si="833"/>
        <v>20180118</v>
      </c>
      <c r="B583" s="1" t="str">
        <f>"09:25:00"</f>
        <v>09:25:00</v>
      </c>
      <c r="C583" s="1" t="str">
        <f>"002907"</f>
        <v>002907</v>
      </c>
      <c r="D583" s="1" t="str">
        <f>"华森制药"</f>
        <v>华森制药</v>
      </c>
      <c r="E583" s="1" t="str">
        <f t="shared" ref="E583:E587" si="835">"卖出"</f>
        <v>卖出</v>
      </c>
      <c r="F583" s="1" t="str">
        <f>"39.000"</f>
        <v>39.000</v>
      </c>
      <c r="G583" s="1" t="str">
        <f t="shared" ref="G583:G587" si="836">"-100.00"</f>
        <v>-100.00</v>
      </c>
      <c r="H583" s="1" t="str">
        <f t="shared" ref="H583:H587" si="837">"0104152129"</f>
        <v>0104152129</v>
      </c>
      <c r="I583" s="1" t="str">
        <f>"3900.00"</f>
        <v>3900.00</v>
      </c>
      <c r="J583" s="1" t="str">
        <f t="shared" si="834"/>
        <v>5.00</v>
      </c>
      <c r="K583" s="1" t="str">
        <f>"3.90"</f>
        <v>3.90</v>
      </c>
      <c r="L583" s="1" t="str">
        <f>"0.08"</f>
        <v>0.08</v>
      </c>
      <c r="M583" s="1" t="str">
        <f t="shared" si="772"/>
        <v>0.00</v>
      </c>
      <c r="N583" s="1" t="str">
        <f t="shared" ref="N583:N587" si="838">"证券卖出"</f>
        <v>证券卖出</v>
      </c>
    </row>
    <row r="584" spans="1:14">
      <c r="A584" s="1" t="str">
        <f t="shared" si="833"/>
        <v>20180118</v>
      </c>
      <c r="B584" s="1" t="str">
        <f>"09:30:01"</f>
        <v>09:30:01</v>
      </c>
      <c r="C584" s="1" t="str">
        <f>"000732"</f>
        <v>000732</v>
      </c>
      <c r="D584" s="1" t="str">
        <f>"泰禾集团"</f>
        <v>泰禾集团</v>
      </c>
      <c r="E584" s="1" t="str">
        <f t="shared" ref="E584:E589" si="839">"买入"</f>
        <v>买入</v>
      </c>
      <c r="F584" s="1" t="str">
        <f>"36.800"</f>
        <v>36.800</v>
      </c>
      <c r="G584" s="1" t="str">
        <f t="shared" ref="G584:G588" si="840">"100.00"</f>
        <v>100.00</v>
      </c>
      <c r="H584" s="1" t="str">
        <f t="shared" si="837"/>
        <v>0104152129</v>
      </c>
      <c r="I584" s="1" t="str">
        <f>"3680.00"</f>
        <v>3680.00</v>
      </c>
      <c r="J584" s="1" t="str">
        <f t="shared" si="834"/>
        <v>5.00</v>
      </c>
      <c r="K584" s="1" t="str">
        <f t="shared" ref="K584:K589" si="841">"0.00"</f>
        <v>0.00</v>
      </c>
      <c r="L584" s="1" t="str">
        <f>"0.07"</f>
        <v>0.07</v>
      </c>
      <c r="M584" s="1" t="str">
        <f t="shared" si="772"/>
        <v>0.00</v>
      </c>
      <c r="N584" s="1" t="str">
        <f t="shared" ref="N584:N589" si="842">"证券买入"</f>
        <v>证券买入</v>
      </c>
    </row>
    <row r="585" spans="1:14">
      <c r="A585" s="1" t="str">
        <f t="shared" si="833"/>
        <v>20180118</v>
      </c>
      <c r="B585" s="1" t="str">
        <f>"10:15:09"</f>
        <v>10:15:09</v>
      </c>
      <c r="C585" s="1" t="str">
        <f>"300612"</f>
        <v>300612</v>
      </c>
      <c r="D585" s="1" t="str">
        <f>"宣亚国际"</f>
        <v>宣亚国际</v>
      </c>
      <c r="E585" s="1" t="str">
        <f t="shared" si="835"/>
        <v>卖出</v>
      </c>
      <c r="F585" s="1" t="str">
        <f>"46.150"</f>
        <v>46.150</v>
      </c>
      <c r="G585" s="1" t="str">
        <f t="shared" si="836"/>
        <v>-100.00</v>
      </c>
      <c r="H585" s="1" t="str">
        <f t="shared" si="837"/>
        <v>0104152129</v>
      </c>
      <c r="I585" s="1" t="str">
        <f>"4615.00"</f>
        <v>4615.00</v>
      </c>
      <c r="J585" s="1" t="str">
        <f t="shared" si="834"/>
        <v>5.00</v>
      </c>
      <c r="K585" s="1" t="str">
        <f>"4.62"</f>
        <v>4.62</v>
      </c>
      <c r="L585" s="1" t="str">
        <f>"0.09"</f>
        <v>0.09</v>
      </c>
      <c r="M585" s="1" t="str">
        <f t="shared" si="772"/>
        <v>0.00</v>
      </c>
      <c r="N585" s="1" t="str">
        <f t="shared" si="838"/>
        <v>证券卖出</v>
      </c>
    </row>
    <row r="586" spans="1:14">
      <c r="A586" s="1" t="str">
        <f t="shared" si="833"/>
        <v>20180118</v>
      </c>
      <c r="B586" s="1" t="str">
        <f>"10:18:12"</f>
        <v>10:18:12</v>
      </c>
      <c r="C586" s="1" t="str">
        <f t="shared" ref="C586:C591" si="843">"000732"</f>
        <v>000732</v>
      </c>
      <c r="D586" s="1" t="str">
        <f t="shared" ref="D586:D591" si="844">"泰禾集团"</f>
        <v>泰禾集团</v>
      </c>
      <c r="E586" s="1" t="str">
        <f t="shared" si="839"/>
        <v>买入</v>
      </c>
      <c r="F586" s="1" t="str">
        <f>"37.330"</f>
        <v>37.330</v>
      </c>
      <c r="G586" s="1" t="str">
        <f t="shared" si="840"/>
        <v>100.00</v>
      </c>
      <c r="H586" s="1" t="str">
        <f t="shared" si="837"/>
        <v>0104152129</v>
      </c>
      <c r="I586" s="1" t="str">
        <f>"3733.00"</f>
        <v>3733.00</v>
      </c>
      <c r="J586" s="1" t="str">
        <f t="shared" si="834"/>
        <v>5.00</v>
      </c>
      <c r="K586" s="1" t="str">
        <f t="shared" si="841"/>
        <v>0.00</v>
      </c>
      <c r="L586" s="1" t="str">
        <f t="shared" ref="L586:L591" si="845">"0.07"</f>
        <v>0.07</v>
      </c>
      <c r="M586" s="1" t="str">
        <f t="shared" si="772"/>
        <v>0.00</v>
      </c>
      <c r="N586" s="1" t="str">
        <f t="shared" si="842"/>
        <v>证券买入</v>
      </c>
    </row>
    <row r="587" spans="1:14">
      <c r="A587" s="1" t="str">
        <f t="shared" si="833"/>
        <v>20180118</v>
      </c>
      <c r="B587" s="1" t="str">
        <f>"14:30:50"</f>
        <v>14:30:50</v>
      </c>
      <c r="C587" s="1" t="str">
        <f>"002908"</f>
        <v>002908</v>
      </c>
      <c r="D587" s="1" t="str">
        <f>"德生科技"</f>
        <v>德生科技</v>
      </c>
      <c r="E587" s="1" t="str">
        <f t="shared" si="835"/>
        <v>卖出</v>
      </c>
      <c r="F587" s="1" t="str">
        <f>"37.580"</f>
        <v>37.580</v>
      </c>
      <c r="G587" s="1" t="str">
        <f t="shared" si="836"/>
        <v>-100.00</v>
      </c>
      <c r="H587" s="1" t="str">
        <f t="shared" si="837"/>
        <v>0104152129</v>
      </c>
      <c r="I587" s="1" t="str">
        <f>"3758.00"</f>
        <v>3758.00</v>
      </c>
      <c r="J587" s="1" t="str">
        <f t="shared" si="834"/>
        <v>5.00</v>
      </c>
      <c r="K587" s="1" t="str">
        <f>"3.76"</f>
        <v>3.76</v>
      </c>
      <c r="L587" s="1" t="str">
        <f>"0.08"</f>
        <v>0.08</v>
      </c>
      <c r="M587" s="1" t="str">
        <f t="shared" si="772"/>
        <v>0.00</v>
      </c>
      <c r="N587" s="1" t="str">
        <f t="shared" si="838"/>
        <v>证券卖出</v>
      </c>
    </row>
    <row r="588" spans="1:14">
      <c r="A588" s="1" t="str">
        <f t="shared" ref="A588:A592" si="846">"20180119"</f>
        <v>20180119</v>
      </c>
      <c r="B588" s="1" t="str">
        <f>"09:37:40"</f>
        <v>09:37:40</v>
      </c>
      <c r="C588" s="1" t="str">
        <f>"600426"</f>
        <v>600426</v>
      </c>
      <c r="D588" s="1" t="str">
        <f>"华鲁恒升"</f>
        <v>华鲁恒升</v>
      </c>
      <c r="E588" s="1" t="str">
        <f t="shared" si="839"/>
        <v>买入</v>
      </c>
      <c r="F588" s="1" t="str">
        <f>"18.190"</f>
        <v>18.190</v>
      </c>
      <c r="G588" s="1" t="str">
        <f t="shared" si="840"/>
        <v>100.00</v>
      </c>
      <c r="H588" s="1" t="str">
        <f t="shared" ref="H588:H600" si="847">"A850418317"</f>
        <v>A850418317</v>
      </c>
      <c r="I588" s="1" t="str">
        <f>"1819.00"</f>
        <v>1819.00</v>
      </c>
      <c r="J588" s="1" t="str">
        <f t="shared" si="834"/>
        <v>5.00</v>
      </c>
      <c r="K588" s="1" t="str">
        <f t="shared" si="841"/>
        <v>0.00</v>
      </c>
      <c r="L588" s="1" t="str">
        <f>"0.04"</f>
        <v>0.04</v>
      </c>
      <c r="M588" s="1" t="str">
        <f t="shared" si="772"/>
        <v>0.00</v>
      </c>
      <c r="N588" s="1" t="str">
        <f t="shared" si="842"/>
        <v>证券买入</v>
      </c>
    </row>
    <row r="589" spans="1:14">
      <c r="A589" s="1" t="str">
        <f t="shared" si="846"/>
        <v>20180119</v>
      </c>
      <c r="B589" s="1" t="str">
        <f>"09:44:12"</f>
        <v>09:44:12</v>
      </c>
      <c r="C589" s="1" t="str">
        <f>"603676"</f>
        <v>603676</v>
      </c>
      <c r="D589" s="1" t="str">
        <f>"卫信康"</f>
        <v>卫信康</v>
      </c>
      <c r="E589" s="1" t="str">
        <f t="shared" si="839"/>
        <v>买入</v>
      </c>
      <c r="F589" s="1" t="str">
        <f>"19.200"</f>
        <v>19.200</v>
      </c>
      <c r="G589" s="1" t="str">
        <f t="shared" ref="G589:G593" si="848">"200.00"</f>
        <v>200.00</v>
      </c>
      <c r="H589" s="1" t="str">
        <f t="shared" si="847"/>
        <v>A850418317</v>
      </c>
      <c r="I589" s="1" t="str">
        <f>"3840.00"</f>
        <v>3840.00</v>
      </c>
      <c r="J589" s="1" t="str">
        <f t="shared" si="834"/>
        <v>5.00</v>
      </c>
      <c r="K589" s="1" t="str">
        <f t="shared" si="841"/>
        <v>0.00</v>
      </c>
      <c r="L589" s="1" t="str">
        <f>"0.08"</f>
        <v>0.08</v>
      </c>
      <c r="M589" s="1" t="str">
        <f t="shared" si="772"/>
        <v>0.00</v>
      </c>
      <c r="N589" s="1" t="str">
        <f t="shared" si="842"/>
        <v>证券买入</v>
      </c>
    </row>
    <row r="590" spans="1:14">
      <c r="A590" s="1" t="str">
        <f t="shared" si="846"/>
        <v>20180119</v>
      </c>
      <c r="B590" s="1" t="str">
        <f>"09:30:00"</f>
        <v>09:30:00</v>
      </c>
      <c r="C590" s="1" t="str">
        <f t="shared" si="843"/>
        <v>000732</v>
      </c>
      <c r="D590" s="1" t="str">
        <f t="shared" si="844"/>
        <v>泰禾集团</v>
      </c>
      <c r="E590" s="1" t="str">
        <f t="shared" ref="E590:E594" si="849">"卖出"</f>
        <v>卖出</v>
      </c>
      <c r="F590" s="1" t="str">
        <f>"36.680"</f>
        <v>36.680</v>
      </c>
      <c r="G590" s="1" t="str">
        <f>"-100.00"</f>
        <v>-100.00</v>
      </c>
      <c r="H590" s="1" t="str">
        <f t="shared" ref="H590:H592" si="850">"0104152129"</f>
        <v>0104152129</v>
      </c>
      <c r="I590" s="1" t="str">
        <f>"3668.00"</f>
        <v>3668.00</v>
      </c>
      <c r="J590" s="1" t="str">
        <f t="shared" si="834"/>
        <v>5.00</v>
      </c>
      <c r="K590" s="1" t="str">
        <f>"3.67"</f>
        <v>3.67</v>
      </c>
      <c r="L590" s="1" t="str">
        <f t="shared" si="845"/>
        <v>0.07</v>
      </c>
      <c r="M590" s="1" t="str">
        <f t="shared" si="772"/>
        <v>0.00</v>
      </c>
      <c r="N590" s="1" t="str">
        <f t="shared" ref="N590:N594" si="851">"证券卖出"</f>
        <v>证券卖出</v>
      </c>
    </row>
    <row r="591" spans="1:14">
      <c r="A591" s="1" t="str">
        <f t="shared" si="846"/>
        <v>20180119</v>
      </c>
      <c r="B591" s="1" t="str">
        <f>"09:32:27"</f>
        <v>09:32:27</v>
      </c>
      <c r="C591" s="1" t="str">
        <f t="shared" si="843"/>
        <v>000732</v>
      </c>
      <c r="D591" s="1" t="str">
        <f t="shared" si="844"/>
        <v>泰禾集团</v>
      </c>
      <c r="E591" s="1" t="str">
        <f t="shared" si="849"/>
        <v>卖出</v>
      </c>
      <c r="F591" s="1" t="str">
        <f>"36.970"</f>
        <v>36.970</v>
      </c>
      <c r="G591" s="1" t="str">
        <f>"-100.00"</f>
        <v>-100.00</v>
      </c>
      <c r="H591" s="1" t="str">
        <f t="shared" si="850"/>
        <v>0104152129</v>
      </c>
      <c r="I591" s="1" t="str">
        <f>"3697.00"</f>
        <v>3697.00</v>
      </c>
      <c r="J591" s="1" t="str">
        <f t="shared" si="834"/>
        <v>5.00</v>
      </c>
      <c r="K591" s="1" t="str">
        <f>"3.70"</f>
        <v>3.70</v>
      </c>
      <c r="L591" s="1" t="str">
        <f t="shared" si="845"/>
        <v>0.07</v>
      </c>
      <c r="M591" s="1" t="str">
        <f t="shared" si="772"/>
        <v>0.00</v>
      </c>
      <c r="N591" s="1" t="str">
        <f t="shared" si="851"/>
        <v>证券卖出</v>
      </c>
    </row>
    <row r="592" spans="1:14">
      <c r="A592" s="1" t="str">
        <f t="shared" si="846"/>
        <v>20180119</v>
      </c>
      <c r="B592" s="1" t="str">
        <f>"09:36:11"</f>
        <v>09:36:11</v>
      </c>
      <c r="C592" s="1" t="str">
        <f>"300556"</f>
        <v>300556</v>
      </c>
      <c r="D592" s="1" t="str">
        <f>"丝路视觉"</f>
        <v>丝路视觉</v>
      </c>
      <c r="E592" s="1" t="str">
        <f t="shared" ref="E592:E595" si="852">"买入"</f>
        <v>买入</v>
      </c>
      <c r="F592" s="1" t="str">
        <f>"24.850"</f>
        <v>24.850</v>
      </c>
      <c r="G592" s="1" t="str">
        <f t="shared" si="848"/>
        <v>200.00</v>
      </c>
      <c r="H592" s="1" t="str">
        <f t="shared" si="850"/>
        <v>0104152129</v>
      </c>
      <c r="I592" s="1" t="str">
        <f>"4970.00"</f>
        <v>4970.00</v>
      </c>
      <c r="J592" s="1" t="str">
        <f t="shared" si="834"/>
        <v>5.00</v>
      </c>
      <c r="K592" s="1" t="str">
        <f t="shared" ref="K592:K595" si="853">"0.00"</f>
        <v>0.00</v>
      </c>
      <c r="L592" s="1" t="str">
        <f>"0.10"</f>
        <v>0.10</v>
      </c>
      <c r="M592" s="1" t="str">
        <f t="shared" ref="M592:M655" si="854">"0.00"</f>
        <v>0.00</v>
      </c>
      <c r="N592" s="1" t="str">
        <f t="shared" ref="N592:N595" si="855">"证券买入"</f>
        <v>证券买入</v>
      </c>
    </row>
    <row r="593" spans="1:14">
      <c r="A593" s="1" t="str">
        <f t="shared" ref="A593:A605" si="856">"20180122"</f>
        <v>20180122</v>
      </c>
      <c r="B593" s="1" t="str">
        <f>"09:25:00"</f>
        <v>09:25:00</v>
      </c>
      <c r="C593" s="1" t="str">
        <f>"600381"</f>
        <v>600381</v>
      </c>
      <c r="D593" s="1" t="str">
        <f>"青海春天"</f>
        <v>青海春天</v>
      </c>
      <c r="E593" s="1" t="str">
        <f t="shared" si="852"/>
        <v>买入</v>
      </c>
      <c r="F593" s="1" t="str">
        <f>"12.000"</f>
        <v>12.000</v>
      </c>
      <c r="G593" s="1" t="str">
        <f t="shared" si="848"/>
        <v>200.00</v>
      </c>
      <c r="H593" s="1" t="str">
        <f t="shared" si="847"/>
        <v>A850418317</v>
      </c>
      <c r="I593" s="1" t="str">
        <f>"2400.00"</f>
        <v>2400.00</v>
      </c>
      <c r="J593" s="1" t="str">
        <f t="shared" si="834"/>
        <v>5.00</v>
      </c>
      <c r="K593" s="1" t="str">
        <f t="shared" si="853"/>
        <v>0.00</v>
      </c>
      <c r="L593" s="1" t="str">
        <f>"0.05"</f>
        <v>0.05</v>
      </c>
      <c r="M593" s="1" t="str">
        <f t="shared" si="854"/>
        <v>0.00</v>
      </c>
      <c r="N593" s="1" t="str">
        <f t="shared" si="855"/>
        <v>证券买入</v>
      </c>
    </row>
    <row r="594" spans="1:14">
      <c r="A594" s="1" t="str">
        <f t="shared" si="856"/>
        <v>20180122</v>
      </c>
      <c r="B594" s="1" t="str">
        <f>"09:25:01"</f>
        <v>09:25:01</v>
      </c>
      <c r="C594" s="1" t="str">
        <f>"600789"</f>
        <v>600789</v>
      </c>
      <c r="D594" s="1" t="str">
        <f>"鲁抗医药"</f>
        <v>鲁抗医药</v>
      </c>
      <c r="E594" s="1" t="str">
        <f t="shared" si="849"/>
        <v>卖出</v>
      </c>
      <c r="F594" s="1" t="str">
        <f>"8.240"</f>
        <v>8.240</v>
      </c>
      <c r="G594" s="1" t="str">
        <f>"-300.00"</f>
        <v>-300.00</v>
      </c>
      <c r="H594" s="1" t="str">
        <f t="shared" si="847"/>
        <v>A850418317</v>
      </c>
      <c r="I594" s="1" t="str">
        <f>"2472.00"</f>
        <v>2472.00</v>
      </c>
      <c r="J594" s="1" t="str">
        <f t="shared" si="834"/>
        <v>5.00</v>
      </c>
      <c r="K594" s="1" t="str">
        <f>"2.47"</f>
        <v>2.47</v>
      </c>
      <c r="L594" s="1" t="str">
        <f>"0.05"</f>
        <v>0.05</v>
      </c>
      <c r="M594" s="1" t="str">
        <f t="shared" si="854"/>
        <v>0.00</v>
      </c>
      <c r="N594" s="1" t="str">
        <f t="shared" si="851"/>
        <v>证券卖出</v>
      </c>
    </row>
    <row r="595" spans="1:14">
      <c r="A595" s="1" t="str">
        <f t="shared" si="856"/>
        <v>20180122</v>
      </c>
      <c r="B595" s="1" t="str">
        <f>"09:35:42"</f>
        <v>09:35:42</v>
      </c>
      <c r="C595" s="1" t="str">
        <f>"600381"</f>
        <v>600381</v>
      </c>
      <c r="D595" s="1" t="str">
        <f>"青海春天"</f>
        <v>青海春天</v>
      </c>
      <c r="E595" s="1" t="str">
        <f t="shared" si="852"/>
        <v>买入</v>
      </c>
      <c r="F595" s="1" t="str">
        <f>"12.800"</f>
        <v>12.800</v>
      </c>
      <c r="G595" s="1" t="str">
        <f>"100.00"</f>
        <v>100.00</v>
      </c>
      <c r="H595" s="1" t="str">
        <f t="shared" si="847"/>
        <v>A850418317</v>
      </c>
      <c r="I595" s="1" t="str">
        <f>"1280.00"</f>
        <v>1280.00</v>
      </c>
      <c r="J595" s="1" t="str">
        <f t="shared" si="834"/>
        <v>5.00</v>
      </c>
      <c r="K595" s="1" t="str">
        <f t="shared" si="853"/>
        <v>0.00</v>
      </c>
      <c r="L595" s="1" t="str">
        <f>"0.03"</f>
        <v>0.03</v>
      </c>
      <c r="M595" s="1" t="str">
        <f t="shared" si="854"/>
        <v>0.00</v>
      </c>
      <c r="N595" s="1" t="str">
        <f t="shared" si="855"/>
        <v>证券买入</v>
      </c>
    </row>
    <row r="596" spans="1:14">
      <c r="A596" s="1" t="str">
        <f t="shared" si="856"/>
        <v>20180122</v>
      </c>
      <c r="B596" s="1" t="str">
        <f>"10:44:20"</f>
        <v>10:44:20</v>
      </c>
      <c r="C596" s="1" t="str">
        <f>"600985"</f>
        <v>600985</v>
      </c>
      <c r="D596" s="1" t="str">
        <f>"雷鸣科化"</f>
        <v>雷鸣科化</v>
      </c>
      <c r="E596" s="1" t="str">
        <f t="shared" ref="E596:E600" si="857">"卖出"</f>
        <v>卖出</v>
      </c>
      <c r="F596" s="1" t="str">
        <f>"15.130"</f>
        <v>15.130</v>
      </c>
      <c r="G596" s="1" t="str">
        <f>"-200.00"</f>
        <v>-200.00</v>
      </c>
      <c r="H596" s="1" t="str">
        <f t="shared" si="847"/>
        <v>A850418317</v>
      </c>
      <c r="I596" s="1" t="str">
        <f>"3026.00"</f>
        <v>3026.00</v>
      </c>
      <c r="J596" s="1" t="str">
        <f t="shared" si="834"/>
        <v>5.00</v>
      </c>
      <c r="K596" s="1" t="str">
        <f>"3.03"</f>
        <v>3.03</v>
      </c>
      <c r="L596" s="1" t="str">
        <f t="shared" ref="L596:L598" si="858">"0.06"</f>
        <v>0.06</v>
      </c>
      <c r="M596" s="1" t="str">
        <f t="shared" si="854"/>
        <v>0.00</v>
      </c>
      <c r="N596" s="1" t="str">
        <f t="shared" ref="N596:N600" si="859">"证券卖出"</f>
        <v>证券卖出</v>
      </c>
    </row>
    <row r="597" spans="1:14">
      <c r="A597" s="1" t="str">
        <f t="shared" si="856"/>
        <v>20180122</v>
      </c>
      <c r="B597" s="1" t="str">
        <f>"11:28:29"</f>
        <v>11:28:29</v>
      </c>
      <c r="C597" s="1" t="str">
        <f>"603676"</f>
        <v>603676</v>
      </c>
      <c r="D597" s="1" t="str">
        <f>"卫信康"</f>
        <v>卫信康</v>
      </c>
      <c r="E597" s="1" t="str">
        <f t="shared" si="857"/>
        <v>卖出</v>
      </c>
      <c r="F597" s="1" t="str">
        <f>"16.230"</f>
        <v>16.230</v>
      </c>
      <c r="G597" s="1" t="str">
        <f>"-200.00"</f>
        <v>-200.00</v>
      </c>
      <c r="H597" s="1" t="str">
        <f t="shared" si="847"/>
        <v>A850418317</v>
      </c>
      <c r="I597" s="1" t="str">
        <f>"3246.00"</f>
        <v>3246.00</v>
      </c>
      <c r="J597" s="1" t="str">
        <f t="shared" si="834"/>
        <v>5.00</v>
      </c>
      <c r="K597" s="1" t="str">
        <f>"3.25"</f>
        <v>3.25</v>
      </c>
      <c r="L597" s="1" t="str">
        <f t="shared" si="858"/>
        <v>0.06</v>
      </c>
      <c r="M597" s="1" t="str">
        <f t="shared" si="854"/>
        <v>0.00</v>
      </c>
      <c r="N597" s="1" t="str">
        <f t="shared" si="859"/>
        <v>证券卖出</v>
      </c>
    </row>
    <row r="598" spans="1:14">
      <c r="A598" s="1" t="str">
        <f t="shared" si="856"/>
        <v>20180122</v>
      </c>
      <c r="B598" s="1" t="str">
        <f>"11:28:40"</f>
        <v>11:28:40</v>
      </c>
      <c r="C598" s="1" t="str">
        <f>"600846"</f>
        <v>600846</v>
      </c>
      <c r="D598" s="1" t="str">
        <f>"同济科技"</f>
        <v>同济科技</v>
      </c>
      <c r="E598" s="1" t="str">
        <f t="shared" ref="E598:E606" si="860">"买入"</f>
        <v>买入</v>
      </c>
      <c r="F598" s="1" t="str">
        <f>"10.560"</f>
        <v>10.560</v>
      </c>
      <c r="G598" s="1" t="str">
        <f>"300.00"</f>
        <v>300.00</v>
      </c>
      <c r="H598" s="1" t="str">
        <f t="shared" si="847"/>
        <v>A850418317</v>
      </c>
      <c r="I598" s="1" t="str">
        <f>"3168.00"</f>
        <v>3168.00</v>
      </c>
      <c r="J598" s="1" t="str">
        <f t="shared" si="834"/>
        <v>5.00</v>
      </c>
      <c r="K598" s="1" t="str">
        <f t="shared" ref="K598:K606" si="861">"0.00"</f>
        <v>0.00</v>
      </c>
      <c r="L598" s="1" t="str">
        <f t="shared" si="858"/>
        <v>0.06</v>
      </c>
      <c r="M598" s="1" t="str">
        <f t="shared" si="854"/>
        <v>0.00</v>
      </c>
      <c r="N598" s="1" t="str">
        <f t="shared" ref="N598:N606" si="862">"证券买入"</f>
        <v>证券买入</v>
      </c>
    </row>
    <row r="599" spans="1:14">
      <c r="A599" s="1" t="str">
        <f t="shared" si="856"/>
        <v>20180122</v>
      </c>
      <c r="B599" s="1" t="str">
        <f>"14:43:21"</f>
        <v>14:43:21</v>
      </c>
      <c r="C599" s="1" t="str">
        <f>"600426"</f>
        <v>600426</v>
      </c>
      <c r="D599" s="1" t="str">
        <f>"华鲁恒升"</f>
        <v>华鲁恒升</v>
      </c>
      <c r="E599" s="1" t="str">
        <f t="shared" si="857"/>
        <v>卖出</v>
      </c>
      <c r="F599" s="1" t="str">
        <f>"19.200"</f>
        <v>19.200</v>
      </c>
      <c r="G599" s="1" t="str">
        <f>"-100.00"</f>
        <v>-100.00</v>
      </c>
      <c r="H599" s="1" t="str">
        <f t="shared" si="847"/>
        <v>A850418317</v>
      </c>
      <c r="I599" s="1" t="str">
        <f>"1920.00"</f>
        <v>1920.00</v>
      </c>
      <c r="J599" s="1" t="str">
        <f t="shared" si="834"/>
        <v>5.00</v>
      </c>
      <c r="K599" s="1" t="str">
        <f>"1.92"</f>
        <v>1.92</v>
      </c>
      <c r="L599" s="1" t="str">
        <f>"0.04"</f>
        <v>0.04</v>
      </c>
      <c r="M599" s="1" t="str">
        <f t="shared" si="854"/>
        <v>0.00</v>
      </c>
      <c r="N599" s="1" t="str">
        <f t="shared" si="859"/>
        <v>证券卖出</v>
      </c>
    </row>
    <row r="600" spans="1:14">
      <c r="A600" s="1" t="str">
        <f t="shared" si="856"/>
        <v>20180122</v>
      </c>
      <c r="B600" s="1" t="str">
        <f>"14:43:25"</f>
        <v>14:43:25</v>
      </c>
      <c r="C600" s="1" t="str">
        <f>"600426"</f>
        <v>600426</v>
      </c>
      <c r="D600" s="1" t="str">
        <f>"华鲁恒升"</f>
        <v>华鲁恒升</v>
      </c>
      <c r="E600" s="1" t="str">
        <f t="shared" si="857"/>
        <v>卖出</v>
      </c>
      <c r="F600" s="1" t="str">
        <f>"19.220"</f>
        <v>19.220</v>
      </c>
      <c r="G600" s="1" t="str">
        <f>"-100.00"</f>
        <v>-100.00</v>
      </c>
      <c r="H600" s="1" t="str">
        <f t="shared" si="847"/>
        <v>A850418317</v>
      </c>
      <c r="I600" s="1" t="str">
        <f>"1922.00"</f>
        <v>1922.00</v>
      </c>
      <c r="J600" s="1" t="str">
        <f t="shared" si="834"/>
        <v>5.00</v>
      </c>
      <c r="K600" s="1" t="str">
        <f>"1.92"</f>
        <v>1.92</v>
      </c>
      <c r="L600" s="1" t="str">
        <f>"0.04"</f>
        <v>0.04</v>
      </c>
      <c r="M600" s="1" t="str">
        <f t="shared" si="854"/>
        <v>0.00</v>
      </c>
      <c r="N600" s="1" t="str">
        <f t="shared" si="859"/>
        <v>证券卖出</v>
      </c>
    </row>
    <row r="601" spans="1:14">
      <c r="A601" s="1" t="str">
        <f t="shared" si="856"/>
        <v>20180122</v>
      </c>
      <c r="B601" s="1" t="str">
        <f>"09:25:00"</f>
        <v>09:25:00</v>
      </c>
      <c r="C601" s="1" t="str">
        <f>"002917"</f>
        <v>002917</v>
      </c>
      <c r="D601" s="1" t="str">
        <f>"金奥博"</f>
        <v>金奥博</v>
      </c>
      <c r="E601" s="1" t="str">
        <f t="shared" si="860"/>
        <v>买入</v>
      </c>
      <c r="F601" s="1" t="str">
        <f>"33.800"</f>
        <v>33.800</v>
      </c>
      <c r="G601" s="1" t="str">
        <f>"200.00"</f>
        <v>200.00</v>
      </c>
      <c r="H601" s="1" t="str">
        <f t="shared" ref="H601:H605" si="863">"0104152129"</f>
        <v>0104152129</v>
      </c>
      <c r="I601" s="1" t="str">
        <f>"6760.00"</f>
        <v>6760.00</v>
      </c>
      <c r="J601" s="1" t="str">
        <f t="shared" si="834"/>
        <v>5.00</v>
      </c>
      <c r="K601" s="1" t="str">
        <f t="shared" si="861"/>
        <v>0.00</v>
      </c>
      <c r="L601" s="1" t="str">
        <f>"0.14"</f>
        <v>0.14</v>
      </c>
      <c r="M601" s="1" t="str">
        <f t="shared" si="854"/>
        <v>0.00</v>
      </c>
      <c r="N601" s="1" t="str">
        <f t="shared" si="862"/>
        <v>证券买入</v>
      </c>
    </row>
    <row r="602" spans="1:14">
      <c r="A602" s="1" t="str">
        <f t="shared" si="856"/>
        <v>20180122</v>
      </c>
      <c r="B602" s="1" t="str">
        <f>"09:33:47"</f>
        <v>09:33:47</v>
      </c>
      <c r="C602" s="1" t="str">
        <f>"300556"</f>
        <v>300556</v>
      </c>
      <c r="D602" s="1" t="str">
        <f>"丝路视觉"</f>
        <v>丝路视觉</v>
      </c>
      <c r="E602" s="1" t="str">
        <f t="shared" si="860"/>
        <v>买入</v>
      </c>
      <c r="F602" s="1" t="str">
        <f>"24.110"</f>
        <v>24.110</v>
      </c>
      <c r="G602" s="1" t="str">
        <f t="shared" ref="G602:G605" si="864">"100.00"</f>
        <v>100.00</v>
      </c>
      <c r="H602" s="1" t="str">
        <f t="shared" si="863"/>
        <v>0104152129</v>
      </c>
      <c r="I602" s="1" t="str">
        <f>"2411.00"</f>
        <v>2411.00</v>
      </c>
      <c r="J602" s="1" t="str">
        <f t="shared" si="834"/>
        <v>5.00</v>
      </c>
      <c r="K602" s="1" t="str">
        <f t="shared" si="861"/>
        <v>0.00</v>
      </c>
      <c r="L602" s="1" t="str">
        <f>"0.05"</f>
        <v>0.05</v>
      </c>
      <c r="M602" s="1" t="str">
        <f t="shared" si="854"/>
        <v>0.00</v>
      </c>
      <c r="N602" s="1" t="str">
        <f t="shared" si="862"/>
        <v>证券买入</v>
      </c>
    </row>
    <row r="603" spans="1:14">
      <c r="A603" s="1" t="str">
        <f t="shared" si="856"/>
        <v>20180122</v>
      </c>
      <c r="B603" s="1" t="str">
        <f>"10:47:03"</f>
        <v>10:47:03</v>
      </c>
      <c r="C603" s="1" t="str">
        <f>"300085"</f>
        <v>300085</v>
      </c>
      <c r="D603" s="1" t="str">
        <f>"银之杰"</f>
        <v>银之杰</v>
      </c>
      <c r="E603" s="1" t="str">
        <f t="shared" si="860"/>
        <v>买入</v>
      </c>
      <c r="F603" s="1" t="str">
        <f>"14.320"</f>
        <v>14.320</v>
      </c>
      <c r="G603" s="1" t="str">
        <f t="shared" si="864"/>
        <v>100.00</v>
      </c>
      <c r="H603" s="1" t="str">
        <f t="shared" si="863"/>
        <v>0104152129</v>
      </c>
      <c r="I603" s="1" t="str">
        <f>"1432.00"</f>
        <v>1432.00</v>
      </c>
      <c r="J603" s="1" t="str">
        <f t="shared" si="834"/>
        <v>5.00</v>
      </c>
      <c r="K603" s="1" t="str">
        <f t="shared" si="861"/>
        <v>0.00</v>
      </c>
      <c r="L603" s="1" t="str">
        <f>"0.03"</f>
        <v>0.03</v>
      </c>
      <c r="M603" s="1" t="str">
        <f t="shared" si="854"/>
        <v>0.00</v>
      </c>
      <c r="N603" s="1" t="str">
        <f t="shared" si="862"/>
        <v>证券买入</v>
      </c>
    </row>
    <row r="604" spans="1:14">
      <c r="A604" s="1" t="str">
        <f t="shared" si="856"/>
        <v>20180122</v>
      </c>
      <c r="B604" s="1" t="str">
        <f>"10:47:36"</f>
        <v>10:47:36</v>
      </c>
      <c r="C604" s="1" t="str">
        <f>"300085"</f>
        <v>300085</v>
      </c>
      <c r="D604" s="1" t="str">
        <f>"银之杰"</f>
        <v>银之杰</v>
      </c>
      <c r="E604" s="1" t="str">
        <f t="shared" si="860"/>
        <v>买入</v>
      </c>
      <c r="F604" s="1" t="str">
        <f>"14.350"</f>
        <v>14.350</v>
      </c>
      <c r="G604" s="1" t="str">
        <f t="shared" si="864"/>
        <v>100.00</v>
      </c>
      <c r="H604" s="1" t="str">
        <f t="shared" si="863"/>
        <v>0104152129</v>
      </c>
      <c r="I604" s="1" t="str">
        <f>"1435.00"</f>
        <v>1435.00</v>
      </c>
      <c r="J604" s="1" t="str">
        <f t="shared" si="834"/>
        <v>5.00</v>
      </c>
      <c r="K604" s="1" t="str">
        <f t="shared" si="861"/>
        <v>0.00</v>
      </c>
      <c r="L604" s="1" t="str">
        <f>"0.03"</f>
        <v>0.03</v>
      </c>
      <c r="M604" s="1" t="str">
        <f t="shared" si="854"/>
        <v>0.00</v>
      </c>
      <c r="N604" s="1" t="str">
        <f t="shared" si="862"/>
        <v>证券买入</v>
      </c>
    </row>
    <row r="605" spans="1:14">
      <c r="A605" s="1" t="str">
        <f t="shared" si="856"/>
        <v>20180122</v>
      </c>
      <c r="B605" s="1" t="str">
        <f>"13:02:26"</f>
        <v>13:02:26</v>
      </c>
      <c r="C605" s="1" t="str">
        <f>"000833"</f>
        <v>000833</v>
      </c>
      <c r="D605" s="1" t="str">
        <f>"贵糖股份"</f>
        <v>贵糖股份</v>
      </c>
      <c r="E605" s="1" t="str">
        <f t="shared" si="860"/>
        <v>买入</v>
      </c>
      <c r="F605" s="1" t="str">
        <f>"7.080"</f>
        <v>7.080</v>
      </c>
      <c r="G605" s="1" t="str">
        <f t="shared" si="864"/>
        <v>100.00</v>
      </c>
      <c r="H605" s="1" t="str">
        <f t="shared" si="863"/>
        <v>0104152129</v>
      </c>
      <c r="I605" s="1" t="str">
        <f>"708.00"</f>
        <v>708.00</v>
      </c>
      <c r="J605" s="1" t="str">
        <f t="shared" si="834"/>
        <v>5.00</v>
      </c>
      <c r="K605" s="1" t="str">
        <f t="shared" si="861"/>
        <v>0.00</v>
      </c>
      <c r="L605" s="1" t="str">
        <f>"0.01"</f>
        <v>0.01</v>
      </c>
      <c r="M605" s="1" t="str">
        <f t="shared" si="854"/>
        <v>0.00</v>
      </c>
      <c r="N605" s="1" t="str">
        <f t="shared" si="862"/>
        <v>证券买入</v>
      </c>
    </row>
    <row r="606" spans="1:14">
      <c r="A606" s="1" t="str">
        <f t="shared" ref="A606:A626" si="865">"20180123"</f>
        <v>20180123</v>
      </c>
      <c r="B606" s="1" t="str">
        <f>"09:30:25"</f>
        <v>09:30:25</v>
      </c>
      <c r="C606" s="1" t="str">
        <f>"600180"</f>
        <v>600180</v>
      </c>
      <c r="D606" s="1" t="str">
        <f>"瑞茂通"</f>
        <v>瑞茂通</v>
      </c>
      <c r="E606" s="1" t="str">
        <f t="shared" si="860"/>
        <v>买入</v>
      </c>
      <c r="F606" s="1" t="str">
        <f>"11.840"</f>
        <v>11.840</v>
      </c>
      <c r="G606" s="1" t="str">
        <f>"300.00"</f>
        <v>300.00</v>
      </c>
      <c r="H606" s="1" t="str">
        <f t="shared" ref="H606:H618" si="866">"A850418317"</f>
        <v>A850418317</v>
      </c>
      <c r="I606" s="1" t="str">
        <f>"3552.00"</f>
        <v>3552.00</v>
      </c>
      <c r="J606" s="1" t="str">
        <f t="shared" si="834"/>
        <v>5.00</v>
      </c>
      <c r="K606" s="1" t="str">
        <f t="shared" si="861"/>
        <v>0.00</v>
      </c>
      <c r="L606" s="1" t="str">
        <f>"0.07"</f>
        <v>0.07</v>
      </c>
      <c r="M606" s="1" t="str">
        <f t="shared" si="854"/>
        <v>0.00</v>
      </c>
      <c r="N606" s="1" t="str">
        <f t="shared" si="862"/>
        <v>证券买入</v>
      </c>
    </row>
    <row r="607" spans="1:14">
      <c r="A607" s="1" t="str">
        <f t="shared" si="865"/>
        <v>20180123</v>
      </c>
      <c r="B607" s="1" t="str">
        <f>"09:32:10"</f>
        <v>09:32:10</v>
      </c>
      <c r="C607" s="1" t="str">
        <f>"600381"</f>
        <v>600381</v>
      </c>
      <c r="D607" s="1" t="str">
        <f>"青海春天"</f>
        <v>青海春天</v>
      </c>
      <c r="E607" s="1" t="str">
        <f>"卖出"</f>
        <v>卖出</v>
      </c>
      <c r="F607" s="1" t="str">
        <f>"12.060"</f>
        <v>12.060</v>
      </c>
      <c r="G607" s="1" t="str">
        <f>"-300.00"</f>
        <v>-300.00</v>
      </c>
      <c r="H607" s="1" t="str">
        <f t="shared" si="866"/>
        <v>A850418317</v>
      </c>
      <c r="I607" s="1" t="str">
        <f>"3618.00"</f>
        <v>3618.00</v>
      </c>
      <c r="J607" s="1" t="str">
        <f t="shared" si="834"/>
        <v>5.00</v>
      </c>
      <c r="K607" s="1" t="str">
        <f>"3.62"</f>
        <v>3.62</v>
      </c>
      <c r="L607" s="1" t="str">
        <f>"0.07"</f>
        <v>0.07</v>
      </c>
      <c r="M607" s="1" t="str">
        <f t="shared" si="854"/>
        <v>0.00</v>
      </c>
      <c r="N607" s="1" t="str">
        <f>"证券卖出"</f>
        <v>证券卖出</v>
      </c>
    </row>
    <row r="608" spans="1:14">
      <c r="A608" s="1" t="str">
        <f t="shared" si="865"/>
        <v>20180123</v>
      </c>
      <c r="B608" s="1" t="str">
        <f>"09:32:33"</f>
        <v>09:32:33</v>
      </c>
      <c r="C608" s="1" t="str">
        <f>"600180"</f>
        <v>600180</v>
      </c>
      <c r="D608" s="1" t="str">
        <f>"瑞茂通"</f>
        <v>瑞茂通</v>
      </c>
      <c r="E608" s="1" t="str">
        <f t="shared" ref="E608:E613" si="867">"买入"</f>
        <v>买入</v>
      </c>
      <c r="F608" s="1" t="str">
        <f>"11.920"</f>
        <v>11.920</v>
      </c>
      <c r="G608" s="1" t="str">
        <f t="shared" ref="G608:G610" si="868">"200.00"</f>
        <v>200.00</v>
      </c>
      <c r="H608" s="1" t="str">
        <f t="shared" si="866"/>
        <v>A850418317</v>
      </c>
      <c r="I608" s="1" t="str">
        <f>"2384.00"</f>
        <v>2384.00</v>
      </c>
      <c r="J608" s="1" t="str">
        <f t="shared" si="834"/>
        <v>5.00</v>
      </c>
      <c r="K608" s="1" t="str">
        <f t="shared" ref="K608:K613" si="869">"0.00"</f>
        <v>0.00</v>
      </c>
      <c r="L608" s="1" t="str">
        <f>"0.05"</f>
        <v>0.05</v>
      </c>
      <c r="M608" s="1" t="str">
        <f t="shared" si="854"/>
        <v>0.00</v>
      </c>
      <c r="N608" s="1" t="str">
        <f t="shared" ref="N608:N613" si="870">"证券买入"</f>
        <v>证券买入</v>
      </c>
    </row>
    <row r="609" spans="1:14">
      <c r="A609" s="1" t="str">
        <f t="shared" si="865"/>
        <v>20180123</v>
      </c>
      <c r="B609" s="1" t="str">
        <f>"09:57:28"</f>
        <v>09:57:28</v>
      </c>
      <c r="C609" s="1" t="str">
        <f>"600846"</f>
        <v>600846</v>
      </c>
      <c r="D609" s="1" t="str">
        <f>"同济科技"</f>
        <v>同济科技</v>
      </c>
      <c r="E609" s="1" t="str">
        <f t="shared" si="867"/>
        <v>买入</v>
      </c>
      <c r="F609" s="1" t="str">
        <f>"10.390"</f>
        <v>10.390</v>
      </c>
      <c r="G609" s="1" t="str">
        <f t="shared" si="868"/>
        <v>200.00</v>
      </c>
      <c r="H609" s="1" t="str">
        <f t="shared" si="866"/>
        <v>A850418317</v>
      </c>
      <c r="I609" s="1" t="str">
        <f>"2078.00"</f>
        <v>2078.00</v>
      </c>
      <c r="J609" s="1" t="str">
        <f t="shared" si="834"/>
        <v>5.00</v>
      </c>
      <c r="K609" s="1" t="str">
        <f t="shared" si="869"/>
        <v>0.00</v>
      </c>
      <c r="L609" s="1" t="str">
        <f t="shared" ref="L609:L613" si="871">"0.04"</f>
        <v>0.04</v>
      </c>
      <c r="M609" s="1" t="str">
        <f t="shared" si="854"/>
        <v>0.00</v>
      </c>
      <c r="N609" s="1" t="str">
        <f t="shared" si="870"/>
        <v>证券买入</v>
      </c>
    </row>
    <row r="610" spans="1:14">
      <c r="A610" s="1" t="str">
        <f t="shared" si="865"/>
        <v>20180123</v>
      </c>
      <c r="B610" s="1" t="str">
        <f>"09:58:38"</f>
        <v>09:58:38</v>
      </c>
      <c r="C610" s="1" t="str">
        <f t="shared" ref="C610:C618" si="872">"600426"</f>
        <v>600426</v>
      </c>
      <c r="D610" s="1" t="str">
        <f t="shared" ref="D610:D618" si="873">"华鲁恒升"</f>
        <v>华鲁恒升</v>
      </c>
      <c r="E610" s="1" t="str">
        <f t="shared" si="867"/>
        <v>买入</v>
      </c>
      <c r="F610" s="1" t="str">
        <f>"19.300"</f>
        <v>19.300</v>
      </c>
      <c r="G610" s="1" t="str">
        <f t="shared" si="868"/>
        <v>200.00</v>
      </c>
      <c r="H610" s="1" t="str">
        <f t="shared" si="866"/>
        <v>A850418317</v>
      </c>
      <c r="I610" s="1" t="str">
        <f>"3860.00"</f>
        <v>3860.00</v>
      </c>
      <c r="J610" s="1" t="str">
        <f t="shared" si="834"/>
        <v>5.00</v>
      </c>
      <c r="K610" s="1" t="str">
        <f t="shared" si="869"/>
        <v>0.00</v>
      </c>
      <c r="L610" s="1" t="str">
        <f>"0.08"</f>
        <v>0.08</v>
      </c>
      <c r="M610" s="1" t="str">
        <f t="shared" si="854"/>
        <v>0.00</v>
      </c>
      <c r="N610" s="1" t="str">
        <f t="shared" si="870"/>
        <v>证券买入</v>
      </c>
    </row>
    <row r="611" spans="1:14">
      <c r="A611" s="1" t="str">
        <f t="shared" si="865"/>
        <v>20180123</v>
      </c>
      <c r="B611" s="1" t="str">
        <f>"09:59:06"</f>
        <v>09:59:06</v>
      </c>
      <c r="C611" s="1" t="str">
        <f t="shared" si="872"/>
        <v>600426</v>
      </c>
      <c r="D611" s="1" t="str">
        <f t="shared" si="873"/>
        <v>华鲁恒升</v>
      </c>
      <c r="E611" s="1" t="str">
        <f t="shared" si="867"/>
        <v>买入</v>
      </c>
      <c r="F611" s="1" t="str">
        <f>"19.340"</f>
        <v>19.340</v>
      </c>
      <c r="G611" s="1" t="str">
        <f t="shared" ref="G611:G613" si="874">"100.00"</f>
        <v>100.00</v>
      </c>
      <c r="H611" s="1" t="str">
        <f t="shared" si="866"/>
        <v>A850418317</v>
      </c>
      <c r="I611" s="1" t="str">
        <f>"1934.00"</f>
        <v>1934.00</v>
      </c>
      <c r="J611" s="1" t="str">
        <f t="shared" si="834"/>
        <v>5.00</v>
      </c>
      <c r="K611" s="1" t="str">
        <f t="shared" si="869"/>
        <v>0.00</v>
      </c>
      <c r="L611" s="1" t="str">
        <f t="shared" si="871"/>
        <v>0.04</v>
      </c>
      <c r="M611" s="1" t="str">
        <f t="shared" si="854"/>
        <v>0.00</v>
      </c>
      <c r="N611" s="1" t="str">
        <f t="shared" si="870"/>
        <v>证券买入</v>
      </c>
    </row>
    <row r="612" spans="1:14">
      <c r="A612" s="1" t="str">
        <f t="shared" si="865"/>
        <v>20180123</v>
      </c>
      <c r="B612" s="1" t="str">
        <f>"10:03:20"</f>
        <v>10:03:20</v>
      </c>
      <c r="C612" s="1" t="str">
        <f>"600291"</f>
        <v>600291</v>
      </c>
      <c r="D612" s="1" t="str">
        <f>"西水股份"</f>
        <v>西水股份</v>
      </c>
      <c r="E612" s="1" t="str">
        <f t="shared" si="867"/>
        <v>买入</v>
      </c>
      <c r="F612" s="1" t="str">
        <f>"26.780"</f>
        <v>26.780</v>
      </c>
      <c r="G612" s="1" t="str">
        <f t="shared" si="874"/>
        <v>100.00</v>
      </c>
      <c r="H612" s="1" t="str">
        <f t="shared" si="866"/>
        <v>A850418317</v>
      </c>
      <c r="I612" s="1" t="str">
        <f>"2678.00"</f>
        <v>2678.00</v>
      </c>
      <c r="J612" s="1" t="str">
        <f t="shared" si="834"/>
        <v>5.00</v>
      </c>
      <c r="K612" s="1" t="str">
        <f t="shared" si="869"/>
        <v>0.00</v>
      </c>
      <c r="L612" s="1" t="str">
        <f>"0.05"</f>
        <v>0.05</v>
      </c>
      <c r="M612" s="1" t="str">
        <f t="shared" si="854"/>
        <v>0.00</v>
      </c>
      <c r="N612" s="1" t="str">
        <f t="shared" si="870"/>
        <v>证券买入</v>
      </c>
    </row>
    <row r="613" spans="1:14">
      <c r="A613" s="1" t="str">
        <f t="shared" si="865"/>
        <v>20180123</v>
      </c>
      <c r="B613" s="1" t="str">
        <f>"10:05:03"</f>
        <v>10:05:03</v>
      </c>
      <c r="C613" s="1" t="str">
        <f t="shared" si="872"/>
        <v>600426</v>
      </c>
      <c r="D613" s="1" t="str">
        <f t="shared" si="873"/>
        <v>华鲁恒升</v>
      </c>
      <c r="E613" s="1" t="str">
        <f t="shared" si="867"/>
        <v>买入</v>
      </c>
      <c r="F613" s="1" t="str">
        <f>"19.250"</f>
        <v>19.250</v>
      </c>
      <c r="G613" s="1" t="str">
        <f t="shared" si="874"/>
        <v>100.00</v>
      </c>
      <c r="H613" s="1" t="str">
        <f t="shared" si="866"/>
        <v>A850418317</v>
      </c>
      <c r="I613" s="1" t="str">
        <f>"1925.00"</f>
        <v>1925.00</v>
      </c>
      <c r="J613" s="1" t="str">
        <f t="shared" si="834"/>
        <v>5.00</v>
      </c>
      <c r="K613" s="1" t="str">
        <f t="shared" si="869"/>
        <v>0.00</v>
      </c>
      <c r="L613" s="1" t="str">
        <f t="shared" si="871"/>
        <v>0.04</v>
      </c>
      <c r="M613" s="1" t="str">
        <f t="shared" si="854"/>
        <v>0.00</v>
      </c>
      <c r="N613" s="1" t="str">
        <f t="shared" si="870"/>
        <v>证券买入</v>
      </c>
    </row>
    <row r="614" spans="1:14">
      <c r="A614" s="1" t="str">
        <f t="shared" si="865"/>
        <v>20180123</v>
      </c>
      <c r="B614" s="1" t="str">
        <f>"11:15:46"</f>
        <v>11:15:46</v>
      </c>
      <c r="C614" s="1" t="str">
        <f t="shared" si="872"/>
        <v>600426</v>
      </c>
      <c r="D614" s="1" t="str">
        <f t="shared" si="873"/>
        <v>华鲁恒升</v>
      </c>
      <c r="E614" s="1" t="str">
        <f>"卖出"</f>
        <v>卖出</v>
      </c>
      <c r="F614" s="1" t="str">
        <f>"19.500"</f>
        <v>19.500</v>
      </c>
      <c r="G614" s="1" t="str">
        <f>"-300.00"</f>
        <v>-300.00</v>
      </c>
      <c r="H614" s="1" t="str">
        <f t="shared" si="866"/>
        <v>A850418317</v>
      </c>
      <c r="I614" s="1" t="str">
        <f>"5850.00"</f>
        <v>5850.00</v>
      </c>
      <c r="J614" s="1" t="str">
        <f t="shared" si="834"/>
        <v>5.00</v>
      </c>
      <c r="K614" s="1" t="str">
        <f>"5.85"</f>
        <v>5.85</v>
      </c>
      <c r="L614" s="1" t="str">
        <f>"0.12"</f>
        <v>0.12</v>
      </c>
      <c r="M614" s="1" t="str">
        <f t="shared" si="854"/>
        <v>0.00</v>
      </c>
      <c r="N614" s="1" t="str">
        <f>"证券卖出"</f>
        <v>证券卖出</v>
      </c>
    </row>
    <row r="615" spans="1:14">
      <c r="A615" s="1" t="str">
        <f t="shared" si="865"/>
        <v>20180123</v>
      </c>
      <c r="B615" s="1" t="str">
        <f>"13:50:53"</f>
        <v>13:50:53</v>
      </c>
      <c r="C615" s="1" t="str">
        <f t="shared" si="872"/>
        <v>600426</v>
      </c>
      <c r="D615" s="1" t="str">
        <f t="shared" si="873"/>
        <v>华鲁恒升</v>
      </c>
      <c r="E615" s="1" t="str">
        <f t="shared" ref="E615:E618" si="875">"买入"</f>
        <v>买入</v>
      </c>
      <c r="F615" s="1" t="str">
        <f>"19.300"</f>
        <v>19.300</v>
      </c>
      <c r="G615" s="1" t="str">
        <f t="shared" ref="G615:G618" si="876">"100.00"</f>
        <v>100.00</v>
      </c>
      <c r="H615" s="1" t="str">
        <f t="shared" si="866"/>
        <v>A850418317</v>
      </c>
      <c r="I615" s="1" t="str">
        <f>"1930.00"</f>
        <v>1930.00</v>
      </c>
      <c r="J615" s="1" t="str">
        <f t="shared" si="834"/>
        <v>5.00</v>
      </c>
      <c r="K615" s="1" t="str">
        <f t="shared" ref="K615:K618" si="877">"0.00"</f>
        <v>0.00</v>
      </c>
      <c r="L615" s="1" t="str">
        <f t="shared" ref="L615:L618" si="878">"0.04"</f>
        <v>0.04</v>
      </c>
      <c r="M615" s="1" t="str">
        <f t="shared" si="854"/>
        <v>0.00</v>
      </c>
      <c r="N615" s="1" t="str">
        <f t="shared" ref="N615:N618" si="879">"证券买入"</f>
        <v>证券买入</v>
      </c>
    </row>
    <row r="616" spans="1:14">
      <c r="A616" s="1" t="str">
        <f t="shared" si="865"/>
        <v>20180123</v>
      </c>
      <c r="B616" s="1" t="str">
        <f>"13:55:26"</f>
        <v>13:55:26</v>
      </c>
      <c r="C616" s="1" t="str">
        <f t="shared" si="872"/>
        <v>600426</v>
      </c>
      <c r="D616" s="1" t="str">
        <f t="shared" si="873"/>
        <v>华鲁恒升</v>
      </c>
      <c r="E616" s="1" t="str">
        <f t="shared" si="875"/>
        <v>买入</v>
      </c>
      <c r="F616" s="1" t="str">
        <f>"19.240"</f>
        <v>19.240</v>
      </c>
      <c r="G616" s="1" t="str">
        <f t="shared" si="876"/>
        <v>100.00</v>
      </c>
      <c r="H616" s="1" t="str">
        <f t="shared" si="866"/>
        <v>A850418317</v>
      </c>
      <c r="I616" s="1" t="str">
        <f>"1924.00"</f>
        <v>1924.00</v>
      </c>
      <c r="J616" s="1" t="str">
        <f t="shared" si="834"/>
        <v>5.00</v>
      </c>
      <c r="K616" s="1" t="str">
        <f t="shared" si="877"/>
        <v>0.00</v>
      </c>
      <c r="L616" s="1" t="str">
        <f t="shared" si="878"/>
        <v>0.04</v>
      </c>
      <c r="M616" s="1" t="str">
        <f t="shared" si="854"/>
        <v>0.00</v>
      </c>
      <c r="N616" s="1" t="str">
        <f t="shared" si="879"/>
        <v>证券买入</v>
      </c>
    </row>
    <row r="617" spans="1:14">
      <c r="A617" s="1" t="str">
        <f t="shared" si="865"/>
        <v>20180123</v>
      </c>
      <c r="B617" s="1" t="str">
        <f>"14:06:42"</f>
        <v>14:06:42</v>
      </c>
      <c r="C617" s="1" t="str">
        <f t="shared" si="872"/>
        <v>600426</v>
      </c>
      <c r="D617" s="1" t="str">
        <f t="shared" si="873"/>
        <v>华鲁恒升</v>
      </c>
      <c r="E617" s="1" t="str">
        <f t="shared" si="875"/>
        <v>买入</v>
      </c>
      <c r="F617" s="1" t="str">
        <f>"19.240"</f>
        <v>19.240</v>
      </c>
      <c r="G617" s="1" t="str">
        <f t="shared" si="876"/>
        <v>100.00</v>
      </c>
      <c r="H617" s="1" t="str">
        <f t="shared" si="866"/>
        <v>A850418317</v>
      </c>
      <c r="I617" s="1" t="str">
        <f>"1924.00"</f>
        <v>1924.00</v>
      </c>
      <c r="J617" s="1" t="str">
        <f t="shared" si="834"/>
        <v>5.00</v>
      </c>
      <c r="K617" s="1" t="str">
        <f t="shared" si="877"/>
        <v>0.00</v>
      </c>
      <c r="L617" s="1" t="str">
        <f t="shared" si="878"/>
        <v>0.04</v>
      </c>
      <c r="M617" s="1" t="str">
        <f t="shared" si="854"/>
        <v>0.00</v>
      </c>
      <c r="N617" s="1" t="str">
        <f t="shared" si="879"/>
        <v>证券买入</v>
      </c>
    </row>
    <row r="618" spans="1:14">
      <c r="A618" s="1" t="str">
        <f t="shared" si="865"/>
        <v>20180123</v>
      </c>
      <c r="B618" s="1" t="str">
        <f>"14:14:08"</f>
        <v>14:14:08</v>
      </c>
      <c r="C618" s="1" t="str">
        <f t="shared" si="872"/>
        <v>600426</v>
      </c>
      <c r="D618" s="1" t="str">
        <f t="shared" si="873"/>
        <v>华鲁恒升</v>
      </c>
      <c r="E618" s="1" t="str">
        <f t="shared" si="875"/>
        <v>买入</v>
      </c>
      <c r="F618" s="1" t="str">
        <f>"19.230"</f>
        <v>19.230</v>
      </c>
      <c r="G618" s="1" t="str">
        <f t="shared" si="876"/>
        <v>100.00</v>
      </c>
      <c r="H618" s="1" t="str">
        <f t="shared" si="866"/>
        <v>A850418317</v>
      </c>
      <c r="I618" s="1" t="str">
        <f>"1923.00"</f>
        <v>1923.00</v>
      </c>
      <c r="J618" s="1" t="str">
        <f t="shared" si="834"/>
        <v>5.00</v>
      </c>
      <c r="K618" s="1" t="str">
        <f t="shared" si="877"/>
        <v>0.00</v>
      </c>
      <c r="L618" s="1" t="str">
        <f t="shared" si="878"/>
        <v>0.04</v>
      </c>
      <c r="M618" s="1" t="str">
        <f t="shared" si="854"/>
        <v>0.00</v>
      </c>
      <c r="N618" s="1" t="str">
        <f t="shared" si="879"/>
        <v>证券买入</v>
      </c>
    </row>
    <row r="619" spans="1:14">
      <c r="A619" s="1" t="str">
        <f t="shared" si="865"/>
        <v>20180123</v>
      </c>
      <c r="B619" s="1" t="str">
        <f>"09:25:00"</f>
        <v>09:25:00</v>
      </c>
      <c r="C619" s="1" t="str">
        <f>"002917"</f>
        <v>002917</v>
      </c>
      <c r="D619" s="1" t="str">
        <f>"金奥博"</f>
        <v>金奥博</v>
      </c>
      <c r="E619" s="1" t="str">
        <f t="shared" ref="E619:E624" si="880">"卖出"</f>
        <v>卖出</v>
      </c>
      <c r="F619" s="1" t="str">
        <f>"29.800"</f>
        <v>29.800</v>
      </c>
      <c r="G619" s="1" t="str">
        <f t="shared" ref="G619:G622" si="881">"-100.00"</f>
        <v>-100.00</v>
      </c>
      <c r="H619" s="1" t="str">
        <f t="shared" ref="H619:H624" si="882">"0104152129"</f>
        <v>0104152129</v>
      </c>
      <c r="I619" s="1" t="str">
        <f>"2980.00"</f>
        <v>2980.00</v>
      </c>
      <c r="J619" s="1" t="str">
        <f t="shared" si="834"/>
        <v>5.00</v>
      </c>
      <c r="K619" s="1" t="str">
        <f>"2.98"</f>
        <v>2.98</v>
      </c>
      <c r="L619" s="1" t="str">
        <f t="shared" ref="L619:L623" si="883">"0.06"</f>
        <v>0.06</v>
      </c>
      <c r="M619" s="1" t="str">
        <f t="shared" si="854"/>
        <v>0.00</v>
      </c>
      <c r="N619" s="1" t="str">
        <f t="shared" ref="N619:N624" si="884">"证券卖出"</f>
        <v>证券卖出</v>
      </c>
    </row>
    <row r="620" spans="1:14">
      <c r="A620" s="1" t="str">
        <f t="shared" si="865"/>
        <v>20180123</v>
      </c>
      <c r="B620" s="1" t="str">
        <f>"09:31:33"</f>
        <v>09:31:33</v>
      </c>
      <c r="C620" s="1" t="str">
        <f>"002917"</f>
        <v>002917</v>
      </c>
      <c r="D620" s="1" t="str">
        <f>"金奥博"</f>
        <v>金奥博</v>
      </c>
      <c r="E620" s="1" t="str">
        <f t="shared" si="880"/>
        <v>卖出</v>
      </c>
      <c r="F620" s="1" t="str">
        <f>"29.730"</f>
        <v>29.730</v>
      </c>
      <c r="G620" s="1" t="str">
        <f t="shared" si="881"/>
        <v>-100.00</v>
      </c>
      <c r="H620" s="1" t="str">
        <f t="shared" si="882"/>
        <v>0104152129</v>
      </c>
      <c r="I620" s="1" t="str">
        <f>"2973.00"</f>
        <v>2973.00</v>
      </c>
      <c r="J620" s="1" t="str">
        <f t="shared" si="834"/>
        <v>5.00</v>
      </c>
      <c r="K620" s="1" t="str">
        <f>"2.97"</f>
        <v>2.97</v>
      </c>
      <c r="L620" s="1" t="str">
        <f t="shared" si="883"/>
        <v>0.06</v>
      </c>
      <c r="M620" s="1" t="str">
        <f t="shared" si="854"/>
        <v>0.00</v>
      </c>
      <c r="N620" s="1" t="str">
        <f t="shared" si="884"/>
        <v>证券卖出</v>
      </c>
    </row>
    <row r="621" spans="1:14">
      <c r="A621" s="1" t="str">
        <f t="shared" si="865"/>
        <v>20180123</v>
      </c>
      <c r="B621" s="1" t="str">
        <f>"09:32:51"</f>
        <v>09:32:51</v>
      </c>
      <c r="C621" s="1" t="str">
        <f>"300556"</f>
        <v>300556</v>
      </c>
      <c r="D621" s="1" t="str">
        <f>"丝路视觉"</f>
        <v>丝路视觉</v>
      </c>
      <c r="E621" s="1" t="str">
        <f t="shared" si="880"/>
        <v>卖出</v>
      </c>
      <c r="F621" s="1" t="str">
        <f>"24.680"</f>
        <v>24.680</v>
      </c>
      <c r="G621" s="1" t="str">
        <f>"-200.00"</f>
        <v>-200.00</v>
      </c>
      <c r="H621" s="1" t="str">
        <f t="shared" si="882"/>
        <v>0104152129</v>
      </c>
      <c r="I621" s="1" t="str">
        <f>"4936.00"</f>
        <v>4936.00</v>
      </c>
      <c r="J621" s="1" t="str">
        <f t="shared" si="834"/>
        <v>5.00</v>
      </c>
      <c r="K621" s="1" t="str">
        <f>"4.94"</f>
        <v>4.94</v>
      </c>
      <c r="L621" s="1" t="str">
        <f>"0.10"</f>
        <v>0.10</v>
      </c>
      <c r="M621" s="1" t="str">
        <f t="shared" si="854"/>
        <v>0.00</v>
      </c>
      <c r="N621" s="1" t="str">
        <f t="shared" si="884"/>
        <v>证券卖出</v>
      </c>
    </row>
    <row r="622" spans="1:14">
      <c r="A622" s="1" t="str">
        <f t="shared" si="865"/>
        <v>20180123</v>
      </c>
      <c r="B622" s="1" t="str">
        <f>"09:35:51"</f>
        <v>09:35:51</v>
      </c>
      <c r="C622" s="1" t="str">
        <f>"300556"</f>
        <v>300556</v>
      </c>
      <c r="D622" s="1" t="str">
        <f>"丝路视觉"</f>
        <v>丝路视觉</v>
      </c>
      <c r="E622" s="1" t="str">
        <f t="shared" si="880"/>
        <v>卖出</v>
      </c>
      <c r="F622" s="1" t="str">
        <f>"24.080"</f>
        <v>24.080</v>
      </c>
      <c r="G622" s="1" t="str">
        <f t="shared" si="881"/>
        <v>-100.00</v>
      </c>
      <c r="H622" s="1" t="str">
        <f t="shared" si="882"/>
        <v>0104152129</v>
      </c>
      <c r="I622" s="1" t="str">
        <f>"2408.00"</f>
        <v>2408.00</v>
      </c>
      <c r="J622" s="1" t="str">
        <f t="shared" si="834"/>
        <v>5.00</v>
      </c>
      <c r="K622" s="1" t="str">
        <f>"2.41"</f>
        <v>2.41</v>
      </c>
      <c r="L622" s="1" t="str">
        <f>"0.05"</f>
        <v>0.05</v>
      </c>
      <c r="M622" s="1" t="str">
        <f t="shared" si="854"/>
        <v>0.00</v>
      </c>
      <c r="N622" s="1" t="str">
        <f t="shared" si="884"/>
        <v>证券卖出</v>
      </c>
    </row>
    <row r="623" spans="1:14">
      <c r="A623" s="1" t="str">
        <f t="shared" si="865"/>
        <v>20180123</v>
      </c>
      <c r="B623" s="1" t="str">
        <f>"11:29:44"</f>
        <v>11:29:44</v>
      </c>
      <c r="C623" s="1" t="str">
        <f>"300085"</f>
        <v>300085</v>
      </c>
      <c r="D623" s="1" t="str">
        <f>"银之杰"</f>
        <v>银之杰</v>
      </c>
      <c r="E623" s="1" t="str">
        <f t="shared" si="880"/>
        <v>卖出</v>
      </c>
      <c r="F623" s="1" t="str">
        <f>"14.200"</f>
        <v>14.200</v>
      </c>
      <c r="G623" s="1" t="str">
        <f>"-200.00"</f>
        <v>-200.00</v>
      </c>
      <c r="H623" s="1" t="str">
        <f t="shared" si="882"/>
        <v>0104152129</v>
      </c>
      <c r="I623" s="1" t="str">
        <f>"2840.00"</f>
        <v>2840.00</v>
      </c>
      <c r="J623" s="1" t="str">
        <f t="shared" si="834"/>
        <v>5.00</v>
      </c>
      <c r="K623" s="1" t="str">
        <f>"2.84"</f>
        <v>2.84</v>
      </c>
      <c r="L623" s="1" t="str">
        <f t="shared" si="883"/>
        <v>0.06</v>
      </c>
      <c r="M623" s="1" t="str">
        <f t="shared" si="854"/>
        <v>0.00</v>
      </c>
      <c r="N623" s="1" t="str">
        <f t="shared" si="884"/>
        <v>证券卖出</v>
      </c>
    </row>
    <row r="624" spans="1:14">
      <c r="A624" s="1" t="str">
        <f t="shared" si="865"/>
        <v>20180123</v>
      </c>
      <c r="B624" s="1" t="str">
        <f>"14:17:14"</f>
        <v>14:17:14</v>
      </c>
      <c r="C624" s="1" t="str">
        <f>"000833"</f>
        <v>000833</v>
      </c>
      <c r="D624" s="1" t="str">
        <f>"贵糖股份"</f>
        <v>贵糖股份</v>
      </c>
      <c r="E624" s="1" t="str">
        <f t="shared" si="880"/>
        <v>卖出</v>
      </c>
      <c r="F624" s="1" t="str">
        <f>"6.980"</f>
        <v>6.980</v>
      </c>
      <c r="G624" s="1" t="str">
        <f>"-100.00"</f>
        <v>-100.00</v>
      </c>
      <c r="H624" s="1" t="str">
        <f t="shared" si="882"/>
        <v>0104152129</v>
      </c>
      <c r="I624" s="1" t="str">
        <f>"698.00"</f>
        <v>698.00</v>
      </c>
      <c r="J624" s="1" t="str">
        <f t="shared" si="834"/>
        <v>5.00</v>
      </c>
      <c r="K624" s="1" t="str">
        <f>"0.70"</f>
        <v>0.70</v>
      </c>
      <c r="L624" s="1" t="str">
        <f>"0.01"</f>
        <v>0.01</v>
      </c>
      <c r="M624" s="1" t="str">
        <f t="shared" si="854"/>
        <v>0.00</v>
      </c>
      <c r="N624" s="1" t="str">
        <f t="shared" si="884"/>
        <v>证券卖出</v>
      </c>
    </row>
    <row r="625" spans="1:14">
      <c r="A625" s="1" t="str">
        <f t="shared" si="865"/>
        <v>20180123</v>
      </c>
      <c r="B625" s="1" t="str">
        <f>"23:46:22"</f>
        <v>23:46:22</v>
      </c>
      <c r="C625" s="1" t="str">
        <f>"736516"</f>
        <v>736516</v>
      </c>
      <c r="D625" s="1" t="str">
        <f>"淳中配号"</f>
        <v>淳中配号</v>
      </c>
      <c r="E625" s="1" t="str">
        <f t="shared" ref="E625:E628" si="885">"买入"</f>
        <v>买入</v>
      </c>
      <c r="F625" s="1" t="str">
        <f>"0.000"</f>
        <v>0.000</v>
      </c>
      <c r="G625" s="1" t="str">
        <f>"1.00"</f>
        <v>1.00</v>
      </c>
      <c r="H625" s="1" t="str">
        <f t="shared" ref="H625:H631" si="886">"A850418317"</f>
        <v>A850418317</v>
      </c>
      <c r="I625" s="1" t="str">
        <f t="shared" ref="I625:L625" si="887">"0.00"</f>
        <v>0.00</v>
      </c>
      <c r="J625" s="1" t="str">
        <f t="shared" si="887"/>
        <v>0.00</v>
      </c>
      <c r="K625" s="1" t="str">
        <f t="shared" si="887"/>
        <v>0.00</v>
      </c>
      <c r="L625" s="1" t="str">
        <f t="shared" si="887"/>
        <v>0.00</v>
      </c>
      <c r="M625" s="1" t="str">
        <f t="shared" si="854"/>
        <v>0.00</v>
      </c>
      <c r="N625" s="1" t="str">
        <f>"起始配号:100005590484"</f>
        <v>起始配号:100005590484</v>
      </c>
    </row>
    <row r="626" spans="1:14">
      <c r="A626" s="1" t="str">
        <f t="shared" si="865"/>
        <v>20180123</v>
      </c>
      <c r="B626" s="1" t="str">
        <f>"23:46:59"</f>
        <v>23:46:59</v>
      </c>
      <c r="C626" s="1" t="str">
        <f>"736506"</f>
        <v>736506</v>
      </c>
      <c r="D626" s="1" t="str">
        <f>"南都配号"</f>
        <v>南都配号</v>
      </c>
      <c r="E626" s="1" t="str">
        <f t="shared" si="885"/>
        <v>买入</v>
      </c>
      <c r="F626" s="1" t="str">
        <f>"0.000"</f>
        <v>0.000</v>
      </c>
      <c r="G626" s="1" t="str">
        <f>"1.00"</f>
        <v>1.00</v>
      </c>
      <c r="H626" s="1" t="str">
        <f t="shared" si="886"/>
        <v>A850418317</v>
      </c>
      <c r="I626" s="1" t="str">
        <f t="shared" ref="I626:L626" si="888">"0.00"</f>
        <v>0.00</v>
      </c>
      <c r="J626" s="1" t="str">
        <f t="shared" si="888"/>
        <v>0.00</v>
      </c>
      <c r="K626" s="1" t="str">
        <f t="shared" si="888"/>
        <v>0.00</v>
      </c>
      <c r="L626" s="1" t="str">
        <f t="shared" si="888"/>
        <v>0.00</v>
      </c>
      <c r="M626" s="1" t="str">
        <f t="shared" si="854"/>
        <v>0.00</v>
      </c>
      <c r="N626" s="1" t="str">
        <f>"起始配号:100009118461"</f>
        <v>起始配号:100009118461</v>
      </c>
    </row>
    <row r="627" spans="1:14">
      <c r="A627" s="1" t="str">
        <f t="shared" ref="A627:A633" si="889">"20180124"</f>
        <v>20180124</v>
      </c>
      <c r="B627" s="1" t="str">
        <f>"09:40:38"</f>
        <v>09:40:38</v>
      </c>
      <c r="C627" s="1" t="str">
        <f>"600180"</f>
        <v>600180</v>
      </c>
      <c r="D627" s="1" t="str">
        <f>"瑞茂通"</f>
        <v>瑞茂通</v>
      </c>
      <c r="E627" s="1" t="str">
        <f>"卖出"</f>
        <v>卖出</v>
      </c>
      <c r="F627" s="1" t="str">
        <f>"11.330"</f>
        <v>11.330</v>
      </c>
      <c r="G627" s="1" t="str">
        <f>"-500.00"</f>
        <v>-500.00</v>
      </c>
      <c r="H627" s="1" t="str">
        <f t="shared" si="886"/>
        <v>A850418317</v>
      </c>
      <c r="I627" s="1" t="str">
        <f>"5665.00"</f>
        <v>5665.00</v>
      </c>
      <c r="J627" s="1" t="str">
        <f t="shared" ref="J627:J633" si="890">"5.00"</f>
        <v>5.00</v>
      </c>
      <c r="K627" s="1" t="str">
        <f>"5.67"</f>
        <v>5.67</v>
      </c>
      <c r="L627" s="1" t="str">
        <f>"0.11"</f>
        <v>0.11</v>
      </c>
      <c r="M627" s="1" t="str">
        <f t="shared" si="854"/>
        <v>0.00</v>
      </c>
      <c r="N627" s="1" t="str">
        <f>"证券卖出"</f>
        <v>证券卖出</v>
      </c>
    </row>
    <row r="628" spans="1:14">
      <c r="A628" s="1" t="str">
        <f t="shared" si="889"/>
        <v>20180124</v>
      </c>
      <c r="B628" s="1" t="str">
        <f>"10:04:16"</f>
        <v>10:04:16</v>
      </c>
      <c r="C628" s="1" t="str">
        <f>"600093"</f>
        <v>600093</v>
      </c>
      <c r="D628" s="1" t="str">
        <f>"易见股份"</f>
        <v>易见股份</v>
      </c>
      <c r="E628" s="1" t="str">
        <f t="shared" si="885"/>
        <v>买入</v>
      </c>
      <c r="F628" s="1" t="str">
        <f>"14.820"</f>
        <v>14.820</v>
      </c>
      <c r="G628" s="1" t="str">
        <f t="shared" ref="G628:G632" si="891">"100.00"</f>
        <v>100.00</v>
      </c>
      <c r="H628" s="1" t="str">
        <f t="shared" si="886"/>
        <v>A850418317</v>
      </c>
      <c r="I628" s="1" t="str">
        <f>"1482.00"</f>
        <v>1482.00</v>
      </c>
      <c r="J628" s="1" t="str">
        <f t="shared" si="890"/>
        <v>5.00</v>
      </c>
      <c r="K628" s="1" t="str">
        <f t="shared" ref="K628:K635" si="892">"0.00"</f>
        <v>0.00</v>
      </c>
      <c r="L628" s="1" t="str">
        <f>"0.03"</f>
        <v>0.03</v>
      </c>
      <c r="M628" s="1" t="str">
        <f t="shared" si="854"/>
        <v>0.00</v>
      </c>
      <c r="N628" s="1" t="str">
        <f t="shared" ref="N628:N633" si="893">"证券买入"</f>
        <v>证券买入</v>
      </c>
    </row>
    <row r="629" spans="1:14">
      <c r="A629" s="1" t="str">
        <f t="shared" si="889"/>
        <v>20180124</v>
      </c>
      <c r="B629" s="1" t="str">
        <f>"14:04:39"</f>
        <v>14:04:39</v>
      </c>
      <c r="C629" s="1" t="str">
        <f>"600291"</f>
        <v>600291</v>
      </c>
      <c r="D629" s="1" t="str">
        <f>"西水股份"</f>
        <v>西水股份</v>
      </c>
      <c r="E629" s="1" t="str">
        <f>"卖出"</f>
        <v>卖出</v>
      </c>
      <c r="F629" s="1" t="str">
        <f>"26.240"</f>
        <v>26.240</v>
      </c>
      <c r="G629" s="1" t="str">
        <f>"-100.00"</f>
        <v>-100.00</v>
      </c>
      <c r="H629" s="1" t="str">
        <f t="shared" si="886"/>
        <v>A850418317</v>
      </c>
      <c r="I629" s="1" t="str">
        <f>"2624.00"</f>
        <v>2624.00</v>
      </c>
      <c r="J629" s="1" t="str">
        <f t="shared" si="890"/>
        <v>5.00</v>
      </c>
      <c r="K629" s="1" t="str">
        <f>"2.62"</f>
        <v>2.62</v>
      </c>
      <c r="L629" s="1" t="str">
        <f>"0.05"</f>
        <v>0.05</v>
      </c>
      <c r="M629" s="1" t="str">
        <f t="shared" si="854"/>
        <v>0.00</v>
      </c>
      <c r="N629" s="1" t="str">
        <f>"证券卖出"</f>
        <v>证券卖出</v>
      </c>
    </row>
    <row r="630" spans="1:14">
      <c r="A630" s="1" t="str">
        <f t="shared" si="889"/>
        <v>20180124</v>
      </c>
      <c r="B630" s="1" t="str">
        <f>"14:04:59"</f>
        <v>14:04:59</v>
      </c>
      <c r="C630" s="1" t="str">
        <f>"600093"</f>
        <v>600093</v>
      </c>
      <c r="D630" s="1" t="str">
        <f>"易见股份"</f>
        <v>易见股份</v>
      </c>
      <c r="E630" s="1" t="str">
        <f t="shared" ref="E630:E635" si="894">"买入"</f>
        <v>买入</v>
      </c>
      <c r="F630" s="1" t="str">
        <f>"15.440"</f>
        <v>15.440</v>
      </c>
      <c r="G630" s="1" t="str">
        <f t="shared" si="891"/>
        <v>100.00</v>
      </c>
      <c r="H630" s="1" t="str">
        <f t="shared" si="886"/>
        <v>A850418317</v>
      </c>
      <c r="I630" s="1" t="str">
        <f>"1544.00"</f>
        <v>1544.00</v>
      </c>
      <c r="J630" s="1" t="str">
        <f t="shared" si="890"/>
        <v>5.00</v>
      </c>
      <c r="K630" s="1" t="str">
        <f t="shared" si="892"/>
        <v>0.00</v>
      </c>
      <c r="L630" s="1" t="str">
        <f>"0.03"</f>
        <v>0.03</v>
      </c>
      <c r="M630" s="1" t="str">
        <f t="shared" si="854"/>
        <v>0.00</v>
      </c>
      <c r="N630" s="1" t="str">
        <f t="shared" si="893"/>
        <v>证券买入</v>
      </c>
    </row>
    <row r="631" spans="1:14">
      <c r="A631" s="1" t="str">
        <f t="shared" si="889"/>
        <v>20180124</v>
      </c>
      <c r="B631" s="1" t="str">
        <f>"14:05:57"</f>
        <v>14:05:57</v>
      </c>
      <c r="C631" s="1" t="str">
        <f>"600846"</f>
        <v>600846</v>
      </c>
      <c r="D631" s="1" t="str">
        <f>"同济科技"</f>
        <v>同济科技</v>
      </c>
      <c r="E631" s="1" t="str">
        <f t="shared" si="894"/>
        <v>买入</v>
      </c>
      <c r="F631" s="1" t="str">
        <f>"10.430"</f>
        <v>10.430</v>
      </c>
      <c r="G631" s="1" t="str">
        <f t="shared" si="891"/>
        <v>100.00</v>
      </c>
      <c r="H631" s="1" t="str">
        <f t="shared" si="886"/>
        <v>A850418317</v>
      </c>
      <c r="I631" s="1" t="str">
        <f>"1043.00"</f>
        <v>1043.00</v>
      </c>
      <c r="J631" s="1" t="str">
        <f t="shared" si="890"/>
        <v>5.00</v>
      </c>
      <c r="K631" s="1" t="str">
        <f t="shared" si="892"/>
        <v>0.00</v>
      </c>
      <c r="L631" s="1" t="str">
        <f>"0.02"</f>
        <v>0.02</v>
      </c>
      <c r="M631" s="1" t="str">
        <f t="shared" si="854"/>
        <v>0.00</v>
      </c>
      <c r="N631" s="1" t="str">
        <f t="shared" si="893"/>
        <v>证券买入</v>
      </c>
    </row>
    <row r="632" spans="1:14">
      <c r="A632" s="1" t="str">
        <f t="shared" si="889"/>
        <v>20180124</v>
      </c>
      <c r="B632" s="1" t="str">
        <f>"09:41:48"</f>
        <v>09:41:48</v>
      </c>
      <c r="C632" s="1" t="str">
        <f>"300612"</f>
        <v>300612</v>
      </c>
      <c r="D632" s="1" t="str">
        <f>"宣亚国际"</f>
        <v>宣亚国际</v>
      </c>
      <c r="E632" s="1" t="str">
        <f t="shared" si="894"/>
        <v>买入</v>
      </c>
      <c r="F632" s="1" t="str">
        <f>"40.350"</f>
        <v>40.350</v>
      </c>
      <c r="G632" s="1" t="str">
        <f t="shared" si="891"/>
        <v>100.00</v>
      </c>
      <c r="H632" s="1" t="str">
        <f>"0104152129"</f>
        <v>0104152129</v>
      </c>
      <c r="I632" s="1" t="str">
        <f>"4035.00"</f>
        <v>4035.00</v>
      </c>
      <c r="J632" s="1" t="str">
        <f t="shared" si="890"/>
        <v>5.00</v>
      </c>
      <c r="K632" s="1" t="str">
        <f t="shared" si="892"/>
        <v>0.00</v>
      </c>
      <c r="L632" s="1" t="str">
        <f>"0.08"</f>
        <v>0.08</v>
      </c>
      <c r="M632" s="1" t="str">
        <f t="shared" si="854"/>
        <v>0.00</v>
      </c>
      <c r="N632" s="1" t="str">
        <f t="shared" si="893"/>
        <v>证券买入</v>
      </c>
    </row>
    <row r="633" spans="1:14">
      <c r="A633" s="1" t="str">
        <f t="shared" si="889"/>
        <v>20180124</v>
      </c>
      <c r="B633" s="1" t="str">
        <f>"10:33:24"</f>
        <v>10:33:24</v>
      </c>
      <c r="C633" s="1" t="str">
        <f>"300251"</f>
        <v>300251</v>
      </c>
      <c r="D633" s="1" t="str">
        <f>"光线传媒"</f>
        <v>光线传媒</v>
      </c>
      <c r="E633" s="1" t="str">
        <f t="shared" si="894"/>
        <v>买入</v>
      </c>
      <c r="F633" s="1" t="str">
        <f>"12.680"</f>
        <v>12.680</v>
      </c>
      <c r="G633" s="1" t="str">
        <f>"300.00"</f>
        <v>300.00</v>
      </c>
      <c r="H633" s="1" t="str">
        <f>"0104152129"</f>
        <v>0104152129</v>
      </c>
      <c r="I633" s="1" t="str">
        <f>"3804.00"</f>
        <v>3804.00</v>
      </c>
      <c r="J633" s="1" t="str">
        <f t="shared" si="890"/>
        <v>5.00</v>
      </c>
      <c r="K633" s="1" t="str">
        <f t="shared" si="892"/>
        <v>0.00</v>
      </c>
      <c r="L633" s="1" t="str">
        <f>"0.08"</f>
        <v>0.08</v>
      </c>
      <c r="M633" s="1" t="str">
        <f t="shared" si="854"/>
        <v>0.00</v>
      </c>
      <c r="N633" s="1" t="str">
        <f t="shared" si="893"/>
        <v>证券买入</v>
      </c>
    </row>
    <row r="634" spans="1:14">
      <c r="A634" s="1" t="str">
        <f>"20180125"</f>
        <v>20180125</v>
      </c>
      <c r="B634" s="1" t="str">
        <f>"22:43:13"</f>
        <v>22:43:13</v>
      </c>
      <c r="C634" s="1" t="str">
        <f>"736871"</f>
        <v>736871</v>
      </c>
      <c r="D634" s="1" t="str">
        <f>"嘉友配号"</f>
        <v>嘉友配号</v>
      </c>
      <c r="E634" s="1" t="str">
        <f t="shared" si="894"/>
        <v>买入</v>
      </c>
      <c r="F634" s="1" t="str">
        <f>"0.000"</f>
        <v>0.000</v>
      </c>
      <c r="G634" s="1" t="str">
        <f>"1.00"</f>
        <v>1.00</v>
      </c>
      <c r="H634" s="1" t="str">
        <f t="shared" ref="H634:H648" si="895">"A850418317"</f>
        <v>A850418317</v>
      </c>
      <c r="I634" s="1" t="str">
        <f t="shared" ref="I634:L634" si="896">"0.00"</f>
        <v>0.00</v>
      </c>
      <c r="J634" s="1" t="str">
        <f t="shared" si="896"/>
        <v>0.00</v>
      </c>
      <c r="K634" s="1" t="str">
        <f t="shared" si="892"/>
        <v>0.00</v>
      </c>
      <c r="L634" s="1" t="str">
        <f t="shared" si="896"/>
        <v>0.00</v>
      </c>
      <c r="M634" s="1" t="str">
        <f t="shared" si="854"/>
        <v>0.00</v>
      </c>
      <c r="N634" s="1" t="str">
        <f>"起始配号:100030710862"</f>
        <v>起始配号:100030710862</v>
      </c>
    </row>
    <row r="635" spans="1:14">
      <c r="A635" s="1" t="str">
        <f t="shared" ref="A635:A655" si="897">"20180129"</f>
        <v>20180129</v>
      </c>
      <c r="B635" s="1" t="str">
        <f>"09:58:09"</f>
        <v>09:58:09</v>
      </c>
      <c r="C635" s="1" t="str">
        <f>"600093"</f>
        <v>600093</v>
      </c>
      <c r="D635" s="1" t="str">
        <f>"易见股份"</f>
        <v>易见股份</v>
      </c>
      <c r="E635" s="1" t="str">
        <f t="shared" si="894"/>
        <v>买入</v>
      </c>
      <c r="F635" s="1" t="str">
        <f>"15.050"</f>
        <v>15.050</v>
      </c>
      <c r="G635" s="1" t="str">
        <f>"100.00"</f>
        <v>100.00</v>
      </c>
      <c r="H635" s="1" t="str">
        <f t="shared" si="895"/>
        <v>A850418317</v>
      </c>
      <c r="I635" s="1" t="str">
        <f>"1505.00"</f>
        <v>1505.00</v>
      </c>
      <c r="J635" s="1" t="str">
        <f t="shared" ref="J635:J648" si="898">"5.00"</f>
        <v>5.00</v>
      </c>
      <c r="K635" s="1" t="str">
        <f t="shared" si="892"/>
        <v>0.00</v>
      </c>
      <c r="L635" s="1" t="str">
        <f>"0.03"</f>
        <v>0.03</v>
      </c>
      <c r="M635" s="1" t="str">
        <f t="shared" si="854"/>
        <v>0.00</v>
      </c>
      <c r="N635" s="1" t="str">
        <f>"证券买入"</f>
        <v>证券买入</v>
      </c>
    </row>
    <row r="636" spans="1:14">
      <c r="A636" s="1" t="str">
        <f t="shared" si="897"/>
        <v>20180129</v>
      </c>
      <c r="B636" s="1" t="str">
        <f>"13:52:16"</f>
        <v>13:52:16</v>
      </c>
      <c r="C636" s="1" t="str">
        <f t="shared" ref="C636:C638" si="899">"600846"</f>
        <v>600846</v>
      </c>
      <c r="D636" s="1" t="str">
        <f t="shared" ref="D636:D638" si="900">"同济科技"</f>
        <v>同济科技</v>
      </c>
      <c r="E636" s="1" t="str">
        <f t="shared" ref="E636:E638" si="901">"卖出"</f>
        <v>卖出</v>
      </c>
      <c r="F636" s="1" t="str">
        <f t="shared" ref="F636:F638" si="902">"9.830"</f>
        <v>9.830</v>
      </c>
      <c r="G636" s="1" t="str">
        <f>"-300.00"</f>
        <v>-300.00</v>
      </c>
      <c r="H636" s="1" t="str">
        <f t="shared" si="895"/>
        <v>A850418317</v>
      </c>
      <c r="I636" s="1" t="str">
        <f>"2949.00"</f>
        <v>2949.00</v>
      </c>
      <c r="J636" s="1" t="str">
        <f t="shared" si="898"/>
        <v>5.00</v>
      </c>
      <c r="K636" s="1" t="str">
        <f>"2.95"</f>
        <v>2.95</v>
      </c>
      <c r="L636" s="1" t="str">
        <f>"0.06"</f>
        <v>0.06</v>
      </c>
      <c r="M636" s="1" t="str">
        <f t="shared" si="854"/>
        <v>0.00</v>
      </c>
      <c r="N636" s="1" t="str">
        <f t="shared" ref="N636:N638" si="903">"证券卖出"</f>
        <v>证券卖出</v>
      </c>
    </row>
    <row r="637" spans="1:14">
      <c r="A637" s="1" t="str">
        <f t="shared" si="897"/>
        <v>20180129</v>
      </c>
      <c r="B637" s="1" t="str">
        <f>"13:53:57"</f>
        <v>13:53:57</v>
      </c>
      <c r="C637" s="1" t="str">
        <f t="shared" si="899"/>
        <v>600846</v>
      </c>
      <c r="D637" s="1" t="str">
        <f t="shared" si="900"/>
        <v>同济科技</v>
      </c>
      <c r="E637" s="1" t="str">
        <f t="shared" si="901"/>
        <v>卖出</v>
      </c>
      <c r="F637" s="1" t="str">
        <f t="shared" si="902"/>
        <v>9.830</v>
      </c>
      <c r="G637" s="1" t="str">
        <f t="shared" ref="G637:G640" si="904">"-100.00"</f>
        <v>-100.00</v>
      </c>
      <c r="H637" s="1" t="str">
        <f t="shared" si="895"/>
        <v>A850418317</v>
      </c>
      <c r="I637" s="1" t="str">
        <f>"983.00"</f>
        <v>983.00</v>
      </c>
      <c r="J637" s="1" t="str">
        <f t="shared" si="898"/>
        <v>5.00</v>
      </c>
      <c r="K637" s="1" t="str">
        <f>"0.98"</f>
        <v>0.98</v>
      </c>
      <c r="L637" s="1" t="str">
        <f t="shared" ref="L637:L640" si="905">"0.02"</f>
        <v>0.02</v>
      </c>
      <c r="M637" s="1" t="str">
        <f t="shared" si="854"/>
        <v>0.00</v>
      </c>
      <c r="N637" s="1" t="str">
        <f t="shared" si="903"/>
        <v>证券卖出</v>
      </c>
    </row>
    <row r="638" spans="1:14">
      <c r="A638" s="1" t="str">
        <f t="shared" si="897"/>
        <v>20180129</v>
      </c>
      <c r="B638" s="1" t="str">
        <f>"13:57:14"</f>
        <v>13:57:14</v>
      </c>
      <c r="C638" s="1" t="str">
        <f t="shared" si="899"/>
        <v>600846</v>
      </c>
      <c r="D638" s="1" t="str">
        <f t="shared" si="900"/>
        <v>同济科技</v>
      </c>
      <c r="E638" s="1" t="str">
        <f t="shared" si="901"/>
        <v>卖出</v>
      </c>
      <c r="F638" s="1" t="str">
        <f t="shared" si="902"/>
        <v>9.830</v>
      </c>
      <c r="G638" s="1" t="str">
        <f t="shared" si="904"/>
        <v>-100.00</v>
      </c>
      <c r="H638" s="1" t="str">
        <f t="shared" si="895"/>
        <v>A850418317</v>
      </c>
      <c r="I638" s="1" t="str">
        <f>"983.00"</f>
        <v>983.00</v>
      </c>
      <c r="J638" s="1" t="str">
        <f t="shared" si="898"/>
        <v>5.00</v>
      </c>
      <c r="K638" s="1" t="str">
        <f>"0.98"</f>
        <v>0.98</v>
      </c>
      <c r="L638" s="1" t="str">
        <f t="shared" si="905"/>
        <v>0.02</v>
      </c>
      <c r="M638" s="1" t="str">
        <f t="shared" si="854"/>
        <v>0.00</v>
      </c>
      <c r="N638" s="1" t="str">
        <f t="shared" si="903"/>
        <v>证券卖出</v>
      </c>
    </row>
    <row r="639" spans="1:14">
      <c r="A639" s="1" t="str">
        <f t="shared" si="897"/>
        <v>20180129</v>
      </c>
      <c r="B639" s="1" t="str">
        <f>"13:59:26"</f>
        <v>13:59:26</v>
      </c>
      <c r="C639" s="1" t="str">
        <f>"600426"</f>
        <v>600426</v>
      </c>
      <c r="D639" s="1" t="str">
        <f>"华鲁恒升"</f>
        <v>华鲁恒升</v>
      </c>
      <c r="E639" s="1" t="str">
        <f t="shared" ref="E639:E643" si="906">"买入"</f>
        <v>买入</v>
      </c>
      <c r="F639" s="1" t="str">
        <f>"19.150"</f>
        <v>19.150</v>
      </c>
      <c r="G639" s="1" t="str">
        <f>"100.00"</f>
        <v>100.00</v>
      </c>
      <c r="H639" s="1" t="str">
        <f t="shared" si="895"/>
        <v>A850418317</v>
      </c>
      <c r="I639" s="1" t="str">
        <f>"1915.00"</f>
        <v>1915.00</v>
      </c>
      <c r="J639" s="1" t="str">
        <f t="shared" si="898"/>
        <v>5.00</v>
      </c>
      <c r="K639" s="1" t="str">
        <f t="shared" ref="K639:K643" si="907">"0.00"</f>
        <v>0.00</v>
      </c>
      <c r="L639" s="1" t="str">
        <f>"0.04"</f>
        <v>0.04</v>
      </c>
      <c r="M639" s="1" t="str">
        <f t="shared" si="854"/>
        <v>0.00</v>
      </c>
      <c r="N639" s="1" t="str">
        <f t="shared" ref="N639:N643" si="908">"证券买入"</f>
        <v>证券买入</v>
      </c>
    </row>
    <row r="640" spans="1:14">
      <c r="A640" s="1" t="str">
        <f t="shared" si="897"/>
        <v>20180129</v>
      </c>
      <c r="B640" s="1" t="str">
        <f>"14:05:17"</f>
        <v>14:05:17</v>
      </c>
      <c r="C640" s="1" t="str">
        <f>"600846"</f>
        <v>600846</v>
      </c>
      <c r="D640" s="1" t="str">
        <f>"同济科技"</f>
        <v>同济科技</v>
      </c>
      <c r="E640" s="1" t="str">
        <f t="shared" ref="E640:E644" si="909">"卖出"</f>
        <v>卖出</v>
      </c>
      <c r="F640" s="1" t="str">
        <f>"9.860"</f>
        <v>9.860</v>
      </c>
      <c r="G640" s="1" t="str">
        <f t="shared" si="904"/>
        <v>-100.00</v>
      </c>
      <c r="H640" s="1" t="str">
        <f t="shared" si="895"/>
        <v>A850418317</v>
      </c>
      <c r="I640" s="1" t="str">
        <f>"986.00"</f>
        <v>986.00</v>
      </c>
      <c r="J640" s="1" t="str">
        <f t="shared" si="898"/>
        <v>5.00</v>
      </c>
      <c r="K640" s="1" t="str">
        <f>"0.99"</f>
        <v>0.99</v>
      </c>
      <c r="L640" s="1" t="str">
        <f t="shared" si="905"/>
        <v>0.02</v>
      </c>
      <c r="M640" s="1" t="str">
        <f t="shared" si="854"/>
        <v>0.00</v>
      </c>
      <c r="N640" s="1" t="str">
        <f t="shared" ref="N640:N644" si="910">"证券卖出"</f>
        <v>证券卖出</v>
      </c>
    </row>
    <row r="641" spans="1:14">
      <c r="A641" s="1" t="str">
        <f t="shared" si="897"/>
        <v>20180129</v>
      </c>
      <c r="B641" s="1" t="str">
        <f>"14:05:41"</f>
        <v>14:05:41</v>
      </c>
      <c r="C641" s="1" t="str">
        <f t="shared" ref="C641:C644" si="911">"600093"</f>
        <v>600093</v>
      </c>
      <c r="D641" s="1" t="str">
        <f t="shared" ref="D641:D644" si="912">"易见股份"</f>
        <v>易见股份</v>
      </c>
      <c r="E641" s="1" t="str">
        <f t="shared" si="906"/>
        <v>买入</v>
      </c>
      <c r="F641" s="1" t="str">
        <f>"16.390"</f>
        <v>16.390</v>
      </c>
      <c r="G641" s="1" t="str">
        <f>"100.00"</f>
        <v>100.00</v>
      </c>
      <c r="H641" s="1" t="str">
        <f t="shared" si="895"/>
        <v>A850418317</v>
      </c>
      <c r="I641" s="1" t="str">
        <f>"1639.00"</f>
        <v>1639.00</v>
      </c>
      <c r="J641" s="1" t="str">
        <f t="shared" si="898"/>
        <v>5.00</v>
      </c>
      <c r="K641" s="1" t="str">
        <f t="shared" si="907"/>
        <v>0.00</v>
      </c>
      <c r="L641" s="1" t="str">
        <f t="shared" ref="L641:L646" si="913">"0.03"</f>
        <v>0.03</v>
      </c>
      <c r="M641" s="1" t="str">
        <f t="shared" si="854"/>
        <v>0.00</v>
      </c>
      <c r="N641" s="1" t="str">
        <f t="shared" si="908"/>
        <v>证券买入</v>
      </c>
    </row>
    <row r="642" spans="1:14">
      <c r="A642" s="1" t="str">
        <f t="shared" si="897"/>
        <v>20180129</v>
      </c>
      <c r="B642" s="1" t="str">
        <f>"14:06:13"</f>
        <v>14:06:13</v>
      </c>
      <c r="C642" s="1" t="str">
        <f t="shared" ref="C642:C648" si="914">"600426"</f>
        <v>600426</v>
      </c>
      <c r="D642" s="1" t="str">
        <f t="shared" ref="D642:D648" si="915">"华鲁恒升"</f>
        <v>华鲁恒升</v>
      </c>
      <c r="E642" s="1" t="str">
        <f t="shared" si="909"/>
        <v>卖出</v>
      </c>
      <c r="F642" s="1" t="str">
        <f>"19.260"</f>
        <v>19.260</v>
      </c>
      <c r="G642" s="1" t="str">
        <f>"-400.00"</f>
        <v>-400.00</v>
      </c>
      <c r="H642" s="1" t="str">
        <f t="shared" si="895"/>
        <v>A850418317</v>
      </c>
      <c r="I642" s="1" t="str">
        <f>"7704.00"</f>
        <v>7704.00</v>
      </c>
      <c r="J642" s="1" t="str">
        <f t="shared" si="898"/>
        <v>5.00</v>
      </c>
      <c r="K642" s="1" t="str">
        <f>"7.71"</f>
        <v>7.71</v>
      </c>
      <c r="L642" s="1" t="str">
        <f>"0.15"</f>
        <v>0.15</v>
      </c>
      <c r="M642" s="1" t="str">
        <f t="shared" si="854"/>
        <v>0.00</v>
      </c>
      <c r="N642" s="1" t="str">
        <f t="shared" si="910"/>
        <v>证券卖出</v>
      </c>
    </row>
    <row r="643" spans="1:14">
      <c r="A643" s="1" t="str">
        <f t="shared" si="897"/>
        <v>20180129</v>
      </c>
      <c r="B643" s="1" t="str">
        <f>"14:06:31"</f>
        <v>14:06:31</v>
      </c>
      <c r="C643" s="1" t="str">
        <f t="shared" si="911"/>
        <v>600093</v>
      </c>
      <c r="D643" s="1" t="str">
        <f t="shared" si="912"/>
        <v>易见股份</v>
      </c>
      <c r="E643" s="1" t="str">
        <f t="shared" si="906"/>
        <v>买入</v>
      </c>
      <c r="F643" s="1" t="str">
        <f>"16.610"</f>
        <v>16.610</v>
      </c>
      <c r="G643" s="1" t="str">
        <f>"500.00"</f>
        <v>500.00</v>
      </c>
      <c r="H643" s="1" t="str">
        <f t="shared" si="895"/>
        <v>A850418317</v>
      </c>
      <c r="I643" s="1" t="str">
        <f>"8305.00"</f>
        <v>8305.00</v>
      </c>
      <c r="J643" s="1" t="str">
        <f t="shared" si="898"/>
        <v>5.00</v>
      </c>
      <c r="K643" s="1" t="str">
        <f t="shared" si="907"/>
        <v>0.00</v>
      </c>
      <c r="L643" s="1" t="str">
        <f>"0.17"</f>
        <v>0.17</v>
      </c>
      <c r="M643" s="1" t="str">
        <f t="shared" si="854"/>
        <v>0.00</v>
      </c>
      <c r="N643" s="1" t="str">
        <f t="shared" si="908"/>
        <v>证券买入</v>
      </c>
    </row>
    <row r="644" spans="1:14">
      <c r="A644" s="1" t="str">
        <f t="shared" si="897"/>
        <v>20180129</v>
      </c>
      <c r="B644" s="1" t="str">
        <f>"14:08:05"</f>
        <v>14:08:05</v>
      </c>
      <c r="C644" s="1" t="str">
        <f t="shared" si="911"/>
        <v>600093</v>
      </c>
      <c r="D644" s="1" t="str">
        <f t="shared" si="912"/>
        <v>易见股份</v>
      </c>
      <c r="E644" s="1" t="str">
        <f t="shared" si="909"/>
        <v>卖出</v>
      </c>
      <c r="F644" s="1" t="str">
        <f>"16.440"</f>
        <v>16.440</v>
      </c>
      <c r="G644" s="1" t="str">
        <f t="shared" ref="G644:G648" si="916">"-100.00"</f>
        <v>-100.00</v>
      </c>
      <c r="H644" s="1" t="str">
        <f t="shared" si="895"/>
        <v>A850418317</v>
      </c>
      <c r="I644" s="1" t="str">
        <f>"1644.00"</f>
        <v>1644.00</v>
      </c>
      <c r="J644" s="1" t="str">
        <f t="shared" si="898"/>
        <v>5.00</v>
      </c>
      <c r="K644" s="1" t="str">
        <f>"1.64"</f>
        <v>1.64</v>
      </c>
      <c r="L644" s="1" t="str">
        <f t="shared" si="913"/>
        <v>0.03</v>
      </c>
      <c r="M644" s="1" t="str">
        <f t="shared" si="854"/>
        <v>0.00</v>
      </c>
      <c r="N644" s="1" t="str">
        <f t="shared" si="910"/>
        <v>证券卖出</v>
      </c>
    </row>
    <row r="645" spans="1:14">
      <c r="A645" s="1" t="str">
        <f t="shared" si="897"/>
        <v>20180129</v>
      </c>
      <c r="B645" s="1" t="str">
        <f>"14:28:05"</f>
        <v>14:28:05</v>
      </c>
      <c r="C645" s="1" t="str">
        <f t="shared" si="914"/>
        <v>600426</v>
      </c>
      <c r="D645" s="1" t="str">
        <f t="shared" si="915"/>
        <v>华鲁恒升</v>
      </c>
      <c r="E645" s="1" t="str">
        <f>"买入"</f>
        <v>买入</v>
      </c>
      <c r="F645" s="1" t="str">
        <f>"18.970"</f>
        <v>18.970</v>
      </c>
      <c r="G645" s="1" t="str">
        <f>"100.00"</f>
        <v>100.00</v>
      </c>
      <c r="H645" s="1" t="str">
        <f t="shared" si="895"/>
        <v>A850418317</v>
      </c>
      <c r="I645" s="1" t="str">
        <f>"1897.00"</f>
        <v>1897.00</v>
      </c>
      <c r="J645" s="1" t="str">
        <f t="shared" si="898"/>
        <v>5.00</v>
      </c>
      <c r="K645" s="1" t="str">
        <f>"0.00"</f>
        <v>0.00</v>
      </c>
      <c r="L645" s="1" t="str">
        <f>"0.04"</f>
        <v>0.04</v>
      </c>
      <c r="M645" s="1" t="str">
        <f t="shared" si="854"/>
        <v>0.00</v>
      </c>
      <c r="N645" s="1" t="str">
        <f>"证券买入"</f>
        <v>证券买入</v>
      </c>
    </row>
    <row r="646" spans="1:14">
      <c r="A646" s="1" t="str">
        <f t="shared" si="897"/>
        <v>20180129</v>
      </c>
      <c r="B646" s="1" t="str">
        <f>"14:33:32"</f>
        <v>14:33:32</v>
      </c>
      <c r="C646" s="1" t="str">
        <f>"600093"</f>
        <v>600093</v>
      </c>
      <c r="D646" s="1" t="str">
        <f>"易见股份"</f>
        <v>易见股份</v>
      </c>
      <c r="E646" s="1" t="str">
        <f t="shared" ref="E646:E650" si="917">"卖出"</f>
        <v>卖出</v>
      </c>
      <c r="F646" s="1" t="str">
        <f>"16.820"</f>
        <v>16.820</v>
      </c>
      <c r="G646" s="1" t="str">
        <f t="shared" si="916"/>
        <v>-100.00</v>
      </c>
      <c r="H646" s="1" t="str">
        <f t="shared" si="895"/>
        <v>A850418317</v>
      </c>
      <c r="I646" s="1" t="str">
        <f>"1682.00"</f>
        <v>1682.00</v>
      </c>
      <c r="J646" s="1" t="str">
        <f t="shared" si="898"/>
        <v>5.00</v>
      </c>
      <c r="K646" s="1" t="str">
        <f>"1.68"</f>
        <v>1.68</v>
      </c>
      <c r="L646" s="1" t="str">
        <f t="shared" si="913"/>
        <v>0.03</v>
      </c>
      <c r="M646" s="1" t="str">
        <f t="shared" si="854"/>
        <v>0.00</v>
      </c>
      <c r="N646" s="1" t="str">
        <f t="shared" ref="N646:N650" si="918">"证券卖出"</f>
        <v>证券卖出</v>
      </c>
    </row>
    <row r="647" spans="1:14">
      <c r="A647" s="1" t="str">
        <f t="shared" si="897"/>
        <v>20180129</v>
      </c>
      <c r="B647" s="1" t="str">
        <f>"14:40:25"</f>
        <v>14:40:25</v>
      </c>
      <c r="C647" s="1" t="str">
        <f t="shared" si="914"/>
        <v>600426</v>
      </c>
      <c r="D647" s="1" t="str">
        <f t="shared" si="915"/>
        <v>华鲁恒升</v>
      </c>
      <c r="E647" s="1" t="str">
        <f t="shared" si="917"/>
        <v>卖出</v>
      </c>
      <c r="F647" s="1" t="str">
        <f>"19.090"</f>
        <v>19.090</v>
      </c>
      <c r="G647" s="1" t="str">
        <f>"-200.00"</f>
        <v>-200.00</v>
      </c>
      <c r="H647" s="1" t="str">
        <f t="shared" si="895"/>
        <v>A850418317</v>
      </c>
      <c r="I647" s="1" t="str">
        <f>"3818.00"</f>
        <v>3818.00</v>
      </c>
      <c r="J647" s="1" t="str">
        <f t="shared" si="898"/>
        <v>5.00</v>
      </c>
      <c r="K647" s="1" t="str">
        <f>"3.82"</f>
        <v>3.82</v>
      </c>
      <c r="L647" s="1" t="str">
        <f>"0.08"</f>
        <v>0.08</v>
      </c>
      <c r="M647" s="1" t="str">
        <f t="shared" si="854"/>
        <v>0.00</v>
      </c>
      <c r="N647" s="1" t="str">
        <f t="shared" si="918"/>
        <v>证券卖出</v>
      </c>
    </row>
    <row r="648" spans="1:14">
      <c r="A648" s="1" t="str">
        <f t="shared" si="897"/>
        <v>20180129</v>
      </c>
      <c r="B648" s="1" t="str">
        <f>"14:57:54"</f>
        <v>14:57:54</v>
      </c>
      <c r="C648" s="1" t="str">
        <f t="shared" si="914"/>
        <v>600426</v>
      </c>
      <c r="D648" s="1" t="str">
        <f t="shared" si="915"/>
        <v>华鲁恒升</v>
      </c>
      <c r="E648" s="1" t="str">
        <f t="shared" si="917"/>
        <v>卖出</v>
      </c>
      <c r="F648" s="1" t="str">
        <f>"18.920"</f>
        <v>18.920</v>
      </c>
      <c r="G648" s="1" t="str">
        <f t="shared" si="916"/>
        <v>-100.00</v>
      </c>
      <c r="H648" s="1" t="str">
        <f t="shared" si="895"/>
        <v>A850418317</v>
      </c>
      <c r="I648" s="1" t="str">
        <f>"1892.00"</f>
        <v>1892.00</v>
      </c>
      <c r="J648" s="1" t="str">
        <f t="shared" si="898"/>
        <v>5.00</v>
      </c>
      <c r="K648" s="1" t="str">
        <f>"1.89"</f>
        <v>1.89</v>
      </c>
      <c r="L648" s="1" t="str">
        <f>"0.04"</f>
        <v>0.04</v>
      </c>
      <c r="M648" s="1" t="str">
        <f t="shared" si="854"/>
        <v>0.00</v>
      </c>
      <c r="N648" s="1" t="str">
        <f t="shared" si="918"/>
        <v>证券卖出</v>
      </c>
    </row>
    <row r="649" spans="1:14">
      <c r="A649" s="1" t="str">
        <f t="shared" si="897"/>
        <v>20180129</v>
      </c>
      <c r="B649" s="1" t="str">
        <f>"09:56:06"</f>
        <v>09:56:06</v>
      </c>
      <c r="C649" s="1" t="str">
        <f>"128030"</f>
        <v>128030</v>
      </c>
      <c r="D649" s="1" t="str">
        <f>"天康转债"</f>
        <v>天康转债</v>
      </c>
      <c r="E649" s="1" t="str">
        <f t="shared" si="917"/>
        <v>卖出</v>
      </c>
      <c r="F649" s="1" t="str">
        <f>"108.690"</f>
        <v>108.690</v>
      </c>
      <c r="G649" s="1" t="str">
        <f>"-10.00"</f>
        <v>-10.00</v>
      </c>
      <c r="H649" s="1" t="str">
        <f t="shared" ref="H649:H654" si="919">"0104152129"</f>
        <v>0104152129</v>
      </c>
      <c r="I649" s="1" t="str">
        <f>"1086.90"</f>
        <v>1086.90</v>
      </c>
      <c r="J649" s="1" t="str">
        <f>"0.22"</f>
        <v>0.22</v>
      </c>
      <c r="K649" s="1" t="str">
        <f t="shared" ref="K649:K656" si="920">"0.00"</f>
        <v>0.00</v>
      </c>
      <c r="L649" s="1" t="str">
        <f>"0.00"</f>
        <v>0.00</v>
      </c>
      <c r="M649" s="1" t="str">
        <f t="shared" si="854"/>
        <v>0.00</v>
      </c>
      <c r="N649" s="1" t="str">
        <f t="shared" si="918"/>
        <v>证券卖出</v>
      </c>
    </row>
    <row r="650" spans="1:14">
      <c r="A650" s="1" t="str">
        <f t="shared" si="897"/>
        <v>20180129</v>
      </c>
      <c r="B650" s="1" t="str">
        <f>"13:53:35"</f>
        <v>13:53:35</v>
      </c>
      <c r="C650" s="1" t="str">
        <f>"300251"</f>
        <v>300251</v>
      </c>
      <c r="D650" s="1" t="str">
        <f>"光线传媒"</f>
        <v>光线传媒</v>
      </c>
      <c r="E650" s="1" t="str">
        <f t="shared" si="917"/>
        <v>卖出</v>
      </c>
      <c r="F650" s="1" t="str">
        <f>"13.200"</f>
        <v>13.200</v>
      </c>
      <c r="G650" s="1" t="str">
        <f>"-200.00"</f>
        <v>-200.00</v>
      </c>
      <c r="H650" s="1" t="str">
        <f t="shared" si="919"/>
        <v>0104152129</v>
      </c>
      <c r="I650" s="1" t="str">
        <f>"2640.00"</f>
        <v>2640.00</v>
      </c>
      <c r="J650" s="1" t="str">
        <f t="shared" ref="J650:J654" si="921">"5.00"</f>
        <v>5.00</v>
      </c>
      <c r="K650" s="1" t="str">
        <f>"2.64"</f>
        <v>2.64</v>
      </c>
      <c r="L650" s="1" t="str">
        <f>"0.05"</f>
        <v>0.05</v>
      </c>
      <c r="M650" s="1" t="str">
        <f t="shared" si="854"/>
        <v>0.00</v>
      </c>
      <c r="N650" s="1" t="str">
        <f t="shared" si="918"/>
        <v>证券卖出</v>
      </c>
    </row>
    <row r="651" spans="1:14">
      <c r="A651" s="1" t="str">
        <f t="shared" si="897"/>
        <v>20180129</v>
      </c>
      <c r="B651" s="1" t="str">
        <f>"13:57:49"</f>
        <v>13:57:49</v>
      </c>
      <c r="C651" s="1" t="str">
        <f>"300612"</f>
        <v>300612</v>
      </c>
      <c r="D651" s="1" t="str">
        <f>"宣亚国际"</f>
        <v>宣亚国际</v>
      </c>
      <c r="E651" s="1" t="str">
        <f t="shared" ref="E651:E656" si="922">"买入"</f>
        <v>买入</v>
      </c>
      <c r="F651" s="1" t="str">
        <f>"47.620"</f>
        <v>47.620</v>
      </c>
      <c r="G651" s="1" t="str">
        <f t="shared" ref="G651:G654" si="923">"100.00"</f>
        <v>100.00</v>
      </c>
      <c r="H651" s="1" t="str">
        <f t="shared" si="919"/>
        <v>0104152129</v>
      </c>
      <c r="I651" s="1" t="str">
        <f>"4762.00"</f>
        <v>4762.00</v>
      </c>
      <c r="J651" s="1" t="str">
        <f t="shared" si="921"/>
        <v>5.00</v>
      </c>
      <c r="K651" s="1" t="str">
        <f t="shared" si="920"/>
        <v>0.00</v>
      </c>
      <c r="L651" s="1" t="str">
        <f>"0.10"</f>
        <v>0.10</v>
      </c>
      <c r="M651" s="1" t="str">
        <f t="shared" si="854"/>
        <v>0.00</v>
      </c>
      <c r="N651" s="1" t="str">
        <f t="shared" ref="N651:N654" si="924">"证券买入"</f>
        <v>证券买入</v>
      </c>
    </row>
    <row r="652" spans="1:14">
      <c r="A652" s="1" t="str">
        <f t="shared" si="897"/>
        <v>20180129</v>
      </c>
      <c r="B652" s="1" t="str">
        <f>"14:05:12"</f>
        <v>14:05:12</v>
      </c>
      <c r="C652" s="1" t="str">
        <f>"300251"</f>
        <v>300251</v>
      </c>
      <c r="D652" s="1" t="str">
        <f>"光线传媒"</f>
        <v>光线传媒</v>
      </c>
      <c r="E652" s="1" t="str">
        <f>"卖出"</f>
        <v>卖出</v>
      </c>
      <c r="F652" s="1" t="str">
        <f>"13.220"</f>
        <v>13.220</v>
      </c>
      <c r="G652" s="1" t="str">
        <f>"-100.00"</f>
        <v>-100.00</v>
      </c>
      <c r="H652" s="1" t="str">
        <f t="shared" si="919"/>
        <v>0104152129</v>
      </c>
      <c r="I652" s="1" t="str">
        <f>"1322.00"</f>
        <v>1322.00</v>
      </c>
      <c r="J652" s="1" t="str">
        <f t="shared" si="921"/>
        <v>5.00</v>
      </c>
      <c r="K652" s="1" t="str">
        <f>"1.32"</f>
        <v>1.32</v>
      </c>
      <c r="L652" s="1" t="str">
        <f>"0.03"</f>
        <v>0.03</v>
      </c>
      <c r="M652" s="1" t="str">
        <f t="shared" si="854"/>
        <v>0.00</v>
      </c>
      <c r="N652" s="1" t="str">
        <f>"证券卖出"</f>
        <v>证券卖出</v>
      </c>
    </row>
    <row r="653" spans="1:14">
      <c r="A653" s="1" t="str">
        <f t="shared" si="897"/>
        <v>20180129</v>
      </c>
      <c r="B653" s="1" t="str">
        <f>"14:40:47"</f>
        <v>14:40:47</v>
      </c>
      <c r="C653" s="1" t="str">
        <f>"300612"</f>
        <v>300612</v>
      </c>
      <c r="D653" s="1" t="str">
        <f>"宣亚国际"</f>
        <v>宣亚国际</v>
      </c>
      <c r="E653" s="1" t="str">
        <f t="shared" si="922"/>
        <v>买入</v>
      </c>
      <c r="F653" s="1" t="str">
        <f>"48.500"</f>
        <v>48.500</v>
      </c>
      <c r="G653" s="1" t="str">
        <f t="shared" si="923"/>
        <v>100.00</v>
      </c>
      <c r="H653" s="1" t="str">
        <f t="shared" si="919"/>
        <v>0104152129</v>
      </c>
      <c r="I653" s="1" t="str">
        <f>"4850.00"</f>
        <v>4850.00</v>
      </c>
      <c r="J653" s="1" t="str">
        <f t="shared" si="921"/>
        <v>5.00</v>
      </c>
      <c r="K653" s="1" t="str">
        <f t="shared" si="920"/>
        <v>0.00</v>
      </c>
      <c r="L653" s="1" t="str">
        <f>"0.10"</f>
        <v>0.10</v>
      </c>
      <c r="M653" s="1" t="str">
        <f t="shared" si="854"/>
        <v>0.00</v>
      </c>
      <c r="N653" s="1" t="str">
        <f t="shared" si="924"/>
        <v>证券买入</v>
      </c>
    </row>
    <row r="654" spans="1:14">
      <c r="A654" s="1" t="str">
        <f t="shared" si="897"/>
        <v>20180129</v>
      </c>
      <c r="B654" s="1" t="str">
        <f>"14:56:08"</f>
        <v>14:56:08</v>
      </c>
      <c r="C654" s="1" t="str">
        <f>"000608"</f>
        <v>000608</v>
      </c>
      <c r="D654" s="1" t="str">
        <f>"阳光股份"</f>
        <v>阳光股份</v>
      </c>
      <c r="E654" s="1" t="str">
        <f t="shared" si="922"/>
        <v>买入</v>
      </c>
      <c r="F654" s="1" t="str">
        <f>"8.480"</f>
        <v>8.480</v>
      </c>
      <c r="G654" s="1" t="str">
        <f t="shared" si="923"/>
        <v>100.00</v>
      </c>
      <c r="H654" s="1" t="str">
        <f t="shared" si="919"/>
        <v>0104152129</v>
      </c>
      <c r="I654" s="1" t="str">
        <f>"848.00"</f>
        <v>848.00</v>
      </c>
      <c r="J654" s="1" t="str">
        <f t="shared" si="921"/>
        <v>5.00</v>
      </c>
      <c r="K654" s="1" t="str">
        <f t="shared" si="920"/>
        <v>0.00</v>
      </c>
      <c r="L654" s="1" t="str">
        <f>"0.02"</f>
        <v>0.02</v>
      </c>
      <c r="M654" s="1" t="str">
        <f t="shared" si="854"/>
        <v>0.00</v>
      </c>
      <c r="N654" s="1" t="str">
        <f t="shared" si="924"/>
        <v>证券买入</v>
      </c>
    </row>
    <row r="655" spans="1:14">
      <c r="A655" s="1" t="str">
        <f t="shared" si="897"/>
        <v>20180129</v>
      </c>
      <c r="B655" s="1" t="str">
        <f>"21:35:43"</f>
        <v>21:35:43</v>
      </c>
      <c r="C655" s="1" t="str">
        <f>"736709"</f>
        <v>736709</v>
      </c>
      <c r="D655" s="1" t="str">
        <f>"中源配号"</f>
        <v>中源配号</v>
      </c>
      <c r="E655" s="1" t="str">
        <f t="shared" si="922"/>
        <v>买入</v>
      </c>
      <c r="F655" s="1" t="str">
        <f>"0.000"</f>
        <v>0.000</v>
      </c>
      <c r="G655" s="1" t="str">
        <f>"1.00"</f>
        <v>1.00</v>
      </c>
      <c r="H655" s="1" t="str">
        <f t="shared" ref="H655:H662" si="925">"A850418317"</f>
        <v>A850418317</v>
      </c>
      <c r="I655" s="1" t="str">
        <f t="shared" ref="I655:L655" si="926">"0.00"</f>
        <v>0.00</v>
      </c>
      <c r="J655" s="1" t="str">
        <f t="shared" si="926"/>
        <v>0.00</v>
      </c>
      <c r="K655" s="1" t="str">
        <f t="shared" si="920"/>
        <v>0.00</v>
      </c>
      <c r="L655" s="1" t="str">
        <f t="shared" si="926"/>
        <v>0.00</v>
      </c>
      <c r="M655" s="1" t="str">
        <f t="shared" si="854"/>
        <v>0.00</v>
      </c>
      <c r="N655" s="1" t="str">
        <f>"起始配号:100030627413"</f>
        <v>起始配号:100030627413</v>
      </c>
    </row>
    <row r="656" spans="1:14">
      <c r="A656" s="1" t="str">
        <f t="shared" ref="A656:A658" si="927">"20180130"</f>
        <v>20180130</v>
      </c>
      <c r="B656" s="1" t="str">
        <f>"09:37:17"</f>
        <v>09:37:17</v>
      </c>
      <c r="C656" s="1" t="str">
        <f t="shared" ref="C656:C662" si="928">"600093"</f>
        <v>600093</v>
      </c>
      <c r="D656" s="1" t="str">
        <f t="shared" ref="D656:D662" si="929">"易见股份"</f>
        <v>易见股份</v>
      </c>
      <c r="E656" s="1" t="str">
        <f t="shared" si="922"/>
        <v>买入</v>
      </c>
      <c r="F656" s="1" t="str">
        <f>"16.350"</f>
        <v>16.350</v>
      </c>
      <c r="G656" s="1" t="str">
        <f>"100.00"</f>
        <v>100.00</v>
      </c>
      <c r="H656" s="1" t="str">
        <f t="shared" si="925"/>
        <v>A850418317</v>
      </c>
      <c r="I656" s="1" t="str">
        <f>"1635.00"</f>
        <v>1635.00</v>
      </c>
      <c r="J656" s="1" t="str">
        <f t="shared" ref="J656:J665" si="930">"5.00"</f>
        <v>5.00</v>
      </c>
      <c r="K656" s="1" t="str">
        <f t="shared" si="920"/>
        <v>0.00</v>
      </c>
      <c r="L656" s="1" t="str">
        <f>"0.03"</f>
        <v>0.03</v>
      </c>
      <c r="M656" s="1" t="str">
        <f t="shared" ref="M656:M719" si="931">"0.00"</f>
        <v>0.00</v>
      </c>
      <c r="N656" s="1" t="str">
        <f t="shared" ref="N656:N662" si="932">"证券买入"</f>
        <v>证券买入</v>
      </c>
    </row>
    <row r="657" spans="1:14">
      <c r="A657" s="1" t="str">
        <f t="shared" si="927"/>
        <v>20180130</v>
      </c>
      <c r="B657" s="1" t="str">
        <f>"09:48:30"</f>
        <v>09:48:30</v>
      </c>
      <c r="C657" s="1" t="str">
        <f t="shared" ref="C657:C660" si="933">"600426"</f>
        <v>600426</v>
      </c>
      <c r="D657" s="1" t="str">
        <f t="shared" ref="D657:D660" si="934">"华鲁恒升"</f>
        <v>华鲁恒升</v>
      </c>
      <c r="E657" s="1" t="str">
        <f t="shared" ref="E657:E660" si="935">"卖出"</f>
        <v>卖出</v>
      </c>
      <c r="F657" s="1" t="str">
        <f>"19.270"</f>
        <v>19.270</v>
      </c>
      <c r="G657" s="1" t="str">
        <f t="shared" ref="G657:G660" si="936">"-100.00"</f>
        <v>-100.00</v>
      </c>
      <c r="H657" s="1" t="str">
        <f t="shared" si="925"/>
        <v>A850418317</v>
      </c>
      <c r="I657" s="1" t="str">
        <f>"1927.00"</f>
        <v>1927.00</v>
      </c>
      <c r="J657" s="1" t="str">
        <f t="shared" si="930"/>
        <v>5.00</v>
      </c>
      <c r="K657" s="1" t="str">
        <f>"1.93"</f>
        <v>1.93</v>
      </c>
      <c r="L657" s="1" t="str">
        <f t="shared" ref="L657:L660" si="937">"0.04"</f>
        <v>0.04</v>
      </c>
      <c r="M657" s="1" t="str">
        <f t="shared" si="931"/>
        <v>0.00</v>
      </c>
      <c r="N657" s="1" t="str">
        <f t="shared" ref="N657:N660" si="938">"证券卖出"</f>
        <v>证券卖出</v>
      </c>
    </row>
    <row r="658" spans="1:14">
      <c r="A658" s="1" t="str">
        <f t="shared" si="927"/>
        <v>20180130</v>
      </c>
      <c r="B658" s="1" t="str">
        <f>"10:08:02"</f>
        <v>10:08:02</v>
      </c>
      <c r="C658" s="1" t="str">
        <f t="shared" si="933"/>
        <v>600426</v>
      </c>
      <c r="D658" s="1" t="str">
        <f t="shared" si="934"/>
        <v>华鲁恒升</v>
      </c>
      <c r="E658" s="1" t="str">
        <f t="shared" si="935"/>
        <v>卖出</v>
      </c>
      <c r="F658" s="1" t="str">
        <f>"19.380"</f>
        <v>19.380</v>
      </c>
      <c r="G658" s="1" t="str">
        <f t="shared" si="936"/>
        <v>-100.00</v>
      </c>
      <c r="H658" s="1" t="str">
        <f t="shared" si="925"/>
        <v>A850418317</v>
      </c>
      <c r="I658" s="1" t="str">
        <f>"1938.00"</f>
        <v>1938.00</v>
      </c>
      <c r="J658" s="1" t="str">
        <f t="shared" si="930"/>
        <v>5.00</v>
      </c>
      <c r="K658" s="1" t="str">
        <f>"1.94"</f>
        <v>1.94</v>
      </c>
      <c r="L658" s="1" t="str">
        <f t="shared" si="937"/>
        <v>0.04</v>
      </c>
      <c r="M658" s="1" t="str">
        <f t="shared" si="931"/>
        <v>0.00</v>
      </c>
      <c r="N658" s="1" t="str">
        <f t="shared" si="938"/>
        <v>证券卖出</v>
      </c>
    </row>
    <row r="659" spans="1:14">
      <c r="A659" s="1" t="str">
        <f t="shared" ref="A659:A666" si="939">"20180131"</f>
        <v>20180131</v>
      </c>
      <c r="B659" s="1" t="str">
        <f>"09:30:00"</f>
        <v>09:30:00</v>
      </c>
      <c r="C659" s="1" t="str">
        <f t="shared" si="928"/>
        <v>600093</v>
      </c>
      <c r="D659" s="1" t="str">
        <f t="shared" si="929"/>
        <v>易见股份</v>
      </c>
      <c r="E659" s="1" t="str">
        <f t="shared" ref="E659:E662" si="940">"买入"</f>
        <v>买入</v>
      </c>
      <c r="F659" s="1" t="str">
        <f>"15.200"</f>
        <v>15.200</v>
      </c>
      <c r="G659" s="1" t="str">
        <f>"200.00"</f>
        <v>200.00</v>
      </c>
      <c r="H659" s="1" t="str">
        <f t="shared" si="925"/>
        <v>A850418317</v>
      </c>
      <c r="I659" s="1" t="str">
        <f>"3040.00"</f>
        <v>3040.00</v>
      </c>
      <c r="J659" s="1" t="str">
        <f t="shared" si="930"/>
        <v>5.00</v>
      </c>
      <c r="K659" s="1" t="str">
        <f t="shared" ref="K659:K662" si="941">"0.00"</f>
        <v>0.00</v>
      </c>
      <c r="L659" s="1" t="str">
        <f>"0.06"</f>
        <v>0.06</v>
      </c>
      <c r="M659" s="1" t="str">
        <f t="shared" si="931"/>
        <v>0.00</v>
      </c>
      <c r="N659" s="1" t="str">
        <f t="shared" si="932"/>
        <v>证券买入</v>
      </c>
    </row>
    <row r="660" spans="1:14">
      <c r="A660" s="1" t="str">
        <f t="shared" si="939"/>
        <v>20180131</v>
      </c>
      <c r="B660" s="1" t="str">
        <f>"09:30:50"</f>
        <v>09:30:50</v>
      </c>
      <c r="C660" s="1" t="str">
        <f t="shared" si="933"/>
        <v>600426</v>
      </c>
      <c r="D660" s="1" t="str">
        <f t="shared" si="934"/>
        <v>华鲁恒升</v>
      </c>
      <c r="E660" s="1" t="str">
        <f t="shared" si="935"/>
        <v>卖出</v>
      </c>
      <c r="F660" s="1" t="str">
        <f>"18.830"</f>
        <v>18.830</v>
      </c>
      <c r="G660" s="1" t="str">
        <f t="shared" si="936"/>
        <v>-100.00</v>
      </c>
      <c r="H660" s="1" t="str">
        <f t="shared" si="925"/>
        <v>A850418317</v>
      </c>
      <c r="I660" s="1" t="str">
        <f>"1883.00"</f>
        <v>1883.00</v>
      </c>
      <c r="J660" s="1" t="str">
        <f t="shared" si="930"/>
        <v>5.00</v>
      </c>
      <c r="K660" s="1" t="str">
        <f>"1.88"</f>
        <v>1.88</v>
      </c>
      <c r="L660" s="1" t="str">
        <f t="shared" si="937"/>
        <v>0.04</v>
      </c>
      <c r="M660" s="1" t="str">
        <f t="shared" si="931"/>
        <v>0.00</v>
      </c>
      <c r="N660" s="1" t="str">
        <f t="shared" si="938"/>
        <v>证券卖出</v>
      </c>
    </row>
    <row r="661" spans="1:14">
      <c r="A661" s="1" t="str">
        <f t="shared" si="939"/>
        <v>20180131</v>
      </c>
      <c r="B661" s="1" t="str">
        <f>"09:43:23"</f>
        <v>09:43:23</v>
      </c>
      <c r="C661" s="1" t="str">
        <f t="shared" si="928"/>
        <v>600093</v>
      </c>
      <c r="D661" s="1" t="str">
        <f t="shared" si="929"/>
        <v>易见股份</v>
      </c>
      <c r="E661" s="1" t="str">
        <f t="shared" si="940"/>
        <v>买入</v>
      </c>
      <c r="F661" s="1" t="str">
        <f>"14.520"</f>
        <v>14.520</v>
      </c>
      <c r="G661" s="1" t="str">
        <f>"100.00"</f>
        <v>100.00</v>
      </c>
      <c r="H661" s="1" t="str">
        <f t="shared" si="925"/>
        <v>A850418317</v>
      </c>
      <c r="I661" s="1" t="str">
        <f>"1452.00"</f>
        <v>1452.00</v>
      </c>
      <c r="J661" s="1" t="str">
        <f t="shared" si="930"/>
        <v>5.00</v>
      </c>
      <c r="K661" s="1" t="str">
        <f t="shared" si="941"/>
        <v>0.00</v>
      </c>
      <c r="L661" s="1" t="str">
        <f>"0.03"</f>
        <v>0.03</v>
      </c>
      <c r="M661" s="1" t="str">
        <f t="shared" si="931"/>
        <v>0.00</v>
      </c>
      <c r="N661" s="1" t="str">
        <f t="shared" si="932"/>
        <v>证券买入</v>
      </c>
    </row>
    <row r="662" spans="1:14">
      <c r="A662" s="1" t="str">
        <f t="shared" si="939"/>
        <v>20180131</v>
      </c>
      <c r="B662" s="1" t="str">
        <f>"09:43:23"</f>
        <v>09:43:23</v>
      </c>
      <c r="C662" s="1" t="str">
        <f t="shared" si="928"/>
        <v>600093</v>
      </c>
      <c r="D662" s="1" t="str">
        <f t="shared" si="929"/>
        <v>易见股份</v>
      </c>
      <c r="E662" s="1" t="str">
        <f t="shared" si="940"/>
        <v>买入</v>
      </c>
      <c r="F662" s="1" t="str">
        <f>"14.520"</f>
        <v>14.520</v>
      </c>
      <c r="G662" s="1" t="str">
        <f>"100.00"</f>
        <v>100.00</v>
      </c>
      <c r="H662" s="1" t="str">
        <f t="shared" si="925"/>
        <v>A850418317</v>
      </c>
      <c r="I662" s="1" t="str">
        <f>"1452.00"</f>
        <v>1452.00</v>
      </c>
      <c r="J662" s="1" t="str">
        <f t="shared" si="930"/>
        <v>5.00</v>
      </c>
      <c r="K662" s="1" t="str">
        <f t="shared" si="941"/>
        <v>0.00</v>
      </c>
      <c r="L662" s="1" t="str">
        <f>"0.03"</f>
        <v>0.03</v>
      </c>
      <c r="M662" s="1" t="str">
        <f t="shared" si="931"/>
        <v>0.00</v>
      </c>
      <c r="N662" s="1" t="str">
        <f t="shared" si="932"/>
        <v>证券买入</v>
      </c>
    </row>
    <row r="663" spans="1:14">
      <c r="A663" s="1" t="str">
        <f t="shared" si="939"/>
        <v>20180131</v>
      </c>
      <c r="B663" s="1" t="str">
        <f>"09:58:41"</f>
        <v>09:58:41</v>
      </c>
      <c r="C663" s="1" t="str">
        <f t="shared" ref="C663:C665" si="942">"300612"</f>
        <v>300612</v>
      </c>
      <c r="D663" s="1" t="str">
        <f t="shared" ref="D663:D665" si="943">"宣亚国际"</f>
        <v>宣亚国际</v>
      </c>
      <c r="E663" s="1" t="str">
        <f t="shared" ref="E663:E665" si="944">"卖出"</f>
        <v>卖出</v>
      </c>
      <c r="F663" s="1" t="str">
        <f>"45.980"</f>
        <v>45.980</v>
      </c>
      <c r="G663" s="1" t="str">
        <f t="shared" ref="G663:G665" si="945">"-100.00"</f>
        <v>-100.00</v>
      </c>
      <c r="H663" s="1" t="str">
        <f t="shared" ref="H663:H665" si="946">"0104152129"</f>
        <v>0104152129</v>
      </c>
      <c r="I663" s="1" t="str">
        <f>"4598.00"</f>
        <v>4598.00</v>
      </c>
      <c r="J663" s="1" t="str">
        <f t="shared" si="930"/>
        <v>5.00</v>
      </c>
      <c r="K663" s="1" t="str">
        <f>"4.60"</f>
        <v>4.60</v>
      </c>
      <c r="L663" s="1" t="str">
        <f t="shared" ref="L663:L665" si="947">"0.09"</f>
        <v>0.09</v>
      </c>
      <c r="M663" s="1" t="str">
        <f t="shared" si="931"/>
        <v>0.00</v>
      </c>
      <c r="N663" s="1" t="str">
        <f t="shared" ref="N663:N665" si="948">"证券卖出"</f>
        <v>证券卖出</v>
      </c>
    </row>
    <row r="664" spans="1:14">
      <c r="A664" s="1" t="str">
        <f t="shared" si="939"/>
        <v>20180131</v>
      </c>
      <c r="B664" s="1" t="str">
        <f>"10:08:45"</f>
        <v>10:08:45</v>
      </c>
      <c r="C664" s="1" t="str">
        <f t="shared" si="942"/>
        <v>300612</v>
      </c>
      <c r="D664" s="1" t="str">
        <f t="shared" si="943"/>
        <v>宣亚国际</v>
      </c>
      <c r="E664" s="1" t="str">
        <f t="shared" si="944"/>
        <v>卖出</v>
      </c>
      <c r="F664" s="1" t="str">
        <f>"46.520"</f>
        <v>46.520</v>
      </c>
      <c r="G664" s="1" t="str">
        <f t="shared" si="945"/>
        <v>-100.00</v>
      </c>
      <c r="H664" s="1" t="str">
        <f t="shared" si="946"/>
        <v>0104152129</v>
      </c>
      <c r="I664" s="1" t="str">
        <f>"4652.00"</f>
        <v>4652.00</v>
      </c>
      <c r="J664" s="1" t="str">
        <f t="shared" si="930"/>
        <v>5.00</v>
      </c>
      <c r="K664" s="1" t="str">
        <f>"4.65"</f>
        <v>4.65</v>
      </c>
      <c r="L664" s="1" t="str">
        <f t="shared" si="947"/>
        <v>0.09</v>
      </c>
      <c r="M664" s="1" t="str">
        <f t="shared" si="931"/>
        <v>0.00</v>
      </c>
      <c r="N664" s="1" t="str">
        <f t="shared" si="948"/>
        <v>证券卖出</v>
      </c>
    </row>
    <row r="665" spans="1:14">
      <c r="A665" s="1" t="str">
        <f t="shared" si="939"/>
        <v>20180131</v>
      </c>
      <c r="B665" s="1" t="str">
        <f>"13:34:16"</f>
        <v>13:34:16</v>
      </c>
      <c r="C665" s="1" t="str">
        <f t="shared" si="942"/>
        <v>300612</v>
      </c>
      <c r="D665" s="1" t="str">
        <f t="shared" si="943"/>
        <v>宣亚国际</v>
      </c>
      <c r="E665" s="1" t="str">
        <f t="shared" si="944"/>
        <v>卖出</v>
      </c>
      <c r="F665" s="1" t="str">
        <f>"46.250"</f>
        <v>46.250</v>
      </c>
      <c r="G665" s="1" t="str">
        <f t="shared" si="945"/>
        <v>-100.00</v>
      </c>
      <c r="H665" s="1" t="str">
        <f t="shared" si="946"/>
        <v>0104152129</v>
      </c>
      <c r="I665" s="1" t="str">
        <f>"4625.00"</f>
        <v>4625.00</v>
      </c>
      <c r="J665" s="1" t="str">
        <f t="shared" si="930"/>
        <v>5.00</v>
      </c>
      <c r="K665" s="1" t="str">
        <f>"4.63"</f>
        <v>4.63</v>
      </c>
      <c r="L665" s="1" t="str">
        <f t="shared" si="947"/>
        <v>0.09</v>
      </c>
      <c r="M665" s="1" t="str">
        <f t="shared" si="931"/>
        <v>0.00</v>
      </c>
      <c r="N665" s="1" t="str">
        <f t="shared" si="948"/>
        <v>证券卖出</v>
      </c>
    </row>
    <row r="666" spans="1:14">
      <c r="A666" s="1" t="str">
        <f t="shared" si="939"/>
        <v>20180131</v>
      </c>
      <c r="B666" s="1" t="str">
        <f>"22:16:40"</f>
        <v>22:16:40</v>
      </c>
      <c r="C666" s="1" t="str">
        <f>"736156"</f>
        <v>736156</v>
      </c>
      <c r="D666" s="1" t="str">
        <f>"养元配号"</f>
        <v>养元配号</v>
      </c>
      <c r="E666" s="1" t="str">
        <f>"买入"</f>
        <v>买入</v>
      </c>
      <c r="F666" s="1" t="str">
        <f>"0.000"</f>
        <v>0.000</v>
      </c>
      <c r="G666" s="1" t="str">
        <f>"1.00"</f>
        <v>1.00</v>
      </c>
      <c r="H666" s="1" t="str">
        <f t="shared" ref="H666:H675" si="949">"A850418317"</f>
        <v>A850418317</v>
      </c>
      <c r="I666" s="1" t="str">
        <f t="shared" ref="I666:L666" si="950">"0.00"</f>
        <v>0.00</v>
      </c>
      <c r="J666" s="1" t="str">
        <f t="shared" si="950"/>
        <v>0.00</v>
      </c>
      <c r="K666" s="1" t="str">
        <f t="shared" si="950"/>
        <v>0.00</v>
      </c>
      <c r="L666" s="1" t="str">
        <f t="shared" si="950"/>
        <v>0.00</v>
      </c>
      <c r="M666" s="1" t="str">
        <f t="shared" si="931"/>
        <v>0.00</v>
      </c>
      <c r="N666" s="1" t="str">
        <f>"起始配号:100008151797"</f>
        <v>起始配号:100008151797</v>
      </c>
    </row>
    <row r="667" spans="1:14">
      <c r="A667" s="1" t="str">
        <f t="shared" ref="A667:A676" si="951">"20180201"</f>
        <v>20180201</v>
      </c>
      <c r="B667" s="1" t="str">
        <f>"10:08:49"</f>
        <v>10:08:49</v>
      </c>
      <c r="C667" s="1" t="str">
        <f t="shared" ref="C667:C675" si="952">"600093"</f>
        <v>600093</v>
      </c>
      <c r="D667" s="1" t="str">
        <f t="shared" ref="D667:D675" si="953">"易见股份"</f>
        <v>易见股份</v>
      </c>
      <c r="E667" s="1" t="str">
        <f t="shared" ref="E667:E676" si="954">"卖出"</f>
        <v>卖出</v>
      </c>
      <c r="F667" s="1" t="str">
        <f>"14.800"</f>
        <v>14.800</v>
      </c>
      <c r="G667" s="1" t="str">
        <f>"-200.00"</f>
        <v>-200.00</v>
      </c>
      <c r="H667" s="1" t="str">
        <f t="shared" si="949"/>
        <v>A850418317</v>
      </c>
      <c r="I667" s="1" t="str">
        <f>"2960.00"</f>
        <v>2960.00</v>
      </c>
      <c r="J667" s="1" t="str">
        <f t="shared" ref="J667:J706" si="955">"5.00"</f>
        <v>5.00</v>
      </c>
      <c r="K667" s="1" t="str">
        <f>"2.96"</f>
        <v>2.96</v>
      </c>
      <c r="L667" s="1" t="str">
        <f>"0.06"</f>
        <v>0.06</v>
      </c>
      <c r="M667" s="1" t="str">
        <f t="shared" si="931"/>
        <v>0.00</v>
      </c>
      <c r="N667" s="1" t="str">
        <f t="shared" ref="N667:N676" si="956">"证券卖出"</f>
        <v>证券卖出</v>
      </c>
    </row>
    <row r="668" spans="1:14">
      <c r="A668" s="1" t="str">
        <f t="shared" si="951"/>
        <v>20180201</v>
      </c>
      <c r="B668" s="1" t="str">
        <f>"10:23:29"</f>
        <v>10:23:29</v>
      </c>
      <c r="C668" s="1" t="str">
        <f t="shared" si="952"/>
        <v>600093</v>
      </c>
      <c r="D668" s="1" t="str">
        <f t="shared" si="953"/>
        <v>易见股份</v>
      </c>
      <c r="E668" s="1" t="str">
        <f t="shared" si="954"/>
        <v>卖出</v>
      </c>
      <c r="F668" s="1" t="str">
        <f>"15.030"</f>
        <v>15.030</v>
      </c>
      <c r="G668" s="1" t="str">
        <f t="shared" ref="G668:G676" si="957">"-100.00"</f>
        <v>-100.00</v>
      </c>
      <c r="H668" s="1" t="str">
        <f t="shared" si="949"/>
        <v>A850418317</v>
      </c>
      <c r="I668" s="1" t="str">
        <f>"1503.00"</f>
        <v>1503.00</v>
      </c>
      <c r="J668" s="1" t="str">
        <f t="shared" si="955"/>
        <v>5.00</v>
      </c>
      <c r="K668" s="1" t="str">
        <f>"1.50"</f>
        <v>1.50</v>
      </c>
      <c r="L668" s="1" t="str">
        <f t="shared" ref="L668:L675" si="958">"0.03"</f>
        <v>0.03</v>
      </c>
      <c r="M668" s="1" t="str">
        <f t="shared" si="931"/>
        <v>0.00</v>
      </c>
      <c r="N668" s="1" t="str">
        <f t="shared" si="956"/>
        <v>证券卖出</v>
      </c>
    </row>
    <row r="669" spans="1:14">
      <c r="A669" s="1" t="str">
        <f t="shared" si="951"/>
        <v>20180201</v>
      </c>
      <c r="B669" s="1" t="str">
        <f>"10:28:42"</f>
        <v>10:28:42</v>
      </c>
      <c r="C669" s="1" t="str">
        <f t="shared" si="952"/>
        <v>600093</v>
      </c>
      <c r="D669" s="1" t="str">
        <f t="shared" si="953"/>
        <v>易见股份</v>
      </c>
      <c r="E669" s="1" t="str">
        <f t="shared" si="954"/>
        <v>卖出</v>
      </c>
      <c r="F669" s="1" t="str">
        <f>"14.940"</f>
        <v>14.940</v>
      </c>
      <c r="G669" s="1" t="str">
        <f t="shared" si="957"/>
        <v>-100.00</v>
      </c>
      <c r="H669" s="1" t="str">
        <f t="shared" si="949"/>
        <v>A850418317</v>
      </c>
      <c r="I669" s="1" t="str">
        <f>"1494.00"</f>
        <v>1494.00</v>
      </c>
      <c r="J669" s="1" t="str">
        <f t="shared" si="955"/>
        <v>5.00</v>
      </c>
      <c r="K669" s="1" t="str">
        <f t="shared" ref="K669:K673" si="959">"1.49"</f>
        <v>1.49</v>
      </c>
      <c r="L669" s="1" t="str">
        <f t="shared" si="958"/>
        <v>0.03</v>
      </c>
      <c r="M669" s="1" t="str">
        <f t="shared" si="931"/>
        <v>0.00</v>
      </c>
      <c r="N669" s="1" t="str">
        <f t="shared" si="956"/>
        <v>证券卖出</v>
      </c>
    </row>
    <row r="670" spans="1:14">
      <c r="A670" s="1" t="str">
        <f t="shared" si="951"/>
        <v>20180201</v>
      </c>
      <c r="B670" s="1" t="str">
        <f>"10:29:17"</f>
        <v>10:29:17</v>
      </c>
      <c r="C670" s="1" t="str">
        <f t="shared" si="952"/>
        <v>600093</v>
      </c>
      <c r="D670" s="1" t="str">
        <f t="shared" si="953"/>
        <v>易见股份</v>
      </c>
      <c r="E670" s="1" t="str">
        <f t="shared" si="954"/>
        <v>卖出</v>
      </c>
      <c r="F670" s="1" t="str">
        <f>"14.930"</f>
        <v>14.930</v>
      </c>
      <c r="G670" s="1" t="str">
        <f t="shared" si="957"/>
        <v>-100.00</v>
      </c>
      <c r="H670" s="1" t="str">
        <f t="shared" si="949"/>
        <v>A850418317</v>
      </c>
      <c r="I670" s="1" t="str">
        <f>"1493.00"</f>
        <v>1493.00</v>
      </c>
      <c r="J670" s="1" t="str">
        <f t="shared" si="955"/>
        <v>5.00</v>
      </c>
      <c r="K670" s="1" t="str">
        <f t="shared" si="959"/>
        <v>1.49</v>
      </c>
      <c r="L670" s="1" t="str">
        <f t="shared" si="958"/>
        <v>0.03</v>
      </c>
      <c r="M670" s="1" t="str">
        <f t="shared" si="931"/>
        <v>0.00</v>
      </c>
      <c r="N670" s="1" t="str">
        <f t="shared" si="956"/>
        <v>证券卖出</v>
      </c>
    </row>
    <row r="671" spans="1:14">
      <c r="A671" s="1" t="str">
        <f t="shared" si="951"/>
        <v>20180201</v>
      </c>
      <c r="B671" s="1" t="str">
        <f>"10:29:33"</f>
        <v>10:29:33</v>
      </c>
      <c r="C671" s="1" t="str">
        <f t="shared" si="952"/>
        <v>600093</v>
      </c>
      <c r="D671" s="1" t="str">
        <f t="shared" si="953"/>
        <v>易见股份</v>
      </c>
      <c r="E671" s="1" t="str">
        <f t="shared" si="954"/>
        <v>卖出</v>
      </c>
      <c r="F671" s="1" t="str">
        <f>"14.910"</f>
        <v>14.910</v>
      </c>
      <c r="G671" s="1" t="str">
        <f t="shared" si="957"/>
        <v>-100.00</v>
      </c>
      <c r="H671" s="1" t="str">
        <f t="shared" si="949"/>
        <v>A850418317</v>
      </c>
      <c r="I671" s="1" t="str">
        <f>"1491.00"</f>
        <v>1491.00</v>
      </c>
      <c r="J671" s="1" t="str">
        <f t="shared" si="955"/>
        <v>5.00</v>
      </c>
      <c r="K671" s="1" t="str">
        <f t="shared" si="959"/>
        <v>1.49</v>
      </c>
      <c r="L671" s="1" t="str">
        <f t="shared" si="958"/>
        <v>0.03</v>
      </c>
      <c r="M671" s="1" t="str">
        <f t="shared" si="931"/>
        <v>0.00</v>
      </c>
      <c r="N671" s="1" t="str">
        <f t="shared" si="956"/>
        <v>证券卖出</v>
      </c>
    </row>
    <row r="672" spans="1:14">
      <c r="A672" s="1" t="str">
        <f t="shared" si="951"/>
        <v>20180201</v>
      </c>
      <c r="B672" s="1" t="str">
        <f>"10:29:57"</f>
        <v>10:29:57</v>
      </c>
      <c r="C672" s="1" t="str">
        <f t="shared" si="952"/>
        <v>600093</v>
      </c>
      <c r="D672" s="1" t="str">
        <f t="shared" si="953"/>
        <v>易见股份</v>
      </c>
      <c r="E672" s="1" t="str">
        <f t="shared" si="954"/>
        <v>卖出</v>
      </c>
      <c r="F672" s="1" t="str">
        <f>"14.900"</f>
        <v>14.900</v>
      </c>
      <c r="G672" s="1" t="str">
        <f t="shared" si="957"/>
        <v>-100.00</v>
      </c>
      <c r="H672" s="1" t="str">
        <f t="shared" si="949"/>
        <v>A850418317</v>
      </c>
      <c r="I672" s="1" t="str">
        <f>"1490.00"</f>
        <v>1490.00</v>
      </c>
      <c r="J672" s="1" t="str">
        <f t="shared" si="955"/>
        <v>5.00</v>
      </c>
      <c r="K672" s="1" t="str">
        <f t="shared" si="959"/>
        <v>1.49</v>
      </c>
      <c r="L672" s="1" t="str">
        <f t="shared" si="958"/>
        <v>0.03</v>
      </c>
      <c r="M672" s="1" t="str">
        <f t="shared" si="931"/>
        <v>0.00</v>
      </c>
      <c r="N672" s="1" t="str">
        <f t="shared" si="956"/>
        <v>证券卖出</v>
      </c>
    </row>
    <row r="673" spans="1:14">
      <c r="A673" s="1" t="str">
        <f t="shared" si="951"/>
        <v>20180201</v>
      </c>
      <c r="B673" s="1" t="str">
        <f>"10:30:35"</f>
        <v>10:30:35</v>
      </c>
      <c r="C673" s="1" t="str">
        <f t="shared" si="952"/>
        <v>600093</v>
      </c>
      <c r="D673" s="1" t="str">
        <f t="shared" si="953"/>
        <v>易见股份</v>
      </c>
      <c r="E673" s="1" t="str">
        <f t="shared" si="954"/>
        <v>卖出</v>
      </c>
      <c r="F673" s="1" t="str">
        <f>"14.870"</f>
        <v>14.870</v>
      </c>
      <c r="G673" s="1" t="str">
        <f t="shared" si="957"/>
        <v>-100.00</v>
      </c>
      <c r="H673" s="1" t="str">
        <f t="shared" si="949"/>
        <v>A850418317</v>
      </c>
      <c r="I673" s="1" t="str">
        <f>"1487.00"</f>
        <v>1487.00</v>
      </c>
      <c r="J673" s="1" t="str">
        <f t="shared" si="955"/>
        <v>5.00</v>
      </c>
      <c r="K673" s="1" t="str">
        <f t="shared" si="959"/>
        <v>1.49</v>
      </c>
      <c r="L673" s="1" t="str">
        <f t="shared" si="958"/>
        <v>0.03</v>
      </c>
      <c r="M673" s="1" t="str">
        <f t="shared" si="931"/>
        <v>0.00</v>
      </c>
      <c r="N673" s="1" t="str">
        <f t="shared" si="956"/>
        <v>证券卖出</v>
      </c>
    </row>
    <row r="674" spans="1:14">
      <c r="A674" s="1" t="str">
        <f t="shared" si="951"/>
        <v>20180201</v>
      </c>
      <c r="B674" s="1" t="str">
        <f>"10:42:53"</f>
        <v>10:42:53</v>
      </c>
      <c r="C674" s="1" t="str">
        <f t="shared" si="952"/>
        <v>600093</v>
      </c>
      <c r="D674" s="1" t="str">
        <f t="shared" si="953"/>
        <v>易见股份</v>
      </c>
      <c r="E674" s="1" t="str">
        <f t="shared" si="954"/>
        <v>卖出</v>
      </c>
      <c r="F674" s="1" t="str">
        <f>"14.690"</f>
        <v>14.690</v>
      </c>
      <c r="G674" s="1" t="str">
        <f t="shared" si="957"/>
        <v>-100.00</v>
      </c>
      <c r="H674" s="1" t="str">
        <f t="shared" si="949"/>
        <v>A850418317</v>
      </c>
      <c r="I674" s="1" t="str">
        <f>"1469.00"</f>
        <v>1469.00</v>
      </c>
      <c r="J674" s="1" t="str">
        <f t="shared" si="955"/>
        <v>5.00</v>
      </c>
      <c r="K674" s="1" t="str">
        <f>"1.47"</f>
        <v>1.47</v>
      </c>
      <c r="L674" s="1" t="str">
        <f t="shared" si="958"/>
        <v>0.03</v>
      </c>
      <c r="M674" s="1" t="str">
        <f t="shared" si="931"/>
        <v>0.00</v>
      </c>
      <c r="N674" s="1" t="str">
        <f t="shared" si="956"/>
        <v>证券卖出</v>
      </c>
    </row>
    <row r="675" spans="1:14">
      <c r="A675" s="1" t="str">
        <f t="shared" si="951"/>
        <v>20180201</v>
      </c>
      <c r="B675" s="1" t="str">
        <f>"10:44:03"</f>
        <v>10:44:03</v>
      </c>
      <c r="C675" s="1" t="str">
        <f t="shared" si="952"/>
        <v>600093</v>
      </c>
      <c r="D675" s="1" t="str">
        <f t="shared" si="953"/>
        <v>易见股份</v>
      </c>
      <c r="E675" s="1" t="str">
        <f t="shared" si="954"/>
        <v>卖出</v>
      </c>
      <c r="F675" s="1" t="str">
        <f>"14.700"</f>
        <v>14.700</v>
      </c>
      <c r="G675" s="1" t="str">
        <f t="shared" si="957"/>
        <v>-100.00</v>
      </c>
      <c r="H675" s="1" t="str">
        <f t="shared" si="949"/>
        <v>A850418317</v>
      </c>
      <c r="I675" s="1" t="str">
        <f>"1470.00"</f>
        <v>1470.00</v>
      </c>
      <c r="J675" s="1" t="str">
        <f t="shared" si="955"/>
        <v>5.00</v>
      </c>
      <c r="K675" s="1" t="str">
        <f>"1.47"</f>
        <v>1.47</v>
      </c>
      <c r="L675" s="1" t="str">
        <f t="shared" si="958"/>
        <v>0.03</v>
      </c>
      <c r="M675" s="1" t="str">
        <f t="shared" si="931"/>
        <v>0.00</v>
      </c>
      <c r="N675" s="1" t="str">
        <f t="shared" si="956"/>
        <v>证券卖出</v>
      </c>
    </row>
    <row r="676" spans="1:14">
      <c r="A676" s="1" t="str">
        <f t="shared" si="951"/>
        <v>20180201</v>
      </c>
      <c r="B676" s="1" t="str">
        <f>"10:08:34"</f>
        <v>10:08:34</v>
      </c>
      <c r="C676" s="1" t="str">
        <f>"000608"</f>
        <v>000608</v>
      </c>
      <c r="D676" s="1" t="str">
        <f>"阳光股份"</f>
        <v>阳光股份</v>
      </c>
      <c r="E676" s="1" t="str">
        <f t="shared" si="954"/>
        <v>卖出</v>
      </c>
      <c r="F676" s="1" t="str">
        <f>"7.670"</f>
        <v>7.670</v>
      </c>
      <c r="G676" s="1" t="str">
        <f t="shared" si="957"/>
        <v>-100.00</v>
      </c>
      <c r="H676" s="1" t="str">
        <f>"0104152129"</f>
        <v>0104152129</v>
      </c>
      <c r="I676" s="1" t="str">
        <f>"767.00"</f>
        <v>767.00</v>
      </c>
      <c r="J676" s="1" t="str">
        <f t="shared" si="955"/>
        <v>5.00</v>
      </c>
      <c r="K676" s="1" t="str">
        <f>"0.77"</f>
        <v>0.77</v>
      </c>
      <c r="L676" s="1" t="str">
        <f>"0.02"</f>
        <v>0.02</v>
      </c>
      <c r="M676" s="1" t="str">
        <f t="shared" si="931"/>
        <v>0.00</v>
      </c>
      <c r="N676" s="1" t="str">
        <f t="shared" si="956"/>
        <v>证券卖出</v>
      </c>
    </row>
    <row r="677" spans="1:14">
      <c r="A677" s="1" t="str">
        <f t="shared" ref="A677:A682" si="960">"20180202"</f>
        <v>20180202</v>
      </c>
      <c r="B677" s="1" t="str">
        <f>"09:32:04"</f>
        <v>09:32:04</v>
      </c>
      <c r="C677" s="1" t="str">
        <f t="shared" ref="C677:C679" si="961">"600093"</f>
        <v>600093</v>
      </c>
      <c r="D677" s="1" t="str">
        <f t="shared" ref="D677:D679" si="962">"易见股份"</f>
        <v>易见股份</v>
      </c>
      <c r="E677" s="1" t="str">
        <f t="shared" ref="E677:E684" si="963">"买入"</f>
        <v>买入</v>
      </c>
      <c r="F677" s="1" t="str">
        <f>"13.680"</f>
        <v>13.680</v>
      </c>
      <c r="G677" s="1" t="str">
        <f>"200.00"</f>
        <v>200.00</v>
      </c>
      <c r="H677" s="1" t="str">
        <f t="shared" ref="H677:H681" si="964">"A850418317"</f>
        <v>A850418317</v>
      </c>
      <c r="I677" s="1" t="str">
        <f>"2736.00"</f>
        <v>2736.00</v>
      </c>
      <c r="J677" s="1" t="str">
        <f t="shared" si="955"/>
        <v>5.00</v>
      </c>
      <c r="K677" s="1" t="str">
        <f t="shared" ref="K677:K684" si="965">"0.00"</f>
        <v>0.00</v>
      </c>
      <c r="L677" s="1" t="str">
        <f>"0.05"</f>
        <v>0.05</v>
      </c>
      <c r="M677" s="1" t="str">
        <f t="shared" si="931"/>
        <v>0.00</v>
      </c>
      <c r="N677" s="1" t="str">
        <f t="shared" ref="N677:N684" si="966">"证券买入"</f>
        <v>证券买入</v>
      </c>
    </row>
    <row r="678" spans="1:14">
      <c r="A678" s="1" t="str">
        <f t="shared" si="960"/>
        <v>20180202</v>
      </c>
      <c r="B678" s="1" t="str">
        <f>"09:35:56"</f>
        <v>09:35:56</v>
      </c>
      <c r="C678" s="1" t="str">
        <f t="shared" si="961"/>
        <v>600093</v>
      </c>
      <c r="D678" s="1" t="str">
        <f t="shared" si="962"/>
        <v>易见股份</v>
      </c>
      <c r="E678" s="1" t="str">
        <f t="shared" si="963"/>
        <v>买入</v>
      </c>
      <c r="F678" s="1" t="str">
        <f>"13.250"</f>
        <v>13.250</v>
      </c>
      <c r="G678" s="1" t="str">
        <f>"200.00"</f>
        <v>200.00</v>
      </c>
      <c r="H678" s="1" t="str">
        <f t="shared" si="964"/>
        <v>A850418317</v>
      </c>
      <c r="I678" s="1" t="str">
        <f>"2650.00"</f>
        <v>2650.00</v>
      </c>
      <c r="J678" s="1" t="str">
        <f t="shared" si="955"/>
        <v>5.00</v>
      </c>
      <c r="K678" s="1" t="str">
        <f t="shared" si="965"/>
        <v>0.00</v>
      </c>
      <c r="L678" s="1" t="str">
        <f>"0.05"</f>
        <v>0.05</v>
      </c>
      <c r="M678" s="1" t="str">
        <f t="shared" si="931"/>
        <v>0.00</v>
      </c>
      <c r="N678" s="1" t="str">
        <f t="shared" si="966"/>
        <v>证券买入</v>
      </c>
    </row>
    <row r="679" spans="1:14">
      <c r="A679" s="1" t="str">
        <f t="shared" si="960"/>
        <v>20180202</v>
      </c>
      <c r="B679" s="1" t="str">
        <f>"10:06:39"</f>
        <v>10:06:39</v>
      </c>
      <c r="C679" s="1" t="str">
        <f t="shared" si="961"/>
        <v>600093</v>
      </c>
      <c r="D679" s="1" t="str">
        <f t="shared" si="962"/>
        <v>易见股份</v>
      </c>
      <c r="E679" s="1" t="str">
        <f>"卖出"</f>
        <v>卖出</v>
      </c>
      <c r="F679" s="1" t="str">
        <f>"13.770"</f>
        <v>13.770</v>
      </c>
      <c r="G679" s="1" t="str">
        <f>"-200.00"</f>
        <v>-200.00</v>
      </c>
      <c r="H679" s="1" t="str">
        <f t="shared" si="964"/>
        <v>A850418317</v>
      </c>
      <c r="I679" s="1" t="str">
        <f>"2754.00"</f>
        <v>2754.00</v>
      </c>
      <c r="J679" s="1" t="str">
        <f t="shared" si="955"/>
        <v>5.00</v>
      </c>
      <c r="K679" s="1" t="str">
        <f>"2.75"</f>
        <v>2.75</v>
      </c>
      <c r="L679" s="1" t="str">
        <f>"0.06"</f>
        <v>0.06</v>
      </c>
      <c r="M679" s="1" t="str">
        <f t="shared" si="931"/>
        <v>0.00</v>
      </c>
      <c r="N679" s="1" t="str">
        <f>"证券卖出"</f>
        <v>证券卖出</v>
      </c>
    </row>
    <row r="680" spans="1:14">
      <c r="A680" s="1" t="str">
        <f t="shared" si="960"/>
        <v>20180202</v>
      </c>
      <c r="B680" s="1" t="str">
        <f>"10:55:00"</f>
        <v>10:55:00</v>
      </c>
      <c r="C680" s="1" t="str">
        <f t="shared" ref="C680:C686" si="967">"601828"</f>
        <v>601828</v>
      </c>
      <c r="D680" s="1" t="str">
        <f t="shared" ref="D680:D686" si="968">"美凯龙"</f>
        <v>美凯龙</v>
      </c>
      <c r="E680" s="1" t="str">
        <f t="shared" si="963"/>
        <v>买入</v>
      </c>
      <c r="F680" s="1" t="str">
        <f>"20.320"</f>
        <v>20.320</v>
      </c>
      <c r="G680" s="1" t="str">
        <f t="shared" ref="G680:G682" si="969">"100.00"</f>
        <v>100.00</v>
      </c>
      <c r="H680" s="1" t="str">
        <f t="shared" si="964"/>
        <v>A850418317</v>
      </c>
      <c r="I680" s="1" t="str">
        <f>"2032.00"</f>
        <v>2032.00</v>
      </c>
      <c r="J680" s="1" t="str">
        <f t="shared" si="955"/>
        <v>5.00</v>
      </c>
      <c r="K680" s="1" t="str">
        <f t="shared" si="965"/>
        <v>0.00</v>
      </c>
      <c r="L680" s="1" t="str">
        <f t="shared" ref="L680:L686" si="970">"0.04"</f>
        <v>0.04</v>
      </c>
      <c r="M680" s="1" t="str">
        <f t="shared" si="931"/>
        <v>0.00</v>
      </c>
      <c r="N680" s="1" t="str">
        <f t="shared" si="966"/>
        <v>证券买入</v>
      </c>
    </row>
    <row r="681" spans="1:14">
      <c r="A681" s="1" t="str">
        <f t="shared" si="960"/>
        <v>20180202</v>
      </c>
      <c r="B681" s="1" t="str">
        <f>"14:42:11"</f>
        <v>14:42:11</v>
      </c>
      <c r="C681" s="1" t="str">
        <f t="shared" si="967"/>
        <v>601828</v>
      </c>
      <c r="D681" s="1" t="str">
        <f t="shared" si="968"/>
        <v>美凯龙</v>
      </c>
      <c r="E681" s="1" t="str">
        <f t="shared" si="963"/>
        <v>买入</v>
      </c>
      <c r="F681" s="1" t="str">
        <f>"20.290"</f>
        <v>20.290</v>
      </c>
      <c r="G681" s="1" t="str">
        <f t="shared" si="969"/>
        <v>100.00</v>
      </c>
      <c r="H681" s="1" t="str">
        <f t="shared" si="964"/>
        <v>A850418317</v>
      </c>
      <c r="I681" s="1" t="str">
        <f>"2029.00"</f>
        <v>2029.00</v>
      </c>
      <c r="J681" s="1" t="str">
        <f t="shared" si="955"/>
        <v>5.00</v>
      </c>
      <c r="K681" s="1" t="str">
        <f t="shared" si="965"/>
        <v>0.00</v>
      </c>
      <c r="L681" s="1" t="str">
        <f t="shared" si="970"/>
        <v>0.04</v>
      </c>
      <c r="M681" s="1" t="str">
        <f t="shared" si="931"/>
        <v>0.00</v>
      </c>
      <c r="N681" s="1" t="str">
        <f t="shared" si="966"/>
        <v>证券买入</v>
      </c>
    </row>
    <row r="682" spans="1:14">
      <c r="A682" s="1" t="str">
        <f t="shared" si="960"/>
        <v>20180202</v>
      </c>
      <c r="B682" s="1" t="str">
        <f>"13:45:39"</f>
        <v>13:45:39</v>
      </c>
      <c r="C682" s="1" t="str">
        <f>"002907"</f>
        <v>002907</v>
      </c>
      <c r="D682" s="1" t="str">
        <f>"华森制药"</f>
        <v>华森制药</v>
      </c>
      <c r="E682" s="1" t="str">
        <f t="shared" si="963"/>
        <v>买入</v>
      </c>
      <c r="F682" s="1" t="str">
        <f>"30.880"</f>
        <v>30.880</v>
      </c>
      <c r="G682" s="1" t="str">
        <f t="shared" si="969"/>
        <v>100.00</v>
      </c>
      <c r="H682" s="1" t="str">
        <f>"0104152129"</f>
        <v>0104152129</v>
      </c>
      <c r="I682" s="1" t="str">
        <f>"3088.00"</f>
        <v>3088.00</v>
      </c>
      <c r="J682" s="1" t="str">
        <f t="shared" si="955"/>
        <v>5.00</v>
      </c>
      <c r="K682" s="1" t="str">
        <f t="shared" si="965"/>
        <v>0.00</v>
      </c>
      <c r="L682" s="1" t="str">
        <f>"0.06"</f>
        <v>0.06</v>
      </c>
      <c r="M682" s="1" t="str">
        <f t="shared" si="931"/>
        <v>0.00</v>
      </c>
      <c r="N682" s="1" t="str">
        <f t="shared" si="966"/>
        <v>证券买入</v>
      </c>
    </row>
    <row r="683" spans="1:14">
      <c r="A683" s="1" t="str">
        <f t="shared" ref="A683:A692" si="971">"20180205"</f>
        <v>20180205</v>
      </c>
      <c r="B683" s="1" t="str">
        <f>"09:30:49"</f>
        <v>09:30:49</v>
      </c>
      <c r="C683" s="1" t="str">
        <f>"600093"</f>
        <v>600093</v>
      </c>
      <c r="D683" s="1" t="str">
        <f>"易见股份"</f>
        <v>易见股份</v>
      </c>
      <c r="E683" s="1" t="str">
        <f t="shared" si="963"/>
        <v>买入</v>
      </c>
      <c r="F683" s="1" t="str">
        <f>"13.220"</f>
        <v>13.220</v>
      </c>
      <c r="G683" s="1" t="str">
        <f>"200.00"</f>
        <v>200.00</v>
      </c>
      <c r="H683" s="1" t="str">
        <f t="shared" ref="H683:H686" si="972">"A850418317"</f>
        <v>A850418317</v>
      </c>
      <c r="I683" s="1" t="str">
        <f>"2644.00"</f>
        <v>2644.00</v>
      </c>
      <c r="J683" s="1" t="str">
        <f t="shared" si="955"/>
        <v>5.00</v>
      </c>
      <c r="K683" s="1" t="str">
        <f t="shared" si="965"/>
        <v>0.00</v>
      </c>
      <c r="L683" s="1" t="str">
        <f>"0.05"</f>
        <v>0.05</v>
      </c>
      <c r="M683" s="1" t="str">
        <f t="shared" si="931"/>
        <v>0.00</v>
      </c>
      <c r="N683" s="1" t="str">
        <f t="shared" si="966"/>
        <v>证券买入</v>
      </c>
    </row>
    <row r="684" spans="1:14">
      <c r="A684" s="1" t="str">
        <f t="shared" si="971"/>
        <v>20180205</v>
      </c>
      <c r="B684" s="1" t="str">
        <f>"09:53:03"</f>
        <v>09:53:03</v>
      </c>
      <c r="C684" s="1" t="str">
        <f>"600093"</f>
        <v>600093</v>
      </c>
      <c r="D684" s="1" t="str">
        <f>"易见股份"</f>
        <v>易见股份</v>
      </c>
      <c r="E684" s="1" t="str">
        <f t="shared" si="963"/>
        <v>买入</v>
      </c>
      <c r="F684" s="1" t="str">
        <f>"12.980"</f>
        <v>12.980</v>
      </c>
      <c r="G684" s="1" t="str">
        <f>"200.00"</f>
        <v>200.00</v>
      </c>
      <c r="H684" s="1" t="str">
        <f t="shared" si="972"/>
        <v>A850418317</v>
      </c>
      <c r="I684" s="1" t="str">
        <f>"2596.00"</f>
        <v>2596.00</v>
      </c>
      <c r="J684" s="1" t="str">
        <f t="shared" si="955"/>
        <v>5.00</v>
      </c>
      <c r="K684" s="1" t="str">
        <f t="shared" si="965"/>
        <v>0.00</v>
      </c>
      <c r="L684" s="1" t="str">
        <f>"0.05"</f>
        <v>0.05</v>
      </c>
      <c r="M684" s="1" t="str">
        <f t="shared" si="931"/>
        <v>0.00</v>
      </c>
      <c r="N684" s="1" t="str">
        <f t="shared" si="966"/>
        <v>证券买入</v>
      </c>
    </row>
    <row r="685" spans="1:14">
      <c r="A685" s="1" t="str">
        <f t="shared" si="971"/>
        <v>20180205</v>
      </c>
      <c r="B685" s="1" t="str">
        <f>"13:40:00"</f>
        <v>13:40:00</v>
      </c>
      <c r="C685" s="1" t="str">
        <f t="shared" si="967"/>
        <v>601828</v>
      </c>
      <c r="D685" s="1" t="str">
        <f t="shared" si="968"/>
        <v>美凯龙</v>
      </c>
      <c r="E685" s="1" t="str">
        <f>"卖出"</f>
        <v>卖出</v>
      </c>
      <c r="F685" s="1" t="str">
        <f>"19.320"</f>
        <v>19.320</v>
      </c>
      <c r="G685" s="1" t="str">
        <f>"-100.00"</f>
        <v>-100.00</v>
      </c>
      <c r="H685" s="1" t="str">
        <f t="shared" si="972"/>
        <v>A850418317</v>
      </c>
      <c r="I685" s="1" t="str">
        <f>"1932.00"</f>
        <v>1932.00</v>
      </c>
      <c r="J685" s="1" t="str">
        <f t="shared" si="955"/>
        <v>5.00</v>
      </c>
      <c r="K685" s="1" t="str">
        <f>"1.93"</f>
        <v>1.93</v>
      </c>
      <c r="L685" s="1" t="str">
        <f t="shared" si="970"/>
        <v>0.04</v>
      </c>
      <c r="M685" s="1" t="str">
        <f t="shared" si="931"/>
        <v>0.00</v>
      </c>
      <c r="N685" s="1" t="str">
        <f>"证券卖出"</f>
        <v>证券卖出</v>
      </c>
    </row>
    <row r="686" spans="1:14">
      <c r="A686" s="1" t="str">
        <f t="shared" si="971"/>
        <v>20180205</v>
      </c>
      <c r="B686" s="1" t="str">
        <f>"14:06:25"</f>
        <v>14:06:25</v>
      </c>
      <c r="C686" s="1" t="str">
        <f t="shared" si="967"/>
        <v>601828</v>
      </c>
      <c r="D686" s="1" t="str">
        <f t="shared" si="968"/>
        <v>美凯龙</v>
      </c>
      <c r="E686" s="1" t="str">
        <f>"卖出"</f>
        <v>卖出</v>
      </c>
      <c r="F686" s="1" t="str">
        <f>"19.100"</f>
        <v>19.100</v>
      </c>
      <c r="G686" s="1" t="str">
        <f>"-100.00"</f>
        <v>-100.00</v>
      </c>
      <c r="H686" s="1" t="str">
        <f t="shared" si="972"/>
        <v>A850418317</v>
      </c>
      <c r="I686" s="1" t="str">
        <f>"1910.00"</f>
        <v>1910.00</v>
      </c>
      <c r="J686" s="1" t="str">
        <f t="shared" si="955"/>
        <v>5.00</v>
      </c>
      <c r="K686" s="1" t="str">
        <f>"1.91"</f>
        <v>1.91</v>
      </c>
      <c r="L686" s="1" t="str">
        <f t="shared" si="970"/>
        <v>0.04</v>
      </c>
      <c r="M686" s="1" t="str">
        <f t="shared" si="931"/>
        <v>0.00</v>
      </c>
      <c r="N686" s="1" t="str">
        <f>"证券卖出"</f>
        <v>证券卖出</v>
      </c>
    </row>
    <row r="687" spans="1:14">
      <c r="A687" s="1" t="str">
        <f t="shared" si="971"/>
        <v>20180205</v>
      </c>
      <c r="B687" s="1" t="str">
        <f>"09:25:00"</f>
        <v>09:25:00</v>
      </c>
      <c r="C687" s="1" t="str">
        <f>"300176"</f>
        <v>300176</v>
      </c>
      <c r="D687" s="1" t="str">
        <f>"鸿特精密"</f>
        <v>鸿特精密</v>
      </c>
      <c r="E687" s="1" t="str">
        <f t="shared" ref="E687:E693" si="973">"买入"</f>
        <v>买入</v>
      </c>
      <c r="F687" s="1" t="str">
        <f>"118.000"</f>
        <v>118.000</v>
      </c>
      <c r="G687" s="1" t="str">
        <f t="shared" ref="G687:G689" si="974">"100.00"</f>
        <v>100.00</v>
      </c>
      <c r="H687" s="1" t="str">
        <f t="shared" ref="H687:H692" si="975">"0104152129"</f>
        <v>0104152129</v>
      </c>
      <c r="I687" s="1" t="str">
        <f>"11800.00"</f>
        <v>11800.00</v>
      </c>
      <c r="J687" s="1" t="str">
        <f t="shared" si="955"/>
        <v>5.00</v>
      </c>
      <c r="K687" s="1" t="str">
        <f t="shared" ref="K687:K693" si="976">"0.00"</f>
        <v>0.00</v>
      </c>
      <c r="L687" s="1" t="str">
        <f>"0.24"</f>
        <v>0.24</v>
      </c>
      <c r="M687" s="1" t="str">
        <f t="shared" si="931"/>
        <v>0.00</v>
      </c>
      <c r="N687" s="1" t="str">
        <f t="shared" ref="N687:N693" si="977">"证券买入"</f>
        <v>证券买入</v>
      </c>
    </row>
    <row r="688" spans="1:14">
      <c r="A688" s="1" t="str">
        <f t="shared" si="971"/>
        <v>20180205</v>
      </c>
      <c r="B688" s="1" t="str">
        <f>"09:32:04"</f>
        <v>09:32:04</v>
      </c>
      <c r="C688" s="1" t="str">
        <f>"300184"</f>
        <v>300184</v>
      </c>
      <c r="D688" s="1" t="str">
        <f>"力源信息"</f>
        <v>力源信息</v>
      </c>
      <c r="E688" s="1" t="str">
        <f t="shared" si="973"/>
        <v>买入</v>
      </c>
      <c r="F688" s="1" t="str">
        <f>"10.550"</f>
        <v>10.550</v>
      </c>
      <c r="G688" s="1" t="str">
        <f t="shared" si="974"/>
        <v>100.00</v>
      </c>
      <c r="H688" s="1" t="str">
        <f t="shared" si="975"/>
        <v>0104152129</v>
      </c>
      <c r="I688" s="1" t="str">
        <f>"1055.00"</f>
        <v>1055.00</v>
      </c>
      <c r="J688" s="1" t="str">
        <f t="shared" si="955"/>
        <v>5.00</v>
      </c>
      <c r="K688" s="1" t="str">
        <f t="shared" si="976"/>
        <v>0.00</v>
      </c>
      <c r="L688" s="1" t="str">
        <f>"0.02"</f>
        <v>0.02</v>
      </c>
      <c r="M688" s="1" t="str">
        <f t="shared" si="931"/>
        <v>0.00</v>
      </c>
      <c r="N688" s="1" t="str">
        <f t="shared" si="977"/>
        <v>证券买入</v>
      </c>
    </row>
    <row r="689" spans="1:14">
      <c r="A689" s="1" t="str">
        <f t="shared" si="971"/>
        <v>20180205</v>
      </c>
      <c r="B689" s="1" t="str">
        <f>"09:32:29"</f>
        <v>09:32:29</v>
      </c>
      <c r="C689" s="1" t="str">
        <f>"300184"</f>
        <v>300184</v>
      </c>
      <c r="D689" s="1" t="str">
        <f>"力源信息"</f>
        <v>力源信息</v>
      </c>
      <c r="E689" s="1" t="str">
        <f t="shared" si="973"/>
        <v>买入</v>
      </c>
      <c r="F689" s="1" t="str">
        <f>"10.550"</f>
        <v>10.550</v>
      </c>
      <c r="G689" s="1" t="str">
        <f t="shared" si="974"/>
        <v>100.00</v>
      </c>
      <c r="H689" s="1" t="str">
        <f t="shared" si="975"/>
        <v>0104152129</v>
      </c>
      <c r="I689" s="1" t="str">
        <f>"1055.00"</f>
        <v>1055.00</v>
      </c>
      <c r="J689" s="1" t="str">
        <f t="shared" si="955"/>
        <v>5.00</v>
      </c>
      <c r="K689" s="1" t="str">
        <f t="shared" si="976"/>
        <v>0.00</v>
      </c>
      <c r="L689" s="1" t="str">
        <f>"0.02"</f>
        <v>0.02</v>
      </c>
      <c r="M689" s="1" t="str">
        <f t="shared" si="931"/>
        <v>0.00</v>
      </c>
      <c r="N689" s="1" t="str">
        <f t="shared" si="977"/>
        <v>证券买入</v>
      </c>
    </row>
    <row r="690" spans="1:14">
      <c r="A690" s="1" t="str">
        <f t="shared" si="971"/>
        <v>20180205</v>
      </c>
      <c r="B690" s="1" t="str">
        <f>"13:40:23"</f>
        <v>13:40:23</v>
      </c>
      <c r="C690" s="1" t="str">
        <f>"002235"</f>
        <v>002235</v>
      </c>
      <c r="D690" s="1" t="str">
        <f>"安妮股份"</f>
        <v>安妮股份</v>
      </c>
      <c r="E690" s="1" t="str">
        <f t="shared" si="973"/>
        <v>买入</v>
      </c>
      <c r="F690" s="1" t="str">
        <f>"10.050"</f>
        <v>10.050</v>
      </c>
      <c r="G690" s="1" t="str">
        <f t="shared" ref="G690:G693" si="978">"200.00"</f>
        <v>200.00</v>
      </c>
      <c r="H690" s="1" t="str">
        <f t="shared" si="975"/>
        <v>0104152129</v>
      </c>
      <c r="I690" s="1" t="str">
        <f>"2010.00"</f>
        <v>2010.00</v>
      </c>
      <c r="J690" s="1" t="str">
        <f t="shared" si="955"/>
        <v>5.00</v>
      </c>
      <c r="K690" s="1" t="str">
        <f t="shared" si="976"/>
        <v>0.00</v>
      </c>
      <c r="L690" s="1" t="str">
        <f t="shared" ref="L690:L692" si="979">"0.04"</f>
        <v>0.04</v>
      </c>
      <c r="M690" s="1" t="str">
        <f t="shared" si="931"/>
        <v>0.00</v>
      </c>
      <c r="N690" s="1" t="str">
        <f t="shared" si="977"/>
        <v>证券买入</v>
      </c>
    </row>
    <row r="691" spans="1:14">
      <c r="A691" s="1" t="str">
        <f t="shared" si="971"/>
        <v>20180205</v>
      </c>
      <c r="B691" s="1" t="str">
        <f>"13:41:06"</f>
        <v>13:41:06</v>
      </c>
      <c r="C691" s="1" t="str">
        <f>"002235"</f>
        <v>002235</v>
      </c>
      <c r="D691" s="1" t="str">
        <f>"安妮股份"</f>
        <v>安妮股份</v>
      </c>
      <c r="E691" s="1" t="str">
        <f t="shared" si="973"/>
        <v>买入</v>
      </c>
      <c r="F691" s="1" t="str">
        <f>"10.100"</f>
        <v>10.100</v>
      </c>
      <c r="G691" s="1" t="str">
        <f t="shared" si="978"/>
        <v>200.00</v>
      </c>
      <c r="H691" s="1" t="str">
        <f t="shared" si="975"/>
        <v>0104152129</v>
      </c>
      <c r="I691" s="1" t="str">
        <f>"2020.00"</f>
        <v>2020.00</v>
      </c>
      <c r="J691" s="1" t="str">
        <f t="shared" si="955"/>
        <v>5.00</v>
      </c>
      <c r="K691" s="1" t="str">
        <f t="shared" si="976"/>
        <v>0.00</v>
      </c>
      <c r="L691" s="1" t="str">
        <f t="shared" si="979"/>
        <v>0.04</v>
      </c>
      <c r="M691" s="1" t="str">
        <f t="shared" si="931"/>
        <v>0.00</v>
      </c>
      <c r="N691" s="1" t="str">
        <f t="shared" si="977"/>
        <v>证券买入</v>
      </c>
    </row>
    <row r="692" spans="1:14">
      <c r="A692" s="1" t="str">
        <f t="shared" si="971"/>
        <v>20180205</v>
      </c>
      <c r="B692" s="1" t="str">
        <f>"14:19:33"</f>
        <v>14:19:33</v>
      </c>
      <c r="C692" s="1" t="str">
        <f>"300058"</f>
        <v>300058</v>
      </c>
      <c r="D692" s="1" t="str">
        <f>"蓝色光标"</f>
        <v>蓝色光标</v>
      </c>
      <c r="E692" s="1" t="str">
        <f t="shared" si="973"/>
        <v>买入</v>
      </c>
      <c r="F692" s="1" t="str">
        <f>"7.360"</f>
        <v>7.360</v>
      </c>
      <c r="G692" s="1" t="str">
        <f>"300.00"</f>
        <v>300.00</v>
      </c>
      <c r="H692" s="1" t="str">
        <f t="shared" si="975"/>
        <v>0104152129</v>
      </c>
      <c r="I692" s="1" t="str">
        <f>"2208.00"</f>
        <v>2208.00</v>
      </c>
      <c r="J692" s="1" t="str">
        <f t="shared" si="955"/>
        <v>5.00</v>
      </c>
      <c r="K692" s="1" t="str">
        <f t="shared" si="976"/>
        <v>0.00</v>
      </c>
      <c r="L692" s="1" t="str">
        <f t="shared" si="979"/>
        <v>0.04</v>
      </c>
      <c r="M692" s="1" t="str">
        <f t="shared" si="931"/>
        <v>0.00</v>
      </c>
      <c r="N692" s="1" t="str">
        <f t="shared" si="977"/>
        <v>证券买入</v>
      </c>
    </row>
    <row r="693" spans="1:14">
      <c r="A693" s="1" t="str">
        <f t="shared" ref="A693:A702" si="980">"20180206"</f>
        <v>20180206</v>
      </c>
      <c r="B693" s="1" t="str">
        <f>"09:31:33"</f>
        <v>09:31:33</v>
      </c>
      <c r="C693" s="1" t="str">
        <f t="shared" ref="C693:C696" si="981">"600093"</f>
        <v>600093</v>
      </c>
      <c r="D693" s="1" t="str">
        <f t="shared" ref="D693:D696" si="982">"易见股份"</f>
        <v>易见股份</v>
      </c>
      <c r="E693" s="1" t="str">
        <f t="shared" si="973"/>
        <v>买入</v>
      </c>
      <c r="F693" s="1" t="str">
        <f>"13.000"</f>
        <v>13.000</v>
      </c>
      <c r="G693" s="1" t="str">
        <f t="shared" si="978"/>
        <v>200.00</v>
      </c>
      <c r="H693" s="1" t="str">
        <f t="shared" ref="H693:H696" si="983">"A850418317"</f>
        <v>A850418317</v>
      </c>
      <c r="I693" s="1" t="str">
        <f>"2600.00"</f>
        <v>2600.00</v>
      </c>
      <c r="J693" s="1" t="str">
        <f t="shared" si="955"/>
        <v>5.00</v>
      </c>
      <c r="K693" s="1" t="str">
        <f t="shared" si="976"/>
        <v>0.00</v>
      </c>
      <c r="L693" s="1" t="str">
        <f t="shared" ref="L693:L696" si="984">"0.05"</f>
        <v>0.05</v>
      </c>
      <c r="M693" s="1" t="str">
        <f t="shared" si="931"/>
        <v>0.00</v>
      </c>
      <c r="N693" s="1" t="str">
        <f t="shared" si="977"/>
        <v>证券买入</v>
      </c>
    </row>
    <row r="694" spans="1:14">
      <c r="A694" s="1" t="str">
        <f t="shared" si="980"/>
        <v>20180206</v>
      </c>
      <c r="B694" s="1" t="str">
        <f>"13:11:32"</f>
        <v>13:11:32</v>
      </c>
      <c r="C694" s="1" t="str">
        <f t="shared" si="981"/>
        <v>600093</v>
      </c>
      <c r="D694" s="1" t="str">
        <f t="shared" si="982"/>
        <v>易见股份</v>
      </c>
      <c r="E694" s="1" t="str">
        <f t="shared" ref="E694:E700" si="985">"卖出"</f>
        <v>卖出</v>
      </c>
      <c r="F694" s="1" t="str">
        <f>"12.720"</f>
        <v>12.720</v>
      </c>
      <c r="G694" s="1" t="str">
        <f t="shared" ref="G694:G696" si="986">"-200.00"</f>
        <v>-200.00</v>
      </c>
      <c r="H694" s="1" t="str">
        <f t="shared" si="983"/>
        <v>A850418317</v>
      </c>
      <c r="I694" s="1" t="str">
        <f>"2544.00"</f>
        <v>2544.00</v>
      </c>
      <c r="J694" s="1" t="str">
        <f t="shared" si="955"/>
        <v>5.00</v>
      </c>
      <c r="K694" s="1" t="str">
        <f>"2.54"</f>
        <v>2.54</v>
      </c>
      <c r="L694" s="1" t="str">
        <f t="shared" si="984"/>
        <v>0.05</v>
      </c>
      <c r="M694" s="1" t="str">
        <f t="shared" si="931"/>
        <v>0.00</v>
      </c>
      <c r="N694" s="1" t="str">
        <f t="shared" ref="N694:N700" si="987">"证券卖出"</f>
        <v>证券卖出</v>
      </c>
    </row>
    <row r="695" spans="1:14">
      <c r="A695" s="1" t="str">
        <f t="shared" si="980"/>
        <v>20180206</v>
      </c>
      <c r="B695" s="1" t="str">
        <f>"13:11:55"</f>
        <v>13:11:55</v>
      </c>
      <c r="C695" s="1" t="str">
        <f t="shared" si="981"/>
        <v>600093</v>
      </c>
      <c r="D695" s="1" t="str">
        <f t="shared" si="982"/>
        <v>易见股份</v>
      </c>
      <c r="E695" s="1" t="str">
        <f t="shared" si="985"/>
        <v>卖出</v>
      </c>
      <c r="F695" s="1" t="str">
        <f>"12.730"</f>
        <v>12.730</v>
      </c>
      <c r="G695" s="1" t="str">
        <f t="shared" si="986"/>
        <v>-200.00</v>
      </c>
      <c r="H695" s="1" t="str">
        <f t="shared" si="983"/>
        <v>A850418317</v>
      </c>
      <c r="I695" s="1" t="str">
        <f>"2546.00"</f>
        <v>2546.00</v>
      </c>
      <c r="J695" s="1" t="str">
        <f t="shared" si="955"/>
        <v>5.00</v>
      </c>
      <c r="K695" s="1" t="str">
        <f>"2.55"</f>
        <v>2.55</v>
      </c>
      <c r="L695" s="1" t="str">
        <f t="shared" si="984"/>
        <v>0.05</v>
      </c>
      <c r="M695" s="1" t="str">
        <f t="shared" si="931"/>
        <v>0.00</v>
      </c>
      <c r="N695" s="1" t="str">
        <f t="shared" si="987"/>
        <v>证券卖出</v>
      </c>
    </row>
    <row r="696" spans="1:14">
      <c r="A696" s="1" t="str">
        <f t="shared" si="980"/>
        <v>20180206</v>
      </c>
      <c r="B696" s="1" t="str">
        <f>"13:15:35"</f>
        <v>13:15:35</v>
      </c>
      <c r="C696" s="1" t="str">
        <f t="shared" si="981"/>
        <v>600093</v>
      </c>
      <c r="D696" s="1" t="str">
        <f t="shared" si="982"/>
        <v>易见股份</v>
      </c>
      <c r="E696" s="1" t="str">
        <f t="shared" si="985"/>
        <v>卖出</v>
      </c>
      <c r="F696" s="1" t="str">
        <f>"12.620"</f>
        <v>12.620</v>
      </c>
      <c r="G696" s="1" t="str">
        <f t="shared" si="986"/>
        <v>-200.00</v>
      </c>
      <c r="H696" s="1" t="str">
        <f t="shared" si="983"/>
        <v>A850418317</v>
      </c>
      <c r="I696" s="1" t="str">
        <f>"2524.00"</f>
        <v>2524.00</v>
      </c>
      <c r="J696" s="1" t="str">
        <f t="shared" si="955"/>
        <v>5.00</v>
      </c>
      <c r="K696" s="1" t="str">
        <f>"2.52"</f>
        <v>2.52</v>
      </c>
      <c r="L696" s="1" t="str">
        <f t="shared" si="984"/>
        <v>0.05</v>
      </c>
      <c r="M696" s="1" t="str">
        <f t="shared" si="931"/>
        <v>0.00</v>
      </c>
      <c r="N696" s="1" t="str">
        <f t="shared" si="987"/>
        <v>证券卖出</v>
      </c>
    </row>
    <row r="697" spans="1:14">
      <c r="A697" s="1" t="str">
        <f t="shared" si="980"/>
        <v>20180206</v>
      </c>
      <c r="B697" s="1" t="str">
        <f>"09:32:26"</f>
        <v>09:32:26</v>
      </c>
      <c r="C697" s="1" t="str">
        <f>"002235"</f>
        <v>002235</v>
      </c>
      <c r="D697" s="1" t="str">
        <f>"安妮股份"</f>
        <v>安妮股份</v>
      </c>
      <c r="E697" s="1" t="str">
        <f t="shared" si="985"/>
        <v>卖出</v>
      </c>
      <c r="F697" s="1" t="str">
        <f>"9.460"</f>
        <v>9.460</v>
      </c>
      <c r="G697" s="1" t="str">
        <f>"-400.00"</f>
        <v>-400.00</v>
      </c>
      <c r="H697" s="1" t="str">
        <f t="shared" ref="H697:H702" si="988">"0104152129"</f>
        <v>0104152129</v>
      </c>
      <c r="I697" s="1" t="str">
        <f>"3784.00"</f>
        <v>3784.00</v>
      </c>
      <c r="J697" s="1" t="str">
        <f t="shared" si="955"/>
        <v>5.00</v>
      </c>
      <c r="K697" s="1" t="str">
        <f>"3.79"</f>
        <v>3.79</v>
      </c>
      <c r="L697" s="1" t="str">
        <f>"0.08"</f>
        <v>0.08</v>
      </c>
      <c r="M697" s="1" t="str">
        <f t="shared" si="931"/>
        <v>0.00</v>
      </c>
      <c r="N697" s="1" t="str">
        <f t="shared" si="987"/>
        <v>证券卖出</v>
      </c>
    </row>
    <row r="698" spans="1:14">
      <c r="A698" s="1" t="str">
        <f t="shared" si="980"/>
        <v>20180206</v>
      </c>
      <c r="B698" s="1" t="str">
        <f>"09:32:27"</f>
        <v>09:32:27</v>
      </c>
      <c r="C698" s="1" t="str">
        <f>"002907"</f>
        <v>002907</v>
      </c>
      <c r="D698" s="1" t="str">
        <f>"华森制药"</f>
        <v>华森制药</v>
      </c>
      <c r="E698" s="1" t="str">
        <f t="shared" si="985"/>
        <v>卖出</v>
      </c>
      <c r="F698" s="1" t="str">
        <f>"29.500"</f>
        <v>29.500</v>
      </c>
      <c r="G698" s="1" t="str">
        <f>"-100.00"</f>
        <v>-100.00</v>
      </c>
      <c r="H698" s="1" t="str">
        <f t="shared" si="988"/>
        <v>0104152129</v>
      </c>
      <c r="I698" s="1" t="str">
        <f>"2950.00"</f>
        <v>2950.00</v>
      </c>
      <c r="J698" s="1" t="str">
        <f t="shared" si="955"/>
        <v>5.00</v>
      </c>
      <c r="K698" s="1" t="str">
        <f>"2.95"</f>
        <v>2.95</v>
      </c>
      <c r="L698" s="1" t="str">
        <f>"0.06"</f>
        <v>0.06</v>
      </c>
      <c r="M698" s="1" t="str">
        <f t="shared" si="931"/>
        <v>0.00</v>
      </c>
      <c r="N698" s="1" t="str">
        <f t="shared" si="987"/>
        <v>证券卖出</v>
      </c>
    </row>
    <row r="699" spans="1:14">
      <c r="A699" s="1" t="str">
        <f t="shared" si="980"/>
        <v>20180206</v>
      </c>
      <c r="B699" s="1" t="str">
        <f>"09:32:32"</f>
        <v>09:32:32</v>
      </c>
      <c r="C699" s="1" t="str">
        <f>"300058"</f>
        <v>300058</v>
      </c>
      <c r="D699" s="1" t="str">
        <f>"蓝色光标"</f>
        <v>蓝色光标</v>
      </c>
      <c r="E699" s="1" t="str">
        <f t="shared" si="985"/>
        <v>卖出</v>
      </c>
      <c r="F699" s="1" t="str">
        <f>"7.070"</f>
        <v>7.070</v>
      </c>
      <c r="G699" s="1" t="str">
        <f>"-300.00"</f>
        <v>-300.00</v>
      </c>
      <c r="H699" s="1" t="str">
        <f t="shared" si="988"/>
        <v>0104152129</v>
      </c>
      <c r="I699" s="1" t="str">
        <f>"2121.00"</f>
        <v>2121.00</v>
      </c>
      <c r="J699" s="1" t="str">
        <f t="shared" si="955"/>
        <v>5.00</v>
      </c>
      <c r="K699" s="1" t="str">
        <f>"2.12"</f>
        <v>2.12</v>
      </c>
      <c r="L699" s="1" t="str">
        <f>"0.04"</f>
        <v>0.04</v>
      </c>
      <c r="M699" s="1" t="str">
        <f t="shared" si="931"/>
        <v>0.00</v>
      </c>
      <c r="N699" s="1" t="str">
        <f t="shared" si="987"/>
        <v>证券卖出</v>
      </c>
    </row>
    <row r="700" spans="1:14">
      <c r="A700" s="1" t="str">
        <f t="shared" si="980"/>
        <v>20180206</v>
      </c>
      <c r="B700" s="1" t="str">
        <f>"09:33:34"</f>
        <v>09:33:34</v>
      </c>
      <c r="C700" s="1" t="str">
        <f>"300184"</f>
        <v>300184</v>
      </c>
      <c r="D700" s="1" t="str">
        <f>"力源信息"</f>
        <v>力源信息</v>
      </c>
      <c r="E700" s="1" t="str">
        <f t="shared" si="985"/>
        <v>卖出</v>
      </c>
      <c r="F700" s="1" t="str">
        <f>"10.050"</f>
        <v>10.050</v>
      </c>
      <c r="G700" s="1" t="str">
        <f>"-200.00"</f>
        <v>-200.00</v>
      </c>
      <c r="H700" s="1" t="str">
        <f t="shared" si="988"/>
        <v>0104152129</v>
      </c>
      <c r="I700" s="1" t="str">
        <f>"2010.00"</f>
        <v>2010.00</v>
      </c>
      <c r="J700" s="1" t="str">
        <f t="shared" si="955"/>
        <v>5.00</v>
      </c>
      <c r="K700" s="1" t="str">
        <f>"2.01"</f>
        <v>2.01</v>
      </c>
      <c r="L700" s="1" t="str">
        <f>"0.04"</f>
        <v>0.04</v>
      </c>
      <c r="M700" s="1" t="str">
        <f t="shared" si="931"/>
        <v>0.00</v>
      </c>
      <c r="N700" s="1" t="str">
        <f t="shared" si="987"/>
        <v>证券卖出</v>
      </c>
    </row>
    <row r="701" spans="1:14">
      <c r="A701" s="1" t="str">
        <f t="shared" si="980"/>
        <v>20180206</v>
      </c>
      <c r="B701" s="1" t="str">
        <f>"09:34:14"</f>
        <v>09:34:14</v>
      </c>
      <c r="C701" s="1" t="str">
        <f>"300176"</f>
        <v>300176</v>
      </c>
      <c r="D701" s="1" t="str">
        <f>"鸿特精密"</f>
        <v>鸿特精密</v>
      </c>
      <c r="E701" s="1" t="str">
        <f t="shared" ref="E701:E704" si="989">"买入"</f>
        <v>买入</v>
      </c>
      <c r="F701" s="1" t="str">
        <f>"120.660"</f>
        <v>120.660</v>
      </c>
      <c r="G701" s="1" t="str">
        <f>"100.00"</f>
        <v>100.00</v>
      </c>
      <c r="H701" s="1" t="str">
        <f t="shared" si="988"/>
        <v>0104152129</v>
      </c>
      <c r="I701" s="1" t="str">
        <f>"12066.00"</f>
        <v>12066.00</v>
      </c>
      <c r="J701" s="1" t="str">
        <f t="shared" si="955"/>
        <v>5.00</v>
      </c>
      <c r="K701" s="1" t="str">
        <f t="shared" ref="K701:K704" si="990">"0.00"</f>
        <v>0.00</v>
      </c>
      <c r="L701" s="1" t="str">
        <f>"0.24"</f>
        <v>0.24</v>
      </c>
      <c r="M701" s="1" t="str">
        <f t="shared" si="931"/>
        <v>0.00</v>
      </c>
      <c r="N701" s="1" t="str">
        <f t="shared" ref="N701:N704" si="991">"证券买入"</f>
        <v>证券买入</v>
      </c>
    </row>
    <row r="702" spans="1:14">
      <c r="A702" s="1" t="str">
        <f t="shared" si="980"/>
        <v>20180206</v>
      </c>
      <c r="B702" s="1" t="str">
        <f>"13:15:52"</f>
        <v>13:15:52</v>
      </c>
      <c r="C702" s="1" t="str">
        <f>"300176"</f>
        <v>300176</v>
      </c>
      <c r="D702" s="1" t="str">
        <f>"鸿特精密"</f>
        <v>鸿特精密</v>
      </c>
      <c r="E702" s="1" t="str">
        <f>"卖出"</f>
        <v>卖出</v>
      </c>
      <c r="F702" s="1" t="str">
        <f>"118.200"</f>
        <v>118.200</v>
      </c>
      <c r="G702" s="1" t="str">
        <f>"-100.00"</f>
        <v>-100.00</v>
      </c>
      <c r="H702" s="1" t="str">
        <f t="shared" si="988"/>
        <v>0104152129</v>
      </c>
      <c r="I702" s="1" t="str">
        <f>"11820.00"</f>
        <v>11820.00</v>
      </c>
      <c r="J702" s="1" t="str">
        <f t="shared" si="955"/>
        <v>5.00</v>
      </c>
      <c r="K702" s="1" t="str">
        <f>"11.82"</f>
        <v>11.82</v>
      </c>
      <c r="L702" s="1" t="str">
        <f>"0.24"</f>
        <v>0.24</v>
      </c>
      <c r="M702" s="1" t="str">
        <f t="shared" si="931"/>
        <v>0.00</v>
      </c>
      <c r="N702" s="1" t="str">
        <f>"证券卖出"</f>
        <v>证券卖出</v>
      </c>
    </row>
    <row r="703" spans="1:14">
      <c r="A703" s="1" t="str">
        <f t="shared" ref="A703:A708" si="992">"20180207"</f>
        <v>20180207</v>
      </c>
      <c r="B703" s="1" t="str">
        <f>"09:42:57"</f>
        <v>09:42:57</v>
      </c>
      <c r="C703" s="1" t="str">
        <f>"510050"</f>
        <v>510050</v>
      </c>
      <c r="D703" s="1" t="str">
        <f>"50ETF"</f>
        <v>50ETF</v>
      </c>
      <c r="E703" s="1" t="str">
        <f t="shared" si="989"/>
        <v>买入</v>
      </c>
      <c r="F703" s="1" t="str">
        <f>"3.133"</f>
        <v>3.133</v>
      </c>
      <c r="G703" s="1" t="str">
        <f>"100.00"</f>
        <v>100.00</v>
      </c>
      <c r="H703" s="1" t="str">
        <f t="shared" ref="H703:H715" si="993">"A850418317"</f>
        <v>A850418317</v>
      </c>
      <c r="I703" s="1" t="str">
        <f>"313.30"</f>
        <v>313.30</v>
      </c>
      <c r="J703" s="1" t="str">
        <f t="shared" si="955"/>
        <v>5.00</v>
      </c>
      <c r="K703" s="1" t="str">
        <f t="shared" si="990"/>
        <v>0.00</v>
      </c>
      <c r="L703" s="1" t="str">
        <f t="shared" ref="L703:L713" si="994">"0.00"</f>
        <v>0.00</v>
      </c>
      <c r="M703" s="1" t="str">
        <f t="shared" si="931"/>
        <v>0.00</v>
      </c>
      <c r="N703" s="1" t="str">
        <f t="shared" si="991"/>
        <v>证券买入</v>
      </c>
    </row>
    <row r="704" spans="1:14">
      <c r="A704" s="1" t="str">
        <f t="shared" si="992"/>
        <v>20180207</v>
      </c>
      <c r="B704" s="1" t="str">
        <f>"09:43:46"</f>
        <v>09:43:46</v>
      </c>
      <c r="C704" s="1" t="str">
        <f>"510050"</f>
        <v>510050</v>
      </c>
      <c r="D704" s="1" t="str">
        <f>"50ETF"</f>
        <v>50ETF</v>
      </c>
      <c r="E704" s="1" t="str">
        <f t="shared" si="989"/>
        <v>买入</v>
      </c>
      <c r="F704" s="1" t="str">
        <f>"3.134"</f>
        <v>3.134</v>
      </c>
      <c r="G704" s="1" t="str">
        <f>"1300.00"</f>
        <v>1300.00</v>
      </c>
      <c r="H704" s="1" t="str">
        <f t="shared" si="993"/>
        <v>A850418317</v>
      </c>
      <c r="I704" s="1" t="str">
        <f>"4074.20"</f>
        <v>4074.20</v>
      </c>
      <c r="J704" s="1" t="str">
        <f t="shared" si="955"/>
        <v>5.00</v>
      </c>
      <c r="K704" s="1" t="str">
        <f t="shared" si="990"/>
        <v>0.00</v>
      </c>
      <c r="L704" s="1" t="str">
        <f t="shared" si="994"/>
        <v>0.00</v>
      </c>
      <c r="M704" s="1" t="str">
        <f t="shared" si="931"/>
        <v>0.00</v>
      </c>
      <c r="N704" s="1" t="str">
        <f t="shared" si="991"/>
        <v>证券买入</v>
      </c>
    </row>
    <row r="705" spans="1:14">
      <c r="A705" s="1" t="str">
        <f t="shared" si="992"/>
        <v>20180207</v>
      </c>
      <c r="B705" s="1" t="str">
        <f>"09:53:24"</f>
        <v>09:53:24</v>
      </c>
      <c r="C705" s="1" t="str">
        <f>"600093"</f>
        <v>600093</v>
      </c>
      <c r="D705" s="1" t="str">
        <f>"易见股份"</f>
        <v>易见股份</v>
      </c>
      <c r="E705" s="1" t="str">
        <f t="shared" ref="E705:E712" si="995">"卖出"</f>
        <v>卖出</v>
      </c>
      <c r="F705" s="1" t="str">
        <f>"12.490"</f>
        <v>12.490</v>
      </c>
      <c r="G705" s="1" t="str">
        <f>"-200.00"</f>
        <v>-200.00</v>
      </c>
      <c r="H705" s="1" t="str">
        <f t="shared" si="993"/>
        <v>A850418317</v>
      </c>
      <c r="I705" s="1" t="str">
        <f>"2498.00"</f>
        <v>2498.00</v>
      </c>
      <c r="J705" s="1" t="str">
        <f t="shared" si="955"/>
        <v>5.00</v>
      </c>
      <c r="K705" s="1" t="str">
        <f>"2.50"</f>
        <v>2.50</v>
      </c>
      <c r="L705" s="1" t="str">
        <f>"0.05"</f>
        <v>0.05</v>
      </c>
      <c r="M705" s="1" t="str">
        <f t="shared" si="931"/>
        <v>0.00</v>
      </c>
      <c r="N705" s="1" t="str">
        <f t="shared" ref="N705:N712" si="996">"证券卖出"</f>
        <v>证券卖出</v>
      </c>
    </row>
    <row r="706" spans="1:14">
      <c r="A706" s="1" t="str">
        <f t="shared" si="992"/>
        <v>20180207</v>
      </c>
      <c r="B706" s="1" t="str">
        <f>"09:56:04"</f>
        <v>09:56:04</v>
      </c>
      <c r="C706" s="1" t="str">
        <f>"510300"</f>
        <v>510300</v>
      </c>
      <c r="D706" s="1" t="str">
        <f>"300ETF"</f>
        <v>300ETF</v>
      </c>
      <c r="E706" s="1" t="str">
        <f t="shared" ref="E706:E708" si="997">"买入"</f>
        <v>买入</v>
      </c>
      <c r="F706" s="1" t="str">
        <f>"4.199"</f>
        <v>4.199</v>
      </c>
      <c r="G706" s="1" t="str">
        <f>"600.00"</f>
        <v>600.00</v>
      </c>
      <c r="H706" s="1" t="str">
        <f t="shared" si="993"/>
        <v>A850418317</v>
      </c>
      <c r="I706" s="1" t="str">
        <f>"2519.40"</f>
        <v>2519.40</v>
      </c>
      <c r="J706" s="1" t="str">
        <f t="shared" si="955"/>
        <v>5.00</v>
      </c>
      <c r="K706" s="1" t="str">
        <f t="shared" ref="K706:K717" si="998">"0.00"</f>
        <v>0.00</v>
      </c>
      <c r="L706" s="1" t="str">
        <f t="shared" si="994"/>
        <v>0.00</v>
      </c>
      <c r="M706" s="1" t="str">
        <f t="shared" si="931"/>
        <v>0.00</v>
      </c>
      <c r="N706" s="1" t="str">
        <f>"证券买入"</f>
        <v>证券买入</v>
      </c>
    </row>
    <row r="707" spans="1:14">
      <c r="A707" s="1" t="str">
        <f t="shared" si="992"/>
        <v>20180207</v>
      </c>
      <c r="B707" s="1" t="str">
        <f>"21:34:35"</f>
        <v>21:34:35</v>
      </c>
      <c r="C707" s="1" t="str">
        <f>"736712"</f>
        <v>736712</v>
      </c>
      <c r="D707" s="1" t="str">
        <f>"七一配号"</f>
        <v>七一配号</v>
      </c>
      <c r="E707" s="1" t="str">
        <f t="shared" si="997"/>
        <v>买入</v>
      </c>
      <c r="F707" s="1" t="str">
        <f>"0.000"</f>
        <v>0.000</v>
      </c>
      <c r="G707" s="1" t="str">
        <f>"1.00"</f>
        <v>1.00</v>
      </c>
      <c r="H707" s="1" t="str">
        <f t="shared" si="993"/>
        <v>A850418317</v>
      </c>
      <c r="I707" s="1" t="str">
        <f t="shared" ref="I707:K707" si="999">"0.00"</f>
        <v>0.00</v>
      </c>
      <c r="J707" s="1" t="str">
        <f t="shared" si="999"/>
        <v>0.00</v>
      </c>
      <c r="K707" s="1" t="str">
        <f t="shared" si="999"/>
        <v>0.00</v>
      </c>
      <c r="L707" s="1" t="str">
        <f t="shared" si="994"/>
        <v>0.00</v>
      </c>
      <c r="M707" s="1" t="str">
        <f t="shared" si="931"/>
        <v>0.00</v>
      </c>
      <c r="N707" s="1" t="str">
        <f>"起始配号:100011935516"</f>
        <v>起始配号:100011935516</v>
      </c>
    </row>
    <row r="708" spans="1:14">
      <c r="A708" s="1" t="str">
        <f t="shared" si="992"/>
        <v>20180207</v>
      </c>
      <c r="B708" s="1" t="str">
        <f>"21:34:02"</f>
        <v>21:34:02</v>
      </c>
      <c r="C708" s="1" t="str">
        <f>"741901"</f>
        <v>741901</v>
      </c>
      <c r="D708" s="1" t="str">
        <f>"江租配号"</f>
        <v>江租配号</v>
      </c>
      <c r="E708" s="1" t="str">
        <f t="shared" si="997"/>
        <v>买入</v>
      </c>
      <c r="F708" s="1" t="str">
        <f>"0.000"</f>
        <v>0.000</v>
      </c>
      <c r="G708" s="1" t="str">
        <f>"1.00"</f>
        <v>1.00</v>
      </c>
      <c r="H708" s="1" t="str">
        <f t="shared" si="993"/>
        <v>A850418317</v>
      </c>
      <c r="I708" s="1" t="str">
        <f t="shared" ref="I708:K708" si="1000">"0.00"</f>
        <v>0.00</v>
      </c>
      <c r="J708" s="1" t="str">
        <f t="shared" si="1000"/>
        <v>0.00</v>
      </c>
      <c r="K708" s="1" t="str">
        <f t="shared" si="1000"/>
        <v>0.00</v>
      </c>
      <c r="L708" s="1" t="str">
        <f t="shared" si="994"/>
        <v>0.00</v>
      </c>
      <c r="M708" s="1" t="str">
        <f t="shared" si="931"/>
        <v>0.00</v>
      </c>
      <c r="N708" s="1" t="str">
        <f>"起始配号:100020839325"</f>
        <v>起始配号:100020839325</v>
      </c>
    </row>
    <row r="709" spans="1:14">
      <c r="A709" s="1" t="str">
        <f t="shared" ref="A709:A713" si="1001">"20180208"</f>
        <v>20180208</v>
      </c>
      <c r="B709" s="1" t="str">
        <f>"09:44:15"</f>
        <v>09:44:15</v>
      </c>
      <c r="C709" s="1" t="str">
        <f>"510300"</f>
        <v>510300</v>
      </c>
      <c r="D709" s="1" t="str">
        <f>"300ETF"</f>
        <v>300ETF</v>
      </c>
      <c r="E709" s="1" t="str">
        <f t="shared" si="995"/>
        <v>卖出</v>
      </c>
      <c r="F709" s="1" t="str">
        <f>"4.032"</f>
        <v>4.032</v>
      </c>
      <c r="G709" s="1" t="str">
        <f>"-600.00"</f>
        <v>-600.00</v>
      </c>
      <c r="H709" s="1" t="str">
        <f t="shared" si="993"/>
        <v>A850418317</v>
      </c>
      <c r="I709" s="1" t="str">
        <f>"2419.20"</f>
        <v>2419.20</v>
      </c>
      <c r="J709" s="1" t="str">
        <f t="shared" ref="J709:J712" si="1002">"5.00"</f>
        <v>5.00</v>
      </c>
      <c r="K709" s="1" t="str">
        <f t="shared" si="998"/>
        <v>0.00</v>
      </c>
      <c r="L709" s="1" t="str">
        <f t="shared" si="994"/>
        <v>0.00</v>
      </c>
      <c r="M709" s="1" t="str">
        <f t="shared" si="931"/>
        <v>0.00</v>
      </c>
      <c r="N709" s="1" t="str">
        <f t="shared" si="996"/>
        <v>证券卖出</v>
      </c>
    </row>
    <row r="710" spans="1:14">
      <c r="A710" s="1" t="str">
        <f t="shared" si="1001"/>
        <v>20180208</v>
      </c>
      <c r="B710" s="1" t="str">
        <f>"09:44:27"</f>
        <v>09:44:27</v>
      </c>
      <c r="C710" s="1" t="str">
        <f t="shared" ref="C710:C712" si="1003">"510050"</f>
        <v>510050</v>
      </c>
      <c r="D710" s="1" t="str">
        <f t="shared" ref="D710:D712" si="1004">"50ETF"</f>
        <v>50ETF</v>
      </c>
      <c r="E710" s="1" t="str">
        <f t="shared" si="995"/>
        <v>卖出</v>
      </c>
      <c r="F710" s="1" t="str">
        <f>"2.984"</f>
        <v>2.984</v>
      </c>
      <c r="G710" s="1" t="str">
        <f>"-500.00"</f>
        <v>-500.00</v>
      </c>
      <c r="H710" s="1" t="str">
        <f t="shared" si="993"/>
        <v>A850418317</v>
      </c>
      <c r="I710" s="1" t="str">
        <f>"1492.00"</f>
        <v>1492.00</v>
      </c>
      <c r="J710" s="1" t="str">
        <f t="shared" si="1002"/>
        <v>5.00</v>
      </c>
      <c r="K710" s="1" t="str">
        <f t="shared" si="998"/>
        <v>0.00</v>
      </c>
      <c r="L710" s="1" t="str">
        <f t="shared" si="994"/>
        <v>0.00</v>
      </c>
      <c r="M710" s="1" t="str">
        <f t="shared" si="931"/>
        <v>0.00</v>
      </c>
      <c r="N710" s="1" t="str">
        <f t="shared" si="996"/>
        <v>证券卖出</v>
      </c>
    </row>
    <row r="711" spans="1:14">
      <c r="A711" s="1" t="str">
        <f t="shared" si="1001"/>
        <v>20180208</v>
      </c>
      <c r="B711" s="1" t="str">
        <f>"09:47:30"</f>
        <v>09:47:30</v>
      </c>
      <c r="C711" s="1" t="str">
        <f t="shared" si="1003"/>
        <v>510050</v>
      </c>
      <c r="D711" s="1" t="str">
        <f t="shared" si="1004"/>
        <v>50ETF</v>
      </c>
      <c r="E711" s="1" t="str">
        <f t="shared" si="995"/>
        <v>卖出</v>
      </c>
      <c r="F711" s="1" t="str">
        <f>"2.994"</f>
        <v>2.994</v>
      </c>
      <c r="G711" s="1" t="str">
        <f>"-300.00"</f>
        <v>-300.00</v>
      </c>
      <c r="H711" s="1" t="str">
        <f t="shared" si="993"/>
        <v>A850418317</v>
      </c>
      <c r="I711" s="1" t="str">
        <f>"898.20"</f>
        <v>898.20</v>
      </c>
      <c r="J711" s="1" t="str">
        <f t="shared" si="1002"/>
        <v>5.00</v>
      </c>
      <c r="K711" s="1" t="str">
        <f t="shared" si="998"/>
        <v>0.00</v>
      </c>
      <c r="L711" s="1" t="str">
        <f t="shared" si="994"/>
        <v>0.00</v>
      </c>
      <c r="M711" s="1" t="str">
        <f t="shared" si="931"/>
        <v>0.00</v>
      </c>
      <c r="N711" s="1" t="str">
        <f t="shared" si="996"/>
        <v>证券卖出</v>
      </c>
    </row>
    <row r="712" spans="1:14">
      <c r="A712" s="1" t="str">
        <f t="shared" si="1001"/>
        <v>20180208</v>
      </c>
      <c r="B712" s="1" t="str">
        <f>"09:53:39"</f>
        <v>09:53:39</v>
      </c>
      <c r="C712" s="1" t="str">
        <f t="shared" si="1003"/>
        <v>510050</v>
      </c>
      <c r="D712" s="1" t="str">
        <f t="shared" si="1004"/>
        <v>50ETF</v>
      </c>
      <c r="E712" s="1" t="str">
        <f t="shared" si="995"/>
        <v>卖出</v>
      </c>
      <c r="F712" s="1" t="str">
        <f>"3.004"</f>
        <v>3.004</v>
      </c>
      <c r="G712" s="1" t="str">
        <f>"-600.00"</f>
        <v>-600.00</v>
      </c>
      <c r="H712" s="1" t="str">
        <f t="shared" si="993"/>
        <v>A850418317</v>
      </c>
      <c r="I712" s="1" t="str">
        <f>"1802.40"</f>
        <v>1802.40</v>
      </c>
      <c r="J712" s="1" t="str">
        <f t="shared" si="1002"/>
        <v>5.00</v>
      </c>
      <c r="K712" s="1" t="str">
        <f t="shared" si="998"/>
        <v>0.00</v>
      </c>
      <c r="L712" s="1" t="str">
        <f t="shared" si="994"/>
        <v>0.00</v>
      </c>
      <c r="M712" s="1" t="str">
        <f t="shared" si="931"/>
        <v>0.00</v>
      </c>
      <c r="N712" s="1" t="str">
        <f t="shared" si="996"/>
        <v>证券卖出</v>
      </c>
    </row>
    <row r="713" spans="1:14">
      <c r="A713" s="1" t="str">
        <f t="shared" si="1001"/>
        <v>20180208</v>
      </c>
      <c r="B713" s="1" t="str">
        <f>"21:37:48"</f>
        <v>21:37:48</v>
      </c>
      <c r="C713" s="1" t="str">
        <f>"736680"</f>
        <v>736680</v>
      </c>
      <c r="D713" s="1" t="str">
        <f>"今创配号"</f>
        <v>今创配号</v>
      </c>
      <c r="E713" s="1" t="str">
        <f t="shared" ref="E713:E717" si="1005">"买入"</f>
        <v>买入</v>
      </c>
      <c r="F713" s="1" t="str">
        <f>"0.000"</f>
        <v>0.000</v>
      </c>
      <c r="G713" s="1" t="str">
        <f>"1.00"</f>
        <v>1.00</v>
      </c>
      <c r="H713" s="1" t="str">
        <f t="shared" si="993"/>
        <v>A850418317</v>
      </c>
      <c r="I713" s="1" t="str">
        <f>"0.00"</f>
        <v>0.00</v>
      </c>
      <c r="J713" s="1" t="str">
        <f>"0.00"</f>
        <v>0.00</v>
      </c>
      <c r="K713" s="1" t="str">
        <f t="shared" si="998"/>
        <v>0.00</v>
      </c>
      <c r="L713" s="1" t="str">
        <f t="shared" si="994"/>
        <v>0.00</v>
      </c>
      <c r="M713" s="1" t="str">
        <f t="shared" si="931"/>
        <v>0.00</v>
      </c>
      <c r="N713" s="1" t="str">
        <f>"起始配号:100008089288"</f>
        <v>起始配号:100008089288</v>
      </c>
    </row>
    <row r="714" spans="1:14">
      <c r="A714" s="1" t="str">
        <f t="shared" ref="A714:A717" si="1006">"20180209"</f>
        <v>20180209</v>
      </c>
      <c r="B714" s="1" t="str">
        <f>"10:54:00"</f>
        <v>10:54:00</v>
      </c>
      <c r="C714" s="1" t="str">
        <f t="shared" ref="C714:C718" si="1007">"600093"</f>
        <v>600093</v>
      </c>
      <c r="D714" s="1" t="str">
        <f t="shared" ref="D714:D718" si="1008">"易见股份"</f>
        <v>易见股份</v>
      </c>
      <c r="E714" s="1" t="str">
        <f t="shared" si="1005"/>
        <v>买入</v>
      </c>
      <c r="F714" s="1" t="str">
        <f>"13.140"</f>
        <v>13.140</v>
      </c>
      <c r="G714" s="1" t="str">
        <f t="shared" ref="G714:G716" si="1009">"100.00"</f>
        <v>100.00</v>
      </c>
      <c r="H714" s="1" t="str">
        <f t="shared" si="993"/>
        <v>A850418317</v>
      </c>
      <c r="I714" s="1" t="str">
        <f>"1314.00"</f>
        <v>1314.00</v>
      </c>
      <c r="J714" s="1" t="str">
        <f t="shared" ref="J714:J716" si="1010">"5.00"</f>
        <v>5.00</v>
      </c>
      <c r="K714" s="1" t="str">
        <f t="shared" si="998"/>
        <v>0.00</v>
      </c>
      <c r="L714" s="1" t="str">
        <f>"0.03"</f>
        <v>0.03</v>
      </c>
      <c r="M714" s="1" t="str">
        <f t="shared" si="931"/>
        <v>0.00</v>
      </c>
      <c r="N714" s="1" t="str">
        <f t="shared" ref="N714:N716" si="1011">"证券买入"</f>
        <v>证券买入</v>
      </c>
    </row>
    <row r="715" spans="1:14">
      <c r="A715" s="1" t="str">
        <f t="shared" si="1006"/>
        <v>20180209</v>
      </c>
      <c r="B715" s="1" t="str">
        <f>"11:10:57"</f>
        <v>11:10:57</v>
      </c>
      <c r="C715" s="1" t="str">
        <f t="shared" si="1007"/>
        <v>600093</v>
      </c>
      <c r="D715" s="1" t="str">
        <f t="shared" si="1008"/>
        <v>易见股份</v>
      </c>
      <c r="E715" s="1" t="str">
        <f t="shared" si="1005"/>
        <v>买入</v>
      </c>
      <c r="F715" s="1" t="str">
        <f>"13.340"</f>
        <v>13.340</v>
      </c>
      <c r="G715" s="1" t="str">
        <f t="shared" si="1009"/>
        <v>100.00</v>
      </c>
      <c r="H715" s="1" t="str">
        <f t="shared" si="993"/>
        <v>A850418317</v>
      </c>
      <c r="I715" s="1" t="str">
        <f>"1334.00"</f>
        <v>1334.00</v>
      </c>
      <c r="J715" s="1" t="str">
        <f t="shared" si="1010"/>
        <v>5.00</v>
      </c>
      <c r="K715" s="1" t="str">
        <f t="shared" si="998"/>
        <v>0.00</v>
      </c>
      <c r="L715" s="1" t="str">
        <f>"0.03"</f>
        <v>0.03</v>
      </c>
      <c r="M715" s="1" t="str">
        <f t="shared" si="931"/>
        <v>0.00</v>
      </c>
      <c r="N715" s="1" t="str">
        <f t="shared" si="1011"/>
        <v>证券买入</v>
      </c>
    </row>
    <row r="716" spans="1:14">
      <c r="A716" s="1" t="str">
        <f t="shared" si="1006"/>
        <v>20180209</v>
      </c>
      <c r="B716" s="1" t="str">
        <f>"10:50:43"</f>
        <v>10:50:43</v>
      </c>
      <c r="C716" s="1" t="str">
        <f>"002907"</f>
        <v>002907</v>
      </c>
      <c r="D716" s="1" t="str">
        <f>"华森制药"</f>
        <v>华森制药</v>
      </c>
      <c r="E716" s="1" t="str">
        <f t="shared" si="1005"/>
        <v>买入</v>
      </c>
      <c r="F716" s="1" t="str">
        <f>"29.330"</f>
        <v>29.330</v>
      </c>
      <c r="G716" s="1" t="str">
        <f t="shared" si="1009"/>
        <v>100.00</v>
      </c>
      <c r="H716" s="1" t="str">
        <f t="shared" ref="H716:H722" si="1012">"0104152129"</f>
        <v>0104152129</v>
      </c>
      <c r="I716" s="1" t="str">
        <f>"2933.00"</f>
        <v>2933.00</v>
      </c>
      <c r="J716" s="1" t="str">
        <f t="shared" si="1010"/>
        <v>5.00</v>
      </c>
      <c r="K716" s="1" t="str">
        <f t="shared" si="998"/>
        <v>0.00</v>
      </c>
      <c r="L716" s="1" t="str">
        <f>"0.06"</f>
        <v>0.06</v>
      </c>
      <c r="M716" s="1" t="str">
        <f t="shared" si="931"/>
        <v>0.00</v>
      </c>
      <c r="N716" s="1" t="str">
        <f t="shared" si="1011"/>
        <v>证券买入</v>
      </c>
    </row>
    <row r="717" spans="1:14">
      <c r="A717" s="1" t="str">
        <f t="shared" si="1006"/>
        <v>20180209</v>
      </c>
      <c r="B717" s="1" t="str">
        <f>"22:26:34"</f>
        <v>22:26:34</v>
      </c>
      <c r="C717" s="1" t="str">
        <f>"736059"</f>
        <v>736059</v>
      </c>
      <c r="D717" s="1" t="str">
        <f>"倍加配号"</f>
        <v>倍加配号</v>
      </c>
      <c r="E717" s="1" t="str">
        <f t="shared" si="1005"/>
        <v>买入</v>
      </c>
      <c r="F717" s="1" t="str">
        <f t="shared" ref="F717:F722" si="1013">"0.000"</f>
        <v>0.000</v>
      </c>
      <c r="G717" s="1" t="str">
        <f>"1.00"</f>
        <v>1.00</v>
      </c>
      <c r="H717" s="1" t="str">
        <f>"A850418317"</f>
        <v>A850418317</v>
      </c>
      <c r="I717" s="1" t="str">
        <f t="shared" ref="I717:L717" si="1014">"0.00"</f>
        <v>0.00</v>
      </c>
      <c r="J717" s="1" t="str">
        <f t="shared" si="1014"/>
        <v>0.00</v>
      </c>
      <c r="K717" s="1" t="str">
        <f t="shared" si="998"/>
        <v>0.00</v>
      </c>
      <c r="L717" s="1" t="str">
        <f t="shared" si="1014"/>
        <v>0.00</v>
      </c>
      <c r="M717" s="1" t="str">
        <f t="shared" si="931"/>
        <v>0.00</v>
      </c>
      <c r="N717" s="1" t="str">
        <f>"起始配号:100024409313"</f>
        <v>起始配号:100024409313</v>
      </c>
    </row>
    <row r="718" spans="1:14">
      <c r="A718" s="1" t="str">
        <f>"20180212"</f>
        <v>20180212</v>
      </c>
      <c r="B718" s="1" t="str">
        <f>"10:05:59"</f>
        <v>10:05:59</v>
      </c>
      <c r="C718" s="1" t="str">
        <f t="shared" si="1007"/>
        <v>600093</v>
      </c>
      <c r="D718" s="1" t="str">
        <f t="shared" si="1008"/>
        <v>易见股份</v>
      </c>
      <c r="E718" s="1" t="str">
        <f t="shared" ref="E718:E723" si="1015">"卖出"</f>
        <v>卖出</v>
      </c>
      <c r="F718" s="1" t="str">
        <f>"13.370"</f>
        <v>13.370</v>
      </c>
      <c r="G718" s="1" t="str">
        <f>"-200.00"</f>
        <v>-200.00</v>
      </c>
      <c r="H718" s="1" t="str">
        <f>"A850418317"</f>
        <v>A850418317</v>
      </c>
      <c r="I718" s="1" t="str">
        <f>"2674.00"</f>
        <v>2674.00</v>
      </c>
      <c r="J718" s="1" t="str">
        <f t="shared" ref="J718:J743" si="1016">"5.00"</f>
        <v>5.00</v>
      </c>
      <c r="K718" s="1" t="str">
        <f>"2.67"</f>
        <v>2.67</v>
      </c>
      <c r="L718" s="1" t="str">
        <f>"0.05"</f>
        <v>0.05</v>
      </c>
      <c r="M718" s="1" t="str">
        <f t="shared" si="931"/>
        <v>0.00</v>
      </c>
      <c r="N718" s="1" t="str">
        <f t="shared" ref="N718:N723" si="1017">"证券卖出"</f>
        <v>证券卖出</v>
      </c>
    </row>
    <row r="719" spans="1:14">
      <c r="A719" s="1" t="str">
        <f>"20180212"</f>
        <v>20180212</v>
      </c>
      <c r="B719" s="1" t="str">
        <f>"13:44:15"</f>
        <v>13:44:15</v>
      </c>
      <c r="C719" s="1" t="str">
        <f>"002907"</f>
        <v>002907</v>
      </c>
      <c r="D719" s="1" t="str">
        <f>"华森制药"</f>
        <v>华森制药</v>
      </c>
      <c r="E719" s="1" t="str">
        <f t="shared" si="1015"/>
        <v>卖出</v>
      </c>
      <c r="F719" s="1" t="str">
        <f>"30.000"</f>
        <v>30.000</v>
      </c>
      <c r="G719" s="1" t="str">
        <f>"-100.00"</f>
        <v>-100.00</v>
      </c>
      <c r="H719" s="1" t="str">
        <f t="shared" si="1012"/>
        <v>0104152129</v>
      </c>
      <c r="I719" s="1" t="str">
        <f>"3000.00"</f>
        <v>3000.00</v>
      </c>
      <c r="J719" s="1" t="str">
        <f t="shared" si="1016"/>
        <v>5.00</v>
      </c>
      <c r="K719" s="1" t="str">
        <f>"3.00"</f>
        <v>3.00</v>
      </c>
      <c r="L719" s="1" t="str">
        <f>"0.06"</f>
        <v>0.06</v>
      </c>
      <c r="M719" s="1" t="str">
        <f t="shared" si="931"/>
        <v>0.00</v>
      </c>
      <c r="N719" s="1" t="str">
        <f t="shared" si="1017"/>
        <v>证券卖出</v>
      </c>
    </row>
    <row r="720" spans="1:14">
      <c r="A720" s="1" t="str">
        <f>"20180213"</f>
        <v>20180213</v>
      </c>
      <c r="B720" s="1" t="str">
        <f>"21:26:17"</f>
        <v>21:26:17</v>
      </c>
      <c r="C720" s="1" t="str">
        <f>"300741"</f>
        <v>300741</v>
      </c>
      <c r="D720" s="1" t="str">
        <f>"华宝股份"</f>
        <v>华宝股份</v>
      </c>
      <c r="E720" s="1" t="str">
        <f t="shared" ref="E720:E722" si="1018">"买入"</f>
        <v>买入</v>
      </c>
      <c r="F720" s="1" t="str">
        <f t="shared" si="1013"/>
        <v>0.000</v>
      </c>
      <c r="G720" s="1" t="str">
        <f t="shared" ref="G720:G722" si="1019">"2.00"</f>
        <v>2.00</v>
      </c>
      <c r="H720" s="1" t="str">
        <f t="shared" si="1012"/>
        <v>0104152129</v>
      </c>
      <c r="I720" s="1" t="str">
        <f t="shared" ref="I720:M720" si="1020">"0.00"</f>
        <v>0.00</v>
      </c>
      <c r="J720" s="1" t="str">
        <f t="shared" si="1020"/>
        <v>0.00</v>
      </c>
      <c r="K720" s="1" t="str">
        <f t="shared" si="1020"/>
        <v>0.00</v>
      </c>
      <c r="L720" s="1" t="str">
        <f t="shared" si="1020"/>
        <v>0.00</v>
      </c>
      <c r="M720" s="1" t="str">
        <f t="shared" si="1020"/>
        <v>0.00</v>
      </c>
      <c r="N720" s="1" t="str">
        <f>"起始配号:57364760"</f>
        <v>起始配号:57364760</v>
      </c>
    </row>
    <row r="721" spans="1:14">
      <c r="A721" s="1" t="str">
        <f>"20180213"</f>
        <v>20180213</v>
      </c>
      <c r="B721" s="1" t="str">
        <f>"21:27:17"</f>
        <v>21:27:17</v>
      </c>
      <c r="C721" s="1" t="str">
        <f>"002929"</f>
        <v>002929</v>
      </c>
      <c r="D721" s="1" t="str">
        <f>"润建通信"</f>
        <v>润建通信</v>
      </c>
      <c r="E721" s="1" t="str">
        <f t="shared" si="1018"/>
        <v>买入</v>
      </c>
      <c r="F721" s="1" t="str">
        <f t="shared" si="1013"/>
        <v>0.000</v>
      </c>
      <c r="G721" s="1" t="str">
        <f t="shared" si="1019"/>
        <v>2.00</v>
      </c>
      <c r="H721" s="1" t="str">
        <f t="shared" si="1012"/>
        <v>0104152129</v>
      </c>
      <c r="I721" s="1" t="str">
        <f t="shared" ref="I721:M721" si="1021">"0.00"</f>
        <v>0.00</v>
      </c>
      <c r="J721" s="1" t="str">
        <f t="shared" si="1021"/>
        <v>0.00</v>
      </c>
      <c r="K721" s="1" t="str">
        <f t="shared" si="1021"/>
        <v>0.00</v>
      </c>
      <c r="L721" s="1" t="str">
        <f t="shared" si="1021"/>
        <v>0.00</v>
      </c>
      <c r="M721" s="1" t="str">
        <f t="shared" si="1021"/>
        <v>0.00</v>
      </c>
      <c r="N721" s="1" t="str">
        <f>"起始配号:70530588"</f>
        <v>起始配号:70530588</v>
      </c>
    </row>
    <row r="722" spans="1:14">
      <c r="A722" s="1" t="str">
        <f>"20180214"</f>
        <v>20180214</v>
      </c>
      <c r="B722" s="1" t="str">
        <f>"21:13:15"</f>
        <v>21:13:15</v>
      </c>
      <c r="C722" s="1" t="str">
        <f>"002928"</f>
        <v>002928</v>
      </c>
      <c r="D722" s="1" t="str">
        <f>"华夏航空"</f>
        <v>华夏航空</v>
      </c>
      <c r="E722" s="1" t="str">
        <f t="shared" si="1018"/>
        <v>买入</v>
      </c>
      <c r="F722" s="1" t="str">
        <f t="shared" si="1013"/>
        <v>0.000</v>
      </c>
      <c r="G722" s="1" t="str">
        <f t="shared" si="1019"/>
        <v>2.00</v>
      </c>
      <c r="H722" s="1" t="str">
        <f t="shared" si="1012"/>
        <v>0104152129</v>
      </c>
      <c r="I722" s="1" t="str">
        <f t="shared" ref="I722:M722" si="1022">"0.00"</f>
        <v>0.00</v>
      </c>
      <c r="J722" s="1" t="str">
        <f t="shared" si="1022"/>
        <v>0.00</v>
      </c>
      <c r="K722" s="1" t="str">
        <f t="shared" si="1022"/>
        <v>0.00</v>
      </c>
      <c r="L722" s="1" t="str">
        <f t="shared" si="1022"/>
        <v>0.00</v>
      </c>
      <c r="M722" s="1" t="str">
        <f t="shared" si="1022"/>
        <v>0.00</v>
      </c>
      <c r="N722" s="1" t="str">
        <f>"起始配号:22935334"</f>
        <v>起始配号:22935334</v>
      </c>
    </row>
    <row r="723" spans="1:14">
      <c r="A723" s="1" t="str">
        <f>"20180222"</f>
        <v>20180222</v>
      </c>
      <c r="B723" s="1" t="str">
        <f>"09:50:54"</f>
        <v>09:50:54</v>
      </c>
      <c r="C723" s="1" t="str">
        <f>"600093"</f>
        <v>600093</v>
      </c>
      <c r="D723" s="1" t="str">
        <f>"易见股份"</f>
        <v>易见股份</v>
      </c>
      <c r="E723" s="1" t="str">
        <f t="shared" si="1015"/>
        <v>卖出</v>
      </c>
      <c r="F723" s="1" t="str">
        <f>"13.570"</f>
        <v>13.570</v>
      </c>
      <c r="G723" s="1" t="str">
        <f>"-200.00"</f>
        <v>-200.00</v>
      </c>
      <c r="H723" s="1" t="str">
        <f t="shared" ref="H723:H729" si="1023">"A850418317"</f>
        <v>A850418317</v>
      </c>
      <c r="I723" s="1" t="str">
        <f>"2714.00"</f>
        <v>2714.00</v>
      </c>
      <c r="J723" s="1" t="str">
        <f t="shared" si="1016"/>
        <v>5.00</v>
      </c>
      <c r="K723" s="1" t="str">
        <f>"2.71"</f>
        <v>2.71</v>
      </c>
      <c r="L723" s="1" t="str">
        <f>"0.05"</f>
        <v>0.05</v>
      </c>
      <c r="M723" s="1" t="str">
        <f t="shared" ref="M723:M743" si="1024">"0.00"</f>
        <v>0.00</v>
      </c>
      <c r="N723" s="1" t="str">
        <f t="shared" si="1017"/>
        <v>证券卖出</v>
      </c>
    </row>
    <row r="724" spans="1:14">
      <c r="A724" s="1" t="str">
        <f t="shared" ref="A724:A726" si="1025">"20180223"</f>
        <v>20180223</v>
      </c>
      <c r="B724" s="1" t="str">
        <f>"09:30:01"</f>
        <v>09:30:01</v>
      </c>
      <c r="C724" s="1" t="str">
        <f>"600208"</f>
        <v>600208</v>
      </c>
      <c r="D724" s="1" t="str">
        <f>"新湖中宝"</f>
        <v>新湖中宝</v>
      </c>
      <c r="E724" s="1" t="str">
        <f t="shared" ref="E724:E727" si="1026">"买入"</f>
        <v>买入</v>
      </c>
      <c r="F724" s="1" t="str">
        <f>"4.430"</f>
        <v>4.430</v>
      </c>
      <c r="G724" s="1" t="str">
        <f>"500.00"</f>
        <v>500.00</v>
      </c>
      <c r="H724" s="1" t="str">
        <f t="shared" si="1023"/>
        <v>A850418317</v>
      </c>
      <c r="I724" s="1" t="str">
        <f>"2215.00"</f>
        <v>2215.00</v>
      </c>
      <c r="J724" s="1" t="str">
        <f t="shared" si="1016"/>
        <v>5.00</v>
      </c>
      <c r="K724" s="1" t="str">
        <f t="shared" ref="K724:K727" si="1027">"0.00"</f>
        <v>0.00</v>
      </c>
      <c r="L724" s="1" t="str">
        <f>"0.04"</f>
        <v>0.04</v>
      </c>
      <c r="M724" s="1" t="str">
        <f t="shared" si="1024"/>
        <v>0.00</v>
      </c>
      <c r="N724" s="1" t="str">
        <f t="shared" ref="N724:N727" si="1028">"证券买入"</f>
        <v>证券买入</v>
      </c>
    </row>
    <row r="725" spans="1:14">
      <c r="A725" s="1" t="str">
        <f t="shared" si="1025"/>
        <v>20180223</v>
      </c>
      <c r="B725" s="1" t="str">
        <f>"14:24:09"</f>
        <v>14:24:09</v>
      </c>
      <c r="C725" s="1" t="str">
        <f t="shared" ref="C725:C729" si="1029">"600985"</f>
        <v>600985</v>
      </c>
      <c r="D725" s="1" t="str">
        <f t="shared" ref="D725:D729" si="1030">"雷鸣科化"</f>
        <v>雷鸣科化</v>
      </c>
      <c r="E725" s="1" t="str">
        <f t="shared" si="1026"/>
        <v>买入</v>
      </c>
      <c r="F725" s="1" t="str">
        <f>"15.760"</f>
        <v>15.760</v>
      </c>
      <c r="G725" s="1" t="str">
        <f t="shared" ref="G725:G731" si="1031">"100.00"</f>
        <v>100.00</v>
      </c>
      <c r="H725" s="1" t="str">
        <f t="shared" si="1023"/>
        <v>A850418317</v>
      </c>
      <c r="I725" s="1" t="str">
        <f>"1576.00"</f>
        <v>1576.00</v>
      </c>
      <c r="J725" s="1" t="str">
        <f t="shared" si="1016"/>
        <v>5.00</v>
      </c>
      <c r="K725" s="1" t="str">
        <f t="shared" si="1027"/>
        <v>0.00</v>
      </c>
      <c r="L725" s="1" t="str">
        <f>"0.03"</f>
        <v>0.03</v>
      </c>
      <c r="M725" s="1" t="str">
        <f t="shared" si="1024"/>
        <v>0.00</v>
      </c>
      <c r="N725" s="1" t="str">
        <f t="shared" si="1028"/>
        <v>证券买入</v>
      </c>
    </row>
    <row r="726" spans="1:14">
      <c r="A726" s="1" t="str">
        <f t="shared" si="1025"/>
        <v>20180223</v>
      </c>
      <c r="B726" s="1" t="str">
        <f>"14:26:44"</f>
        <v>14:26:44</v>
      </c>
      <c r="C726" s="1" t="str">
        <f t="shared" si="1029"/>
        <v>600985</v>
      </c>
      <c r="D726" s="1" t="str">
        <f t="shared" si="1030"/>
        <v>雷鸣科化</v>
      </c>
      <c r="E726" s="1" t="str">
        <f t="shared" si="1026"/>
        <v>买入</v>
      </c>
      <c r="F726" s="1" t="str">
        <f>"15.900"</f>
        <v>15.900</v>
      </c>
      <c r="G726" s="1" t="str">
        <f>"200.00"</f>
        <v>200.00</v>
      </c>
      <c r="H726" s="1" t="str">
        <f t="shared" si="1023"/>
        <v>A850418317</v>
      </c>
      <c r="I726" s="1" t="str">
        <f>"3180.00"</f>
        <v>3180.00</v>
      </c>
      <c r="J726" s="1" t="str">
        <f t="shared" si="1016"/>
        <v>5.00</v>
      </c>
      <c r="K726" s="1" t="str">
        <f t="shared" si="1027"/>
        <v>0.00</v>
      </c>
      <c r="L726" s="1" t="str">
        <f>"0.06"</f>
        <v>0.06</v>
      </c>
      <c r="M726" s="1" t="str">
        <f t="shared" si="1024"/>
        <v>0.00</v>
      </c>
      <c r="N726" s="1" t="str">
        <f t="shared" si="1028"/>
        <v>证券买入</v>
      </c>
    </row>
    <row r="727" spans="1:14">
      <c r="A727" s="1" t="str">
        <f t="shared" ref="A727:A730" si="1032">"20180226"</f>
        <v>20180226</v>
      </c>
      <c r="B727" s="1" t="str">
        <f>"09:38:59"</f>
        <v>09:38:59</v>
      </c>
      <c r="C727" s="1" t="str">
        <f>"600093"</f>
        <v>600093</v>
      </c>
      <c r="D727" s="1" t="str">
        <f>"易见股份"</f>
        <v>易见股份</v>
      </c>
      <c r="E727" s="1" t="str">
        <f t="shared" si="1026"/>
        <v>买入</v>
      </c>
      <c r="F727" s="1" t="str">
        <f>"14.440"</f>
        <v>14.440</v>
      </c>
      <c r="G727" s="1" t="str">
        <f>"700.00"</f>
        <v>700.00</v>
      </c>
      <c r="H727" s="1" t="str">
        <f t="shared" si="1023"/>
        <v>A850418317</v>
      </c>
      <c r="I727" s="1" t="str">
        <f>"10108.00"</f>
        <v>10108.00</v>
      </c>
      <c r="J727" s="1" t="str">
        <f t="shared" si="1016"/>
        <v>5.00</v>
      </c>
      <c r="K727" s="1" t="str">
        <f t="shared" si="1027"/>
        <v>0.00</v>
      </c>
      <c r="L727" s="1" t="str">
        <f>"0.20"</f>
        <v>0.20</v>
      </c>
      <c r="M727" s="1" t="str">
        <f t="shared" si="1024"/>
        <v>0.00</v>
      </c>
      <c r="N727" s="1" t="str">
        <f t="shared" si="1028"/>
        <v>证券买入</v>
      </c>
    </row>
    <row r="728" spans="1:14">
      <c r="A728" s="1" t="str">
        <f t="shared" si="1032"/>
        <v>20180226</v>
      </c>
      <c r="B728" s="1" t="str">
        <f>"09:46:08"</f>
        <v>09:46:08</v>
      </c>
      <c r="C728" s="1" t="str">
        <f>"600208"</f>
        <v>600208</v>
      </c>
      <c r="D728" s="1" t="str">
        <f>"新湖中宝"</f>
        <v>新湖中宝</v>
      </c>
      <c r="E728" s="1" t="str">
        <f t="shared" ref="E728:E733" si="1033">"卖出"</f>
        <v>卖出</v>
      </c>
      <c r="F728" s="1" t="str">
        <f>"4.370"</f>
        <v>4.370</v>
      </c>
      <c r="G728" s="1" t="str">
        <f>"-500.00"</f>
        <v>-500.00</v>
      </c>
      <c r="H728" s="1" t="str">
        <f t="shared" si="1023"/>
        <v>A850418317</v>
      </c>
      <c r="I728" s="1" t="str">
        <f>"2185.00"</f>
        <v>2185.00</v>
      </c>
      <c r="J728" s="1" t="str">
        <f t="shared" si="1016"/>
        <v>5.00</v>
      </c>
      <c r="K728" s="1" t="str">
        <f>"2.19"</f>
        <v>2.19</v>
      </c>
      <c r="L728" s="1" t="str">
        <f>"0.04"</f>
        <v>0.04</v>
      </c>
      <c r="M728" s="1" t="str">
        <f t="shared" si="1024"/>
        <v>0.00</v>
      </c>
      <c r="N728" s="1" t="str">
        <f t="shared" ref="N728:N733" si="1034">"证券卖出"</f>
        <v>证券卖出</v>
      </c>
    </row>
    <row r="729" spans="1:14">
      <c r="A729" s="1" t="str">
        <f t="shared" si="1032"/>
        <v>20180226</v>
      </c>
      <c r="B729" s="1" t="str">
        <f>"09:46:26"</f>
        <v>09:46:26</v>
      </c>
      <c r="C729" s="1" t="str">
        <f t="shared" si="1029"/>
        <v>600985</v>
      </c>
      <c r="D729" s="1" t="str">
        <f t="shared" si="1030"/>
        <v>雷鸣科化</v>
      </c>
      <c r="E729" s="1" t="str">
        <f t="shared" ref="E729:E731" si="1035">"买入"</f>
        <v>买入</v>
      </c>
      <c r="F729" s="1" t="str">
        <f>"16.300"</f>
        <v>16.300</v>
      </c>
      <c r="G729" s="1" t="str">
        <f t="shared" si="1031"/>
        <v>100.00</v>
      </c>
      <c r="H729" s="1" t="str">
        <f t="shared" si="1023"/>
        <v>A850418317</v>
      </c>
      <c r="I729" s="1" t="str">
        <f>"1630.00"</f>
        <v>1630.00</v>
      </c>
      <c r="J729" s="1" t="str">
        <f t="shared" si="1016"/>
        <v>5.00</v>
      </c>
      <c r="K729" s="1" t="str">
        <f t="shared" ref="K729:K731" si="1036">"0.00"</f>
        <v>0.00</v>
      </c>
      <c r="L729" s="1" t="str">
        <f>"0.03"</f>
        <v>0.03</v>
      </c>
      <c r="M729" s="1" t="str">
        <f t="shared" si="1024"/>
        <v>0.00</v>
      </c>
      <c r="N729" s="1" t="str">
        <f t="shared" ref="N729:N731" si="1037">"证券买入"</f>
        <v>证券买入</v>
      </c>
    </row>
    <row r="730" spans="1:14">
      <c r="A730" s="1" t="str">
        <f t="shared" si="1032"/>
        <v>20180226</v>
      </c>
      <c r="B730" s="1" t="str">
        <f>"10:27:19"</f>
        <v>10:27:19</v>
      </c>
      <c r="C730" s="1" t="str">
        <f>"300058"</f>
        <v>300058</v>
      </c>
      <c r="D730" s="1" t="str">
        <f>"蓝色光标"</f>
        <v>蓝色光标</v>
      </c>
      <c r="E730" s="1" t="str">
        <f t="shared" si="1035"/>
        <v>买入</v>
      </c>
      <c r="F730" s="1" t="str">
        <f>"7.220"</f>
        <v>7.220</v>
      </c>
      <c r="G730" s="1" t="str">
        <f t="shared" si="1031"/>
        <v>100.00</v>
      </c>
      <c r="H730" s="1" t="str">
        <f>"0104152129"</f>
        <v>0104152129</v>
      </c>
      <c r="I730" s="1" t="str">
        <f>"722.00"</f>
        <v>722.00</v>
      </c>
      <c r="J730" s="1" t="str">
        <f t="shared" si="1016"/>
        <v>5.00</v>
      </c>
      <c r="K730" s="1" t="str">
        <f t="shared" si="1036"/>
        <v>0.00</v>
      </c>
      <c r="L730" s="1" t="str">
        <f>"0.01"</f>
        <v>0.01</v>
      </c>
      <c r="M730" s="1" t="str">
        <f t="shared" si="1024"/>
        <v>0.00</v>
      </c>
      <c r="N730" s="1" t="str">
        <f t="shared" si="1037"/>
        <v>证券买入</v>
      </c>
    </row>
    <row r="731" spans="1:14">
      <c r="A731" s="1" t="str">
        <f>"20180227"</f>
        <v>20180227</v>
      </c>
      <c r="B731" s="1" t="str">
        <f>"10:29:57"</f>
        <v>10:29:57</v>
      </c>
      <c r="C731" s="1" t="str">
        <f>"300176"</f>
        <v>300176</v>
      </c>
      <c r="D731" s="1" t="str">
        <f>"鸿特精密"</f>
        <v>鸿特精密</v>
      </c>
      <c r="E731" s="1" t="str">
        <f t="shared" si="1035"/>
        <v>买入</v>
      </c>
      <c r="F731" s="1" t="str">
        <f>"128.780"</f>
        <v>128.780</v>
      </c>
      <c r="G731" s="1" t="str">
        <f t="shared" si="1031"/>
        <v>100.00</v>
      </c>
      <c r="H731" s="1" t="str">
        <f>"0104152129"</f>
        <v>0104152129</v>
      </c>
      <c r="I731" s="1" t="str">
        <f>"12878.00"</f>
        <v>12878.00</v>
      </c>
      <c r="J731" s="1" t="str">
        <f t="shared" si="1016"/>
        <v>5.00</v>
      </c>
      <c r="K731" s="1" t="str">
        <f t="shared" si="1036"/>
        <v>0.00</v>
      </c>
      <c r="L731" s="1" t="str">
        <f>"0.26"</f>
        <v>0.26</v>
      </c>
      <c r="M731" s="1" t="str">
        <f t="shared" si="1024"/>
        <v>0.00</v>
      </c>
      <c r="N731" s="1" t="str">
        <f t="shared" si="1037"/>
        <v>证券买入</v>
      </c>
    </row>
    <row r="732" spans="1:14">
      <c r="A732" s="1" t="str">
        <f t="shared" ref="A732:A739" si="1038">"20180228"</f>
        <v>20180228</v>
      </c>
      <c r="B732" s="1" t="str">
        <f>"09:33:52"</f>
        <v>09:33:52</v>
      </c>
      <c r="C732" s="1" t="str">
        <f t="shared" ref="C732:C738" si="1039">"600093"</f>
        <v>600093</v>
      </c>
      <c r="D732" s="1" t="str">
        <f t="shared" ref="D732:D738" si="1040">"易见股份"</f>
        <v>易见股份</v>
      </c>
      <c r="E732" s="1" t="str">
        <f t="shared" si="1033"/>
        <v>卖出</v>
      </c>
      <c r="F732" s="1" t="str">
        <f>"16.490"</f>
        <v>16.490</v>
      </c>
      <c r="G732" s="1" t="str">
        <f>"-300.00"</f>
        <v>-300.00</v>
      </c>
      <c r="H732" s="1" t="str">
        <f t="shared" ref="H732:H738" si="1041">"A850418317"</f>
        <v>A850418317</v>
      </c>
      <c r="I732" s="1" t="str">
        <f>"4947.00"</f>
        <v>4947.00</v>
      </c>
      <c r="J732" s="1" t="str">
        <f t="shared" si="1016"/>
        <v>5.00</v>
      </c>
      <c r="K732" s="1" t="str">
        <f>"4.95"</f>
        <v>4.95</v>
      </c>
      <c r="L732" s="1" t="str">
        <f>"0.10"</f>
        <v>0.10</v>
      </c>
      <c r="M732" s="1" t="str">
        <f t="shared" si="1024"/>
        <v>0.00</v>
      </c>
      <c r="N732" s="1" t="str">
        <f t="shared" si="1034"/>
        <v>证券卖出</v>
      </c>
    </row>
    <row r="733" spans="1:14">
      <c r="A733" s="1" t="str">
        <f t="shared" si="1038"/>
        <v>20180228</v>
      </c>
      <c r="B733" s="1" t="str">
        <f>"09:36:50"</f>
        <v>09:36:50</v>
      </c>
      <c r="C733" s="1" t="str">
        <f>"600985"</f>
        <v>600985</v>
      </c>
      <c r="D733" s="1" t="str">
        <f>"雷鸣科化"</f>
        <v>雷鸣科化</v>
      </c>
      <c r="E733" s="1" t="str">
        <f t="shared" si="1033"/>
        <v>卖出</v>
      </c>
      <c r="F733" s="1" t="str">
        <f>"15.460"</f>
        <v>15.460</v>
      </c>
      <c r="G733" s="1" t="str">
        <f>"-100.00"</f>
        <v>-100.00</v>
      </c>
      <c r="H733" s="1" t="str">
        <f t="shared" si="1041"/>
        <v>A850418317</v>
      </c>
      <c r="I733" s="1" t="str">
        <f>"1546.00"</f>
        <v>1546.00</v>
      </c>
      <c r="J733" s="1" t="str">
        <f t="shared" si="1016"/>
        <v>5.00</v>
      </c>
      <c r="K733" s="1" t="str">
        <f>"1.55"</f>
        <v>1.55</v>
      </c>
      <c r="L733" s="1" t="str">
        <f t="shared" ref="L733:L737" si="1042">"0.03"</f>
        <v>0.03</v>
      </c>
      <c r="M733" s="1" t="str">
        <f t="shared" si="1024"/>
        <v>0.00</v>
      </c>
      <c r="N733" s="1" t="str">
        <f t="shared" si="1034"/>
        <v>证券卖出</v>
      </c>
    </row>
    <row r="734" spans="1:14">
      <c r="A734" s="1" t="str">
        <f t="shared" si="1038"/>
        <v>20180228</v>
      </c>
      <c r="B734" s="1" t="str">
        <f>"09:38:40"</f>
        <v>09:38:40</v>
      </c>
      <c r="C734" s="1" t="str">
        <f>"603799"</f>
        <v>603799</v>
      </c>
      <c r="D734" s="1" t="str">
        <f>"华友钴业"</f>
        <v>华友钴业</v>
      </c>
      <c r="E734" s="1" t="str">
        <f t="shared" ref="E734:E738" si="1043">"买入"</f>
        <v>买入</v>
      </c>
      <c r="F734" s="1" t="str">
        <f>"115.770"</f>
        <v>115.770</v>
      </c>
      <c r="G734" s="1" t="str">
        <f t="shared" ref="G734:G737" si="1044">"100.00"</f>
        <v>100.00</v>
      </c>
      <c r="H734" s="1" t="str">
        <f t="shared" si="1041"/>
        <v>A850418317</v>
      </c>
      <c r="I734" s="1" t="str">
        <f>"11577.00"</f>
        <v>11577.00</v>
      </c>
      <c r="J734" s="1" t="str">
        <f t="shared" si="1016"/>
        <v>5.00</v>
      </c>
      <c r="K734" s="1" t="str">
        <f t="shared" ref="K734:K738" si="1045">"0.00"</f>
        <v>0.00</v>
      </c>
      <c r="L734" s="1" t="str">
        <f>"0.23"</f>
        <v>0.23</v>
      </c>
      <c r="M734" s="1" t="str">
        <f t="shared" si="1024"/>
        <v>0.00</v>
      </c>
      <c r="N734" s="1" t="str">
        <f t="shared" ref="N734:N738" si="1046">"证券买入"</f>
        <v>证券买入</v>
      </c>
    </row>
    <row r="735" spans="1:14">
      <c r="A735" s="1" t="str">
        <f t="shared" si="1038"/>
        <v>20180228</v>
      </c>
      <c r="B735" s="1" t="str">
        <f>"09:52:27"</f>
        <v>09:52:27</v>
      </c>
      <c r="C735" s="1" t="str">
        <f>"600985"</f>
        <v>600985</v>
      </c>
      <c r="D735" s="1" t="str">
        <f>"雷鸣科化"</f>
        <v>雷鸣科化</v>
      </c>
      <c r="E735" s="1" t="str">
        <f t="shared" si="1043"/>
        <v>买入</v>
      </c>
      <c r="F735" s="1" t="str">
        <f>"15.570"</f>
        <v>15.570</v>
      </c>
      <c r="G735" s="1" t="str">
        <f t="shared" si="1044"/>
        <v>100.00</v>
      </c>
      <c r="H735" s="1" t="str">
        <f t="shared" si="1041"/>
        <v>A850418317</v>
      </c>
      <c r="I735" s="1" t="str">
        <f>"1557.00"</f>
        <v>1557.00</v>
      </c>
      <c r="J735" s="1" t="str">
        <f t="shared" si="1016"/>
        <v>5.00</v>
      </c>
      <c r="K735" s="1" t="str">
        <f t="shared" si="1045"/>
        <v>0.00</v>
      </c>
      <c r="L735" s="1" t="str">
        <f t="shared" si="1042"/>
        <v>0.03</v>
      </c>
      <c r="M735" s="1" t="str">
        <f t="shared" si="1024"/>
        <v>0.00</v>
      </c>
      <c r="N735" s="1" t="str">
        <f t="shared" si="1046"/>
        <v>证券买入</v>
      </c>
    </row>
    <row r="736" spans="1:14">
      <c r="A736" s="1" t="str">
        <f t="shared" si="1038"/>
        <v>20180228</v>
      </c>
      <c r="B736" s="1" t="str">
        <f>"09:52:51"</f>
        <v>09:52:51</v>
      </c>
      <c r="C736" s="1" t="str">
        <f t="shared" si="1039"/>
        <v>600093</v>
      </c>
      <c r="D736" s="1" t="str">
        <f t="shared" si="1040"/>
        <v>易见股份</v>
      </c>
      <c r="E736" s="1" t="str">
        <f t="shared" si="1043"/>
        <v>买入</v>
      </c>
      <c r="F736" s="1" t="str">
        <f>"15.900"</f>
        <v>15.900</v>
      </c>
      <c r="G736" s="1" t="str">
        <f t="shared" si="1044"/>
        <v>100.00</v>
      </c>
      <c r="H736" s="1" t="str">
        <f t="shared" si="1041"/>
        <v>A850418317</v>
      </c>
      <c r="I736" s="1" t="str">
        <f>"1590.00"</f>
        <v>1590.00</v>
      </c>
      <c r="J736" s="1" t="str">
        <f t="shared" si="1016"/>
        <v>5.00</v>
      </c>
      <c r="K736" s="1" t="str">
        <f t="shared" si="1045"/>
        <v>0.00</v>
      </c>
      <c r="L736" s="1" t="str">
        <f t="shared" si="1042"/>
        <v>0.03</v>
      </c>
      <c r="M736" s="1" t="str">
        <f t="shared" si="1024"/>
        <v>0.00</v>
      </c>
      <c r="N736" s="1" t="str">
        <f t="shared" si="1046"/>
        <v>证券买入</v>
      </c>
    </row>
    <row r="737" spans="1:14">
      <c r="A737" s="1" t="str">
        <f t="shared" si="1038"/>
        <v>20180228</v>
      </c>
      <c r="B737" s="1" t="str">
        <f>"09:54:27"</f>
        <v>09:54:27</v>
      </c>
      <c r="C737" s="1" t="str">
        <f t="shared" si="1039"/>
        <v>600093</v>
      </c>
      <c r="D737" s="1" t="str">
        <f t="shared" si="1040"/>
        <v>易见股份</v>
      </c>
      <c r="E737" s="1" t="str">
        <f t="shared" si="1043"/>
        <v>买入</v>
      </c>
      <c r="F737" s="1" t="str">
        <f>"16.190"</f>
        <v>16.190</v>
      </c>
      <c r="G737" s="1" t="str">
        <f t="shared" si="1044"/>
        <v>100.00</v>
      </c>
      <c r="H737" s="1" t="str">
        <f t="shared" si="1041"/>
        <v>A850418317</v>
      </c>
      <c r="I737" s="1" t="str">
        <f>"1619.00"</f>
        <v>1619.00</v>
      </c>
      <c r="J737" s="1" t="str">
        <f t="shared" si="1016"/>
        <v>5.00</v>
      </c>
      <c r="K737" s="1" t="str">
        <f t="shared" si="1045"/>
        <v>0.00</v>
      </c>
      <c r="L737" s="1" t="str">
        <f t="shared" si="1042"/>
        <v>0.03</v>
      </c>
      <c r="M737" s="1" t="str">
        <f t="shared" si="1024"/>
        <v>0.00</v>
      </c>
      <c r="N737" s="1" t="str">
        <f t="shared" si="1046"/>
        <v>证券买入</v>
      </c>
    </row>
    <row r="738" spans="1:14">
      <c r="A738" s="1" t="str">
        <f t="shared" si="1038"/>
        <v>20180228</v>
      </c>
      <c r="B738" s="1" t="str">
        <f>"09:58:45"</f>
        <v>09:58:45</v>
      </c>
      <c r="C738" s="1" t="str">
        <f t="shared" si="1039"/>
        <v>600093</v>
      </c>
      <c r="D738" s="1" t="str">
        <f t="shared" si="1040"/>
        <v>易见股份</v>
      </c>
      <c r="E738" s="1" t="str">
        <f t="shared" si="1043"/>
        <v>买入</v>
      </c>
      <c r="F738" s="1" t="str">
        <f>"16.200"</f>
        <v>16.200</v>
      </c>
      <c r="G738" s="1" t="str">
        <f>"200.00"</f>
        <v>200.00</v>
      </c>
      <c r="H738" s="1" t="str">
        <f t="shared" si="1041"/>
        <v>A850418317</v>
      </c>
      <c r="I738" s="1" t="str">
        <f>"3240.00"</f>
        <v>3240.00</v>
      </c>
      <c r="J738" s="1" t="str">
        <f t="shared" si="1016"/>
        <v>5.00</v>
      </c>
      <c r="K738" s="1" t="str">
        <f t="shared" si="1045"/>
        <v>0.00</v>
      </c>
      <c r="L738" s="1" t="str">
        <f>"0.06"</f>
        <v>0.06</v>
      </c>
      <c r="M738" s="1" t="str">
        <f t="shared" si="1024"/>
        <v>0.00</v>
      </c>
      <c r="N738" s="1" t="str">
        <f t="shared" si="1046"/>
        <v>证券买入</v>
      </c>
    </row>
    <row r="739" spans="1:14">
      <c r="A739" s="1" t="str">
        <f t="shared" si="1038"/>
        <v>20180228</v>
      </c>
      <c r="B739" s="1" t="str">
        <f>"09:37:05"</f>
        <v>09:37:05</v>
      </c>
      <c r="C739" s="1" t="str">
        <f>"300176"</f>
        <v>300176</v>
      </c>
      <c r="D739" s="1" t="str">
        <f>"鸿特精密"</f>
        <v>鸿特精密</v>
      </c>
      <c r="E739" s="1" t="str">
        <f t="shared" ref="E739:E742" si="1047">"卖出"</f>
        <v>卖出</v>
      </c>
      <c r="F739" s="1" t="str">
        <f>"133.200"</f>
        <v>133.200</v>
      </c>
      <c r="G739" s="1" t="str">
        <f>"-100.00"</f>
        <v>-100.00</v>
      </c>
      <c r="H739" s="1" t="str">
        <f t="shared" ref="H739:H743" si="1048">"0104152129"</f>
        <v>0104152129</v>
      </c>
      <c r="I739" s="1" t="str">
        <f>"13320.00"</f>
        <v>13320.00</v>
      </c>
      <c r="J739" s="1" t="str">
        <f t="shared" si="1016"/>
        <v>5.00</v>
      </c>
      <c r="K739" s="1" t="str">
        <f>"13.32"</f>
        <v>13.32</v>
      </c>
      <c r="L739" s="1" t="str">
        <f>"0.27"</f>
        <v>0.27</v>
      </c>
      <c r="M739" s="1" t="str">
        <f t="shared" si="1024"/>
        <v>0.00</v>
      </c>
      <c r="N739" s="1" t="str">
        <f t="shared" ref="N739:N742" si="1049">"证券卖出"</f>
        <v>证券卖出</v>
      </c>
    </row>
    <row r="740" spans="1:14">
      <c r="A740" s="1" t="str">
        <f t="shared" ref="A740:A743" si="1050">"20180301"</f>
        <v>20180301</v>
      </c>
      <c r="B740" s="1" t="str">
        <f>"09:38:02"</f>
        <v>09:38:02</v>
      </c>
      <c r="C740" s="1" t="str">
        <f>"600985"</f>
        <v>600985</v>
      </c>
      <c r="D740" s="1" t="str">
        <f>"雷鸣科化"</f>
        <v>雷鸣科化</v>
      </c>
      <c r="E740" s="1" t="str">
        <f t="shared" si="1047"/>
        <v>卖出</v>
      </c>
      <c r="F740" s="1" t="str">
        <f>"15.200"</f>
        <v>15.200</v>
      </c>
      <c r="G740" s="1" t="str">
        <f>"-300.00"</f>
        <v>-300.00</v>
      </c>
      <c r="H740" s="1" t="str">
        <f>"A850418317"</f>
        <v>A850418317</v>
      </c>
      <c r="I740" s="1" t="str">
        <f>"4560.00"</f>
        <v>4560.00</v>
      </c>
      <c r="J740" s="1" t="str">
        <f t="shared" si="1016"/>
        <v>5.00</v>
      </c>
      <c r="K740" s="1" t="str">
        <f>"4.56"</f>
        <v>4.56</v>
      </c>
      <c r="L740" s="1" t="str">
        <f>"0.09"</f>
        <v>0.09</v>
      </c>
      <c r="M740" s="1" t="str">
        <f t="shared" si="1024"/>
        <v>0.00</v>
      </c>
      <c r="N740" s="1" t="str">
        <f t="shared" si="1049"/>
        <v>证券卖出</v>
      </c>
    </row>
    <row r="741" spans="1:14">
      <c r="A741" s="1" t="str">
        <f t="shared" si="1050"/>
        <v>20180301</v>
      </c>
      <c r="B741" s="1" t="str">
        <f>"09:38:35"</f>
        <v>09:38:35</v>
      </c>
      <c r="C741" s="1" t="str">
        <f>"000816"</f>
        <v>000816</v>
      </c>
      <c r="D741" s="1" t="str">
        <f>"智慧农业"</f>
        <v>智慧农业</v>
      </c>
      <c r="E741" s="1" t="str">
        <f>"买入"</f>
        <v>买入</v>
      </c>
      <c r="F741" s="1" t="str">
        <f>"3.980"</f>
        <v>3.980</v>
      </c>
      <c r="G741" s="1" t="str">
        <f>"1100.00"</f>
        <v>1100.00</v>
      </c>
      <c r="H741" s="1" t="str">
        <f t="shared" si="1048"/>
        <v>0104152129</v>
      </c>
      <c r="I741" s="1" t="str">
        <f>"4378.00"</f>
        <v>4378.00</v>
      </c>
      <c r="J741" s="1" t="str">
        <f t="shared" si="1016"/>
        <v>5.00</v>
      </c>
      <c r="K741" s="1" t="str">
        <f>"0.00"</f>
        <v>0.00</v>
      </c>
      <c r="L741" s="1" t="str">
        <f>"0.09"</f>
        <v>0.09</v>
      </c>
      <c r="M741" s="1" t="str">
        <f t="shared" si="1024"/>
        <v>0.00</v>
      </c>
      <c r="N741" s="1" t="str">
        <f>"证券买入"</f>
        <v>证券买入</v>
      </c>
    </row>
    <row r="742" spans="1:14">
      <c r="A742" s="1" t="str">
        <f t="shared" si="1050"/>
        <v>20180301</v>
      </c>
      <c r="B742" s="1" t="str">
        <f>"10:51:05"</f>
        <v>10:51:05</v>
      </c>
      <c r="C742" s="1" t="str">
        <f>"300058"</f>
        <v>300058</v>
      </c>
      <c r="D742" s="1" t="str">
        <f>"蓝色光标"</f>
        <v>蓝色光标</v>
      </c>
      <c r="E742" s="1" t="str">
        <f t="shared" si="1047"/>
        <v>卖出</v>
      </c>
      <c r="F742" s="1" t="str">
        <f>"7.410"</f>
        <v>7.410</v>
      </c>
      <c r="G742" s="1" t="str">
        <f>"-100.00"</f>
        <v>-100.00</v>
      </c>
      <c r="H742" s="1" t="str">
        <f t="shared" si="1048"/>
        <v>0104152129</v>
      </c>
      <c r="I742" s="1" t="str">
        <f>"741.00"</f>
        <v>741.00</v>
      </c>
      <c r="J742" s="1" t="str">
        <f t="shared" si="1016"/>
        <v>5.00</v>
      </c>
      <c r="K742" s="1" t="str">
        <f>"0.74"</f>
        <v>0.74</v>
      </c>
      <c r="L742" s="1" t="str">
        <f>"0.01"</f>
        <v>0.01</v>
      </c>
      <c r="M742" s="1" t="str">
        <f t="shared" si="1024"/>
        <v>0.00</v>
      </c>
      <c r="N742" s="1" t="str">
        <f t="shared" si="1049"/>
        <v>证券卖出</v>
      </c>
    </row>
    <row r="743" spans="1:14">
      <c r="A743" s="1" t="str">
        <f t="shared" si="1050"/>
        <v>20180301</v>
      </c>
      <c r="B743" s="1" t="str">
        <f>"10:51:20"</f>
        <v>10:51:20</v>
      </c>
      <c r="C743" s="1" t="str">
        <f>"000816"</f>
        <v>000816</v>
      </c>
      <c r="D743" s="1" t="str">
        <f>"智慧农业"</f>
        <v>智慧农业</v>
      </c>
      <c r="E743" s="1" t="str">
        <f>"买入"</f>
        <v>买入</v>
      </c>
      <c r="F743" s="1" t="str">
        <f>"4.030"</f>
        <v>4.030</v>
      </c>
      <c r="G743" s="1" t="str">
        <f>"200.00"</f>
        <v>200.00</v>
      </c>
      <c r="H743" s="1" t="str">
        <f t="shared" si="1048"/>
        <v>0104152129</v>
      </c>
      <c r="I743" s="1" t="str">
        <f>"806.00"</f>
        <v>806.00</v>
      </c>
      <c r="J743" s="1" t="str">
        <f t="shared" si="1016"/>
        <v>5.00</v>
      </c>
      <c r="K743" s="1" t="str">
        <f>"0.00"</f>
        <v>0.00</v>
      </c>
      <c r="L743" s="1" t="str">
        <f>"0.02"</f>
        <v>0.02</v>
      </c>
      <c r="M743" s="1" t="str">
        <f t="shared" si="1024"/>
        <v>0.00</v>
      </c>
      <c r="N743" s="1" t="str">
        <f>"证券买入"</f>
        <v>证券买入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9"/>
  <sheetViews>
    <sheetView topLeftCell="A85" workbookViewId="0">
      <selection activeCell="A2" sqref="A2:P109"/>
    </sheetView>
  </sheetViews>
  <sheetFormatPr defaultColWidth="9" defaultRowHeight="13.5"/>
  <cols>
    <col min="1" max="16384" width="9" style="1"/>
  </cols>
  <sheetData>
    <row r="1" spans="1:14">
      <c r="A1" s="1" t="str">
        <f>"成交日期"</f>
        <v>成交日期</v>
      </c>
      <c r="B1" s="1" t="str">
        <f>"成交时间"</f>
        <v>成交时间</v>
      </c>
      <c r="C1" s="1" t="str">
        <f>"证券代码"</f>
        <v>证券代码</v>
      </c>
      <c r="D1" s="1" t="str">
        <f>"证券名称"</f>
        <v>证券名称</v>
      </c>
      <c r="E1" s="1" t="str">
        <f>"买卖标志"</f>
        <v>买卖标志</v>
      </c>
      <c r="F1" s="1" t="str">
        <f>"成交价格"</f>
        <v>成交价格</v>
      </c>
      <c r="G1" s="1" t="str">
        <f>"成交数量"</f>
        <v>成交数量</v>
      </c>
      <c r="H1" s="1" t="str">
        <f>"股东代码"</f>
        <v>股东代码</v>
      </c>
      <c r="I1" s="1" t="str">
        <f>"成交金额"</f>
        <v>成交金额</v>
      </c>
      <c r="J1" s="1" t="str">
        <f>"佣金"</f>
        <v>佣金</v>
      </c>
      <c r="K1" s="1" t="str">
        <f>"印花税"</f>
        <v>印花税</v>
      </c>
      <c r="L1" s="1" t="str">
        <f>"过户费"</f>
        <v>过户费</v>
      </c>
      <c r="M1" s="1" t="str">
        <f>"其他费"</f>
        <v>其他费</v>
      </c>
      <c r="N1" s="1" t="str">
        <f>"备注"</f>
        <v>备注</v>
      </c>
    </row>
    <row r="2" spans="1:14">
      <c r="A2" s="1" t="str">
        <f>"20170824"</f>
        <v>20170824</v>
      </c>
      <c r="B2" s="1" t="str">
        <f>"10:28:28"</f>
        <v>10:28:28</v>
      </c>
      <c r="C2" s="1" t="str">
        <f>"600103"</f>
        <v>600103</v>
      </c>
      <c r="D2" s="1" t="str">
        <f>"青山纸业"</f>
        <v>青山纸业</v>
      </c>
      <c r="E2" s="1" t="str">
        <f>"卖出"</f>
        <v>卖出</v>
      </c>
      <c r="F2" s="1" t="str">
        <f>"4.730"</f>
        <v>4.730</v>
      </c>
      <c r="G2" s="1" t="str">
        <f>"-100.00"</f>
        <v>-100.00</v>
      </c>
      <c r="H2" s="1" t="str">
        <f t="shared" ref="H2:H6" si="0">"A850418317"</f>
        <v>A850418317</v>
      </c>
      <c r="I2" s="1" t="str">
        <f>"473.00"</f>
        <v>473.00</v>
      </c>
      <c r="J2" s="1" t="str">
        <f t="shared" ref="J2:J7" si="1">"5.00"</f>
        <v>5.00</v>
      </c>
      <c r="K2" s="1" t="str">
        <f>"0.47"</f>
        <v>0.47</v>
      </c>
      <c r="L2" s="1" t="str">
        <f>"0.01"</f>
        <v>0.01</v>
      </c>
      <c r="M2" s="1" t="str">
        <f t="shared" ref="M2:M68" si="2">"0.00"</f>
        <v>0.00</v>
      </c>
      <c r="N2" s="1" t="str">
        <f>"证券卖出"</f>
        <v>证券卖出</v>
      </c>
    </row>
    <row r="3" spans="1:14">
      <c r="A3" s="1" t="str">
        <f>"20170824"</f>
        <v>20170824</v>
      </c>
      <c r="B3" s="1" t="str">
        <f>"10:28:50"</f>
        <v>10:28:50</v>
      </c>
      <c r="C3" s="1" t="str">
        <f>"600567"</f>
        <v>600567</v>
      </c>
      <c r="D3" s="1" t="str">
        <f>"山鹰纸业"</f>
        <v>山鹰纸业</v>
      </c>
      <c r="E3" s="1" t="str">
        <f>"卖出"</f>
        <v>卖出</v>
      </c>
      <c r="F3" s="1" t="str">
        <f>"4.580"</f>
        <v>4.580</v>
      </c>
      <c r="G3" s="1" t="str">
        <f>"-300.00"</f>
        <v>-300.00</v>
      </c>
      <c r="H3" s="1" t="str">
        <f t="shared" si="0"/>
        <v>A850418317</v>
      </c>
      <c r="I3" s="1" t="str">
        <f>"1374.00"</f>
        <v>1374.00</v>
      </c>
      <c r="J3" s="1" t="str">
        <f t="shared" si="1"/>
        <v>5.00</v>
      </c>
      <c r="K3" s="1" t="str">
        <f>"1.37"</f>
        <v>1.37</v>
      </c>
      <c r="L3" s="1" t="str">
        <f>"0.03"</f>
        <v>0.03</v>
      </c>
      <c r="M3" s="1" t="str">
        <f t="shared" si="2"/>
        <v>0.00</v>
      </c>
      <c r="N3" s="1" t="str">
        <f>"证券卖出"</f>
        <v>证券卖出</v>
      </c>
    </row>
    <row r="4" spans="1:14">
      <c r="A4" s="1" t="str">
        <f>"20170824"</f>
        <v>20170824</v>
      </c>
      <c r="B4" s="1" t="str">
        <f>"21:28:19"</f>
        <v>21:28:19</v>
      </c>
      <c r="C4" s="1" t="str">
        <f>"736183"</f>
        <v>736183</v>
      </c>
      <c r="D4" s="1" t="str">
        <f>"建研配号"</f>
        <v>建研配号</v>
      </c>
      <c r="E4" s="1" t="str">
        <f t="shared" ref="E4:E12" si="3">"买入"</f>
        <v>买入</v>
      </c>
      <c r="F4" s="1" t="str">
        <f t="shared" ref="F4:F6" si="4">"0.000"</f>
        <v>0.000</v>
      </c>
      <c r="G4" s="1" t="str">
        <f t="shared" ref="G4:G6" si="5">"1.00"</f>
        <v>1.00</v>
      </c>
      <c r="H4" s="1" t="str">
        <f t="shared" si="0"/>
        <v>A850418317</v>
      </c>
      <c r="I4" s="1" t="str">
        <f t="shared" ref="I4:M4" si="6">"0.00"</f>
        <v>0.00</v>
      </c>
      <c r="J4" s="1" t="str">
        <f t="shared" si="6"/>
        <v>0.00</v>
      </c>
      <c r="K4" s="1" t="str">
        <f t="shared" si="6"/>
        <v>0.00</v>
      </c>
      <c r="L4" s="1" t="str">
        <f t="shared" si="6"/>
        <v>0.00</v>
      </c>
      <c r="M4" s="1" t="str">
        <f t="shared" si="6"/>
        <v>0.00</v>
      </c>
      <c r="N4" s="1" t="str">
        <f>"起始配号:100033427750"</f>
        <v>起始配号:100033427750</v>
      </c>
    </row>
    <row r="5" spans="1:14">
      <c r="A5" s="1" t="str">
        <f>"20170824"</f>
        <v>20170824</v>
      </c>
      <c r="B5" s="1" t="str">
        <f>"21:29:22"</f>
        <v>21:29:22</v>
      </c>
      <c r="C5" s="1" t="str">
        <f>"736527"</f>
        <v>736527</v>
      </c>
      <c r="D5" s="1" t="str">
        <f>"众源配号"</f>
        <v>众源配号</v>
      </c>
      <c r="E5" s="1" t="str">
        <f t="shared" si="3"/>
        <v>买入</v>
      </c>
      <c r="F5" s="1" t="str">
        <f t="shared" si="4"/>
        <v>0.000</v>
      </c>
      <c r="G5" s="1" t="str">
        <f t="shared" si="5"/>
        <v>1.00</v>
      </c>
      <c r="H5" s="1" t="str">
        <f t="shared" si="0"/>
        <v>A850418317</v>
      </c>
      <c r="I5" s="1" t="str">
        <f t="shared" ref="I5:M5" si="7">"0.00"</f>
        <v>0.00</v>
      </c>
      <c r="J5" s="1" t="str">
        <f t="shared" si="7"/>
        <v>0.00</v>
      </c>
      <c r="K5" s="1" t="str">
        <f t="shared" si="7"/>
        <v>0.00</v>
      </c>
      <c r="L5" s="1" t="str">
        <f t="shared" si="7"/>
        <v>0.00</v>
      </c>
      <c r="M5" s="1" t="str">
        <f t="shared" si="7"/>
        <v>0.00</v>
      </c>
      <c r="N5" s="1" t="str">
        <f>"起始配号:100042545810"</f>
        <v>起始配号:100042545810</v>
      </c>
    </row>
    <row r="6" spans="1:14">
      <c r="A6" s="1" t="str">
        <f>"20170825"</f>
        <v>20170825</v>
      </c>
      <c r="B6" s="1" t="str">
        <f>"22:03:10"</f>
        <v>22:03:10</v>
      </c>
      <c r="C6" s="1" t="str">
        <f>"736725"</f>
        <v>736725</v>
      </c>
      <c r="D6" s="1" t="str">
        <f>"天安配号"</f>
        <v>天安配号</v>
      </c>
      <c r="E6" s="1" t="str">
        <f t="shared" si="3"/>
        <v>买入</v>
      </c>
      <c r="F6" s="1" t="str">
        <f t="shared" si="4"/>
        <v>0.000</v>
      </c>
      <c r="G6" s="1" t="str">
        <f t="shared" si="5"/>
        <v>1.00</v>
      </c>
      <c r="H6" s="1" t="str">
        <f t="shared" si="0"/>
        <v>A850418317</v>
      </c>
      <c r="I6" s="1" t="str">
        <f t="shared" ref="I6:M6" si="8">"0.00"</f>
        <v>0.00</v>
      </c>
      <c r="J6" s="1" t="str">
        <f t="shared" si="8"/>
        <v>0.00</v>
      </c>
      <c r="K6" s="1" t="str">
        <f t="shared" si="8"/>
        <v>0.00</v>
      </c>
      <c r="L6" s="1" t="str">
        <f t="shared" si="8"/>
        <v>0.00</v>
      </c>
      <c r="M6" s="1" t="str">
        <f t="shared" si="8"/>
        <v>0.00</v>
      </c>
      <c r="N6" s="1" t="str">
        <f>"起始配号:100015197309"</f>
        <v>起始配号:100015197309</v>
      </c>
    </row>
    <row r="7" spans="1:14">
      <c r="A7" s="1" t="str">
        <f>"20170829"</f>
        <v>20170829</v>
      </c>
      <c r="B7" s="1" t="str">
        <f>"09:30:15"</f>
        <v>09:30:15</v>
      </c>
      <c r="C7" s="1" t="str">
        <f>"002019"</f>
        <v>002019</v>
      </c>
      <c r="D7" s="1" t="str">
        <f>"亿帆医药"</f>
        <v>亿帆医药</v>
      </c>
      <c r="E7" s="1" t="str">
        <f t="shared" si="3"/>
        <v>买入</v>
      </c>
      <c r="F7" s="1" t="str">
        <f>"21.880"</f>
        <v>21.880</v>
      </c>
      <c r="G7" s="1" t="str">
        <f>"100.00"</f>
        <v>100.00</v>
      </c>
      <c r="H7" s="1" t="str">
        <f>"0104152129"</f>
        <v>0104152129</v>
      </c>
      <c r="I7" s="1" t="str">
        <f>"2188.00"</f>
        <v>2188.00</v>
      </c>
      <c r="J7" s="1" t="str">
        <f t="shared" si="1"/>
        <v>5.00</v>
      </c>
      <c r="K7" s="1" t="str">
        <f>"0.00"</f>
        <v>0.00</v>
      </c>
      <c r="L7" s="1" t="str">
        <f>"0.04"</f>
        <v>0.04</v>
      </c>
      <c r="M7" s="1" t="str">
        <f t="shared" si="2"/>
        <v>0.00</v>
      </c>
      <c r="N7" s="1" t="str">
        <f>"证券买入"</f>
        <v>证券买入</v>
      </c>
    </row>
    <row r="8" spans="1:14">
      <c r="A8" s="1" t="str">
        <f>"20170829"</f>
        <v>20170829</v>
      </c>
      <c r="B8" s="1" t="str">
        <f>"22:48:58"</f>
        <v>22:48:58</v>
      </c>
      <c r="C8" s="1" t="str">
        <f>"736882"</f>
        <v>736882</v>
      </c>
      <c r="D8" s="1" t="str">
        <f>"金域配号"</f>
        <v>金域配号</v>
      </c>
      <c r="E8" s="1" t="str">
        <f t="shared" si="3"/>
        <v>买入</v>
      </c>
      <c r="F8" s="1" t="str">
        <f t="shared" ref="F8:F11" si="9">"0.000"</f>
        <v>0.000</v>
      </c>
      <c r="G8" s="1" t="str">
        <f t="shared" ref="G8:G11" si="10">"1.00"</f>
        <v>1.00</v>
      </c>
      <c r="H8" s="1" t="str">
        <f t="shared" ref="H8:H12" si="11">"A850418317"</f>
        <v>A850418317</v>
      </c>
      <c r="I8" s="1" t="str">
        <f t="shared" ref="I8:L8" si="12">"0.00"</f>
        <v>0.00</v>
      </c>
      <c r="J8" s="1" t="str">
        <f t="shared" si="12"/>
        <v>0.00</v>
      </c>
      <c r="K8" s="1" t="str">
        <f t="shared" si="12"/>
        <v>0.00</v>
      </c>
      <c r="L8" s="1" t="str">
        <f t="shared" si="12"/>
        <v>0.00</v>
      </c>
      <c r="M8" s="1" t="str">
        <f t="shared" si="2"/>
        <v>0.00</v>
      </c>
      <c r="N8" s="1" t="str">
        <f>"起始配号:100013058268"</f>
        <v>起始配号:100013058268</v>
      </c>
    </row>
    <row r="9" spans="1:14">
      <c r="A9" s="1" t="str">
        <f>"20170830"</f>
        <v>20170830</v>
      </c>
      <c r="B9" s="1" t="str">
        <f>"21:59:38"</f>
        <v>21:59:38</v>
      </c>
      <c r="C9" s="1" t="str">
        <f>"736277"</f>
        <v>736277</v>
      </c>
      <c r="D9" s="1" t="str">
        <f>"银都配号"</f>
        <v>银都配号</v>
      </c>
      <c r="E9" s="1" t="str">
        <f t="shared" si="3"/>
        <v>买入</v>
      </c>
      <c r="F9" s="1" t="str">
        <f t="shared" si="9"/>
        <v>0.000</v>
      </c>
      <c r="G9" s="1" t="str">
        <f t="shared" si="10"/>
        <v>1.00</v>
      </c>
      <c r="H9" s="1" t="str">
        <f t="shared" si="11"/>
        <v>A850418317</v>
      </c>
      <c r="I9" s="1" t="str">
        <f t="shared" ref="I9:L9" si="13">"0.00"</f>
        <v>0.00</v>
      </c>
      <c r="J9" s="1" t="str">
        <f t="shared" si="13"/>
        <v>0.00</v>
      </c>
      <c r="K9" s="1" t="str">
        <f t="shared" si="13"/>
        <v>0.00</v>
      </c>
      <c r="L9" s="1" t="str">
        <f t="shared" si="13"/>
        <v>0.00</v>
      </c>
      <c r="M9" s="1" t="str">
        <f t="shared" si="2"/>
        <v>0.00</v>
      </c>
      <c r="N9" s="1" t="str">
        <f>"起始配号:100018974009"</f>
        <v>起始配号:100018974009</v>
      </c>
    </row>
    <row r="10" spans="1:14">
      <c r="A10" s="1" t="str">
        <f>"20170831"</f>
        <v>20170831</v>
      </c>
      <c r="B10" s="1" t="str">
        <f>"22:48:39"</f>
        <v>22:48:39</v>
      </c>
      <c r="C10" s="1" t="str">
        <f>"736386"</f>
        <v>736386</v>
      </c>
      <c r="D10" s="1" t="str">
        <f>"骏亚配号"</f>
        <v>骏亚配号</v>
      </c>
      <c r="E10" s="1" t="str">
        <f t="shared" si="3"/>
        <v>买入</v>
      </c>
      <c r="F10" s="1" t="str">
        <f t="shared" si="9"/>
        <v>0.000</v>
      </c>
      <c r="G10" s="1" t="str">
        <f t="shared" si="10"/>
        <v>1.00</v>
      </c>
      <c r="H10" s="1" t="str">
        <f t="shared" si="11"/>
        <v>A850418317</v>
      </c>
      <c r="I10" s="1" t="str">
        <f t="shared" ref="I10:L10" si="14">"0.00"</f>
        <v>0.00</v>
      </c>
      <c r="J10" s="1" t="str">
        <f t="shared" si="14"/>
        <v>0.00</v>
      </c>
      <c r="K10" s="1" t="str">
        <f t="shared" si="14"/>
        <v>0.00</v>
      </c>
      <c r="L10" s="1" t="str">
        <f t="shared" si="14"/>
        <v>0.00</v>
      </c>
      <c r="M10" s="1" t="str">
        <f t="shared" si="2"/>
        <v>0.00</v>
      </c>
      <c r="N10" s="1" t="str">
        <f>"起始配号:100056186500"</f>
        <v>起始配号:100056186500</v>
      </c>
    </row>
    <row r="11" spans="1:14">
      <c r="A11" s="1" t="str">
        <f>"20170901"</f>
        <v>20170901</v>
      </c>
      <c r="B11" s="1" t="str">
        <f>"22:18:56"</f>
        <v>22:18:56</v>
      </c>
      <c r="C11" s="1" t="str">
        <f>"736648"</f>
        <v>736648</v>
      </c>
      <c r="D11" s="1" t="str">
        <f>"畅联配号"</f>
        <v>畅联配号</v>
      </c>
      <c r="E11" s="1" t="str">
        <f t="shared" si="3"/>
        <v>买入</v>
      </c>
      <c r="F11" s="1" t="str">
        <f t="shared" si="9"/>
        <v>0.000</v>
      </c>
      <c r="G11" s="1" t="str">
        <f t="shared" si="10"/>
        <v>1.00</v>
      </c>
      <c r="H11" s="1" t="str">
        <f t="shared" si="11"/>
        <v>A850418317</v>
      </c>
      <c r="I11" s="1" t="str">
        <f t="shared" ref="I11:L11" si="15">"0.00"</f>
        <v>0.00</v>
      </c>
      <c r="J11" s="1" t="str">
        <f t="shared" si="15"/>
        <v>0.00</v>
      </c>
      <c r="K11" s="1" t="str">
        <f t="shared" si="15"/>
        <v>0.00</v>
      </c>
      <c r="L11" s="1" t="str">
        <f t="shared" si="15"/>
        <v>0.00</v>
      </c>
      <c r="M11" s="1" t="str">
        <f t="shared" si="2"/>
        <v>0.00</v>
      </c>
      <c r="N11" s="1" t="str">
        <f>"起始配号:100032376484"</f>
        <v>起始配号:100032376484</v>
      </c>
    </row>
    <row r="12" spans="1:14">
      <c r="A12" s="1" t="str">
        <f>"20170904"</f>
        <v>20170904</v>
      </c>
      <c r="B12" s="1" t="str">
        <f>"10:53:36"</f>
        <v>10:53:36</v>
      </c>
      <c r="C12" s="1" t="str">
        <f>"600797"</f>
        <v>600797</v>
      </c>
      <c r="D12" s="1" t="str">
        <f>"浙大网新"</f>
        <v>浙大网新</v>
      </c>
      <c r="E12" s="1" t="str">
        <f t="shared" si="3"/>
        <v>买入</v>
      </c>
      <c r="F12" s="1" t="str">
        <f>"16.660"</f>
        <v>16.660</v>
      </c>
      <c r="G12" s="1" t="str">
        <f>"100.00"</f>
        <v>100.00</v>
      </c>
      <c r="H12" s="1" t="str">
        <f t="shared" si="11"/>
        <v>A850418317</v>
      </c>
      <c r="I12" s="1" t="str">
        <f>"1666.00"</f>
        <v>1666.00</v>
      </c>
      <c r="J12" s="1" t="str">
        <f t="shared" ref="J12:J19" si="16">"5.00"</f>
        <v>5.00</v>
      </c>
      <c r="K12" s="1" t="str">
        <f>"0.00"</f>
        <v>0.00</v>
      </c>
      <c r="L12" s="1" t="str">
        <f>"0.03"</f>
        <v>0.03</v>
      </c>
      <c r="M12" s="1" t="str">
        <f t="shared" si="2"/>
        <v>0.00</v>
      </c>
      <c r="N12" s="1" t="str">
        <f>"证券买入"</f>
        <v>证券买入</v>
      </c>
    </row>
    <row r="13" spans="1:14">
      <c r="A13" s="1" t="str">
        <f>"20170904"</f>
        <v>20170904</v>
      </c>
      <c r="B13" s="1" t="str">
        <f>"10:51:17"</f>
        <v>10:51:17</v>
      </c>
      <c r="C13" s="1" t="str">
        <f>"002019"</f>
        <v>002019</v>
      </c>
      <c r="D13" s="1" t="str">
        <f>"亿帆医药"</f>
        <v>亿帆医药</v>
      </c>
      <c r="E13" s="1" t="str">
        <f t="shared" ref="E13:E19" si="17">"卖出"</f>
        <v>卖出</v>
      </c>
      <c r="F13" s="1" t="str">
        <f>"20.100"</f>
        <v>20.100</v>
      </c>
      <c r="G13" s="1" t="str">
        <f>"-100.00"</f>
        <v>-100.00</v>
      </c>
      <c r="H13" s="1" t="str">
        <f>"0104152129"</f>
        <v>0104152129</v>
      </c>
      <c r="I13" s="1" t="str">
        <f>"2010.00"</f>
        <v>2010.00</v>
      </c>
      <c r="J13" s="1" t="str">
        <f t="shared" si="16"/>
        <v>5.00</v>
      </c>
      <c r="K13" s="1" t="str">
        <f>"2.01"</f>
        <v>2.01</v>
      </c>
      <c r="L13" s="1" t="str">
        <f>"0.04"</f>
        <v>0.04</v>
      </c>
      <c r="M13" s="1" t="str">
        <f t="shared" si="2"/>
        <v>0.00</v>
      </c>
      <c r="N13" s="1" t="str">
        <f t="shared" ref="N13:N19" si="18">"证券卖出"</f>
        <v>证券卖出</v>
      </c>
    </row>
    <row r="14" spans="1:14">
      <c r="A14" s="1" t="str">
        <f>"20170906"</f>
        <v>20170906</v>
      </c>
      <c r="B14" s="1" t="str">
        <f>"21:34:56"</f>
        <v>21:34:56</v>
      </c>
      <c r="C14" s="1" t="str">
        <f>"736813"</f>
        <v>736813</v>
      </c>
      <c r="D14" s="1" t="str">
        <f>"原尚配号"</f>
        <v>原尚配号</v>
      </c>
      <c r="E14" s="1" t="str">
        <f t="shared" ref="E14:E16" si="19">"买入"</f>
        <v>买入</v>
      </c>
      <c r="F14" s="1" t="str">
        <f t="shared" ref="F14:F16" si="20">"0.000"</f>
        <v>0.000</v>
      </c>
      <c r="G14" s="1" t="str">
        <f t="shared" ref="G14:G16" si="21">"1.00"</f>
        <v>1.00</v>
      </c>
      <c r="H14" s="1" t="str">
        <f t="shared" ref="H14:H23" si="22">"A850418317"</f>
        <v>A850418317</v>
      </c>
      <c r="I14" s="1" t="str">
        <f t="shared" ref="I14:L14" si="23">"0.00"</f>
        <v>0.00</v>
      </c>
      <c r="J14" s="1" t="str">
        <f t="shared" si="23"/>
        <v>0.00</v>
      </c>
      <c r="K14" s="1" t="str">
        <f t="shared" si="23"/>
        <v>0.00</v>
      </c>
      <c r="L14" s="1" t="str">
        <f t="shared" si="23"/>
        <v>0.00</v>
      </c>
      <c r="M14" s="1" t="str">
        <f t="shared" si="2"/>
        <v>0.00</v>
      </c>
      <c r="N14" s="1" t="str">
        <f>"起始配号:100022216492"</f>
        <v>起始配号:100022216492</v>
      </c>
    </row>
    <row r="15" spans="1:14">
      <c r="A15" s="1" t="str">
        <f>"20170906"</f>
        <v>20170906</v>
      </c>
      <c r="B15" s="1" t="str">
        <f>"21:36:00"</f>
        <v>21:36:00</v>
      </c>
      <c r="C15" s="1" t="str">
        <f>"736321"</f>
        <v>736321</v>
      </c>
      <c r="D15" s="1" t="str">
        <f>"梅轮配号"</f>
        <v>梅轮配号</v>
      </c>
      <c r="E15" s="1" t="str">
        <f t="shared" si="19"/>
        <v>买入</v>
      </c>
      <c r="F15" s="1" t="str">
        <f t="shared" si="20"/>
        <v>0.000</v>
      </c>
      <c r="G15" s="1" t="str">
        <f t="shared" si="21"/>
        <v>1.00</v>
      </c>
      <c r="H15" s="1" t="str">
        <f t="shared" si="22"/>
        <v>A850418317</v>
      </c>
      <c r="I15" s="1" t="str">
        <f t="shared" ref="I15:L15" si="24">"0.00"</f>
        <v>0.00</v>
      </c>
      <c r="J15" s="1" t="str">
        <f t="shared" si="24"/>
        <v>0.00</v>
      </c>
      <c r="K15" s="1" t="str">
        <f t="shared" si="24"/>
        <v>0.00</v>
      </c>
      <c r="L15" s="1" t="str">
        <f t="shared" si="24"/>
        <v>0.00</v>
      </c>
      <c r="M15" s="1" t="str">
        <f t="shared" si="2"/>
        <v>0.00</v>
      </c>
      <c r="N15" s="1" t="str">
        <f>"起始配号:100044069032"</f>
        <v>起始配号:100044069032</v>
      </c>
    </row>
    <row r="16" spans="1:14">
      <c r="A16" s="1" t="str">
        <f>"20170907"</f>
        <v>20170907</v>
      </c>
      <c r="B16" s="1" t="str">
        <f>"22:05:05"</f>
        <v>22:05:05</v>
      </c>
      <c r="C16" s="1" t="str">
        <f>"736533"</f>
        <v>736533</v>
      </c>
      <c r="D16" s="1" t="str">
        <f>"掌阅配号"</f>
        <v>掌阅配号</v>
      </c>
      <c r="E16" s="1" t="str">
        <f t="shared" si="19"/>
        <v>买入</v>
      </c>
      <c r="F16" s="1" t="str">
        <f t="shared" si="20"/>
        <v>0.000</v>
      </c>
      <c r="G16" s="1" t="str">
        <f t="shared" si="21"/>
        <v>1.00</v>
      </c>
      <c r="H16" s="1" t="str">
        <f t="shared" si="22"/>
        <v>A850418317</v>
      </c>
      <c r="I16" s="1" t="str">
        <f t="shared" ref="I16:L16" si="25">"0.00"</f>
        <v>0.00</v>
      </c>
      <c r="J16" s="1" t="str">
        <f t="shared" si="25"/>
        <v>0.00</v>
      </c>
      <c r="K16" s="1" t="str">
        <f t="shared" si="25"/>
        <v>0.00</v>
      </c>
      <c r="L16" s="1" t="str">
        <f t="shared" si="25"/>
        <v>0.00</v>
      </c>
      <c r="M16" s="1" t="str">
        <f t="shared" si="2"/>
        <v>0.00</v>
      </c>
      <c r="N16" s="1" t="str">
        <f>"起始配号:100007269478"</f>
        <v>起始配号:100007269478</v>
      </c>
    </row>
    <row r="17" spans="1:14">
      <c r="A17" s="1" t="str">
        <f t="shared" ref="A17:A21" si="26">"20170908"</f>
        <v>20170908</v>
      </c>
      <c r="B17" s="1" t="str">
        <f>"10:07:55"</f>
        <v>10:07:55</v>
      </c>
      <c r="C17" s="1" t="str">
        <f>"601668"</f>
        <v>601668</v>
      </c>
      <c r="D17" s="1" t="str">
        <f>"中国建筑"</f>
        <v>中国建筑</v>
      </c>
      <c r="E17" s="1" t="str">
        <f t="shared" si="17"/>
        <v>卖出</v>
      </c>
      <c r="F17" s="1" t="str">
        <f>"9.740"</f>
        <v>9.740</v>
      </c>
      <c r="G17" s="1" t="str">
        <f>"-1200.00"</f>
        <v>-1200.00</v>
      </c>
      <c r="H17" s="1" t="str">
        <f t="shared" si="22"/>
        <v>A850418317</v>
      </c>
      <c r="I17" s="1" t="str">
        <f>"11688.00"</f>
        <v>11688.00</v>
      </c>
      <c r="J17" s="1" t="str">
        <f t="shared" si="16"/>
        <v>5.00</v>
      </c>
      <c r="K17" s="1" t="str">
        <f>"11.69"</f>
        <v>11.69</v>
      </c>
      <c r="L17" s="1" t="str">
        <f>"0.23"</f>
        <v>0.23</v>
      </c>
      <c r="M17" s="1" t="str">
        <f t="shared" si="2"/>
        <v>0.00</v>
      </c>
      <c r="N17" s="1" t="str">
        <f t="shared" si="18"/>
        <v>证券卖出</v>
      </c>
    </row>
    <row r="18" spans="1:14">
      <c r="A18" s="1" t="str">
        <f t="shared" si="26"/>
        <v>20170908</v>
      </c>
      <c r="B18" s="1" t="str">
        <f>"10:07:57"</f>
        <v>10:07:57</v>
      </c>
      <c r="C18" s="1" t="str">
        <f>"600011"</f>
        <v>600011</v>
      </c>
      <c r="D18" s="1" t="str">
        <f>"华能国际"</f>
        <v>华能国际</v>
      </c>
      <c r="E18" s="1" t="str">
        <f t="shared" si="17"/>
        <v>卖出</v>
      </c>
      <c r="F18" s="1" t="str">
        <f>"7.000"</f>
        <v>7.000</v>
      </c>
      <c r="G18" s="1" t="str">
        <f>"-2000.00"</f>
        <v>-2000.00</v>
      </c>
      <c r="H18" s="1" t="str">
        <f t="shared" si="22"/>
        <v>A850418317</v>
      </c>
      <c r="I18" s="1" t="str">
        <f>"14000.00"</f>
        <v>14000.00</v>
      </c>
      <c r="J18" s="1" t="str">
        <f t="shared" si="16"/>
        <v>5.00</v>
      </c>
      <c r="K18" s="1" t="str">
        <f>"14.00"</f>
        <v>14.00</v>
      </c>
      <c r="L18" s="1" t="str">
        <f>"0.28"</f>
        <v>0.28</v>
      </c>
      <c r="M18" s="1" t="str">
        <f t="shared" si="2"/>
        <v>0.00</v>
      </c>
      <c r="N18" s="1" t="str">
        <f t="shared" si="18"/>
        <v>证券卖出</v>
      </c>
    </row>
    <row r="19" spans="1:14">
      <c r="A19" s="1" t="str">
        <f t="shared" si="26"/>
        <v>20170908</v>
      </c>
      <c r="B19" s="1" t="str">
        <f>"10:08:14"</f>
        <v>10:08:14</v>
      </c>
      <c r="C19" s="1" t="str">
        <f>"600797"</f>
        <v>600797</v>
      </c>
      <c r="D19" s="1" t="str">
        <f>"浙大网新"</f>
        <v>浙大网新</v>
      </c>
      <c r="E19" s="1" t="str">
        <f t="shared" si="17"/>
        <v>卖出</v>
      </c>
      <c r="F19" s="1" t="str">
        <f>"16.040"</f>
        <v>16.040</v>
      </c>
      <c r="G19" s="1" t="str">
        <f>"-100.00"</f>
        <v>-100.00</v>
      </c>
      <c r="H19" s="1" t="str">
        <f t="shared" si="22"/>
        <v>A850418317</v>
      </c>
      <c r="I19" s="1" t="str">
        <f>"1604.00"</f>
        <v>1604.00</v>
      </c>
      <c r="J19" s="1" t="str">
        <f t="shared" si="16"/>
        <v>5.00</v>
      </c>
      <c r="K19" s="1" t="str">
        <f>"1.60"</f>
        <v>1.60</v>
      </c>
      <c r="L19" s="1" t="str">
        <f>"0.03"</f>
        <v>0.03</v>
      </c>
      <c r="M19" s="1" t="str">
        <f t="shared" si="2"/>
        <v>0.00</v>
      </c>
      <c r="N19" s="1" t="str">
        <f t="shared" si="18"/>
        <v>证券卖出</v>
      </c>
    </row>
    <row r="20" spans="1:14">
      <c r="A20" s="1" t="str">
        <f t="shared" si="26"/>
        <v>20170908</v>
      </c>
      <c r="B20" s="1" t="str">
        <f>"13:49:02"</f>
        <v>13:49:02</v>
      </c>
      <c r="C20" s="1" t="str">
        <f>"600641"</f>
        <v>600641</v>
      </c>
      <c r="D20" s="1" t="str">
        <f>"万业企业"</f>
        <v>万业企业</v>
      </c>
      <c r="E20" s="1" t="str">
        <f t="shared" ref="E20:E31" si="27">"买入"</f>
        <v>买入</v>
      </c>
      <c r="F20" s="1" t="str">
        <f>"14.490"</f>
        <v>14.490</v>
      </c>
      <c r="G20" s="1" t="str">
        <f>"1900.00"</f>
        <v>1900.00</v>
      </c>
      <c r="H20" s="1" t="str">
        <f t="shared" si="22"/>
        <v>A850418317</v>
      </c>
      <c r="I20" s="1" t="str">
        <f>"27531.00"</f>
        <v>27531.00</v>
      </c>
      <c r="J20" s="1" t="str">
        <f>"6.88"</f>
        <v>6.88</v>
      </c>
      <c r="K20" s="1" t="str">
        <f t="shared" ref="K20:K31" si="28">"0.00"</f>
        <v>0.00</v>
      </c>
      <c r="L20" s="1" t="str">
        <f>"0.55"</f>
        <v>0.55</v>
      </c>
      <c r="M20" s="1" t="str">
        <f t="shared" si="2"/>
        <v>0.00</v>
      </c>
      <c r="N20" s="1" t="str">
        <f>"证券买入"</f>
        <v>证券买入</v>
      </c>
    </row>
    <row r="21" spans="1:14">
      <c r="A21" s="1" t="str">
        <f t="shared" si="26"/>
        <v>20170908</v>
      </c>
      <c r="B21" s="1" t="str">
        <f>"22:23:13"</f>
        <v>22:23:13</v>
      </c>
      <c r="C21" s="1" t="str">
        <f>"736106"</f>
        <v>736106</v>
      </c>
      <c r="D21" s="1" t="str">
        <f>"恒银配号"</f>
        <v>恒银配号</v>
      </c>
      <c r="E21" s="1" t="str">
        <f t="shared" si="27"/>
        <v>买入</v>
      </c>
      <c r="F21" s="1" t="str">
        <f t="shared" ref="F21:F23" si="29">"0.000"</f>
        <v>0.000</v>
      </c>
      <c r="G21" s="1" t="str">
        <f t="shared" ref="G21:G23" si="30">"1.00"</f>
        <v>1.00</v>
      </c>
      <c r="H21" s="1" t="str">
        <f t="shared" si="22"/>
        <v>A850418317</v>
      </c>
      <c r="I21" s="1" t="str">
        <f t="shared" ref="I21:L21" si="31">"0.00"</f>
        <v>0.00</v>
      </c>
      <c r="J21" s="1" t="str">
        <f t="shared" si="31"/>
        <v>0.00</v>
      </c>
      <c r="K21" s="1" t="str">
        <f t="shared" si="31"/>
        <v>0.00</v>
      </c>
      <c r="L21" s="1" t="str">
        <f t="shared" si="31"/>
        <v>0.00</v>
      </c>
      <c r="M21" s="1" t="str">
        <f t="shared" si="2"/>
        <v>0.00</v>
      </c>
      <c r="N21" s="1" t="str">
        <f>"起始配号:100029319633"</f>
        <v>起始配号:100029319633</v>
      </c>
    </row>
    <row r="22" spans="1:14">
      <c r="A22" s="1" t="str">
        <f>"20170911"</f>
        <v>20170911</v>
      </c>
      <c r="B22" s="1" t="str">
        <f>"22:04:55"</f>
        <v>22:04:55</v>
      </c>
      <c r="C22" s="1" t="str">
        <f>"736055"</f>
        <v>736055</v>
      </c>
      <c r="D22" s="1" t="str">
        <f>"台华配号"</f>
        <v>台华配号</v>
      </c>
      <c r="E22" s="1" t="str">
        <f t="shared" si="27"/>
        <v>买入</v>
      </c>
      <c r="F22" s="1" t="str">
        <f t="shared" si="29"/>
        <v>0.000</v>
      </c>
      <c r="G22" s="1" t="str">
        <f t="shared" si="30"/>
        <v>1.00</v>
      </c>
      <c r="H22" s="1" t="str">
        <f t="shared" si="22"/>
        <v>A850418317</v>
      </c>
      <c r="I22" s="1" t="str">
        <f t="shared" ref="I22:L22" si="32">"0.00"</f>
        <v>0.00</v>
      </c>
      <c r="J22" s="1" t="str">
        <f t="shared" si="32"/>
        <v>0.00</v>
      </c>
      <c r="K22" s="1" t="str">
        <f t="shared" si="32"/>
        <v>0.00</v>
      </c>
      <c r="L22" s="1" t="str">
        <f t="shared" si="32"/>
        <v>0.00</v>
      </c>
      <c r="M22" s="1" t="str">
        <f t="shared" si="2"/>
        <v>0.00</v>
      </c>
      <c r="N22" s="1" t="str">
        <f>"起始配号:100017052535"</f>
        <v>起始配号:100017052535</v>
      </c>
    </row>
    <row r="23" spans="1:14">
      <c r="A23" s="1" t="str">
        <f>"20170912"</f>
        <v>20170912</v>
      </c>
      <c r="B23" s="1" t="str">
        <f>"22:11:59"</f>
        <v>22:11:59</v>
      </c>
      <c r="C23" s="1" t="str">
        <f>"736963"</f>
        <v>736963</v>
      </c>
      <c r="D23" s="1" t="str">
        <f>"理药配号"</f>
        <v>理药配号</v>
      </c>
      <c r="E23" s="1" t="str">
        <f t="shared" si="27"/>
        <v>买入</v>
      </c>
      <c r="F23" s="1" t="str">
        <f t="shared" si="29"/>
        <v>0.000</v>
      </c>
      <c r="G23" s="1" t="str">
        <f t="shared" si="30"/>
        <v>1.00</v>
      </c>
      <c r="H23" s="1" t="str">
        <f t="shared" si="22"/>
        <v>A850418317</v>
      </c>
      <c r="I23" s="1" t="str">
        <f t="shared" ref="I23:L23" si="33">"0.00"</f>
        <v>0.00</v>
      </c>
      <c r="J23" s="1" t="str">
        <f t="shared" si="33"/>
        <v>0.00</v>
      </c>
      <c r="K23" s="1" t="str">
        <f t="shared" si="33"/>
        <v>0.00</v>
      </c>
      <c r="L23" s="1" t="str">
        <f t="shared" si="33"/>
        <v>0.00</v>
      </c>
      <c r="M23" s="1" t="str">
        <f t="shared" si="2"/>
        <v>0.00</v>
      </c>
      <c r="N23" s="1" t="str">
        <f>"起始配号:100069717793"</f>
        <v>起始配号:100069717793</v>
      </c>
    </row>
    <row r="24" spans="1:14">
      <c r="A24" s="1" t="str">
        <f>"20170913"</f>
        <v>20170913</v>
      </c>
      <c r="B24" s="1" t="str">
        <f>"13:02:45"</f>
        <v>13:02:45</v>
      </c>
      <c r="C24" s="1" t="str">
        <f>"002128"</f>
        <v>002128</v>
      </c>
      <c r="D24" s="1" t="str">
        <f>"露天煤业"</f>
        <v>露天煤业</v>
      </c>
      <c r="E24" s="1" t="str">
        <f t="shared" si="27"/>
        <v>买入</v>
      </c>
      <c r="F24" s="1" t="str">
        <f>"14.310"</f>
        <v>14.310</v>
      </c>
      <c r="G24" s="1" t="str">
        <f>"700.00"</f>
        <v>700.00</v>
      </c>
      <c r="H24" s="1" t="str">
        <f>"0104152129"</f>
        <v>0104152129</v>
      </c>
      <c r="I24" s="1" t="str">
        <f>"10017.00"</f>
        <v>10017.00</v>
      </c>
      <c r="J24" s="1" t="str">
        <f>"5.00"</f>
        <v>5.00</v>
      </c>
      <c r="K24" s="1" t="str">
        <f t="shared" si="28"/>
        <v>0.00</v>
      </c>
      <c r="L24" s="1" t="str">
        <f>"0.20"</f>
        <v>0.20</v>
      </c>
      <c r="M24" s="1" t="str">
        <f t="shared" si="2"/>
        <v>0.00</v>
      </c>
      <c r="N24" s="1" t="str">
        <f>"证券买入"</f>
        <v>证券买入</v>
      </c>
    </row>
    <row r="25" spans="1:14">
      <c r="A25" s="1" t="str">
        <f>"20170913"</f>
        <v>20170913</v>
      </c>
      <c r="B25" s="1" t="str">
        <f>"22:11:27"</f>
        <v>22:11:27</v>
      </c>
      <c r="C25" s="1" t="str">
        <f>"736157"</f>
        <v>736157</v>
      </c>
      <c r="D25" s="1" t="str">
        <f>"拉夏配号"</f>
        <v>拉夏配号</v>
      </c>
      <c r="E25" s="1" t="str">
        <f t="shared" si="27"/>
        <v>买入</v>
      </c>
      <c r="F25" s="1" t="str">
        <f t="shared" ref="F25:F31" si="34">"0.000"</f>
        <v>0.000</v>
      </c>
      <c r="G25" s="1" t="str">
        <f t="shared" ref="G25:G31" si="35">"2.00"</f>
        <v>2.00</v>
      </c>
      <c r="H25" s="1" t="str">
        <f t="shared" ref="H25:H36" si="36">"A850418317"</f>
        <v>A850418317</v>
      </c>
      <c r="I25" s="1" t="str">
        <f t="shared" ref="I25:L25" si="37">"0.00"</f>
        <v>0.00</v>
      </c>
      <c r="J25" s="1" t="str">
        <f t="shared" si="37"/>
        <v>0.00</v>
      </c>
      <c r="K25" s="1" t="str">
        <f t="shared" si="28"/>
        <v>0.00</v>
      </c>
      <c r="L25" s="1" t="str">
        <f t="shared" si="37"/>
        <v>0.00</v>
      </c>
      <c r="M25" s="1" t="str">
        <f t="shared" si="2"/>
        <v>0.00</v>
      </c>
      <c r="N25" s="1" t="str">
        <f>"起始配号:100022005391"</f>
        <v>起始配号:100022005391</v>
      </c>
    </row>
    <row r="26" spans="1:14">
      <c r="A26" s="1" t="str">
        <f>"20170914"</f>
        <v>20170914</v>
      </c>
      <c r="B26" s="1" t="str">
        <f>"21:32:45"</f>
        <v>21:32:45</v>
      </c>
      <c r="C26" s="1" t="str">
        <f>"736363"</f>
        <v>736363</v>
      </c>
      <c r="D26" s="1" t="str">
        <f>"傲农配号"</f>
        <v>傲农配号</v>
      </c>
      <c r="E26" s="1" t="str">
        <f t="shared" si="27"/>
        <v>买入</v>
      </c>
      <c r="F26" s="1" t="str">
        <f t="shared" si="34"/>
        <v>0.000</v>
      </c>
      <c r="G26" s="1" t="str">
        <f t="shared" si="35"/>
        <v>2.00</v>
      </c>
      <c r="H26" s="1" t="str">
        <f t="shared" si="36"/>
        <v>A850418317</v>
      </c>
      <c r="I26" s="1" t="str">
        <f t="shared" ref="I26:L26" si="38">"0.00"</f>
        <v>0.00</v>
      </c>
      <c r="J26" s="1" t="str">
        <f t="shared" si="38"/>
        <v>0.00</v>
      </c>
      <c r="K26" s="1" t="str">
        <f t="shared" si="28"/>
        <v>0.00</v>
      </c>
      <c r="L26" s="1" t="str">
        <f t="shared" si="38"/>
        <v>0.00</v>
      </c>
      <c r="M26" s="1" t="str">
        <f t="shared" si="2"/>
        <v>0.00</v>
      </c>
      <c r="N26" s="1" t="str">
        <f>"起始配号:100039955395"</f>
        <v>起始配号:100039955395</v>
      </c>
    </row>
    <row r="27" spans="1:14">
      <c r="A27" s="1" t="str">
        <f>"20170915"</f>
        <v>20170915</v>
      </c>
      <c r="B27" s="1" t="str">
        <f>"21:59:31"</f>
        <v>21:59:31</v>
      </c>
      <c r="C27" s="1" t="str">
        <f>"736136"</f>
        <v>736136</v>
      </c>
      <c r="D27" s="1" t="str">
        <f>"天目配号"</f>
        <v>天目配号</v>
      </c>
      <c r="E27" s="1" t="str">
        <f t="shared" si="27"/>
        <v>买入</v>
      </c>
      <c r="F27" s="1" t="str">
        <f t="shared" si="34"/>
        <v>0.000</v>
      </c>
      <c r="G27" s="1" t="str">
        <f t="shared" si="35"/>
        <v>2.00</v>
      </c>
      <c r="H27" s="1" t="str">
        <f t="shared" si="36"/>
        <v>A850418317</v>
      </c>
      <c r="I27" s="1" t="str">
        <f t="shared" ref="I27:L27" si="39">"0.00"</f>
        <v>0.00</v>
      </c>
      <c r="J27" s="1" t="str">
        <f t="shared" si="39"/>
        <v>0.00</v>
      </c>
      <c r="K27" s="1" t="str">
        <f t="shared" si="28"/>
        <v>0.00</v>
      </c>
      <c r="L27" s="1" t="str">
        <f t="shared" si="39"/>
        <v>0.00</v>
      </c>
      <c r="M27" s="1" t="str">
        <f t="shared" si="2"/>
        <v>0.00</v>
      </c>
      <c r="N27" s="1" t="str">
        <f>"起始配号:100062231813"</f>
        <v>起始配号:100062231813</v>
      </c>
    </row>
    <row r="28" spans="1:14">
      <c r="A28" s="1" t="str">
        <f>"20170919"</f>
        <v>20170919</v>
      </c>
      <c r="B28" s="1" t="str">
        <f>"21:52:19"</f>
        <v>21:52:19</v>
      </c>
      <c r="C28" s="1" t="str">
        <f>"736378"</f>
        <v>736378</v>
      </c>
      <c r="D28" s="1" t="str">
        <f>"亚士配号"</f>
        <v>亚士配号</v>
      </c>
      <c r="E28" s="1" t="str">
        <f t="shared" si="27"/>
        <v>买入</v>
      </c>
      <c r="F28" s="1" t="str">
        <f t="shared" si="34"/>
        <v>0.000</v>
      </c>
      <c r="G28" s="1" t="str">
        <f t="shared" si="35"/>
        <v>2.00</v>
      </c>
      <c r="H28" s="1" t="str">
        <f t="shared" si="36"/>
        <v>A850418317</v>
      </c>
      <c r="I28" s="1" t="str">
        <f t="shared" ref="I28:L28" si="40">"0.00"</f>
        <v>0.00</v>
      </c>
      <c r="J28" s="1" t="str">
        <f t="shared" si="40"/>
        <v>0.00</v>
      </c>
      <c r="K28" s="1" t="str">
        <f t="shared" si="28"/>
        <v>0.00</v>
      </c>
      <c r="L28" s="1" t="str">
        <f t="shared" si="40"/>
        <v>0.00</v>
      </c>
      <c r="M28" s="1" t="str">
        <f t="shared" si="2"/>
        <v>0.00</v>
      </c>
      <c r="N28" s="1" t="str">
        <f>"起始配号:100013012602"</f>
        <v>起始配号:100013012602</v>
      </c>
    </row>
    <row r="29" spans="1:14">
      <c r="A29" s="1" t="str">
        <f>"20170919"</f>
        <v>20170919</v>
      </c>
      <c r="B29" s="1" t="str">
        <f>"21:53:48"</f>
        <v>21:53:48</v>
      </c>
      <c r="C29" s="1" t="str">
        <f>"736367"</f>
        <v>736367</v>
      </c>
      <c r="D29" s="1" t="str">
        <f>"辰欣配号"</f>
        <v>辰欣配号</v>
      </c>
      <c r="E29" s="1" t="str">
        <f t="shared" si="27"/>
        <v>买入</v>
      </c>
      <c r="F29" s="1" t="str">
        <f t="shared" si="34"/>
        <v>0.000</v>
      </c>
      <c r="G29" s="1" t="str">
        <f t="shared" si="35"/>
        <v>2.00</v>
      </c>
      <c r="H29" s="1" t="str">
        <f t="shared" si="36"/>
        <v>A850418317</v>
      </c>
      <c r="I29" s="1" t="str">
        <f t="shared" ref="I29:L29" si="41">"0.00"</f>
        <v>0.00</v>
      </c>
      <c r="J29" s="1" t="str">
        <f t="shared" si="41"/>
        <v>0.00</v>
      </c>
      <c r="K29" s="1" t="str">
        <f t="shared" si="28"/>
        <v>0.00</v>
      </c>
      <c r="L29" s="1" t="str">
        <f t="shared" si="41"/>
        <v>0.00</v>
      </c>
      <c r="M29" s="1" t="str">
        <f t="shared" si="2"/>
        <v>0.00</v>
      </c>
      <c r="N29" s="1" t="str">
        <f>"起始配号:100016021576"</f>
        <v>起始配号:100016021576</v>
      </c>
    </row>
    <row r="30" spans="1:14">
      <c r="A30" s="1" t="str">
        <f>"20170920"</f>
        <v>20170920</v>
      </c>
      <c r="B30" s="1" t="str">
        <f>"22:40:42"</f>
        <v>22:40:42</v>
      </c>
      <c r="C30" s="1" t="str">
        <f>"791086"</f>
        <v>791086</v>
      </c>
      <c r="D30" s="1" t="str">
        <f>"国芳配号"</f>
        <v>国芳配号</v>
      </c>
      <c r="E30" s="1" t="str">
        <f t="shared" si="27"/>
        <v>买入</v>
      </c>
      <c r="F30" s="1" t="str">
        <f t="shared" si="34"/>
        <v>0.000</v>
      </c>
      <c r="G30" s="1" t="str">
        <f t="shared" si="35"/>
        <v>2.00</v>
      </c>
      <c r="H30" s="1" t="str">
        <f t="shared" si="36"/>
        <v>A850418317</v>
      </c>
      <c r="I30" s="1" t="str">
        <f t="shared" ref="I30:L30" si="42">"0.00"</f>
        <v>0.00</v>
      </c>
      <c r="J30" s="1" t="str">
        <f t="shared" si="42"/>
        <v>0.00</v>
      </c>
      <c r="K30" s="1" t="str">
        <f t="shared" si="28"/>
        <v>0.00</v>
      </c>
      <c r="L30" s="1" t="str">
        <f t="shared" si="42"/>
        <v>0.00</v>
      </c>
      <c r="M30" s="1" t="str">
        <f t="shared" si="2"/>
        <v>0.00</v>
      </c>
      <c r="N30" s="1" t="str">
        <f>"起始配号:100120083964"</f>
        <v>起始配号:100120083964</v>
      </c>
    </row>
    <row r="31" spans="1:14">
      <c r="A31" s="1" t="str">
        <f>"20170922"</f>
        <v>20170922</v>
      </c>
      <c r="B31" s="1" t="str">
        <f>"21:54:27"</f>
        <v>21:54:27</v>
      </c>
      <c r="C31" s="1" t="str">
        <f>"736103"</f>
        <v>736103</v>
      </c>
      <c r="D31" s="1" t="str">
        <f>"横店配号"</f>
        <v>横店配号</v>
      </c>
      <c r="E31" s="1" t="str">
        <f t="shared" si="27"/>
        <v>买入</v>
      </c>
      <c r="F31" s="1" t="str">
        <f t="shared" si="34"/>
        <v>0.000</v>
      </c>
      <c r="G31" s="1" t="str">
        <f t="shared" si="35"/>
        <v>2.00</v>
      </c>
      <c r="H31" s="1" t="str">
        <f t="shared" si="36"/>
        <v>A850418317</v>
      </c>
      <c r="I31" s="1" t="str">
        <f t="shared" ref="I31:L31" si="43">"0.00"</f>
        <v>0.00</v>
      </c>
      <c r="J31" s="1" t="str">
        <f t="shared" si="43"/>
        <v>0.00</v>
      </c>
      <c r="K31" s="1" t="str">
        <f t="shared" si="28"/>
        <v>0.00</v>
      </c>
      <c r="L31" s="1" t="str">
        <f t="shared" si="43"/>
        <v>0.00</v>
      </c>
      <c r="M31" s="1" t="str">
        <f t="shared" si="2"/>
        <v>0.00</v>
      </c>
      <c r="N31" s="1" t="str">
        <f>"起始配号:100045317706"</f>
        <v>起始配号:100045317706</v>
      </c>
    </row>
    <row r="32" spans="1:14">
      <c r="A32" s="1" t="str">
        <f t="shared" ref="A32:A40" si="44">"20170925"</f>
        <v>20170925</v>
      </c>
      <c r="B32" s="1" t="str">
        <f>"09:25:01"</f>
        <v>09:25:01</v>
      </c>
      <c r="C32" s="1" t="str">
        <f>"600641"</f>
        <v>600641</v>
      </c>
      <c r="D32" s="1" t="str">
        <f>"万业企业"</f>
        <v>万业企业</v>
      </c>
      <c r="E32" s="1" t="str">
        <f t="shared" ref="E32:E37" si="45">"卖出"</f>
        <v>卖出</v>
      </c>
      <c r="F32" s="1" t="str">
        <f>"13.590"</f>
        <v>13.590</v>
      </c>
      <c r="G32" s="1" t="str">
        <f>"-1500.00"</f>
        <v>-1500.00</v>
      </c>
      <c r="H32" s="1" t="str">
        <f t="shared" si="36"/>
        <v>A850418317</v>
      </c>
      <c r="I32" s="1" t="str">
        <f>"20385.00"</f>
        <v>20385.00</v>
      </c>
      <c r="J32" s="1" t="str">
        <f>"5.10"</f>
        <v>5.10</v>
      </c>
      <c r="K32" s="1" t="str">
        <f>"20.39"</f>
        <v>20.39</v>
      </c>
      <c r="L32" s="1" t="str">
        <f>"0.41"</f>
        <v>0.41</v>
      </c>
      <c r="M32" s="1" t="str">
        <f t="shared" si="2"/>
        <v>0.00</v>
      </c>
      <c r="N32" s="1" t="str">
        <f t="shared" ref="N32:N37" si="46">"证券卖出"</f>
        <v>证券卖出</v>
      </c>
    </row>
    <row r="33" spans="1:14">
      <c r="A33" s="1" t="str">
        <f t="shared" si="44"/>
        <v>20170925</v>
      </c>
      <c r="B33" s="1" t="str">
        <f>"09:30:00"</f>
        <v>09:30:00</v>
      </c>
      <c r="C33" s="1" t="str">
        <f>"603042"</f>
        <v>603042</v>
      </c>
      <c r="D33" s="1" t="str">
        <f>"华脉科技"</f>
        <v>华脉科技</v>
      </c>
      <c r="E33" s="1" t="str">
        <f t="shared" ref="E33:E36" si="47">"买入"</f>
        <v>买入</v>
      </c>
      <c r="F33" s="1" t="str">
        <f>"34.120"</f>
        <v>34.120</v>
      </c>
      <c r="G33" s="1" t="str">
        <f t="shared" ref="G33:G38" si="48">"100.00"</f>
        <v>100.00</v>
      </c>
      <c r="H33" s="1" t="str">
        <f t="shared" si="36"/>
        <v>A850418317</v>
      </c>
      <c r="I33" s="1" t="str">
        <f>"3412.00"</f>
        <v>3412.00</v>
      </c>
      <c r="J33" s="1" t="str">
        <f t="shared" ref="J33:J46" si="49">"5.00"</f>
        <v>5.00</v>
      </c>
      <c r="K33" s="1" t="str">
        <f t="shared" ref="K33:K36" si="50">"0.00"</f>
        <v>0.00</v>
      </c>
      <c r="L33" s="1" t="str">
        <f>"0.07"</f>
        <v>0.07</v>
      </c>
      <c r="M33" s="1" t="str">
        <f t="shared" si="2"/>
        <v>0.00</v>
      </c>
      <c r="N33" s="1" t="str">
        <f t="shared" ref="N33:N36" si="51">"证券买入"</f>
        <v>证券买入</v>
      </c>
    </row>
    <row r="34" spans="1:14">
      <c r="A34" s="1" t="str">
        <f t="shared" si="44"/>
        <v>20170925</v>
      </c>
      <c r="B34" s="1" t="str">
        <f>"09:39:20"</f>
        <v>09:39:20</v>
      </c>
      <c r="C34" s="1" t="str">
        <f>"600641"</f>
        <v>600641</v>
      </c>
      <c r="D34" s="1" t="str">
        <f>"万业企业"</f>
        <v>万业企业</v>
      </c>
      <c r="E34" s="1" t="str">
        <f t="shared" si="45"/>
        <v>卖出</v>
      </c>
      <c r="F34" s="1" t="str">
        <f>"13.360"</f>
        <v>13.360</v>
      </c>
      <c r="G34" s="1" t="str">
        <f>"-400.00"</f>
        <v>-400.00</v>
      </c>
      <c r="H34" s="1" t="str">
        <f t="shared" si="36"/>
        <v>A850418317</v>
      </c>
      <c r="I34" s="1" t="str">
        <f>"5344.00"</f>
        <v>5344.00</v>
      </c>
      <c r="J34" s="1" t="str">
        <f t="shared" si="49"/>
        <v>5.00</v>
      </c>
      <c r="K34" s="1" t="str">
        <f>"5.34"</f>
        <v>5.34</v>
      </c>
      <c r="L34" s="1" t="str">
        <f>"0.11"</f>
        <v>0.11</v>
      </c>
      <c r="M34" s="1" t="str">
        <f t="shared" si="2"/>
        <v>0.00</v>
      </c>
      <c r="N34" s="1" t="str">
        <f t="shared" si="46"/>
        <v>证券卖出</v>
      </c>
    </row>
    <row r="35" spans="1:14">
      <c r="A35" s="1" t="str">
        <f t="shared" si="44"/>
        <v>20170925</v>
      </c>
      <c r="B35" s="1" t="str">
        <f>"10:50:52"</f>
        <v>10:50:52</v>
      </c>
      <c r="C35" s="1" t="str">
        <f>"600309"</f>
        <v>600309</v>
      </c>
      <c r="D35" s="1" t="str">
        <f>"万华化学"</f>
        <v>万华化学</v>
      </c>
      <c r="E35" s="1" t="str">
        <f t="shared" si="47"/>
        <v>买入</v>
      </c>
      <c r="F35" s="1" t="str">
        <f>"40.200"</f>
        <v>40.200</v>
      </c>
      <c r="G35" s="1" t="str">
        <f t="shared" si="48"/>
        <v>100.00</v>
      </c>
      <c r="H35" s="1" t="str">
        <f t="shared" si="36"/>
        <v>A850418317</v>
      </c>
      <c r="I35" s="1" t="str">
        <f>"4020.00"</f>
        <v>4020.00</v>
      </c>
      <c r="J35" s="1" t="str">
        <f t="shared" si="49"/>
        <v>5.00</v>
      </c>
      <c r="K35" s="1" t="str">
        <f t="shared" si="50"/>
        <v>0.00</v>
      </c>
      <c r="L35" s="1" t="str">
        <f>"0.08"</f>
        <v>0.08</v>
      </c>
      <c r="M35" s="1" t="str">
        <f t="shared" si="2"/>
        <v>0.00</v>
      </c>
      <c r="N35" s="1" t="str">
        <f t="shared" si="51"/>
        <v>证券买入</v>
      </c>
    </row>
    <row r="36" spans="1:14">
      <c r="A36" s="1" t="str">
        <f t="shared" si="44"/>
        <v>20170925</v>
      </c>
      <c r="B36" s="1" t="str">
        <f>"14:53:33"</f>
        <v>14:53:33</v>
      </c>
      <c r="C36" s="1" t="str">
        <f>"601607"</f>
        <v>601607</v>
      </c>
      <c r="D36" s="1" t="str">
        <f>"上海医药"</f>
        <v>上海医药</v>
      </c>
      <c r="E36" s="1" t="str">
        <f t="shared" si="47"/>
        <v>买入</v>
      </c>
      <c r="F36" s="1" t="str">
        <f>"23.740"</f>
        <v>23.740</v>
      </c>
      <c r="G36" s="1" t="str">
        <f>"200.00"</f>
        <v>200.00</v>
      </c>
      <c r="H36" s="1" t="str">
        <f t="shared" si="36"/>
        <v>A850418317</v>
      </c>
      <c r="I36" s="1" t="str">
        <f>"4748.00"</f>
        <v>4748.00</v>
      </c>
      <c r="J36" s="1" t="str">
        <f t="shared" si="49"/>
        <v>5.00</v>
      </c>
      <c r="K36" s="1" t="str">
        <f t="shared" si="50"/>
        <v>0.00</v>
      </c>
      <c r="L36" s="1" t="str">
        <f>"0.09"</f>
        <v>0.09</v>
      </c>
      <c r="M36" s="1" t="str">
        <f t="shared" si="2"/>
        <v>0.00</v>
      </c>
      <c r="N36" s="1" t="str">
        <f t="shared" si="51"/>
        <v>证券买入</v>
      </c>
    </row>
    <row r="37" spans="1:14">
      <c r="A37" s="1" t="str">
        <f t="shared" si="44"/>
        <v>20170925</v>
      </c>
      <c r="B37" s="1" t="str">
        <f>"09:30:00"</f>
        <v>09:30:00</v>
      </c>
      <c r="C37" s="1" t="str">
        <f>"002128"</f>
        <v>002128</v>
      </c>
      <c r="D37" s="1" t="str">
        <f>"露天煤业"</f>
        <v>露天煤业</v>
      </c>
      <c r="E37" s="1" t="str">
        <f t="shared" si="45"/>
        <v>卖出</v>
      </c>
      <c r="F37" s="1" t="str">
        <f>"12.930"</f>
        <v>12.930</v>
      </c>
      <c r="G37" s="1" t="str">
        <f>"-500.00"</f>
        <v>-500.00</v>
      </c>
      <c r="H37" s="1" t="str">
        <f t="shared" ref="H37:H40" si="52">"0104152129"</f>
        <v>0104152129</v>
      </c>
      <c r="I37" s="1" t="str">
        <f>"6465.00"</f>
        <v>6465.00</v>
      </c>
      <c r="J37" s="1" t="str">
        <f t="shared" si="49"/>
        <v>5.00</v>
      </c>
      <c r="K37" s="1" t="str">
        <f>"6.47"</f>
        <v>6.47</v>
      </c>
      <c r="L37" s="1" t="str">
        <f>"0.13"</f>
        <v>0.13</v>
      </c>
      <c r="M37" s="1" t="str">
        <f t="shared" si="2"/>
        <v>0.00</v>
      </c>
      <c r="N37" s="1" t="str">
        <f t="shared" si="46"/>
        <v>证券卖出</v>
      </c>
    </row>
    <row r="38" spans="1:14">
      <c r="A38" s="1" t="str">
        <f t="shared" si="44"/>
        <v>20170925</v>
      </c>
      <c r="B38" s="1" t="str">
        <f>"09:30:01"</f>
        <v>09:30:01</v>
      </c>
      <c r="C38" s="1" t="str">
        <f>"002792"</f>
        <v>002792</v>
      </c>
      <c r="D38" s="1" t="str">
        <f>"通宇通讯"</f>
        <v>通宇通讯</v>
      </c>
      <c r="E38" s="1" t="str">
        <f t="shared" ref="E38:E41" si="53">"买入"</f>
        <v>买入</v>
      </c>
      <c r="F38" s="1" t="str">
        <f>"41.510"</f>
        <v>41.510</v>
      </c>
      <c r="G38" s="1" t="str">
        <f t="shared" si="48"/>
        <v>100.00</v>
      </c>
      <c r="H38" s="1" t="str">
        <f t="shared" si="52"/>
        <v>0104152129</v>
      </c>
      <c r="I38" s="1" t="str">
        <f>"4151.00"</f>
        <v>4151.00</v>
      </c>
      <c r="J38" s="1" t="str">
        <f t="shared" si="49"/>
        <v>5.00</v>
      </c>
      <c r="K38" s="1" t="str">
        <f t="shared" ref="K38:K41" si="54">"0.00"</f>
        <v>0.00</v>
      </c>
      <c r="L38" s="1" t="str">
        <f>"0.08"</f>
        <v>0.08</v>
      </c>
      <c r="M38" s="1" t="str">
        <f t="shared" si="2"/>
        <v>0.00</v>
      </c>
      <c r="N38" s="1" t="str">
        <f t="shared" ref="N38:N41" si="55">"证券买入"</f>
        <v>证券买入</v>
      </c>
    </row>
    <row r="39" spans="1:14">
      <c r="A39" s="1" t="str">
        <f t="shared" si="44"/>
        <v>20170925</v>
      </c>
      <c r="B39" s="1" t="str">
        <f>"09:30:02"</f>
        <v>09:30:02</v>
      </c>
      <c r="C39" s="1" t="str">
        <f>"300275"</f>
        <v>300275</v>
      </c>
      <c r="D39" s="1" t="str">
        <f>"梅安森"</f>
        <v>梅安森</v>
      </c>
      <c r="E39" s="1" t="str">
        <f t="shared" si="53"/>
        <v>买入</v>
      </c>
      <c r="F39" s="1" t="str">
        <f>"16.550"</f>
        <v>16.550</v>
      </c>
      <c r="G39" s="1" t="str">
        <f>"300.00"</f>
        <v>300.00</v>
      </c>
      <c r="H39" s="1" t="str">
        <f t="shared" si="52"/>
        <v>0104152129</v>
      </c>
      <c r="I39" s="1" t="str">
        <f>"4965.00"</f>
        <v>4965.00</v>
      </c>
      <c r="J39" s="1" t="str">
        <f t="shared" si="49"/>
        <v>5.00</v>
      </c>
      <c r="K39" s="1" t="str">
        <f t="shared" si="54"/>
        <v>0.00</v>
      </c>
      <c r="L39" s="1" t="str">
        <f>"0.10"</f>
        <v>0.10</v>
      </c>
      <c r="M39" s="1" t="str">
        <f t="shared" si="2"/>
        <v>0.00</v>
      </c>
      <c r="N39" s="1" t="str">
        <f t="shared" si="55"/>
        <v>证券买入</v>
      </c>
    </row>
    <row r="40" spans="1:14">
      <c r="A40" s="1" t="str">
        <f t="shared" si="44"/>
        <v>20170925</v>
      </c>
      <c r="B40" s="1" t="str">
        <f>"09:39:35"</f>
        <v>09:39:35</v>
      </c>
      <c r="C40" s="1" t="str">
        <f>"002128"</f>
        <v>002128</v>
      </c>
      <c r="D40" s="1" t="str">
        <f>"露天煤业"</f>
        <v>露天煤业</v>
      </c>
      <c r="E40" s="1" t="str">
        <f t="shared" ref="E40:E45" si="56">"卖出"</f>
        <v>卖出</v>
      </c>
      <c r="F40" s="1" t="str">
        <f>"12.890"</f>
        <v>12.890</v>
      </c>
      <c r="G40" s="1" t="str">
        <f>"-200.00"</f>
        <v>-200.00</v>
      </c>
      <c r="H40" s="1" t="str">
        <f t="shared" si="52"/>
        <v>0104152129</v>
      </c>
      <c r="I40" s="1" t="str">
        <f>"2578.00"</f>
        <v>2578.00</v>
      </c>
      <c r="J40" s="1" t="str">
        <f t="shared" si="49"/>
        <v>5.00</v>
      </c>
      <c r="K40" s="1" t="str">
        <f>"2.58"</f>
        <v>2.58</v>
      </c>
      <c r="L40" s="1" t="str">
        <f>"0.05"</f>
        <v>0.05</v>
      </c>
      <c r="M40" s="1" t="str">
        <f t="shared" si="2"/>
        <v>0.00</v>
      </c>
      <c r="N40" s="1" t="str">
        <f t="shared" ref="N40:N45" si="57">"证券卖出"</f>
        <v>证券卖出</v>
      </c>
    </row>
    <row r="41" spans="1:14">
      <c r="A41" s="1" t="str">
        <f t="shared" ref="A41:A47" si="58">"20170926"</f>
        <v>20170926</v>
      </c>
      <c r="B41" s="1" t="str">
        <f>"09:25:01"</f>
        <v>09:25:01</v>
      </c>
      <c r="C41" s="1" t="str">
        <f>"601607"</f>
        <v>601607</v>
      </c>
      <c r="D41" s="1" t="str">
        <f>"上海医药"</f>
        <v>上海医药</v>
      </c>
      <c r="E41" s="1" t="str">
        <f t="shared" si="53"/>
        <v>买入</v>
      </c>
      <c r="F41" s="1" t="str">
        <f>"23.870"</f>
        <v>23.870</v>
      </c>
      <c r="G41" s="1" t="str">
        <f>"200.00"</f>
        <v>200.00</v>
      </c>
      <c r="H41" s="1" t="str">
        <f t="shared" ref="H41:H43" si="59">"A850418317"</f>
        <v>A850418317</v>
      </c>
      <c r="I41" s="1" t="str">
        <f>"4774.00"</f>
        <v>4774.00</v>
      </c>
      <c r="J41" s="1" t="str">
        <f t="shared" si="49"/>
        <v>5.00</v>
      </c>
      <c r="K41" s="1" t="str">
        <f t="shared" si="54"/>
        <v>0.00</v>
      </c>
      <c r="L41" s="1" t="str">
        <f>"0.10"</f>
        <v>0.10</v>
      </c>
      <c r="M41" s="1" t="str">
        <f t="shared" si="2"/>
        <v>0.00</v>
      </c>
      <c r="N41" s="1" t="str">
        <f t="shared" si="55"/>
        <v>证券买入</v>
      </c>
    </row>
    <row r="42" spans="1:14">
      <c r="A42" s="1" t="str">
        <f t="shared" si="58"/>
        <v>20170926</v>
      </c>
      <c r="B42" s="1" t="str">
        <f>"09:30:15"</f>
        <v>09:30:15</v>
      </c>
      <c r="C42" s="1" t="str">
        <f>"603042"</f>
        <v>603042</v>
      </c>
      <c r="D42" s="1" t="str">
        <f>"华脉科技"</f>
        <v>华脉科技</v>
      </c>
      <c r="E42" s="1" t="str">
        <f t="shared" si="56"/>
        <v>卖出</v>
      </c>
      <c r="F42" s="1" t="str">
        <f>"36.910"</f>
        <v>36.910</v>
      </c>
      <c r="G42" s="1" t="str">
        <f>"-100.00"</f>
        <v>-100.00</v>
      </c>
      <c r="H42" s="1" t="str">
        <f t="shared" si="59"/>
        <v>A850418317</v>
      </c>
      <c r="I42" s="1" t="str">
        <f>"3691.00"</f>
        <v>3691.00</v>
      </c>
      <c r="J42" s="1" t="str">
        <f t="shared" si="49"/>
        <v>5.00</v>
      </c>
      <c r="K42" s="1" t="str">
        <f>"3.69"</f>
        <v>3.69</v>
      </c>
      <c r="L42" s="1" t="str">
        <f>"0.07"</f>
        <v>0.07</v>
      </c>
      <c r="M42" s="1" t="str">
        <f t="shared" si="2"/>
        <v>0.00</v>
      </c>
      <c r="N42" s="1" t="str">
        <f t="shared" si="57"/>
        <v>证券卖出</v>
      </c>
    </row>
    <row r="43" spans="1:14">
      <c r="A43" s="1" t="str">
        <f t="shared" si="58"/>
        <v>20170926</v>
      </c>
      <c r="B43" s="1" t="str">
        <f>"14:34:59"</f>
        <v>14:34:59</v>
      </c>
      <c r="C43" s="1" t="str">
        <f>"603559"</f>
        <v>603559</v>
      </c>
      <c r="D43" s="1" t="str">
        <f>"中通国脉"</f>
        <v>中通国脉</v>
      </c>
      <c r="E43" s="1" t="str">
        <f t="shared" ref="E43:E47" si="60">"买入"</f>
        <v>买入</v>
      </c>
      <c r="F43" s="1" t="str">
        <f>"37.680"</f>
        <v>37.680</v>
      </c>
      <c r="G43" s="1" t="str">
        <f>"100.00"</f>
        <v>100.00</v>
      </c>
      <c r="H43" s="1" t="str">
        <f t="shared" si="59"/>
        <v>A850418317</v>
      </c>
      <c r="I43" s="1" t="str">
        <f>"3768.00"</f>
        <v>3768.00</v>
      </c>
      <c r="J43" s="1" t="str">
        <f t="shared" si="49"/>
        <v>5.00</v>
      </c>
      <c r="K43" s="1" t="str">
        <f t="shared" ref="K43:K47" si="61">"0.00"</f>
        <v>0.00</v>
      </c>
      <c r="L43" s="1" t="str">
        <f>"0.08"</f>
        <v>0.08</v>
      </c>
      <c r="M43" s="1" t="str">
        <f t="shared" si="2"/>
        <v>0.00</v>
      </c>
      <c r="N43" s="1" t="str">
        <f>"证券买入"</f>
        <v>证券买入</v>
      </c>
    </row>
    <row r="44" spans="1:14">
      <c r="A44" s="1" t="str">
        <f t="shared" si="58"/>
        <v>20170926</v>
      </c>
      <c r="B44" s="1" t="str">
        <f t="shared" ref="B44:B46" si="62">"09:25:00"</f>
        <v>09:25:00</v>
      </c>
      <c r="C44" s="1" t="str">
        <f>"300275"</f>
        <v>300275</v>
      </c>
      <c r="D44" s="1" t="str">
        <f>"梅安森"</f>
        <v>梅安森</v>
      </c>
      <c r="E44" s="1" t="str">
        <f t="shared" si="56"/>
        <v>卖出</v>
      </c>
      <c r="F44" s="1" t="str">
        <f>"15.780"</f>
        <v>15.780</v>
      </c>
      <c r="G44" s="1" t="str">
        <f>"-300.00"</f>
        <v>-300.00</v>
      </c>
      <c r="H44" s="1" t="str">
        <f t="shared" ref="H44:H46" si="63">"0104152129"</f>
        <v>0104152129</v>
      </c>
      <c r="I44" s="1" t="str">
        <f>"4734.00"</f>
        <v>4734.00</v>
      </c>
      <c r="J44" s="1" t="str">
        <f t="shared" si="49"/>
        <v>5.00</v>
      </c>
      <c r="K44" s="1" t="str">
        <f>"4.74"</f>
        <v>4.74</v>
      </c>
      <c r="L44" s="1" t="str">
        <f>"0.09"</f>
        <v>0.09</v>
      </c>
      <c r="M44" s="1" t="str">
        <f t="shared" si="2"/>
        <v>0.00</v>
      </c>
      <c r="N44" s="1" t="str">
        <f t="shared" si="57"/>
        <v>证券卖出</v>
      </c>
    </row>
    <row r="45" spans="1:14">
      <c r="A45" s="1" t="str">
        <f t="shared" si="58"/>
        <v>20170926</v>
      </c>
      <c r="B45" s="1" t="str">
        <f t="shared" si="62"/>
        <v>09:25:00</v>
      </c>
      <c r="C45" s="1" t="str">
        <f>"002792"</f>
        <v>002792</v>
      </c>
      <c r="D45" s="1" t="str">
        <f>"通宇通讯"</f>
        <v>通宇通讯</v>
      </c>
      <c r="E45" s="1" t="str">
        <f t="shared" si="56"/>
        <v>卖出</v>
      </c>
      <c r="F45" s="1" t="str">
        <f>"39.560"</f>
        <v>39.560</v>
      </c>
      <c r="G45" s="1" t="str">
        <f>"-100.00"</f>
        <v>-100.00</v>
      </c>
      <c r="H45" s="1" t="str">
        <f t="shared" si="63"/>
        <v>0104152129</v>
      </c>
      <c r="I45" s="1" t="str">
        <f>"3956.00"</f>
        <v>3956.00</v>
      </c>
      <c r="J45" s="1" t="str">
        <f t="shared" si="49"/>
        <v>5.00</v>
      </c>
      <c r="K45" s="1" t="str">
        <f>"3.96"</f>
        <v>3.96</v>
      </c>
      <c r="L45" s="1" t="str">
        <f>"0.08"</f>
        <v>0.08</v>
      </c>
      <c r="M45" s="1" t="str">
        <f t="shared" si="2"/>
        <v>0.00</v>
      </c>
      <c r="N45" s="1" t="str">
        <f t="shared" si="57"/>
        <v>证券卖出</v>
      </c>
    </row>
    <row r="46" spans="1:14">
      <c r="A46" s="1" t="str">
        <f t="shared" si="58"/>
        <v>20170926</v>
      </c>
      <c r="B46" s="1" t="str">
        <f t="shared" si="62"/>
        <v>09:25:00</v>
      </c>
      <c r="C46" s="1" t="str">
        <f>"000078"</f>
        <v>000078</v>
      </c>
      <c r="D46" s="1" t="str">
        <f>"海王生物"</f>
        <v>海王生物</v>
      </c>
      <c r="E46" s="1" t="str">
        <f t="shared" si="60"/>
        <v>买入</v>
      </c>
      <c r="F46" s="1" t="str">
        <f>"6.840"</f>
        <v>6.840</v>
      </c>
      <c r="G46" s="1" t="str">
        <f>"700.00"</f>
        <v>700.00</v>
      </c>
      <c r="H46" s="1" t="str">
        <f t="shared" si="63"/>
        <v>0104152129</v>
      </c>
      <c r="I46" s="1" t="str">
        <f>"4788.00"</f>
        <v>4788.00</v>
      </c>
      <c r="J46" s="1" t="str">
        <f t="shared" si="49"/>
        <v>5.00</v>
      </c>
      <c r="K46" s="1" t="str">
        <f t="shared" si="61"/>
        <v>0.00</v>
      </c>
      <c r="L46" s="1" t="str">
        <f>"0.10"</f>
        <v>0.10</v>
      </c>
      <c r="M46" s="1" t="str">
        <f t="shared" si="2"/>
        <v>0.00</v>
      </c>
      <c r="N46" s="1" t="str">
        <f t="shared" ref="N46:N51" si="64">"证券买入"</f>
        <v>证券买入</v>
      </c>
    </row>
    <row r="47" spans="1:14">
      <c r="A47" s="1" t="str">
        <f t="shared" si="58"/>
        <v>20170926</v>
      </c>
      <c r="B47" s="1" t="str">
        <f>"23:23:12"</f>
        <v>23:23:12</v>
      </c>
      <c r="C47" s="1" t="str">
        <f>"736110"</f>
        <v>736110</v>
      </c>
      <c r="D47" s="1" t="str">
        <f>"东方配号"</f>
        <v>东方配号</v>
      </c>
      <c r="E47" s="1" t="str">
        <f t="shared" si="60"/>
        <v>买入</v>
      </c>
      <c r="F47" s="1" t="str">
        <f>"0.000"</f>
        <v>0.000</v>
      </c>
      <c r="G47" s="1" t="str">
        <f>"2.00"</f>
        <v>2.00</v>
      </c>
      <c r="H47" s="1" t="str">
        <f t="shared" ref="H47:H49" si="65">"A850418317"</f>
        <v>A850418317</v>
      </c>
      <c r="I47" s="1" t="str">
        <f t="shared" ref="I47:L47" si="66">"0.00"</f>
        <v>0.00</v>
      </c>
      <c r="J47" s="1" t="str">
        <f t="shared" si="66"/>
        <v>0.00</v>
      </c>
      <c r="K47" s="1" t="str">
        <f t="shared" si="61"/>
        <v>0.00</v>
      </c>
      <c r="L47" s="1" t="str">
        <f t="shared" si="66"/>
        <v>0.00</v>
      </c>
      <c r="M47" s="1" t="str">
        <f t="shared" si="2"/>
        <v>0.00</v>
      </c>
      <c r="N47" s="1" t="str">
        <f>"起始配号:100033112281"</f>
        <v>起始配号:100033112281</v>
      </c>
    </row>
    <row r="48" spans="1:14">
      <c r="A48" s="1" t="str">
        <f t="shared" ref="A48:A52" si="67">"20170927"</f>
        <v>20170927</v>
      </c>
      <c r="B48" s="1" t="str">
        <f>"10:27:22"</f>
        <v>10:27:22</v>
      </c>
      <c r="C48" s="1" t="str">
        <f>"603559"</f>
        <v>603559</v>
      </c>
      <c r="D48" s="1" t="str">
        <f>"中通国脉"</f>
        <v>中通国脉</v>
      </c>
      <c r="E48" s="1" t="str">
        <f t="shared" ref="E48:E53" si="68">"卖出"</f>
        <v>卖出</v>
      </c>
      <c r="F48" s="1" t="str">
        <f>"34.870"</f>
        <v>34.870</v>
      </c>
      <c r="G48" s="1" t="str">
        <f>"-100.00"</f>
        <v>-100.00</v>
      </c>
      <c r="H48" s="1" t="str">
        <f t="shared" si="65"/>
        <v>A850418317</v>
      </c>
      <c r="I48" s="1" t="str">
        <f>"3487.00"</f>
        <v>3487.00</v>
      </c>
      <c r="J48" s="1" t="str">
        <f t="shared" ref="J48:J51" si="69">"5.00"</f>
        <v>5.00</v>
      </c>
      <c r="K48" s="1" t="str">
        <f>"3.49"</f>
        <v>3.49</v>
      </c>
      <c r="L48" s="1" t="str">
        <f>"0.07"</f>
        <v>0.07</v>
      </c>
      <c r="M48" s="1" t="str">
        <f t="shared" si="2"/>
        <v>0.00</v>
      </c>
      <c r="N48" s="1" t="str">
        <f t="shared" ref="N48:N53" si="70">"证券卖出"</f>
        <v>证券卖出</v>
      </c>
    </row>
    <row r="49" spans="1:14">
      <c r="A49" s="1" t="str">
        <f t="shared" si="67"/>
        <v>20170927</v>
      </c>
      <c r="B49" s="1" t="str">
        <f>"10:29:49"</f>
        <v>10:29:49</v>
      </c>
      <c r="C49" s="1" t="str">
        <f>"600516"</f>
        <v>600516</v>
      </c>
      <c r="D49" s="1" t="str">
        <f>"方大炭素"</f>
        <v>方大炭素</v>
      </c>
      <c r="E49" s="1" t="str">
        <f t="shared" ref="E49:E52" si="71">"买入"</f>
        <v>买入</v>
      </c>
      <c r="F49" s="1" t="str">
        <f>"31.110"</f>
        <v>31.110</v>
      </c>
      <c r="G49" s="1" t="str">
        <f>"100.00"</f>
        <v>100.00</v>
      </c>
      <c r="H49" s="1" t="str">
        <f t="shared" si="65"/>
        <v>A850418317</v>
      </c>
      <c r="I49" s="1" t="str">
        <f>"3111.00"</f>
        <v>3111.00</v>
      </c>
      <c r="J49" s="1" t="str">
        <f t="shared" si="69"/>
        <v>5.00</v>
      </c>
      <c r="K49" s="1" t="str">
        <f t="shared" ref="K49:K52" si="72">"0.00"</f>
        <v>0.00</v>
      </c>
      <c r="L49" s="1" t="str">
        <f>"0.06"</f>
        <v>0.06</v>
      </c>
      <c r="M49" s="1" t="str">
        <f t="shared" si="2"/>
        <v>0.00</v>
      </c>
      <c r="N49" s="1" t="str">
        <f t="shared" si="64"/>
        <v>证券买入</v>
      </c>
    </row>
    <row r="50" spans="1:14">
      <c r="A50" s="1" t="str">
        <f t="shared" si="67"/>
        <v>20170927</v>
      </c>
      <c r="B50" s="1" t="str">
        <f>"09:59:35"</f>
        <v>09:59:35</v>
      </c>
      <c r="C50" s="1" t="str">
        <f>"000078"</f>
        <v>000078</v>
      </c>
      <c r="D50" s="1" t="str">
        <f>"海王生物"</f>
        <v>海王生物</v>
      </c>
      <c r="E50" s="1" t="str">
        <f t="shared" si="68"/>
        <v>卖出</v>
      </c>
      <c r="F50" s="1" t="str">
        <f>"6.490"</f>
        <v>6.490</v>
      </c>
      <c r="G50" s="1" t="str">
        <f>"-700.00"</f>
        <v>-700.00</v>
      </c>
      <c r="H50" s="1" t="str">
        <f t="shared" ref="H50:H55" si="73">"0104152129"</f>
        <v>0104152129</v>
      </c>
      <c r="I50" s="1" t="str">
        <f>"4543.00"</f>
        <v>4543.00</v>
      </c>
      <c r="J50" s="1" t="str">
        <f t="shared" si="69"/>
        <v>5.00</v>
      </c>
      <c r="K50" s="1" t="str">
        <f>"4.54"</f>
        <v>4.54</v>
      </c>
      <c r="L50" s="1" t="str">
        <f t="shared" ref="L50:L55" si="74">"0.09"</f>
        <v>0.09</v>
      </c>
      <c r="M50" s="1" t="str">
        <f t="shared" si="2"/>
        <v>0.00</v>
      </c>
      <c r="N50" s="1" t="str">
        <f t="shared" si="70"/>
        <v>证券卖出</v>
      </c>
    </row>
    <row r="51" spans="1:14">
      <c r="A51" s="1" t="str">
        <f t="shared" si="67"/>
        <v>20170927</v>
      </c>
      <c r="B51" s="1" t="str">
        <f>"14:45:45"</f>
        <v>14:45:45</v>
      </c>
      <c r="C51" s="1" t="str">
        <f>"002847"</f>
        <v>002847</v>
      </c>
      <c r="D51" s="1" t="str">
        <f>"盐津铺子"</f>
        <v>盐津铺子</v>
      </c>
      <c r="E51" s="1" t="str">
        <f t="shared" si="71"/>
        <v>买入</v>
      </c>
      <c r="F51" s="1" t="str">
        <f>"44.600"</f>
        <v>44.600</v>
      </c>
      <c r="G51" s="1" t="str">
        <f>"100.00"</f>
        <v>100.00</v>
      </c>
      <c r="H51" s="1" t="str">
        <f t="shared" si="73"/>
        <v>0104152129</v>
      </c>
      <c r="I51" s="1" t="str">
        <f>"4460.00"</f>
        <v>4460.00</v>
      </c>
      <c r="J51" s="1" t="str">
        <f t="shared" si="69"/>
        <v>5.00</v>
      </c>
      <c r="K51" s="1" t="str">
        <f t="shared" si="72"/>
        <v>0.00</v>
      </c>
      <c r="L51" s="1" t="str">
        <f t="shared" si="74"/>
        <v>0.09</v>
      </c>
      <c r="M51" s="1" t="str">
        <f t="shared" si="2"/>
        <v>0.00</v>
      </c>
      <c r="N51" s="1" t="str">
        <f t="shared" si="64"/>
        <v>证券买入</v>
      </c>
    </row>
    <row r="52" spans="1:14">
      <c r="A52" s="1" t="str">
        <f t="shared" si="67"/>
        <v>20170927</v>
      </c>
      <c r="B52" s="1" t="str">
        <f>"22:16:56"</f>
        <v>22:16:56</v>
      </c>
      <c r="C52" s="1" t="str">
        <f>"736499"</f>
        <v>736499</v>
      </c>
      <c r="D52" s="1" t="str">
        <f>"翔港配号"</f>
        <v>翔港配号</v>
      </c>
      <c r="E52" s="1" t="str">
        <f t="shared" si="71"/>
        <v>买入</v>
      </c>
      <c r="F52" s="1" t="str">
        <f>"0.000"</f>
        <v>0.000</v>
      </c>
      <c r="G52" s="1" t="str">
        <f>"2.00"</f>
        <v>2.00</v>
      </c>
      <c r="H52" s="1" t="str">
        <f t="shared" ref="H52:H54" si="75">"A850418317"</f>
        <v>A850418317</v>
      </c>
      <c r="I52" s="1" t="str">
        <f t="shared" ref="I52:L52" si="76">"0.00"</f>
        <v>0.00</v>
      </c>
      <c r="J52" s="1" t="str">
        <f t="shared" si="76"/>
        <v>0.00</v>
      </c>
      <c r="K52" s="1" t="str">
        <f t="shared" si="72"/>
        <v>0.00</v>
      </c>
      <c r="L52" s="1" t="str">
        <f t="shared" si="76"/>
        <v>0.00</v>
      </c>
      <c r="M52" s="1" t="str">
        <f t="shared" si="2"/>
        <v>0.00</v>
      </c>
      <c r="N52" s="1" t="str">
        <f>"起始配号:100040545763"</f>
        <v>起始配号:100040545763</v>
      </c>
    </row>
    <row r="53" spans="1:14">
      <c r="A53" s="1" t="str">
        <f t="shared" ref="A53:A56" si="77">"20170928"</f>
        <v>20170928</v>
      </c>
      <c r="B53" s="1" t="str">
        <f>"14:44:23"</f>
        <v>14:44:23</v>
      </c>
      <c r="C53" s="1" t="str">
        <f>"600516"</f>
        <v>600516</v>
      </c>
      <c r="D53" s="1" t="str">
        <f>"方大炭素"</f>
        <v>方大炭素</v>
      </c>
      <c r="E53" s="1" t="str">
        <f t="shared" si="68"/>
        <v>卖出</v>
      </c>
      <c r="F53" s="1" t="str">
        <f>"30.150"</f>
        <v>30.150</v>
      </c>
      <c r="G53" s="1" t="str">
        <f>"-100.00"</f>
        <v>-100.00</v>
      </c>
      <c r="H53" s="1" t="str">
        <f t="shared" si="75"/>
        <v>A850418317</v>
      </c>
      <c r="I53" s="1" t="str">
        <f>"3015.00"</f>
        <v>3015.00</v>
      </c>
      <c r="J53" s="1" t="str">
        <f t="shared" ref="J53:J55" si="78">"5.00"</f>
        <v>5.00</v>
      </c>
      <c r="K53" s="1" t="str">
        <f>"3.02"</f>
        <v>3.02</v>
      </c>
      <c r="L53" s="1" t="str">
        <f>"0.06"</f>
        <v>0.06</v>
      </c>
      <c r="M53" s="1" t="str">
        <f t="shared" si="2"/>
        <v>0.00</v>
      </c>
      <c r="N53" s="1" t="str">
        <f t="shared" si="70"/>
        <v>证券卖出</v>
      </c>
    </row>
    <row r="54" spans="1:14">
      <c r="A54" s="1" t="str">
        <f t="shared" si="77"/>
        <v>20170928</v>
      </c>
      <c r="B54" s="1" t="str">
        <f>"14:44:49"</f>
        <v>14:44:49</v>
      </c>
      <c r="C54" s="1" t="str">
        <f>"601607"</f>
        <v>601607</v>
      </c>
      <c r="D54" s="1" t="str">
        <f>"上海医药"</f>
        <v>上海医药</v>
      </c>
      <c r="E54" s="1" t="str">
        <f t="shared" ref="E54:E58" si="79">"买入"</f>
        <v>买入</v>
      </c>
      <c r="F54" s="1" t="str">
        <f>"23.580"</f>
        <v>23.580</v>
      </c>
      <c r="G54" s="1" t="str">
        <f>"200.00"</f>
        <v>200.00</v>
      </c>
      <c r="H54" s="1" t="str">
        <f t="shared" si="75"/>
        <v>A850418317</v>
      </c>
      <c r="I54" s="1" t="str">
        <f>"4716.00"</f>
        <v>4716.00</v>
      </c>
      <c r="J54" s="1" t="str">
        <f t="shared" si="78"/>
        <v>5.00</v>
      </c>
      <c r="K54" s="1" t="str">
        <f t="shared" ref="K54:K58" si="80">"0.00"</f>
        <v>0.00</v>
      </c>
      <c r="L54" s="1" t="str">
        <f t="shared" si="74"/>
        <v>0.09</v>
      </c>
      <c r="M54" s="1" t="str">
        <f t="shared" si="2"/>
        <v>0.00</v>
      </c>
      <c r="N54" s="1" t="str">
        <f t="shared" ref="N54:N58" si="81">"证券买入"</f>
        <v>证券买入</v>
      </c>
    </row>
    <row r="55" spans="1:14">
      <c r="A55" s="1" t="str">
        <f t="shared" si="77"/>
        <v>20170928</v>
      </c>
      <c r="B55" s="1" t="str">
        <f>"09:40:16"</f>
        <v>09:40:16</v>
      </c>
      <c r="C55" s="1" t="str">
        <f t="shared" ref="C55:C60" si="82">"002847"</f>
        <v>002847</v>
      </c>
      <c r="D55" s="1" t="str">
        <f t="shared" ref="D55:D60" si="83">"盐津铺子"</f>
        <v>盐津铺子</v>
      </c>
      <c r="E55" s="1" t="str">
        <f t="shared" si="79"/>
        <v>买入</v>
      </c>
      <c r="F55" s="1" t="str">
        <f>"43.000"</f>
        <v>43.000</v>
      </c>
      <c r="G55" s="1" t="str">
        <f>"100.00"</f>
        <v>100.00</v>
      </c>
      <c r="H55" s="1" t="str">
        <f t="shared" si="73"/>
        <v>0104152129</v>
      </c>
      <c r="I55" s="1" t="str">
        <f>"4300.00"</f>
        <v>4300.00</v>
      </c>
      <c r="J55" s="1" t="str">
        <f t="shared" si="78"/>
        <v>5.00</v>
      </c>
      <c r="K55" s="1" t="str">
        <f t="shared" si="80"/>
        <v>0.00</v>
      </c>
      <c r="L55" s="1" t="str">
        <f t="shared" si="74"/>
        <v>0.09</v>
      </c>
      <c r="M55" s="1" t="str">
        <f t="shared" si="2"/>
        <v>0.00</v>
      </c>
      <c r="N55" s="1" t="str">
        <f t="shared" si="81"/>
        <v>证券买入</v>
      </c>
    </row>
    <row r="56" spans="1:14">
      <c r="A56" s="1" t="str">
        <f t="shared" si="77"/>
        <v>20170928</v>
      </c>
      <c r="B56" s="1" t="str">
        <f>"21:51:10"</f>
        <v>21:51:10</v>
      </c>
      <c r="C56" s="1" t="str">
        <f>"736829"</f>
        <v>736829</v>
      </c>
      <c r="D56" s="1" t="str">
        <f>"洛凯配号"</f>
        <v>洛凯配号</v>
      </c>
      <c r="E56" s="1" t="str">
        <f t="shared" si="79"/>
        <v>买入</v>
      </c>
      <c r="F56" s="1" t="str">
        <f>"0.000"</f>
        <v>0.000</v>
      </c>
      <c r="G56" s="1" t="str">
        <f>"2.00"</f>
        <v>2.00</v>
      </c>
      <c r="H56" s="1" t="str">
        <f>"A850418317"</f>
        <v>A850418317</v>
      </c>
      <c r="I56" s="1" t="str">
        <f t="shared" ref="I56:L56" si="84">"0.00"</f>
        <v>0.00</v>
      </c>
      <c r="J56" s="1" t="str">
        <f t="shared" si="84"/>
        <v>0.00</v>
      </c>
      <c r="K56" s="1" t="str">
        <f t="shared" si="80"/>
        <v>0.00</v>
      </c>
      <c r="L56" s="1" t="str">
        <f t="shared" si="84"/>
        <v>0.00</v>
      </c>
      <c r="M56" s="1" t="str">
        <f t="shared" si="2"/>
        <v>0.00</v>
      </c>
      <c r="N56" s="1" t="str">
        <f>"起始配号:100024249758"</f>
        <v>起始配号:100024249758</v>
      </c>
    </row>
    <row r="57" spans="1:14">
      <c r="A57" s="1" t="str">
        <f t="shared" ref="A57:A62" si="85">"20170929"</f>
        <v>20170929</v>
      </c>
      <c r="B57" s="1" t="str">
        <f>"13:22:59"</f>
        <v>13:22:59</v>
      </c>
      <c r="C57" s="1" t="str">
        <f>"600309"</f>
        <v>600309</v>
      </c>
      <c r="D57" s="1" t="str">
        <f>"万华化学"</f>
        <v>万华化学</v>
      </c>
      <c r="E57" s="1" t="str">
        <f t="shared" si="79"/>
        <v>买入</v>
      </c>
      <c r="F57" s="1" t="str">
        <f>"42.010"</f>
        <v>42.010</v>
      </c>
      <c r="G57" s="1" t="str">
        <f>"100.00"</f>
        <v>100.00</v>
      </c>
      <c r="H57" s="1" t="str">
        <f>"A850418317"</f>
        <v>A850418317</v>
      </c>
      <c r="I57" s="1" t="str">
        <f>"4201.00"</f>
        <v>4201.00</v>
      </c>
      <c r="J57" s="1" t="str">
        <f t="shared" ref="J57:J61" si="86">"5.00"</f>
        <v>5.00</v>
      </c>
      <c r="K57" s="1" t="str">
        <f t="shared" si="80"/>
        <v>0.00</v>
      </c>
      <c r="L57" s="1" t="str">
        <f t="shared" ref="L57:L61" si="87">"0.08"</f>
        <v>0.08</v>
      </c>
      <c r="M57" s="1" t="str">
        <f t="shared" si="2"/>
        <v>0.00</v>
      </c>
      <c r="N57" s="1" t="str">
        <f t="shared" si="81"/>
        <v>证券买入</v>
      </c>
    </row>
    <row r="58" spans="1:14">
      <c r="A58" s="1" t="str">
        <f t="shared" si="85"/>
        <v>20170929</v>
      </c>
      <c r="B58" s="1" t="str">
        <f>"09:43:13"</f>
        <v>09:43:13</v>
      </c>
      <c r="C58" s="1" t="str">
        <f>"000725"</f>
        <v>000725</v>
      </c>
      <c r="D58" s="1" t="str">
        <f>"京东方Ａ"</f>
        <v>京东方Ａ</v>
      </c>
      <c r="E58" s="1" t="str">
        <f t="shared" si="79"/>
        <v>买入</v>
      </c>
      <c r="F58" s="1" t="str">
        <f>"4.610"</f>
        <v>4.610</v>
      </c>
      <c r="G58" s="1" t="str">
        <f>"400.00"</f>
        <v>400.00</v>
      </c>
      <c r="H58" s="1" t="str">
        <f t="shared" ref="H58:H61" si="88">"0104152129"</f>
        <v>0104152129</v>
      </c>
      <c r="I58" s="1" t="str">
        <f>"1844.00"</f>
        <v>1844.00</v>
      </c>
      <c r="J58" s="1" t="str">
        <f t="shared" si="86"/>
        <v>5.00</v>
      </c>
      <c r="K58" s="1" t="str">
        <f t="shared" si="80"/>
        <v>0.00</v>
      </c>
      <c r="L58" s="1" t="str">
        <f>"0.04"</f>
        <v>0.04</v>
      </c>
      <c r="M58" s="1" t="str">
        <f t="shared" si="2"/>
        <v>0.00</v>
      </c>
      <c r="N58" s="1" t="str">
        <f t="shared" si="81"/>
        <v>证券买入</v>
      </c>
    </row>
    <row r="59" spans="1:14">
      <c r="A59" s="1" t="str">
        <f t="shared" si="85"/>
        <v>20170929</v>
      </c>
      <c r="B59" s="1" t="str">
        <f>"10:59:04"</f>
        <v>10:59:04</v>
      </c>
      <c r="C59" s="1" t="str">
        <f t="shared" si="82"/>
        <v>002847</v>
      </c>
      <c r="D59" s="1" t="str">
        <f t="shared" si="83"/>
        <v>盐津铺子</v>
      </c>
      <c r="E59" s="1" t="str">
        <f t="shared" ref="E59:E63" si="89">"卖出"</f>
        <v>卖出</v>
      </c>
      <c r="F59" s="1" t="str">
        <f>"40.300"</f>
        <v>40.300</v>
      </c>
      <c r="G59" s="1" t="str">
        <f>"-100.00"</f>
        <v>-100.00</v>
      </c>
      <c r="H59" s="1" t="str">
        <f t="shared" si="88"/>
        <v>0104152129</v>
      </c>
      <c r="I59" s="1" t="str">
        <f>"4030.00"</f>
        <v>4030.00</v>
      </c>
      <c r="J59" s="1" t="str">
        <f t="shared" si="86"/>
        <v>5.00</v>
      </c>
      <c r="K59" s="1" t="str">
        <f>"4.03"</f>
        <v>4.03</v>
      </c>
      <c r="L59" s="1" t="str">
        <f t="shared" si="87"/>
        <v>0.08</v>
      </c>
      <c r="M59" s="1" t="str">
        <f t="shared" si="2"/>
        <v>0.00</v>
      </c>
      <c r="N59" s="1" t="str">
        <f t="shared" ref="N59:N63" si="90">"证券卖出"</f>
        <v>证券卖出</v>
      </c>
    </row>
    <row r="60" spans="1:14">
      <c r="A60" s="1" t="str">
        <f t="shared" si="85"/>
        <v>20170929</v>
      </c>
      <c r="B60" s="1" t="str">
        <f>"13:21:20"</f>
        <v>13:21:20</v>
      </c>
      <c r="C60" s="1" t="str">
        <f t="shared" si="82"/>
        <v>002847</v>
      </c>
      <c r="D60" s="1" t="str">
        <f t="shared" si="83"/>
        <v>盐津铺子</v>
      </c>
      <c r="E60" s="1" t="str">
        <f t="shared" si="89"/>
        <v>卖出</v>
      </c>
      <c r="F60" s="1" t="str">
        <f>"40.900"</f>
        <v>40.900</v>
      </c>
      <c r="G60" s="1" t="str">
        <f>"-100.00"</f>
        <v>-100.00</v>
      </c>
      <c r="H60" s="1" t="str">
        <f t="shared" si="88"/>
        <v>0104152129</v>
      </c>
      <c r="I60" s="1" t="str">
        <f>"4090.00"</f>
        <v>4090.00</v>
      </c>
      <c r="J60" s="1" t="str">
        <f t="shared" si="86"/>
        <v>5.00</v>
      </c>
      <c r="K60" s="1" t="str">
        <f>"4.09"</f>
        <v>4.09</v>
      </c>
      <c r="L60" s="1" t="str">
        <f t="shared" si="87"/>
        <v>0.08</v>
      </c>
      <c r="M60" s="1" t="str">
        <f t="shared" si="2"/>
        <v>0.00</v>
      </c>
      <c r="N60" s="1" t="str">
        <f t="shared" si="90"/>
        <v>证券卖出</v>
      </c>
    </row>
    <row r="61" spans="1:14">
      <c r="A61" s="1" t="str">
        <f t="shared" si="85"/>
        <v>20170929</v>
      </c>
      <c r="B61" s="1" t="str">
        <f>"13:56:12"</f>
        <v>13:56:12</v>
      </c>
      <c r="C61" s="1" t="str">
        <f>"000725"</f>
        <v>000725</v>
      </c>
      <c r="D61" s="1" t="str">
        <f>"京东方Ａ"</f>
        <v>京东方Ａ</v>
      </c>
      <c r="E61" s="1" t="str">
        <f t="shared" ref="E61:E66" si="91">"买入"</f>
        <v>买入</v>
      </c>
      <c r="F61" s="1" t="str">
        <f>"4.340"</f>
        <v>4.340</v>
      </c>
      <c r="G61" s="1" t="str">
        <f>"900.00"</f>
        <v>900.00</v>
      </c>
      <c r="H61" s="1" t="str">
        <f t="shared" si="88"/>
        <v>0104152129</v>
      </c>
      <c r="I61" s="1" t="str">
        <f>"3906.00"</f>
        <v>3906.00</v>
      </c>
      <c r="J61" s="1" t="str">
        <f t="shared" si="86"/>
        <v>5.00</v>
      </c>
      <c r="K61" s="1" t="str">
        <f t="shared" ref="K61:K66" si="92">"0.00"</f>
        <v>0.00</v>
      </c>
      <c r="L61" s="1" t="str">
        <f t="shared" si="87"/>
        <v>0.08</v>
      </c>
      <c r="M61" s="1" t="str">
        <f t="shared" si="2"/>
        <v>0.00</v>
      </c>
      <c r="N61" s="1" t="str">
        <f>"证券买入"</f>
        <v>证券买入</v>
      </c>
    </row>
    <row r="62" spans="1:14">
      <c r="A62" s="1" t="str">
        <f t="shared" si="85"/>
        <v>20170929</v>
      </c>
      <c r="B62" s="1" t="str">
        <f>"22:35:06"</f>
        <v>22:35:06</v>
      </c>
      <c r="C62" s="1" t="str">
        <f>"736396"</f>
        <v>736396</v>
      </c>
      <c r="D62" s="1" t="str">
        <f>"金辰配号"</f>
        <v>金辰配号</v>
      </c>
      <c r="E62" s="1" t="str">
        <f t="shared" si="91"/>
        <v>买入</v>
      </c>
      <c r="F62" s="1" t="str">
        <f t="shared" ref="F62:F66" si="93">"0.000"</f>
        <v>0.000</v>
      </c>
      <c r="G62" s="1" t="str">
        <f t="shared" ref="G62:G66" si="94">"2.00"</f>
        <v>2.00</v>
      </c>
      <c r="H62" s="1" t="str">
        <f t="shared" ref="H62:H70" si="95">"A850418317"</f>
        <v>A850418317</v>
      </c>
      <c r="I62" s="1" t="str">
        <f t="shared" ref="I62:L62" si="96">"0.00"</f>
        <v>0.00</v>
      </c>
      <c r="J62" s="1" t="str">
        <f t="shared" si="96"/>
        <v>0.00</v>
      </c>
      <c r="K62" s="1" t="str">
        <f t="shared" si="96"/>
        <v>0.00</v>
      </c>
      <c r="L62" s="1" t="str">
        <f t="shared" si="96"/>
        <v>0.00</v>
      </c>
      <c r="M62" s="1" t="str">
        <f t="shared" si="2"/>
        <v>0.00</v>
      </c>
      <c r="N62" s="1" t="str">
        <f>"起始配号:100017681007"</f>
        <v>起始配号:100017681007</v>
      </c>
    </row>
    <row r="63" spans="1:14">
      <c r="A63" s="1" t="str">
        <f t="shared" ref="A63:A66" si="97">"20171010"</f>
        <v>20171010</v>
      </c>
      <c r="B63" s="1" t="str">
        <f>"09:25:02"</f>
        <v>09:25:02</v>
      </c>
      <c r="C63" s="1" t="str">
        <f>"601607"</f>
        <v>601607</v>
      </c>
      <c r="D63" s="1" t="str">
        <f>"上海医药"</f>
        <v>上海医药</v>
      </c>
      <c r="E63" s="1" t="str">
        <f t="shared" si="89"/>
        <v>卖出</v>
      </c>
      <c r="F63" s="1" t="str">
        <f>"24.000"</f>
        <v>24.000</v>
      </c>
      <c r="G63" s="1" t="str">
        <f>"-200.00"</f>
        <v>-200.00</v>
      </c>
      <c r="H63" s="1" t="str">
        <f t="shared" si="95"/>
        <v>A850418317</v>
      </c>
      <c r="I63" s="1" t="str">
        <f>"4800.00"</f>
        <v>4800.00</v>
      </c>
      <c r="J63" s="1" t="str">
        <f t="shared" ref="J63:J71" si="98">"5.00"</f>
        <v>5.00</v>
      </c>
      <c r="K63" s="1" t="str">
        <f>"4.80"</f>
        <v>4.80</v>
      </c>
      <c r="L63" s="1" t="str">
        <f>"0.10"</f>
        <v>0.10</v>
      </c>
      <c r="M63" s="1" t="str">
        <f t="shared" si="2"/>
        <v>0.00</v>
      </c>
      <c r="N63" s="1" t="str">
        <f t="shared" si="90"/>
        <v>证券卖出</v>
      </c>
    </row>
    <row r="64" spans="1:14">
      <c r="A64" s="1" t="str">
        <f t="shared" si="97"/>
        <v>20171010</v>
      </c>
      <c r="B64" s="1" t="str">
        <f>"09:30:40"</f>
        <v>09:30:40</v>
      </c>
      <c r="C64" s="1" t="str">
        <f>"000725"</f>
        <v>000725</v>
      </c>
      <c r="D64" s="1" t="str">
        <f>"京东方Ａ"</f>
        <v>京东方Ａ</v>
      </c>
      <c r="E64" s="1" t="str">
        <f t="shared" si="91"/>
        <v>买入</v>
      </c>
      <c r="F64" s="1" t="str">
        <f>"4.770"</f>
        <v>4.770</v>
      </c>
      <c r="G64" s="1" t="str">
        <f>"1000.00"</f>
        <v>1000.00</v>
      </c>
      <c r="H64" s="1" t="str">
        <f>"0104152129"</f>
        <v>0104152129</v>
      </c>
      <c r="I64" s="1" t="str">
        <f>"4770.00"</f>
        <v>4770.00</v>
      </c>
      <c r="J64" s="1" t="str">
        <f t="shared" si="98"/>
        <v>5.00</v>
      </c>
      <c r="K64" s="1" t="str">
        <f t="shared" si="92"/>
        <v>0.00</v>
      </c>
      <c r="L64" s="1" t="str">
        <f>"0.10"</f>
        <v>0.10</v>
      </c>
      <c r="M64" s="1" t="str">
        <f t="shared" si="2"/>
        <v>0.00</v>
      </c>
      <c r="N64" s="1" t="str">
        <f>"证券买入"</f>
        <v>证券买入</v>
      </c>
    </row>
    <row r="65" spans="1:14">
      <c r="A65" s="1" t="str">
        <f t="shared" si="97"/>
        <v>20171010</v>
      </c>
      <c r="B65" s="1" t="str">
        <f>"22:42:22"</f>
        <v>22:42:22</v>
      </c>
      <c r="C65" s="1" t="str">
        <f>"736466"</f>
        <v>736466</v>
      </c>
      <c r="D65" s="1" t="str">
        <f>"风语配号"</f>
        <v>风语配号</v>
      </c>
      <c r="E65" s="1" t="str">
        <f t="shared" si="91"/>
        <v>买入</v>
      </c>
      <c r="F65" s="1" t="str">
        <f t="shared" si="93"/>
        <v>0.000</v>
      </c>
      <c r="G65" s="1" t="str">
        <f t="shared" si="94"/>
        <v>2.00</v>
      </c>
      <c r="H65" s="1" t="str">
        <f t="shared" si="95"/>
        <v>A850418317</v>
      </c>
      <c r="I65" s="1" t="str">
        <f t="shared" ref="I65:L65" si="99">"0.00"</f>
        <v>0.00</v>
      </c>
      <c r="J65" s="1" t="str">
        <f t="shared" si="99"/>
        <v>0.00</v>
      </c>
      <c r="K65" s="1" t="str">
        <f t="shared" si="92"/>
        <v>0.00</v>
      </c>
      <c r="L65" s="1" t="str">
        <f t="shared" si="99"/>
        <v>0.00</v>
      </c>
      <c r="M65" s="1" t="str">
        <f t="shared" si="2"/>
        <v>0.00</v>
      </c>
      <c r="N65" s="1" t="str">
        <f>"起始配号:100043962218"</f>
        <v>起始配号:100043962218</v>
      </c>
    </row>
    <row r="66" spans="1:14">
      <c r="A66" s="1" t="str">
        <f t="shared" si="97"/>
        <v>20171010</v>
      </c>
      <c r="B66" s="1" t="str">
        <f>"22:43:18"</f>
        <v>22:43:18</v>
      </c>
      <c r="C66" s="1" t="str">
        <f>"736683"</f>
        <v>736683</v>
      </c>
      <c r="D66" s="1" t="str">
        <f>"晶华配号"</f>
        <v>晶华配号</v>
      </c>
      <c r="E66" s="1" t="str">
        <f t="shared" si="91"/>
        <v>买入</v>
      </c>
      <c r="F66" s="1" t="str">
        <f t="shared" si="93"/>
        <v>0.000</v>
      </c>
      <c r="G66" s="1" t="str">
        <f t="shared" si="94"/>
        <v>2.00</v>
      </c>
      <c r="H66" s="1" t="str">
        <f t="shared" si="95"/>
        <v>A850418317</v>
      </c>
      <c r="I66" s="1" t="str">
        <f t="shared" ref="I66:L66" si="100">"0.00"</f>
        <v>0.00</v>
      </c>
      <c r="J66" s="1" t="str">
        <f t="shared" si="100"/>
        <v>0.00</v>
      </c>
      <c r="K66" s="1" t="str">
        <f t="shared" si="92"/>
        <v>0.00</v>
      </c>
      <c r="L66" s="1" t="str">
        <f t="shared" si="100"/>
        <v>0.00</v>
      </c>
      <c r="M66" s="1" t="str">
        <f t="shared" si="2"/>
        <v>0.00</v>
      </c>
      <c r="N66" s="1" t="str">
        <f>"起始配号:100038236090"</f>
        <v>起始配号:100038236090</v>
      </c>
    </row>
    <row r="67" spans="1:14">
      <c r="A67" s="1" t="str">
        <f t="shared" ref="A67:A72" si="101">"20171011"</f>
        <v>20171011</v>
      </c>
      <c r="B67" s="1" t="str">
        <f>"10:30:50"</f>
        <v>10:30:50</v>
      </c>
      <c r="C67" s="1" t="str">
        <f>"600309"</f>
        <v>600309</v>
      </c>
      <c r="D67" s="1" t="str">
        <f>"万华化学"</f>
        <v>万华化学</v>
      </c>
      <c r="E67" s="1" t="str">
        <f t="shared" ref="E67:E71" si="102">"卖出"</f>
        <v>卖出</v>
      </c>
      <c r="F67" s="1" t="str">
        <f>"42.000"</f>
        <v>42.000</v>
      </c>
      <c r="G67" s="1" t="str">
        <f>"-200.00"</f>
        <v>-200.00</v>
      </c>
      <c r="H67" s="1" t="str">
        <f t="shared" si="95"/>
        <v>A850418317</v>
      </c>
      <c r="I67" s="1" t="str">
        <f>"8400.00"</f>
        <v>8400.00</v>
      </c>
      <c r="J67" s="1" t="str">
        <f t="shared" si="98"/>
        <v>5.00</v>
      </c>
      <c r="K67" s="1" t="str">
        <f>"8.40"</f>
        <v>8.40</v>
      </c>
      <c r="L67" s="1" t="str">
        <f>"0.17"</f>
        <v>0.17</v>
      </c>
      <c r="M67" s="1" t="str">
        <f t="shared" si="2"/>
        <v>0.00</v>
      </c>
      <c r="N67" s="1" t="str">
        <f t="shared" ref="N67:N71" si="103">"证券卖出"</f>
        <v>证券卖出</v>
      </c>
    </row>
    <row r="68" spans="1:14">
      <c r="A68" s="1" t="str">
        <f t="shared" si="101"/>
        <v>20171011</v>
      </c>
      <c r="B68" s="1" t="str">
        <f>"11:02:02"</f>
        <v>11:02:02</v>
      </c>
      <c r="C68" s="1" t="str">
        <f>"601607"</f>
        <v>601607</v>
      </c>
      <c r="D68" s="1" t="str">
        <f>"上海医药"</f>
        <v>上海医药</v>
      </c>
      <c r="E68" s="1" t="str">
        <f t="shared" si="102"/>
        <v>卖出</v>
      </c>
      <c r="F68" s="1" t="str">
        <f>"24.920"</f>
        <v>24.920</v>
      </c>
      <c r="G68" s="1" t="str">
        <f>"-400.00"</f>
        <v>-400.00</v>
      </c>
      <c r="H68" s="1" t="str">
        <f t="shared" si="95"/>
        <v>A850418317</v>
      </c>
      <c r="I68" s="1" t="str">
        <f>"9968.00"</f>
        <v>9968.00</v>
      </c>
      <c r="J68" s="1" t="str">
        <f t="shared" si="98"/>
        <v>5.00</v>
      </c>
      <c r="K68" s="1" t="str">
        <f>"9.97"</f>
        <v>9.97</v>
      </c>
      <c r="L68" s="1" t="str">
        <f>"0.20"</f>
        <v>0.20</v>
      </c>
      <c r="M68" s="1" t="str">
        <f t="shared" si="2"/>
        <v>0.00</v>
      </c>
      <c r="N68" s="1" t="str">
        <f t="shared" si="103"/>
        <v>证券卖出</v>
      </c>
    </row>
    <row r="69" spans="1:14">
      <c r="A69" s="1" t="str">
        <f t="shared" si="101"/>
        <v>20171011</v>
      </c>
      <c r="B69" s="1" t="str">
        <f>"13:37:57"</f>
        <v>13:37:57</v>
      </c>
      <c r="C69" s="1" t="str">
        <f>"603589"</f>
        <v>603589</v>
      </c>
      <c r="D69" s="1" t="str">
        <f>"口子窖"</f>
        <v>口子窖</v>
      </c>
      <c r="E69" s="1" t="str">
        <f t="shared" ref="E69:E75" si="104">"买入"</f>
        <v>买入</v>
      </c>
      <c r="F69" s="1" t="str">
        <f>"51.670"</f>
        <v>51.670</v>
      </c>
      <c r="G69" s="1" t="str">
        <f>"200.00"</f>
        <v>200.00</v>
      </c>
      <c r="H69" s="1" t="str">
        <f t="shared" si="95"/>
        <v>A850418317</v>
      </c>
      <c r="I69" s="1" t="str">
        <f>"10334.00"</f>
        <v>10334.00</v>
      </c>
      <c r="J69" s="1" t="str">
        <f t="shared" si="98"/>
        <v>5.00</v>
      </c>
      <c r="K69" s="1" t="str">
        <f t="shared" ref="K69:K75" si="105">"0.00"</f>
        <v>0.00</v>
      </c>
      <c r="L69" s="1" t="str">
        <f>"0.21"</f>
        <v>0.21</v>
      </c>
      <c r="M69" s="1" t="str">
        <f t="shared" ref="M69:M109" si="106">"0.00"</f>
        <v>0.00</v>
      </c>
      <c r="N69" s="1" t="str">
        <f t="shared" ref="N69:N74" si="107">"证券买入"</f>
        <v>证券买入</v>
      </c>
    </row>
    <row r="70" spans="1:14">
      <c r="A70" s="1" t="str">
        <f t="shared" si="101"/>
        <v>20171011</v>
      </c>
      <c r="B70" s="1" t="str">
        <f>"14:34:18"</f>
        <v>14:34:18</v>
      </c>
      <c r="C70" s="1" t="str">
        <f>"603223"</f>
        <v>603223</v>
      </c>
      <c r="D70" s="1" t="str">
        <f>"恒通股份"</f>
        <v>恒通股份</v>
      </c>
      <c r="E70" s="1" t="str">
        <f t="shared" si="104"/>
        <v>买入</v>
      </c>
      <c r="F70" s="1" t="str">
        <f>"29.900"</f>
        <v>29.900</v>
      </c>
      <c r="G70" s="1" t="str">
        <f t="shared" ref="G70:G74" si="108">"100.00"</f>
        <v>100.00</v>
      </c>
      <c r="H70" s="1" t="str">
        <f t="shared" si="95"/>
        <v>A850418317</v>
      </c>
      <c r="I70" s="1" t="str">
        <f>"2990.00"</f>
        <v>2990.00</v>
      </c>
      <c r="J70" s="1" t="str">
        <f t="shared" si="98"/>
        <v>5.00</v>
      </c>
      <c r="K70" s="1" t="str">
        <f t="shared" si="105"/>
        <v>0.00</v>
      </c>
      <c r="L70" s="1" t="str">
        <f>"0.06"</f>
        <v>0.06</v>
      </c>
      <c r="M70" s="1" t="str">
        <f t="shared" si="106"/>
        <v>0.00</v>
      </c>
      <c r="N70" s="1" t="str">
        <f t="shared" si="107"/>
        <v>证券买入</v>
      </c>
    </row>
    <row r="71" spans="1:14">
      <c r="A71" s="1" t="str">
        <f t="shared" si="101"/>
        <v>20171011</v>
      </c>
      <c r="B71" s="1" t="str">
        <f>"10:33:08"</f>
        <v>10:33:08</v>
      </c>
      <c r="C71" s="1" t="str">
        <f>"000725"</f>
        <v>000725</v>
      </c>
      <c r="D71" s="1" t="str">
        <f>"京东方Ａ"</f>
        <v>京东方Ａ</v>
      </c>
      <c r="E71" s="1" t="str">
        <f t="shared" si="102"/>
        <v>卖出</v>
      </c>
      <c r="F71" s="1" t="str">
        <f>"4.710"</f>
        <v>4.710</v>
      </c>
      <c r="G71" s="1" t="str">
        <f>"-2300.00"</f>
        <v>-2300.00</v>
      </c>
      <c r="H71" s="1" t="str">
        <f>"0104152129"</f>
        <v>0104152129</v>
      </c>
      <c r="I71" s="1" t="str">
        <f>"10833.00"</f>
        <v>10833.00</v>
      </c>
      <c r="J71" s="1" t="str">
        <f t="shared" si="98"/>
        <v>5.00</v>
      </c>
      <c r="K71" s="1" t="str">
        <f>"10.84"</f>
        <v>10.84</v>
      </c>
      <c r="L71" s="1" t="str">
        <f>"0.22"</f>
        <v>0.22</v>
      </c>
      <c r="M71" s="1" t="str">
        <f t="shared" si="106"/>
        <v>0.00</v>
      </c>
      <c r="N71" s="1" t="str">
        <f t="shared" si="103"/>
        <v>证券卖出</v>
      </c>
    </row>
    <row r="72" spans="1:14">
      <c r="A72" s="1" t="str">
        <f t="shared" si="101"/>
        <v>20171011</v>
      </c>
      <c r="B72" s="1" t="str">
        <f>"22:17:35"</f>
        <v>22:17:35</v>
      </c>
      <c r="C72" s="1" t="str">
        <f>"736922"</f>
        <v>736922</v>
      </c>
      <c r="D72" s="1" t="str">
        <f>"金鸿配号"</f>
        <v>金鸿配号</v>
      </c>
      <c r="E72" s="1" t="str">
        <f t="shared" si="104"/>
        <v>买入</v>
      </c>
      <c r="F72" s="1" t="str">
        <f>"0.000"</f>
        <v>0.000</v>
      </c>
      <c r="G72" s="1" t="str">
        <f>"2.00"</f>
        <v>2.00</v>
      </c>
      <c r="H72" s="1" t="str">
        <f t="shared" ref="H72:H76" si="109">"A850418317"</f>
        <v>A850418317</v>
      </c>
      <c r="I72" s="1" t="str">
        <f t="shared" ref="I72:L72" si="110">"0.00"</f>
        <v>0.00</v>
      </c>
      <c r="J72" s="1" t="str">
        <f t="shared" si="110"/>
        <v>0.00</v>
      </c>
      <c r="K72" s="1" t="str">
        <f t="shared" si="105"/>
        <v>0.00</v>
      </c>
      <c r="L72" s="1" t="str">
        <f t="shared" si="110"/>
        <v>0.00</v>
      </c>
      <c r="M72" s="1" t="str">
        <f t="shared" si="106"/>
        <v>0.00</v>
      </c>
      <c r="N72" s="1" t="str">
        <f>"起始配号:100011821290"</f>
        <v>起始配号:100011821290</v>
      </c>
    </row>
    <row r="73" spans="1:14">
      <c r="A73" s="1" t="str">
        <f t="shared" ref="A73:A75" si="111">"20171012"</f>
        <v>20171012</v>
      </c>
      <c r="B73" s="1" t="str">
        <f>"10:02:12"</f>
        <v>10:02:12</v>
      </c>
      <c r="C73" s="1" t="str">
        <f t="shared" ref="C73:C76" si="112">"603559"</f>
        <v>603559</v>
      </c>
      <c r="D73" s="1" t="str">
        <f t="shared" ref="D73:D76" si="113">"中通国脉"</f>
        <v>中通国脉</v>
      </c>
      <c r="E73" s="1" t="str">
        <f t="shared" si="104"/>
        <v>买入</v>
      </c>
      <c r="F73" s="1" t="str">
        <f>"44.980"</f>
        <v>44.980</v>
      </c>
      <c r="G73" s="1" t="str">
        <f t="shared" si="108"/>
        <v>100.00</v>
      </c>
      <c r="H73" s="1" t="str">
        <f t="shared" si="109"/>
        <v>A850418317</v>
      </c>
      <c r="I73" s="1" t="str">
        <f>"4498.00"</f>
        <v>4498.00</v>
      </c>
      <c r="J73" s="1" t="str">
        <f t="shared" ref="J73:J81" si="114">"5.00"</f>
        <v>5.00</v>
      </c>
      <c r="K73" s="1" t="str">
        <f t="shared" si="105"/>
        <v>0.00</v>
      </c>
      <c r="L73" s="1" t="str">
        <f>"0.09"</f>
        <v>0.09</v>
      </c>
      <c r="M73" s="1" t="str">
        <f t="shared" si="106"/>
        <v>0.00</v>
      </c>
      <c r="N73" s="1" t="str">
        <f t="shared" si="107"/>
        <v>证券买入</v>
      </c>
    </row>
    <row r="74" spans="1:14">
      <c r="A74" s="1" t="str">
        <f t="shared" si="111"/>
        <v>20171012</v>
      </c>
      <c r="B74" s="1" t="str">
        <f>"10:53:25"</f>
        <v>10:53:25</v>
      </c>
      <c r="C74" s="1" t="str">
        <f t="shared" si="112"/>
        <v>603559</v>
      </c>
      <c r="D74" s="1" t="str">
        <f t="shared" si="113"/>
        <v>中通国脉</v>
      </c>
      <c r="E74" s="1" t="str">
        <f t="shared" si="104"/>
        <v>买入</v>
      </c>
      <c r="F74" s="1" t="str">
        <f>"44.290"</f>
        <v>44.290</v>
      </c>
      <c r="G74" s="1" t="str">
        <f t="shared" si="108"/>
        <v>100.00</v>
      </c>
      <c r="H74" s="1" t="str">
        <f t="shared" si="109"/>
        <v>A850418317</v>
      </c>
      <c r="I74" s="1" t="str">
        <f>"4429.00"</f>
        <v>4429.00</v>
      </c>
      <c r="J74" s="1" t="str">
        <f t="shared" si="114"/>
        <v>5.00</v>
      </c>
      <c r="K74" s="1" t="str">
        <f t="shared" si="105"/>
        <v>0.00</v>
      </c>
      <c r="L74" s="1" t="str">
        <f>"0.09"</f>
        <v>0.09</v>
      </c>
      <c r="M74" s="1" t="str">
        <f t="shared" si="106"/>
        <v>0.00</v>
      </c>
      <c r="N74" s="1" t="str">
        <f t="shared" si="107"/>
        <v>证券买入</v>
      </c>
    </row>
    <row r="75" spans="1:14">
      <c r="A75" s="1" t="str">
        <f t="shared" si="111"/>
        <v>20171012</v>
      </c>
      <c r="B75" s="1" t="str">
        <f>"21:52:37"</f>
        <v>21:52:37</v>
      </c>
      <c r="C75" s="1" t="str">
        <f>"791108"</f>
        <v>791108</v>
      </c>
      <c r="D75" s="1" t="str">
        <f>"财通配号"</f>
        <v>财通配号</v>
      </c>
      <c r="E75" s="1" t="str">
        <f t="shared" si="104"/>
        <v>买入</v>
      </c>
      <c r="F75" s="1" t="str">
        <f>"0.000"</f>
        <v>0.000</v>
      </c>
      <c r="G75" s="1" t="str">
        <f>"2.00"</f>
        <v>2.00</v>
      </c>
      <c r="H75" s="1" t="str">
        <f t="shared" si="109"/>
        <v>A850418317</v>
      </c>
      <c r="I75" s="1" t="str">
        <f t="shared" ref="I75:L75" si="115">"0.00"</f>
        <v>0.00</v>
      </c>
      <c r="J75" s="1" t="str">
        <f t="shared" si="115"/>
        <v>0.00</v>
      </c>
      <c r="K75" s="1" t="str">
        <f t="shared" si="105"/>
        <v>0.00</v>
      </c>
      <c r="L75" s="1" t="str">
        <f t="shared" si="115"/>
        <v>0.00</v>
      </c>
      <c r="M75" s="1" t="str">
        <f t="shared" si="106"/>
        <v>0.00</v>
      </c>
      <c r="N75" s="1" t="str">
        <f>"起始配号:100118680937"</f>
        <v>起始配号:100118680937</v>
      </c>
    </row>
    <row r="76" spans="1:14">
      <c r="A76" s="1" t="str">
        <f t="shared" ref="A76:A83" si="116">"20171013"</f>
        <v>20171013</v>
      </c>
      <c r="B76" s="1" t="str">
        <f>"10:30:37"</f>
        <v>10:30:37</v>
      </c>
      <c r="C76" s="1" t="str">
        <f t="shared" si="112"/>
        <v>603559</v>
      </c>
      <c r="D76" s="1" t="str">
        <f t="shared" si="113"/>
        <v>中通国脉</v>
      </c>
      <c r="E76" s="1" t="str">
        <f>"卖出"</f>
        <v>卖出</v>
      </c>
      <c r="F76" s="1" t="str">
        <f>"44.500"</f>
        <v>44.500</v>
      </c>
      <c r="G76" s="1" t="str">
        <f>"-200.00"</f>
        <v>-200.00</v>
      </c>
      <c r="H76" s="1" t="str">
        <f t="shared" si="109"/>
        <v>A850418317</v>
      </c>
      <c r="I76" s="1" t="str">
        <f>"8900.00"</f>
        <v>8900.00</v>
      </c>
      <c r="J76" s="1" t="str">
        <f t="shared" si="114"/>
        <v>5.00</v>
      </c>
      <c r="K76" s="1" t="str">
        <f>"8.90"</f>
        <v>8.90</v>
      </c>
      <c r="L76" s="1" t="str">
        <f>"0.18"</f>
        <v>0.18</v>
      </c>
      <c r="M76" s="1" t="str">
        <f t="shared" si="106"/>
        <v>0.00</v>
      </c>
      <c r="N76" s="1" t="str">
        <f>"证券卖出"</f>
        <v>证券卖出</v>
      </c>
    </row>
    <row r="77" spans="1:14">
      <c r="A77" s="1" t="str">
        <f t="shared" si="116"/>
        <v>20171013</v>
      </c>
      <c r="B77" s="1" t="str">
        <f>"09:31:44"</f>
        <v>09:31:44</v>
      </c>
      <c r="C77" s="1" t="str">
        <f>"000791"</f>
        <v>000791</v>
      </c>
      <c r="D77" s="1" t="str">
        <f>"甘肃电投"</f>
        <v>甘肃电投</v>
      </c>
      <c r="E77" s="1" t="str">
        <f t="shared" ref="E77:E83" si="117">"买入"</f>
        <v>买入</v>
      </c>
      <c r="F77" s="1" t="str">
        <f>"11.010"</f>
        <v>11.010</v>
      </c>
      <c r="G77" s="1" t="str">
        <f t="shared" ref="G77:G79" si="118">"100.00"</f>
        <v>100.00</v>
      </c>
      <c r="H77" s="1" t="str">
        <f t="shared" ref="H77:H81" si="119">"0104152129"</f>
        <v>0104152129</v>
      </c>
      <c r="I77" s="1" t="str">
        <f>"1101.00"</f>
        <v>1101.00</v>
      </c>
      <c r="J77" s="1" t="str">
        <f t="shared" si="114"/>
        <v>5.00</v>
      </c>
      <c r="K77" s="1" t="str">
        <f t="shared" ref="K77:K83" si="120">"0.00"</f>
        <v>0.00</v>
      </c>
      <c r="L77" s="1" t="str">
        <f>"0.02"</f>
        <v>0.02</v>
      </c>
      <c r="M77" s="1" t="str">
        <f t="shared" si="106"/>
        <v>0.00</v>
      </c>
      <c r="N77" s="1" t="str">
        <f t="shared" ref="N77:N81" si="121">"证券买入"</f>
        <v>证券买入</v>
      </c>
    </row>
    <row r="78" spans="1:14">
      <c r="A78" s="1" t="str">
        <f t="shared" si="116"/>
        <v>20171013</v>
      </c>
      <c r="B78" s="1" t="str">
        <f>"09:32:44"</f>
        <v>09:32:44</v>
      </c>
      <c r="C78" s="1" t="str">
        <f>"000791"</f>
        <v>000791</v>
      </c>
      <c r="D78" s="1" t="str">
        <f>"甘肃电投"</f>
        <v>甘肃电投</v>
      </c>
      <c r="E78" s="1" t="str">
        <f t="shared" si="117"/>
        <v>买入</v>
      </c>
      <c r="F78" s="1" t="str">
        <f>"10.800"</f>
        <v>10.800</v>
      </c>
      <c r="G78" s="1" t="str">
        <f t="shared" si="118"/>
        <v>100.00</v>
      </c>
      <c r="H78" s="1" t="str">
        <f t="shared" si="119"/>
        <v>0104152129</v>
      </c>
      <c r="I78" s="1" t="str">
        <f>"1080.00"</f>
        <v>1080.00</v>
      </c>
      <c r="J78" s="1" t="str">
        <f t="shared" si="114"/>
        <v>5.00</v>
      </c>
      <c r="K78" s="1" t="str">
        <f t="shared" si="120"/>
        <v>0.00</v>
      </c>
      <c r="L78" s="1" t="str">
        <f>"0.02"</f>
        <v>0.02</v>
      </c>
      <c r="M78" s="1" t="str">
        <f t="shared" si="106"/>
        <v>0.00</v>
      </c>
      <c r="N78" s="1" t="str">
        <f t="shared" si="121"/>
        <v>证券买入</v>
      </c>
    </row>
    <row r="79" spans="1:14">
      <c r="A79" s="1" t="str">
        <f t="shared" si="116"/>
        <v>20171013</v>
      </c>
      <c r="B79" s="1" t="str">
        <f>"09:48:02"</f>
        <v>09:48:02</v>
      </c>
      <c r="C79" s="1" t="str">
        <f t="shared" ref="C79:C81" si="122">"000725"</f>
        <v>000725</v>
      </c>
      <c r="D79" s="1" t="str">
        <f t="shared" ref="D79:D81" si="123">"京东方Ａ"</f>
        <v>京东方Ａ</v>
      </c>
      <c r="E79" s="1" t="str">
        <f t="shared" si="117"/>
        <v>买入</v>
      </c>
      <c r="F79" s="1" t="str">
        <f>"4.800"</f>
        <v>4.800</v>
      </c>
      <c r="G79" s="1" t="str">
        <f t="shared" si="118"/>
        <v>100.00</v>
      </c>
      <c r="H79" s="1" t="str">
        <f t="shared" si="119"/>
        <v>0104152129</v>
      </c>
      <c r="I79" s="1" t="str">
        <f>"480.00"</f>
        <v>480.00</v>
      </c>
      <c r="J79" s="1" t="str">
        <f t="shared" si="114"/>
        <v>5.00</v>
      </c>
      <c r="K79" s="1" t="str">
        <f t="shared" si="120"/>
        <v>0.00</v>
      </c>
      <c r="L79" s="1" t="str">
        <f>"0.01"</f>
        <v>0.01</v>
      </c>
      <c r="M79" s="1" t="str">
        <f t="shared" si="106"/>
        <v>0.00</v>
      </c>
      <c r="N79" s="1" t="str">
        <f t="shared" si="121"/>
        <v>证券买入</v>
      </c>
    </row>
    <row r="80" spans="1:14">
      <c r="A80" s="1" t="str">
        <f t="shared" si="116"/>
        <v>20171013</v>
      </c>
      <c r="B80" s="1" t="str">
        <f>"11:14:31"</f>
        <v>11:14:31</v>
      </c>
      <c r="C80" s="1" t="str">
        <f t="shared" si="122"/>
        <v>000725</v>
      </c>
      <c r="D80" s="1" t="str">
        <f t="shared" si="123"/>
        <v>京东方Ａ</v>
      </c>
      <c r="E80" s="1" t="str">
        <f t="shared" si="117"/>
        <v>买入</v>
      </c>
      <c r="F80" s="1" t="str">
        <f>"4.930"</f>
        <v>4.930</v>
      </c>
      <c r="G80" s="1" t="str">
        <f>"1300.00"</f>
        <v>1300.00</v>
      </c>
      <c r="H80" s="1" t="str">
        <f t="shared" si="119"/>
        <v>0104152129</v>
      </c>
      <c r="I80" s="1" t="str">
        <f>"6409.00"</f>
        <v>6409.00</v>
      </c>
      <c r="J80" s="1" t="str">
        <f t="shared" si="114"/>
        <v>5.00</v>
      </c>
      <c r="K80" s="1" t="str">
        <f t="shared" si="120"/>
        <v>0.00</v>
      </c>
      <c r="L80" s="1" t="str">
        <f>"0.13"</f>
        <v>0.13</v>
      </c>
      <c r="M80" s="1" t="str">
        <f t="shared" si="106"/>
        <v>0.00</v>
      </c>
      <c r="N80" s="1" t="str">
        <f t="shared" si="121"/>
        <v>证券买入</v>
      </c>
    </row>
    <row r="81" spans="1:14">
      <c r="A81" s="1" t="str">
        <f t="shared" si="116"/>
        <v>20171013</v>
      </c>
      <c r="B81" s="1" t="str">
        <f>"13:04:44"</f>
        <v>13:04:44</v>
      </c>
      <c r="C81" s="1" t="str">
        <f t="shared" si="122"/>
        <v>000725</v>
      </c>
      <c r="D81" s="1" t="str">
        <f t="shared" si="123"/>
        <v>京东方Ａ</v>
      </c>
      <c r="E81" s="1" t="str">
        <f t="shared" si="117"/>
        <v>买入</v>
      </c>
      <c r="F81" s="1" t="str">
        <f>"5.000"</f>
        <v>5.000</v>
      </c>
      <c r="G81" s="1" t="str">
        <f>"1300.00"</f>
        <v>1300.00</v>
      </c>
      <c r="H81" s="1" t="str">
        <f t="shared" si="119"/>
        <v>0104152129</v>
      </c>
      <c r="I81" s="1" t="str">
        <f>"6500.00"</f>
        <v>6500.00</v>
      </c>
      <c r="J81" s="1" t="str">
        <f t="shared" si="114"/>
        <v>5.00</v>
      </c>
      <c r="K81" s="1" t="str">
        <f t="shared" si="120"/>
        <v>0.00</v>
      </c>
      <c r="L81" s="1" t="str">
        <f>"0.13"</f>
        <v>0.13</v>
      </c>
      <c r="M81" s="1" t="str">
        <f t="shared" si="106"/>
        <v>0.00</v>
      </c>
      <c r="N81" s="1" t="str">
        <f t="shared" si="121"/>
        <v>证券买入</v>
      </c>
    </row>
    <row r="82" spans="1:14">
      <c r="A82" s="1" t="str">
        <f t="shared" si="116"/>
        <v>20171013</v>
      </c>
      <c r="B82" s="1" t="str">
        <f>"22:30:38"</f>
        <v>22:30:38</v>
      </c>
      <c r="C82" s="1" t="str">
        <f>"736607"</f>
        <v>736607</v>
      </c>
      <c r="D82" s="1" t="str">
        <f>"京华配号"</f>
        <v>京华配号</v>
      </c>
      <c r="E82" s="1" t="str">
        <f t="shared" si="117"/>
        <v>买入</v>
      </c>
      <c r="F82" s="1" t="str">
        <f>"0.000"</f>
        <v>0.000</v>
      </c>
      <c r="G82" s="1" t="str">
        <f>"2.00"</f>
        <v>2.00</v>
      </c>
      <c r="H82" s="1" t="str">
        <f t="shared" ref="H82:H86" si="124">"A850418317"</f>
        <v>A850418317</v>
      </c>
      <c r="I82" s="1" t="str">
        <f t="shared" ref="I82:L82" si="125">"0.00"</f>
        <v>0.00</v>
      </c>
      <c r="J82" s="1" t="str">
        <f t="shared" si="125"/>
        <v>0.00</v>
      </c>
      <c r="K82" s="1" t="str">
        <f t="shared" si="120"/>
        <v>0.00</v>
      </c>
      <c r="L82" s="1" t="str">
        <f t="shared" si="125"/>
        <v>0.00</v>
      </c>
      <c r="M82" s="1" t="str">
        <f t="shared" si="106"/>
        <v>0.00</v>
      </c>
      <c r="N82" s="1" t="str">
        <f>"起始配号:100024737271"</f>
        <v>起始配号:100024737271</v>
      </c>
    </row>
    <row r="83" spans="1:14">
      <c r="A83" s="1" t="str">
        <f t="shared" si="116"/>
        <v>20171013</v>
      </c>
      <c r="B83" s="1" t="str">
        <f>"22:29:53"</f>
        <v>22:29:53</v>
      </c>
      <c r="C83" s="1" t="str">
        <f>"736722"</f>
        <v>736722</v>
      </c>
      <c r="D83" s="1" t="str">
        <f>"阿科配号"</f>
        <v>阿科配号</v>
      </c>
      <c r="E83" s="1" t="str">
        <f t="shared" si="117"/>
        <v>买入</v>
      </c>
      <c r="F83" s="1" t="str">
        <f>"0.000"</f>
        <v>0.000</v>
      </c>
      <c r="G83" s="1" t="str">
        <f>"2.00"</f>
        <v>2.00</v>
      </c>
      <c r="H83" s="1" t="str">
        <f t="shared" si="124"/>
        <v>A850418317</v>
      </c>
      <c r="I83" s="1" t="str">
        <f t="shared" ref="I83:L83" si="126">"0.00"</f>
        <v>0.00</v>
      </c>
      <c r="J83" s="1" t="str">
        <f t="shared" si="126"/>
        <v>0.00</v>
      </c>
      <c r="K83" s="1" t="str">
        <f t="shared" si="120"/>
        <v>0.00</v>
      </c>
      <c r="L83" s="1" t="str">
        <f t="shared" si="126"/>
        <v>0.00</v>
      </c>
      <c r="M83" s="1" t="str">
        <f t="shared" si="106"/>
        <v>0.00</v>
      </c>
      <c r="N83" s="1" t="str">
        <f>"起始配号:100022918494"</f>
        <v>起始配号:100022918494</v>
      </c>
    </row>
    <row r="84" spans="1:14">
      <c r="A84" s="1" t="str">
        <f t="shared" ref="A84:A92" si="127">"20171017"</f>
        <v>20171017</v>
      </c>
      <c r="B84" s="1" t="str">
        <f>"10:06:52"</f>
        <v>10:06:52</v>
      </c>
      <c r="C84" s="1" t="str">
        <f>"603223"</f>
        <v>603223</v>
      </c>
      <c r="D84" s="1" t="str">
        <f>"恒通股份"</f>
        <v>恒通股份</v>
      </c>
      <c r="E84" s="1" t="str">
        <f t="shared" ref="E84:E87" si="128">"卖出"</f>
        <v>卖出</v>
      </c>
      <c r="F84" s="1" t="str">
        <f>"28.100"</f>
        <v>28.100</v>
      </c>
      <c r="G84" s="1" t="str">
        <f t="shared" ref="G84:G86" si="129">"-100.00"</f>
        <v>-100.00</v>
      </c>
      <c r="H84" s="1" t="str">
        <f t="shared" si="124"/>
        <v>A850418317</v>
      </c>
      <c r="I84" s="1" t="str">
        <f>"2810.00"</f>
        <v>2810.00</v>
      </c>
      <c r="J84" s="1" t="str">
        <f t="shared" ref="J84:J95" si="130">"5.00"</f>
        <v>5.00</v>
      </c>
      <c r="K84" s="1" t="str">
        <f>"2.81"</f>
        <v>2.81</v>
      </c>
      <c r="L84" s="1" t="str">
        <f>"0.06"</f>
        <v>0.06</v>
      </c>
      <c r="M84" s="1" t="str">
        <f t="shared" si="106"/>
        <v>0.00</v>
      </c>
      <c r="N84" s="1" t="str">
        <f t="shared" ref="N84:N87" si="131">"证券卖出"</f>
        <v>证券卖出</v>
      </c>
    </row>
    <row r="85" spans="1:14">
      <c r="A85" s="1" t="str">
        <f t="shared" si="127"/>
        <v>20171017</v>
      </c>
      <c r="B85" s="1" t="str">
        <f>"10:07:13"</f>
        <v>10:07:13</v>
      </c>
      <c r="C85" s="1" t="str">
        <f>"603589"</f>
        <v>603589</v>
      </c>
      <c r="D85" s="1" t="str">
        <f>"口子窖"</f>
        <v>口子窖</v>
      </c>
      <c r="E85" s="1" t="str">
        <f t="shared" si="128"/>
        <v>卖出</v>
      </c>
      <c r="F85" s="1" t="str">
        <f>"49.420"</f>
        <v>49.420</v>
      </c>
      <c r="G85" s="1" t="str">
        <f t="shared" si="129"/>
        <v>-100.00</v>
      </c>
      <c r="H85" s="1" t="str">
        <f t="shared" si="124"/>
        <v>A850418317</v>
      </c>
      <c r="I85" s="1" t="str">
        <f>"4942.00"</f>
        <v>4942.00</v>
      </c>
      <c r="J85" s="1" t="str">
        <f t="shared" si="130"/>
        <v>5.00</v>
      </c>
      <c r="K85" s="1" t="str">
        <f>"4.94"</f>
        <v>4.94</v>
      </c>
      <c r="L85" s="1" t="str">
        <f>"0.10"</f>
        <v>0.10</v>
      </c>
      <c r="M85" s="1" t="str">
        <f t="shared" si="106"/>
        <v>0.00</v>
      </c>
      <c r="N85" s="1" t="str">
        <f t="shared" si="131"/>
        <v>证券卖出</v>
      </c>
    </row>
    <row r="86" spans="1:14">
      <c r="A86" s="1" t="str">
        <f t="shared" si="127"/>
        <v>20171017</v>
      </c>
      <c r="B86" s="1" t="str">
        <f>"10:07:44"</f>
        <v>10:07:44</v>
      </c>
      <c r="C86" s="1" t="str">
        <f>"603589"</f>
        <v>603589</v>
      </c>
      <c r="D86" s="1" t="str">
        <f>"口子窖"</f>
        <v>口子窖</v>
      </c>
      <c r="E86" s="1" t="str">
        <f t="shared" si="128"/>
        <v>卖出</v>
      </c>
      <c r="F86" s="1" t="str">
        <f>"49.440"</f>
        <v>49.440</v>
      </c>
      <c r="G86" s="1" t="str">
        <f t="shared" si="129"/>
        <v>-100.00</v>
      </c>
      <c r="H86" s="1" t="str">
        <f t="shared" si="124"/>
        <v>A850418317</v>
      </c>
      <c r="I86" s="1" t="str">
        <f>"4944.00"</f>
        <v>4944.00</v>
      </c>
      <c r="J86" s="1" t="str">
        <f t="shared" si="130"/>
        <v>5.00</v>
      </c>
      <c r="K86" s="1" t="str">
        <f>"4.94"</f>
        <v>4.94</v>
      </c>
      <c r="L86" s="1" t="str">
        <f>"0.10"</f>
        <v>0.10</v>
      </c>
      <c r="M86" s="1" t="str">
        <f t="shared" si="106"/>
        <v>0.00</v>
      </c>
      <c r="N86" s="1" t="str">
        <f t="shared" si="131"/>
        <v>证券卖出</v>
      </c>
    </row>
    <row r="87" spans="1:14">
      <c r="A87" s="1" t="str">
        <f t="shared" si="127"/>
        <v>20171017</v>
      </c>
      <c r="B87" s="1" t="str">
        <f>"09:43:01"</f>
        <v>09:43:01</v>
      </c>
      <c r="C87" s="1" t="str">
        <f>"000725"</f>
        <v>000725</v>
      </c>
      <c r="D87" s="1" t="str">
        <f>"京东方Ａ"</f>
        <v>京东方Ａ</v>
      </c>
      <c r="E87" s="1" t="str">
        <f t="shared" si="128"/>
        <v>卖出</v>
      </c>
      <c r="F87" s="1" t="str">
        <f>"5.080"</f>
        <v>5.080</v>
      </c>
      <c r="G87" s="1" t="str">
        <f>"-2700.00"</f>
        <v>-2700.00</v>
      </c>
      <c r="H87" s="1" t="str">
        <f t="shared" ref="H87:H95" si="132">"0104152129"</f>
        <v>0104152129</v>
      </c>
      <c r="I87" s="1" t="str">
        <f>"13716.00"</f>
        <v>13716.00</v>
      </c>
      <c r="J87" s="1" t="str">
        <f t="shared" si="130"/>
        <v>5.00</v>
      </c>
      <c r="K87" s="1" t="str">
        <f>"13.72"</f>
        <v>13.72</v>
      </c>
      <c r="L87" s="1" t="str">
        <f>"0.27"</f>
        <v>0.27</v>
      </c>
      <c r="M87" s="1" t="str">
        <f t="shared" si="106"/>
        <v>0.00</v>
      </c>
      <c r="N87" s="1" t="str">
        <f t="shared" si="131"/>
        <v>证券卖出</v>
      </c>
    </row>
    <row r="88" spans="1:14">
      <c r="A88" s="1" t="str">
        <f t="shared" si="127"/>
        <v>20171017</v>
      </c>
      <c r="B88" s="1" t="str">
        <f>"09:46:09"</f>
        <v>09:46:09</v>
      </c>
      <c r="C88" s="1" t="str">
        <f>"000791"</f>
        <v>000791</v>
      </c>
      <c r="D88" s="1" t="str">
        <f>"甘肃电投"</f>
        <v>甘肃电投</v>
      </c>
      <c r="E88" s="1" t="str">
        <f t="shared" ref="E88:E92" si="133">"买入"</f>
        <v>买入</v>
      </c>
      <c r="F88" s="1" t="str">
        <f>"10.530"</f>
        <v>10.530</v>
      </c>
      <c r="G88" s="1" t="str">
        <f>"200.00"</f>
        <v>200.00</v>
      </c>
      <c r="H88" s="1" t="str">
        <f t="shared" si="132"/>
        <v>0104152129</v>
      </c>
      <c r="I88" s="1" t="str">
        <f>"2106.00"</f>
        <v>2106.00</v>
      </c>
      <c r="J88" s="1" t="str">
        <f t="shared" si="130"/>
        <v>5.00</v>
      </c>
      <c r="K88" s="1" t="str">
        <f t="shared" ref="K88:K92" si="134">"0.00"</f>
        <v>0.00</v>
      </c>
      <c r="L88" s="1" t="str">
        <f>"0.04"</f>
        <v>0.04</v>
      </c>
      <c r="M88" s="1" t="str">
        <f t="shared" si="106"/>
        <v>0.00</v>
      </c>
      <c r="N88" s="1" t="str">
        <f t="shared" ref="N88:N92" si="135">"证券买入"</f>
        <v>证券买入</v>
      </c>
    </row>
    <row r="89" spans="1:14">
      <c r="A89" s="1" t="str">
        <f t="shared" si="127"/>
        <v>20171017</v>
      </c>
      <c r="B89" s="1" t="str">
        <f>"10:02:48"</f>
        <v>10:02:48</v>
      </c>
      <c r="C89" s="1" t="str">
        <f>"300176"</f>
        <v>300176</v>
      </c>
      <c r="D89" s="1" t="str">
        <f>"鸿特精密"</f>
        <v>鸿特精密</v>
      </c>
      <c r="E89" s="1" t="str">
        <f t="shared" si="133"/>
        <v>买入</v>
      </c>
      <c r="F89" s="1" t="str">
        <f>"107.750"</f>
        <v>107.750</v>
      </c>
      <c r="G89" s="1" t="str">
        <f t="shared" ref="G89:G92" si="136">"100.00"</f>
        <v>100.00</v>
      </c>
      <c r="H89" s="1" t="str">
        <f t="shared" si="132"/>
        <v>0104152129</v>
      </c>
      <c r="I89" s="1" t="str">
        <f>"10775.00"</f>
        <v>10775.00</v>
      </c>
      <c r="J89" s="1" t="str">
        <f t="shared" si="130"/>
        <v>5.00</v>
      </c>
      <c r="K89" s="1" t="str">
        <f t="shared" si="134"/>
        <v>0.00</v>
      </c>
      <c r="L89" s="1" t="str">
        <f>"0.22"</f>
        <v>0.22</v>
      </c>
      <c r="M89" s="1" t="str">
        <f t="shared" si="106"/>
        <v>0.00</v>
      </c>
      <c r="N89" s="1" t="str">
        <f t="shared" si="135"/>
        <v>证券买入</v>
      </c>
    </row>
    <row r="90" spans="1:14">
      <c r="A90" s="1" t="str">
        <f t="shared" si="127"/>
        <v>20171017</v>
      </c>
      <c r="B90" s="1" t="str">
        <f>"10:07:07"</f>
        <v>10:07:07</v>
      </c>
      <c r="C90" s="1" t="str">
        <f>"000791"</f>
        <v>000791</v>
      </c>
      <c r="D90" s="1" t="str">
        <f>"甘肃电投"</f>
        <v>甘肃电投</v>
      </c>
      <c r="E90" s="1" t="str">
        <f t="shared" ref="E90:E94" si="137">"卖出"</f>
        <v>卖出</v>
      </c>
      <c r="F90" s="1" t="str">
        <f>"10.370"</f>
        <v>10.370</v>
      </c>
      <c r="G90" s="1" t="str">
        <f>"-200.00"</f>
        <v>-200.00</v>
      </c>
      <c r="H90" s="1" t="str">
        <f t="shared" si="132"/>
        <v>0104152129</v>
      </c>
      <c r="I90" s="1" t="str">
        <f>"2074.00"</f>
        <v>2074.00</v>
      </c>
      <c r="J90" s="1" t="str">
        <f t="shared" si="130"/>
        <v>5.00</v>
      </c>
      <c r="K90" s="1" t="str">
        <f>"2.07"</f>
        <v>2.07</v>
      </c>
      <c r="L90" s="1" t="str">
        <f>"0.04"</f>
        <v>0.04</v>
      </c>
      <c r="M90" s="1" t="str">
        <f t="shared" si="106"/>
        <v>0.00</v>
      </c>
      <c r="N90" s="1" t="str">
        <f t="shared" ref="N90:N94" si="138">"证券卖出"</f>
        <v>证券卖出</v>
      </c>
    </row>
    <row r="91" spans="1:14">
      <c r="A91" s="1" t="str">
        <f t="shared" si="127"/>
        <v>20171017</v>
      </c>
      <c r="B91" s="1" t="str">
        <f>"10:08:05"</f>
        <v>10:08:05</v>
      </c>
      <c r="C91" s="1" t="str">
        <f>"300176"</f>
        <v>300176</v>
      </c>
      <c r="D91" s="1" t="str">
        <f>"鸿特精密"</f>
        <v>鸿特精密</v>
      </c>
      <c r="E91" s="1" t="str">
        <f t="shared" si="133"/>
        <v>买入</v>
      </c>
      <c r="F91" s="1" t="str">
        <f>"109.850"</f>
        <v>109.850</v>
      </c>
      <c r="G91" s="1" t="str">
        <f t="shared" si="136"/>
        <v>100.00</v>
      </c>
      <c r="H91" s="1" t="str">
        <f t="shared" si="132"/>
        <v>0104152129</v>
      </c>
      <c r="I91" s="1" t="str">
        <f>"10985.00"</f>
        <v>10985.00</v>
      </c>
      <c r="J91" s="1" t="str">
        <f t="shared" si="130"/>
        <v>5.00</v>
      </c>
      <c r="K91" s="1" t="str">
        <f t="shared" si="134"/>
        <v>0.00</v>
      </c>
      <c r="L91" s="1" t="str">
        <f>"0.22"</f>
        <v>0.22</v>
      </c>
      <c r="M91" s="1" t="str">
        <f t="shared" si="106"/>
        <v>0.00</v>
      </c>
      <c r="N91" s="1" t="str">
        <f t="shared" si="135"/>
        <v>证券买入</v>
      </c>
    </row>
    <row r="92" spans="1:14">
      <c r="A92" s="1" t="str">
        <f t="shared" si="127"/>
        <v>20171017</v>
      </c>
      <c r="B92" s="1" t="str">
        <f>"11:03:35"</f>
        <v>11:03:35</v>
      </c>
      <c r="C92" s="1" t="str">
        <f>"002273"</f>
        <v>002273</v>
      </c>
      <c r="D92" s="1" t="str">
        <f>"水晶光电"</f>
        <v>水晶光电</v>
      </c>
      <c r="E92" s="1" t="str">
        <f t="shared" si="133"/>
        <v>买入</v>
      </c>
      <c r="F92" s="1" t="str">
        <f>"28.240"</f>
        <v>28.240</v>
      </c>
      <c r="G92" s="1" t="str">
        <f t="shared" si="136"/>
        <v>100.00</v>
      </c>
      <c r="H92" s="1" t="str">
        <f t="shared" si="132"/>
        <v>0104152129</v>
      </c>
      <c r="I92" s="1" t="str">
        <f>"2824.00"</f>
        <v>2824.00</v>
      </c>
      <c r="J92" s="1" t="str">
        <f t="shared" si="130"/>
        <v>5.00</v>
      </c>
      <c r="K92" s="1" t="str">
        <f t="shared" si="134"/>
        <v>0.00</v>
      </c>
      <c r="L92" s="1" t="str">
        <f>"0.06"</f>
        <v>0.06</v>
      </c>
      <c r="M92" s="1" t="str">
        <f t="shared" si="106"/>
        <v>0.00</v>
      </c>
      <c r="N92" s="1" t="str">
        <f t="shared" si="135"/>
        <v>证券买入</v>
      </c>
    </row>
    <row r="93" spans="1:14">
      <c r="A93" s="1" t="str">
        <f t="shared" ref="A93:A96" si="139">"20171018"</f>
        <v>20171018</v>
      </c>
      <c r="B93" s="1" t="str">
        <f>"09:25:00"</f>
        <v>09:25:00</v>
      </c>
      <c r="C93" s="1" t="str">
        <f>"002273"</f>
        <v>002273</v>
      </c>
      <c r="D93" s="1" t="str">
        <f>"水晶光电"</f>
        <v>水晶光电</v>
      </c>
      <c r="E93" s="1" t="str">
        <f t="shared" si="137"/>
        <v>卖出</v>
      </c>
      <c r="F93" s="1" t="str">
        <f>"27.010"</f>
        <v>27.010</v>
      </c>
      <c r="G93" s="1" t="str">
        <f>"-100.00"</f>
        <v>-100.00</v>
      </c>
      <c r="H93" s="1" t="str">
        <f t="shared" si="132"/>
        <v>0104152129</v>
      </c>
      <c r="I93" s="1" t="str">
        <f>"2701.00"</f>
        <v>2701.00</v>
      </c>
      <c r="J93" s="1" t="str">
        <f t="shared" si="130"/>
        <v>5.00</v>
      </c>
      <c r="K93" s="1" t="str">
        <f>"2.70"</f>
        <v>2.70</v>
      </c>
      <c r="L93" s="1" t="str">
        <f>"0.05"</f>
        <v>0.05</v>
      </c>
      <c r="M93" s="1" t="str">
        <f t="shared" si="106"/>
        <v>0.00</v>
      </c>
      <c r="N93" s="1" t="str">
        <f t="shared" si="138"/>
        <v>证券卖出</v>
      </c>
    </row>
    <row r="94" spans="1:14">
      <c r="A94" s="1" t="str">
        <f t="shared" si="139"/>
        <v>20171018</v>
      </c>
      <c r="B94" s="1" t="str">
        <f>"09:31:30"</f>
        <v>09:31:30</v>
      </c>
      <c r="C94" s="1" t="str">
        <f>"000791"</f>
        <v>000791</v>
      </c>
      <c r="D94" s="1" t="str">
        <f>"甘肃电投"</f>
        <v>甘肃电投</v>
      </c>
      <c r="E94" s="1" t="str">
        <f t="shared" si="137"/>
        <v>卖出</v>
      </c>
      <c r="F94" s="1" t="str">
        <f>"10.030"</f>
        <v>10.030</v>
      </c>
      <c r="G94" s="1" t="str">
        <f>"-200.00"</f>
        <v>-200.00</v>
      </c>
      <c r="H94" s="1" t="str">
        <f t="shared" si="132"/>
        <v>0104152129</v>
      </c>
      <c r="I94" s="1" t="str">
        <f>"2006.00"</f>
        <v>2006.00</v>
      </c>
      <c r="J94" s="1" t="str">
        <f t="shared" si="130"/>
        <v>5.00</v>
      </c>
      <c r="K94" s="1" t="str">
        <f>"2.01"</f>
        <v>2.01</v>
      </c>
      <c r="L94" s="1" t="str">
        <f>"0.04"</f>
        <v>0.04</v>
      </c>
      <c r="M94" s="1" t="str">
        <f t="shared" si="106"/>
        <v>0.00</v>
      </c>
      <c r="N94" s="1" t="str">
        <f t="shared" si="138"/>
        <v>证券卖出</v>
      </c>
    </row>
    <row r="95" spans="1:14">
      <c r="A95" s="1" t="str">
        <f t="shared" si="139"/>
        <v>20171018</v>
      </c>
      <c r="B95" s="1" t="str">
        <f>"09:37:36"</f>
        <v>09:37:36</v>
      </c>
      <c r="C95" s="1" t="str">
        <f>"000513"</f>
        <v>000513</v>
      </c>
      <c r="D95" s="1" t="str">
        <f>"丽珠集团"</f>
        <v>丽珠集团</v>
      </c>
      <c r="E95" s="1" t="str">
        <f t="shared" ref="E95:E97" si="140">"买入"</f>
        <v>买入</v>
      </c>
      <c r="F95" s="1" t="str">
        <f>"62.150"</f>
        <v>62.150</v>
      </c>
      <c r="G95" s="1" t="str">
        <f>"100.00"</f>
        <v>100.00</v>
      </c>
      <c r="H95" s="1" t="str">
        <f t="shared" si="132"/>
        <v>0104152129</v>
      </c>
      <c r="I95" s="1" t="str">
        <f>"6215.00"</f>
        <v>6215.00</v>
      </c>
      <c r="J95" s="1" t="str">
        <f t="shared" si="130"/>
        <v>5.00</v>
      </c>
      <c r="K95" s="1" t="str">
        <f t="shared" ref="K95:K104" si="141">"0.00"</f>
        <v>0.00</v>
      </c>
      <c r="L95" s="1" t="str">
        <f>"0.12"</f>
        <v>0.12</v>
      </c>
      <c r="M95" s="1" t="str">
        <f t="shared" si="106"/>
        <v>0.00</v>
      </c>
      <c r="N95" s="1" t="str">
        <f>"证券买入"</f>
        <v>证券买入</v>
      </c>
    </row>
    <row r="96" spans="1:14">
      <c r="A96" s="1" t="str">
        <f t="shared" si="139"/>
        <v>20171018</v>
      </c>
      <c r="B96" s="1" t="str">
        <f>"21:29:22"</f>
        <v>21:29:22</v>
      </c>
      <c r="C96" s="1" t="str">
        <f>"736260"</f>
        <v>736260</v>
      </c>
      <c r="D96" s="1" t="str">
        <f>"合盛配号"</f>
        <v>合盛配号</v>
      </c>
      <c r="E96" s="1" t="str">
        <f t="shared" si="140"/>
        <v>买入</v>
      </c>
      <c r="F96" s="1" t="str">
        <f t="shared" ref="F96:F101" si="142">"0.000"</f>
        <v>0.000</v>
      </c>
      <c r="G96" s="1" t="str">
        <f t="shared" ref="G96:G101" si="143">"2.00"</f>
        <v>2.00</v>
      </c>
      <c r="H96" s="1" t="str">
        <f t="shared" ref="H96:H100" si="144">"A850418317"</f>
        <v>A850418317</v>
      </c>
      <c r="I96" s="1" t="str">
        <f t="shared" ref="I96:L96" si="145">"0.00"</f>
        <v>0.00</v>
      </c>
      <c r="J96" s="1" t="str">
        <f t="shared" si="145"/>
        <v>0.00</v>
      </c>
      <c r="K96" s="1" t="str">
        <f t="shared" si="145"/>
        <v>0.00</v>
      </c>
      <c r="L96" s="1" t="str">
        <f t="shared" si="145"/>
        <v>0.00</v>
      </c>
      <c r="M96" s="1" t="str">
        <f t="shared" si="106"/>
        <v>0.00</v>
      </c>
      <c r="N96" s="1" t="str">
        <f>"起始配号:100024016002"</f>
        <v>起始配号:100024016002</v>
      </c>
    </row>
    <row r="97" spans="1:14">
      <c r="A97" s="1" t="str">
        <f>"20171019"</f>
        <v>20171019</v>
      </c>
      <c r="B97" s="1" t="str">
        <f>"21:26:15"</f>
        <v>21:26:15</v>
      </c>
      <c r="C97" s="1" t="str">
        <f>"736289"</f>
        <v>736289</v>
      </c>
      <c r="D97" s="1" t="str">
        <f>"泰瑞配号"</f>
        <v>泰瑞配号</v>
      </c>
      <c r="E97" s="1" t="str">
        <f t="shared" si="140"/>
        <v>买入</v>
      </c>
      <c r="F97" s="1" t="str">
        <f t="shared" si="142"/>
        <v>0.000</v>
      </c>
      <c r="G97" s="1" t="str">
        <f t="shared" si="143"/>
        <v>2.00</v>
      </c>
      <c r="H97" s="1" t="str">
        <f t="shared" si="144"/>
        <v>A850418317</v>
      </c>
      <c r="I97" s="1" t="str">
        <f t="shared" ref="I97:L97" si="146">"0.00"</f>
        <v>0.00</v>
      </c>
      <c r="J97" s="1" t="str">
        <f t="shared" si="146"/>
        <v>0.00</v>
      </c>
      <c r="K97" s="1" t="str">
        <f t="shared" si="146"/>
        <v>0.00</v>
      </c>
      <c r="L97" s="1" t="str">
        <f t="shared" si="146"/>
        <v>0.00</v>
      </c>
      <c r="M97" s="1" t="str">
        <f t="shared" si="106"/>
        <v>0.00</v>
      </c>
      <c r="N97" s="1" t="str">
        <f>"起始配号:100028616111"</f>
        <v>起始配号:100028616111</v>
      </c>
    </row>
    <row r="98" spans="1:14">
      <c r="A98" s="1" t="str">
        <f t="shared" ref="A98:A101" si="147">"20171020"</f>
        <v>20171020</v>
      </c>
      <c r="B98" s="1" t="str">
        <f>"14:56:39"</f>
        <v>14:56:39</v>
      </c>
      <c r="C98" s="1" t="str">
        <f>"300176"</f>
        <v>300176</v>
      </c>
      <c r="D98" s="1" t="str">
        <f>"鸿特精密"</f>
        <v>鸿特精密</v>
      </c>
      <c r="E98" s="1" t="str">
        <f>"卖出"</f>
        <v>卖出</v>
      </c>
      <c r="F98" s="1" t="str">
        <f>"125.950"</f>
        <v>125.950</v>
      </c>
      <c r="G98" s="1" t="str">
        <f>"-200.00"</f>
        <v>-200.00</v>
      </c>
      <c r="H98" s="1" t="str">
        <f t="shared" ref="H98:H101" si="148">"0104152129"</f>
        <v>0104152129</v>
      </c>
      <c r="I98" s="1" t="str">
        <f>"25190.00"</f>
        <v>25190.00</v>
      </c>
      <c r="J98" s="1" t="str">
        <f>"5.79"</f>
        <v>5.79</v>
      </c>
      <c r="K98" s="1" t="str">
        <f>"25.19"</f>
        <v>25.19</v>
      </c>
      <c r="L98" s="1" t="str">
        <f>"0.50"</f>
        <v>0.50</v>
      </c>
      <c r="M98" s="1" t="str">
        <f t="shared" si="106"/>
        <v>0.00</v>
      </c>
      <c r="N98" s="1" t="str">
        <f>"证券卖出"</f>
        <v>证券卖出</v>
      </c>
    </row>
    <row r="99" spans="1:14">
      <c r="A99" s="1" t="str">
        <f t="shared" si="147"/>
        <v>20171020</v>
      </c>
      <c r="B99" s="1" t="str">
        <f>"15:00:00"</f>
        <v>15:00:00</v>
      </c>
      <c r="C99" s="1" t="str">
        <f>"000513"</f>
        <v>000513</v>
      </c>
      <c r="D99" s="1" t="str">
        <f>"丽珠集团"</f>
        <v>丽珠集团</v>
      </c>
      <c r="E99" s="1" t="str">
        <f t="shared" ref="E99:E104" si="149">"买入"</f>
        <v>买入</v>
      </c>
      <c r="F99" s="1" t="str">
        <f>"59.480"</f>
        <v>59.480</v>
      </c>
      <c r="G99" s="1" t="str">
        <f>"400.00"</f>
        <v>400.00</v>
      </c>
      <c r="H99" s="1" t="str">
        <f t="shared" si="148"/>
        <v>0104152129</v>
      </c>
      <c r="I99" s="1" t="str">
        <f>"23792.00"</f>
        <v>23792.00</v>
      </c>
      <c r="J99" s="1" t="str">
        <f>"5.47"</f>
        <v>5.47</v>
      </c>
      <c r="K99" s="1" t="str">
        <f t="shared" si="141"/>
        <v>0.00</v>
      </c>
      <c r="L99" s="1" t="str">
        <f>"0.48"</f>
        <v>0.48</v>
      </c>
      <c r="M99" s="1" t="str">
        <f t="shared" si="106"/>
        <v>0.00</v>
      </c>
      <c r="N99" s="1" t="str">
        <f t="shared" ref="N99:N104" si="150">"证券买入"</f>
        <v>证券买入</v>
      </c>
    </row>
    <row r="100" spans="1:14">
      <c r="A100" s="1" t="str">
        <f t="shared" si="147"/>
        <v>20171020</v>
      </c>
      <c r="B100" s="1" t="str">
        <f>"22:49:50"</f>
        <v>22:49:50</v>
      </c>
      <c r="C100" s="1" t="str">
        <f>"736912"</f>
        <v>736912</v>
      </c>
      <c r="D100" s="1" t="str">
        <f>"佳力配号"</f>
        <v>佳力配号</v>
      </c>
      <c r="E100" s="1" t="str">
        <f t="shared" si="149"/>
        <v>买入</v>
      </c>
      <c r="F100" s="1" t="str">
        <f t="shared" si="142"/>
        <v>0.000</v>
      </c>
      <c r="G100" s="1" t="str">
        <f>"1.00"</f>
        <v>1.00</v>
      </c>
      <c r="H100" s="1" t="str">
        <f t="shared" si="144"/>
        <v>A850418317</v>
      </c>
      <c r="I100" s="1" t="str">
        <f t="shared" ref="I100:L100" si="151">"0.00"</f>
        <v>0.00</v>
      </c>
      <c r="J100" s="1" t="str">
        <f t="shared" si="151"/>
        <v>0.00</v>
      </c>
      <c r="K100" s="1" t="str">
        <f t="shared" si="141"/>
        <v>0.00</v>
      </c>
      <c r="L100" s="1" t="str">
        <f t="shared" si="151"/>
        <v>0.00</v>
      </c>
      <c r="M100" s="1" t="str">
        <f t="shared" si="106"/>
        <v>0.00</v>
      </c>
      <c r="N100" s="1" t="str">
        <f>"起始配号:100018303562"</f>
        <v>起始配号:100018303562</v>
      </c>
    </row>
    <row r="101" spans="1:14">
      <c r="A101" s="1" t="str">
        <f t="shared" si="147"/>
        <v>20171020</v>
      </c>
      <c r="B101" s="1" t="str">
        <f>"22:51:35"</f>
        <v>22:51:35</v>
      </c>
      <c r="C101" s="1" t="str">
        <f>"300711"</f>
        <v>300711</v>
      </c>
      <c r="D101" s="1" t="str">
        <f>"广哈通信"</f>
        <v>广哈通信</v>
      </c>
      <c r="E101" s="1" t="str">
        <f t="shared" si="149"/>
        <v>买入</v>
      </c>
      <c r="F101" s="1" t="str">
        <f t="shared" si="142"/>
        <v>0.000</v>
      </c>
      <c r="G101" s="1" t="str">
        <f t="shared" si="143"/>
        <v>2.00</v>
      </c>
      <c r="H101" s="1" t="str">
        <f t="shared" si="148"/>
        <v>0104152129</v>
      </c>
      <c r="I101" s="1" t="str">
        <f t="shared" ref="I101:L101" si="152">"0.00"</f>
        <v>0.00</v>
      </c>
      <c r="J101" s="1" t="str">
        <f t="shared" si="152"/>
        <v>0.00</v>
      </c>
      <c r="K101" s="1" t="str">
        <f t="shared" si="141"/>
        <v>0.00</v>
      </c>
      <c r="L101" s="1" t="str">
        <f t="shared" si="152"/>
        <v>0.00</v>
      </c>
      <c r="M101" s="1" t="str">
        <f t="shared" si="106"/>
        <v>0.00</v>
      </c>
      <c r="N101" s="1" t="str">
        <f>"起始配号:37905995"</f>
        <v>起始配号:37905995</v>
      </c>
    </row>
    <row r="102" spans="1:14">
      <c r="A102" s="1" t="str">
        <f t="shared" ref="A102:A109" si="153">"20171023"</f>
        <v>20171023</v>
      </c>
      <c r="B102" s="1" t="str">
        <f>"10:38:06"</f>
        <v>10:38:06</v>
      </c>
      <c r="C102" s="1" t="str">
        <f>"600732"</f>
        <v>600732</v>
      </c>
      <c r="D102" s="1" t="str">
        <f>"ST新梅"</f>
        <v>ST新梅</v>
      </c>
      <c r="E102" s="1" t="str">
        <f t="shared" si="149"/>
        <v>买入</v>
      </c>
      <c r="F102" s="1" t="str">
        <f>"7.610"</f>
        <v>7.610</v>
      </c>
      <c r="G102" s="1" t="str">
        <f>"200.00"</f>
        <v>200.00</v>
      </c>
      <c r="H102" s="1" t="str">
        <f t="shared" ref="H102:H104" si="154">"A850418317"</f>
        <v>A850418317</v>
      </c>
      <c r="I102" s="1" t="str">
        <f>"1522.00"</f>
        <v>1522.00</v>
      </c>
      <c r="J102" s="1" t="str">
        <f t="shared" ref="J102:J104" si="155">"5.00"</f>
        <v>5.00</v>
      </c>
      <c r="K102" s="1" t="str">
        <f t="shared" si="141"/>
        <v>0.00</v>
      </c>
      <c r="L102" s="1" t="str">
        <f>"0.03"</f>
        <v>0.03</v>
      </c>
      <c r="M102" s="1" t="str">
        <f t="shared" si="106"/>
        <v>0.00</v>
      </c>
      <c r="N102" s="1" t="str">
        <f t="shared" si="150"/>
        <v>证券买入</v>
      </c>
    </row>
    <row r="103" spans="1:14">
      <c r="A103" s="1" t="str">
        <f t="shared" si="153"/>
        <v>20171023</v>
      </c>
      <c r="B103" s="1" t="str">
        <f>"10:45:57"</f>
        <v>10:45:57</v>
      </c>
      <c r="C103" s="1" t="str">
        <f>"600732"</f>
        <v>600732</v>
      </c>
      <c r="D103" s="1" t="str">
        <f>"ST新梅"</f>
        <v>ST新梅</v>
      </c>
      <c r="E103" s="1" t="str">
        <f t="shared" si="149"/>
        <v>买入</v>
      </c>
      <c r="F103" s="1" t="str">
        <f>"7.570"</f>
        <v>7.570</v>
      </c>
      <c r="G103" s="1" t="str">
        <f>"200.00"</f>
        <v>200.00</v>
      </c>
      <c r="H103" s="1" t="str">
        <f t="shared" si="154"/>
        <v>A850418317</v>
      </c>
      <c r="I103" s="1" t="str">
        <f>"1514.00"</f>
        <v>1514.00</v>
      </c>
      <c r="J103" s="1" t="str">
        <f t="shared" si="155"/>
        <v>5.00</v>
      </c>
      <c r="K103" s="1" t="str">
        <f t="shared" si="141"/>
        <v>0.00</v>
      </c>
      <c r="L103" s="1" t="str">
        <f>"0.03"</f>
        <v>0.03</v>
      </c>
      <c r="M103" s="1" t="str">
        <f t="shared" si="106"/>
        <v>0.00</v>
      </c>
      <c r="N103" s="1" t="str">
        <f t="shared" si="150"/>
        <v>证券买入</v>
      </c>
    </row>
    <row r="104" spans="1:14">
      <c r="A104" s="1" t="str">
        <f t="shared" si="153"/>
        <v>20171023</v>
      </c>
      <c r="B104" s="1" t="str">
        <f>"11:10:45"</f>
        <v>11:10:45</v>
      </c>
      <c r="C104" s="1" t="str">
        <f>"600676"</f>
        <v>600676</v>
      </c>
      <c r="D104" s="1" t="str">
        <f>"交运股份"</f>
        <v>交运股份</v>
      </c>
      <c r="E104" s="1" t="str">
        <f t="shared" si="149"/>
        <v>买入</v>
      </c>
      <c r="F104" s="1" t="str">
        <f>"8.880"</f>
        <v>8.880</v>
      </c>
      <c r="G104" s="1" t="str">
        <f>"1000.00"</f>
        <v>1000.00</v>
      </c>
      <c r="H104" s="1" t="str">
        <f t="shared" si="154"/>
        <v>A850418317</v>
      </c>
      <c r="I104" s="1" t="str">
        <f>"8880.00"</f>
        <v>8880.00</v>
      </c>
      <c r="J104" s="1" t="str">
        <f t="shared" si="155"/>
        <v>5.00</v>
      </c>
      <c r="K104" s="1" t="str">
        <f t="shared" si="141"/>
        <v>0.00</v>
      </c>
      <c r="L104" s="1" t="str">
        <f>"0.18"</f>
        <v>0.18</v>
      </c>
      <c r="M104" s="1" t="str">
        <f t="shared" si="106"/>
        <v>0.00</v>
      </c>
      <c r="N104" s="1" t="str">
        <f t="shared" si="150"/>
        <v>证券买入</v>
      </c>
    </row>
    <row r="105" spans="1:14">
      <c r="A105" s="1" t="str">
        <f t="shared" si="153"/>
        <v>20171023</v>
      </c>
      <c r="B105" s="1" t="str">
        <f>"09:40:01"</f>
        <v>09:40:01</v>
      </c>
      <c r="C105" s="1" t="str">
        <f t="shared" ref="C105:C108" si="156">"000513"</f>
        <v>000513</v>
      </c>
      <c r="D105" s="1" t="str">
        <f t="shared" ref="D105:D108" si="157">"丽珠集团"</f>
        <v>丽珠集团</v>
      </c>
      <c r="E105" s="1" t="str">
        <f>"卖出"</f>
        <v>卖出</v>
      </c>
      <c r="F105" s="1" t="str">
        <f>"60.560"</f>
        <v>60.560</v>
      </c>
      <c r="G105" s="1" t="str">
        <f>"-500.00"</f>
        <v>-500.00</v>
      </c>
      <c r="H105" s="1" t="str">
        <f t="shared" ref="H105:H108" si="158">"0104152129"</f>
        <v>0104152129</v>
      </c>
      <c r="I105" s="1" t="str">
        <f>"30280.00"</f>
        <v>30280.00</v>
      </c>
      <c r="J105" s="1" t="str">
        <f>"6.96"</f>
        <v>6.96</v>
      </c>
      <c r="K105" s="1" t="str">
        <f>"30.28"</f>
        <v>30.28</v>
      </c>
      <c r="L105" s="1" t="str">
        <f>"0.61"</f>
        <v>0.61</v>
      </c>
      <c r="M105" s="1" t="str">
        <f t="shared" si="106"/>
        <v>0.00</v>
      </c>
      <c r="N105" s="1" t="str">
        <f>"证券卖出"</f>
        <v>证券卖出</v>
      </c>
    </row>
    <row r="106" spans="1:14">
      <c r="A106" s="1" t="str">
        <f t="shared" si="153"/>
        <v>20171023</v>
      </c>
      <c r="B106" s="1" t="str">
        <f>"11:14:14"</f>
        <v>11:14:14</v>
      </c>
      <c r="C106" s="1" t="str">
        <f t="shared" si="156"/>
        <v>000513</v>
      </c>
      <c r="D106" s="1" t="str">
        <f t="shared" si="157"/>
        <v>丽珠集团</v>
      </c>
      <c r="E106" s="1" t="str">
        <f t="shared" ref="E106:E109" si="159">"买入"</f>
        <v>买入</v>
      </c>
      <c r="F106" s="1" t="str">
        <f>"61.840"</f>
        <v>61.840</v>
      </c>
      <c r="G106" s="1" t="str">
        <f t="shared" ref="G106:G108" si="160">"100.00"</f>
        <v>100.00</v>
      </c>
      <c r="H106" s="1" t="str">
        <f t="shared" si="158"/>
        <v>0104152129</v>
      </c>
      <c r="I106" s="1" t="str">
        <f>"6184.00"</f>
        <v>6184.00</v>
      </c>
      <c r="J106" s="1" t="str">
        <f t="shared" ref="J106:J108" si="161">"5.00"</f>
        <v>5.00</v>
      </c>
      <c r="K106" s="1" t="str">
        <f t="shared" ref="K106:K109" si="162">"0.00"</f>
        <v>0.00</v>
      </c>
      <c r="L106" s="1" t="str">
        <f t="shared" ref="L106:L108" si="163">"0.12"</f>
        <v>0.12</v>
      </c>
      <c r="M106" s="1" t="str">
        <f t="shared" si="106"/>
        <v>0.00</v>
      </c>
      <c r="N106" s="1" t="str">
        <f t="shared" ref="N106:N108" si="164">"证券买入"</f>
        <v>证券买入</v>
      </c>
    </row>
    <row r="107" spans="1:14">
      <c r="A107" s="1" t="str">
        <f t="shared" si="153"/>
        <v>20171023</v>
      </c>
      <c r="B107" s="1" t="str">
        <f>"11:22:55"</f>
        <v>11:22:55</v>
      </c>
      <c r="C107" s="1" t="str">
        <f t="shared" si="156"/>
        <v>000513</v>
      </c>
      <c r="D107" s="1" t="str">
        <f t="shared" si="157"/>
        <v>丽珠集团</v>
      </c>
      <c r="E107" s="1" t="str">
        <f t="shared" si="159"/>
        <v>买入</v>
      </c>
      <c r="F107" s="1" t="str">
        <f>"61.930"</f>
        <v>61.930</v>
      </c>
      <c r="G107" s="1" t="str">
        <f t="shared" si="160"/>
        <v>100.00</v>
      </c>
      <c r="H107" s="1" t="str">
        <f t="shared" si="158"/>
        <v>0104152129</v>
      </c>
      <c r="I107" s="1" t="str">
        <f>"6193.00"</f>
        <v>6193.00</v>
      </c>
      <c r="J107" s="1" t="str">
        <f t="shared" si="161"/>
        <v>5.00</v>
      </c>
      <c r="K107" s="1" t="str">
        <f t="shared" si="162"/>
        <v>0.00</v>
      </c>
      <c r="L107" s="1" t="str">
        <f t="shared" si="163"/>
        <v>0.12</v>
      </c>
      <c r="M107" s="1" t="str">
        <f t="shared" si="106"/>
        <v>0.00</v>
      </c>
      <c r="N107" s="1" t="str">
        <f t="shared" si="164"/>
        <v>证券买入</v>
      </c>
    </row>
    <row r="108" spans="1:14">
      <c r="A108" s="1" t="str">
        <f t="shared" si="153"/>
        <v>20171023</v>
      </c>
      <c r="B108" s="1" t="str">
        <f>"13:43:12"</f>
        <v>13:43:12</v>
      </c>
      <c r="C108" s="1" t="str">
        <f t="shared" si="156"/>
        <v>000513</v>
      </c>
      <c r="D108" s="1" t="str">
        <f t="shared" si="157"/>
        <v>丽珠集团</v>
      </c>
      <c r="E108" s="1" t="str">
        <f t="shared" si="159"/>
        <v>买入</v>
      </c>
      <c r="F108" s="1" t="str">
        <f>"62.250"</f>
        <v>62.250</v>
      </c>
      <c r="G108" s="1" t="str">
        <f t="shared" si="160"/>
        <v>100.00</v>
      </c>
      <c r="H108" s="1" t="str">
        <f t="shared" si="158"/>
        <v>0104152129</v>
      </c>
      <c r="I108" s="1" t="str">
        <f>"6225.00"</f>
        <v>6225.00</v>
      </c>
      <c r="J108" s="1" t="str">
        <f t="shared" si="161"/>
        <v>5.00</v>
      </c>
      <c r="K108" s="1" t="str">
        <f t="shared" si="162"/>
        <v>0.00</v>
      </c>
      <c r="L108" s="1" t="str">
        <f t="shared" si="163"/>
        <v>0.12</v>
      </c>
      <c r="M108" s="1" t="str">
        <f t="shared" si="106"/>
        <v>0.00</v>
      </c>
      <c r="N108" s="1" t="str">
        <f t="shared" si="164"/>
        <v>证券买入</v>
      </c>
    </row>
    <row r="109" spans="1:14">
      <c r="A109" s="1" t="str">
        <f t="shared" si="153"/>
        <v>20171023</v>
      </c>
      <c r="B109" s="1" t="str">
        <f>"22:14:25"</f>
        <v>22:14:25</v>
      </c>
      <c r="C109" s="1" t="str">
        <f>"736937"</f>
        <v>736937</v>
      </c>
      <c r="D109" s="1" t="str">
        <f>"丽岛配号"</f>
        <v>丽岛配号</v>
      </c>
      <c r="E109" s="1" t="str">
        <f t="shared" si="159"/>
        <v>买入</v>
      </c>
      <c r="F109" s="1" t="str">
        <f>"0.000"</f>
        <v>0.000</v>
      </c>
      <c r="G109" s="1" t="str">
        <f>"1.00"</f>
        <v>1.00</v>
      </c>
      <c r="H109" s="1" t="str">
        <f>"A850418317"</f>
        <v>A850418317</v>
      </c>
      <c r="I109" s="1" t="str">
        <f t="shared" ref="I109:L109" si="165">"0.00"</f>
        <v>0.00</v>
      </c>
      <c r="J109" s="1" t="str">
        <f t="shared" si="165"/>
        <v>0.00</v>
      </c>
      <c r="K109" s="1" t="str">
        <f t="shared" si="162"/>
        <v>0.00</v>
      </c>
      <c r="L109" s="1" t="str">
        <f t="shared" si="165"/>
        <v>0.00</v>
      </c>
      <c r="M109" s="1" t="str">
        <f t="shared" si="106"/>
        <v>0.00</v>
      </c>
      <c r="N109" s="1" t="str">
        <f>"起始配号:100003833320"</f>
        <v>起始配号:100003833320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0"/>
  <sheetViews>
    <sheetView topLeftCell="A275" workbookViewId="0">
      <selection activeCell="A2" sqref="A2:O290"/>
    </sheetView>
  </sheetViews>
  <sheetFormatPr defaultColWidth="9" defaultRowHeight="13.5"/>
  <cols>
    <col min="1" max="16384" width="9" style="1"/>
  </cols>
  <sheetData>
    <row r="1" spans="1:14">
      <c r="A1" s="1" t="str">
        <f>"成交日期"</f>
        <v>成交日期</v>
      </c>
      <c r="B1" s="1" t="str">
        <f>"成交时间"</f>
        <v>成交时间</v>
      </c>
      <c r="C1" s="1" t="str">
        <f>"证券代码"</f>
        <v>证券代码</v>
      </c>
      <c r="D1" s="1" t="str">
        <f>"证券名称"</f>
        <v>证券名称</v>
      </c>
      <c r="E1" s="1" t="str">
        <f>"买卖标志"</f>
        <v>买卖标志</v>
      </c>
      <c r="F1" s="1" t="str">
        <f>"成交价格"</f>
        <v>成交价格</v>
      </c>
      <c r="G1" s="1" t="str">
        <f>"成交数量"</f>
        <v>成交数量</v>
      </c>
      <c r="H1" s="1" t="str">
        <f>"股东代码"</f>
        <v>股东代码</v>
      </c>
      <c r="I1" s="1" t="str">
        <f>"成交金额"</f>
        <v>成交金额</v>
      </c>
      <c r="J1" s="1" t="str">
        <f>"佣金"</f>
        <v>佣金</v>
      </c>
      <c r="K1" s="1" t="str">
        <f>"印花税"</f>
        <v>印花税</v>
      </c>
      <c r="L1" s="1" t="str">
        <f>"过户费"</f>
        <v>过户费</v>
      </c>
      <c r="M1" s="1" t="str">
        <f>"其他费"</f>
        <v>其他费</v>
      </c>
      <c r="N1" s="1" t="str">
        <f>"备注"</f>
        <v>备注</v>
      </c>
    </row>
    <row r="2" spans="1:14">
      <c r="A2" s="1" t="str">
        <f t="shared" ref="A2:A9" si="0">"20171023"</f>
        <v>20171023</v>
      </c>
      <c r="B2" s="1" t="str">
        <f>"10:38:06"</f>
        <v>10:38:06</v>
      </c>
      <c r="C2" s="1" t="str">
        <f>"600732"</f>
        <v>600732</v>
      </c>
      <c r="D2" s="1" t="str">
        <f>"ST新梅"</f>
        <v>ST新梅</v>
      </c>
      <c r="E2" s="1" t="str">
        <f t="shared" ref="E2:E9" si="1">"买入"</f>
        <v>买入</v>
      </c>
      <c r="F2" s="1" t="str">
        <f>"7.610"</f>
        <v>7.610</v>
      </c>
      <c r="G2" s="1" t="str">
        <f>"200.00"</f>
        <v>200.00</v>
      </c>
      <c r="H2" s="1" t="str">
        <f>"A850418317"</f>
        <v>A850418317</v>
      </c>
      <c r="I2" s="1" t="str">
        <f>"1522.00"</f>
        <v>1522.00</v>
      </c>
      <c r="J2" s="1" t="str">
        <f t="shared" ref="J2:J8" si="2">"5.00"</f>
        <v>5.00</v>
      </c>
      <c r="K2" s="1" t="str">
        <f t="shared" ref="K2:K9" si="3">"0.00"</f>
        <v>0.00</v>
      </c>
      <c r="L2" s="1" t="str">
        <f>"0.03"</f>
        <v>0.03</v>
      </c>
      <c r="M2" s="1" t="str">
        <f t="shared" ref="M2:M65" si="4">"0.00"</f>
        <v>0.00</v>
      </c>
      <c r="N2" s="1" t="str">
        <f t="shared" ref="N2:N8" si="5">"证券买入"</f>
        <v>证券买入</v>
      </c>
    </row>
    <row r="3" spans="1:14">
      <c r="A3" s="1" t="str">
        <f t="shared" si="0"/>
        <v>20171023</v>
      </c>
      <c r="B3" s="1" t="str">
        <f>"10:45:57"</f>
        <v>10:45:57</v>
      </c>
      <c r="C3" s="1" t="str">
        <f>"600732"</f>
        <v>600732</v>
      </c>
      <c r="D3" s="1" t="str">
        <f>"ST新梅"</f>
        <v>ST新梅</v>
      </c>
      <c r="E3" s="1" t="str">
        <f t="shared" si="1"/>
        <v>买入</v>
      </c>
      <c r="F3" s="1" t="str">
        <f>"7.570"</f>
        <v>7.570</v>
      </c>
      <c r="G3" s="1" t="str">
        <f>"200.00"</f>
        <v>200.00</v>
      </c>
      <c r="H3" s="1" t="str">
        <f>"A850418317"</f>
        <v>A850418317</v>
      </c>
      <c r="I3" s="1" t="str">
        <f>"1514.00"</f>
        <v>1514.00</v>
      </c>
      <c r="J3" s="1" t="str">
        <f t="shared" si="2"/>
        <v>5.00</v>
      </c>
      <c r="K3" s="1" t="str">
        <f t="shared" si="3"/>
        <v>0.00</v>
      </c>
      <c r="L3" s="1" t="str">
        <f>"0.03"</f>
        <v>0.03</v>
      </c>
      <c r="M3" s="1" t="str">
        <f t="shared" si="4"/>
        <v>0.00</v>
      </c>
      <c r="N3" s="1" t="str">
        <f t="shared" si="5"/>
        <v>证券买入</v>
      </c>
    </row>
    <row r="4" spans="1:14">
      <c r="A4" s="1" t="str">
        <f t="shared" si="0"/>
        <v>20171023</v>
      </c>
      <c r="B4" s="1" t="str">
        <f>"11:10:45"</f>
        <v>11:10:45</v>
      </c>
      <c r="C4" s="1" t="str">
        <f>"600676"</f>
        <v>600676</v>
      </c>
      <c r="D4" s="1" t="str">
        <f>"交运股份"</f>
        <v>交运股份</v>
      </c>
      <c r="E4" s="1" t="str">
        <f t="shared" si="1"/>
        <v>买入</v>
      </c>
      <c r="F4" s="1" t="str">
        <f>"8.880"</f>
        <v>8.880</v>
      </c>
      <c r="G4" s="1" t="str">
        <f>"1000.00"</f>
        <v>1000.00</v>
      </c>
      <c r="H4" s="1" t="str">
        <f>"A850418317"</f>
        <v>A850418317</v>
      </c>
      <c r="I4" s="1" t="str">
        <f>"8880.00"</f>
        <v>8880.00</v>
      </c>
      <c r="J4" s="1" t="str">
        <f t="shared" si="2"/>
        <v>5.00</v>
      </c>
      <c r="K4" s="1" t="str">
        <f t="shared" si="3"/>
        <v>0.00</v>
      </c>
      <c r="L4" s="1" t="str">
        <f>"0.18"</f>
        <v>0.18</v>
      </c>
      <c r="M4" s="1" t="str">
        <f t="shared" si="4"/>
        <v>0.00</v>
      </c>
      <c r="N4" s="1" t="str">
        <f t="shared" si="5"/>
        <v>证券买入</v>
      </c>
    </row>
    <row r="5" spans="1:14">
      <c r="A5" s="1" t="str">
        <f t="shared" si="0"/>
        <v>20171023</v>
      </c>
      <c r="B5" s="1" t="str">
        <f>"09:40:01"</f>
        <v>09:40:01</v>
      </c>
      <c r="C5" s="1" t="str">
        <f t="shared" ref="C5:C8" si="6">"000513"</f>
        <v>000513</v>
      </c>
      <c r="D5" s="1" t="str">
        <f t="shared" ref="D5:D8" si="7">"丽珠集团"</f>
        <v>丽珠集团</v>
      </c>
      <c r="E5" s="1" t="str">
        <f>"卖出"</f>
        <v>卖出</v>
      </c>
      <c r="F5" s="1" t="str">
        <f>"60.560"</f>
        <v>60.560</v>
      </c>
      <c r="G5" s="1" t="str">
        <f>"-500.00"</f>
        <v>-500.00</v>
      </c>
      <c r="H5" s="1" t="str">
        <f t="shared" ref="H5:H8" si="8">"0104152129"</f>
        <v>0104152129</v>
      </c>
      <c r="I5" s="1" t="str">
        <f>"30280.00"</f>
        <v>30280.00</v>
      </c>
      <c r="J5" s="1" t="str">
        <f>"6.96"</f>
        <v>6.96</v>
      </c>
      <c r="K5" s="1" t="str">
        <f>"30.28"</f>
        <v>30.28</v>
      </c>
      <c r="L5" s="1" t="str">
        <f>"0.61"</f>
        <v>0.61</v>
      </c>
      <c r="M5" s="1" t="str">
        <f t="shared" si="4"/>
        <v>0.00</v>
      </c>
      <c r="N5" s="1" t="str">
        <f>"证券卖出"</f>
        <v>证券卖出</v>
      </c>
    </row>
    <row r="6" spans="1:14">
      <c r="A6" s="1" t="str">
        <f t="shared" si="0"/>
        <v>20171023</v>
      </c>
      <c r="B6" s="1" t="str">
        <f>"11:14:14"</f>
        <v>11:14:14</v>
      </c>
      <c r="C6" s="1" t="str">
        <f t="shared" si="6"/>
        <v>000513</v>
      </c>
      <c r="D6" s="1" t="str">
        <f t="shared" si="7"/>
        <v>丽珠集团</v>
      </c>
      <c r="E6" s="1" t="str">
        <f t="shared" si="1"/>
        <v>买入</v>
      </c>
      <c r="F6" s="1" t="str">
        <f>"61.840"</f>
        <v>61.840</v>
      </c>
      <c r="G6" s="1" t="str">
        <f t="shared" ref="G6:G8" si="9">"100.00"</f>
        <v>100.00</v>
      </c>
      <c r="H6" s="1" t="str">
        <f t="shared" si="8"/>
        <v>0104152129</v>
      </c>
      <c r="I6" s="1" t="str">
        <f>"6184.00"</f>
        <v>6184.00</v>
      </c>
      <c r="J6" s="1" t="str">
        <f t="shared" si="2"/>
        <v>5.00</v>
      </c>
      <c r="K6" s="1" t="str">
        <f t="shared" si="3"/>
        <v>0.00</v>
      </c>
      <c r="L6" s="1" t="str">
        <f t="shared" ref="L6:L8" si="10">"0.12"</f>
        <v>0.12</v>
      </c>
      <c r="M6" s="1" t="str">
        <f t="shared" si="4"/>
        <v>0.00</v>
      </c>
      <c r="N6" s="1" t="str">
        <f t="shared" si="5"/>
        <v>证券买入</v>
      </c>
    </row>
    <row r="7" spans="1:14">
      <c r="A7" s="1" t="str">
        <f t="shared" si="0"/>
        <v>20171023</v>
      </c>
      <c r="B7" s="1" t="str">
        <f>"11:22:55"</f>
        <v>11:22:55</v>
      </c>
      <c r="C7" s="1" t="str">
        <f t="shared" si="6"/>
        <v>000513</v>
      </c>
      <c r="D7" s="1" t="str">
        <f t="shared" si="7"/>
        <v>丽珠集团</v>
      </c>
      <c r="E7" s="1" t="str">
        <f t="shared" si="1"/>
        <v>买入</v>
      </c>
      <c r="F7" s="1" t="str">
        <f>"61.930"</f>
        <v>61.930</v>
      </c>
      <c r="G7" s="1" t="str">
        <f t="shared" si="9"/>
        <v>100.00</v>
      </c>
      <c r="H7" s="1" t="str">
        <f t="shared" si="8"/>
        <v>0104152129</v>
      </c>
      <c r="I7" s="1" t="str">
        <f>"6193.00"</f>
        <v>6193.00</v>
      </c>
      <c r="J7" s="1" t="str">
        <f t="shared" si="2"/>
        <v>5.00</v>
      </c>
      <c r="K7" s="1" t="str">
        <f t="shared" si="3"/>
        <v>0.00</v>
      </c>
      <c r="L7" s="1" t="str">
        <f t="shared" si="10"/>
        <v>0.12</v>
      </c>
      <c r="M7" s="1" t="str">
        <f t="shared" si="4"/>
        <v>0.00</v>
      </c>
      <c r="N7" s="1" t="str">
        <f t="shared" si="5"/>
        <v>证券买入</v>
      </c>
    </row>
    <row r="8" spans="1:14">
      <c r="A8" s="1" t="str">
        <f t="shared" si="0"/>
        <v>20171023</v>
      </c>
      <c r="B8" s="1" t="str">
        <f>"13:43:12"</f>
        <v>13:43:12</v>
      </c>
      <c r="C8" s="1" t="str">
        <f t="shared" si="6"/>
        <v>000513</v>
      </c>
      <c r="D8" s="1" t="str">
        <f t="shared" si="7"/>
        <v>丽珠集团</v>
      </c>
      <c r="E8" s="1" t="str">
        <f t="shared" si="1"/>
        <v>买入</v>
      </c>
      <c r="F8" s="1" t="str">
        <f>"62.250"</f>
        <v>62.250</v>
      </c>
      <c r="G8" s="1" t="str">
        <f t="shared" si="9"/>
        <v>100.00</v>
      </c>
      <c r="H8" s="1" t="str">
        <f t="shared" si="8"/>
        <v>0104152129</v>
      </c>
      <c r="I8" s="1" t="str">
        <f>"6225.00"</f>
        <v>6225.00</v>
      </c>
      <c r="J8" s="1" t="str">
        <f t="shared" si="2"/>
        <v>5.00</v>
      </c>
      <c r="K8" s="1" t="str">
        <f t="shared" si="3"/>
        <v>0.00</v>
      </c>
      <c r="L8" s="1" t="str">
        <f t="shared" si="10"/>
        <v>0.12</v>
      </c>
      <c r="M8" s="1" t="str">
        <f t="shared" si="4"/>
        <v>0.00</v>
      </c>
      <c r="N8" s="1" t="str">
        <f t="shared" si="5"/>
        <v>证券买入</v>
      </c>
    </row>
    <row r="9" spans="1:14">
      <c r="A9" s="1" t="str">
        <f t="shared" si="0"/>
        <v>20171023</v>
      </c>
      <c r="B9" s="1" t="str">
        <f>"22:14:25"</f>
        <v>22:14:25</v>
      </c>
      <c r="C9" s="1" t="str">
        <f>"736937"</f>
        <v>736937</v>
      </c>
      <c r="D9" s="1" t="str">
        <f>"丽岛配号"</f>
        <v>丽岛配号</v>
      </c>
      <c r="E9" s="1" t="str">
        <f t="shared" si="1"/>
        <v>买入</v>
      </c>
      <c r="F9" s="1" t="str">
        <f>"0.000"</f>
        <v>0.000</v>
      </c>
      <c r="G9" s="1" t="str">
        <f>"1.00"</f>
        <v>1.00</v>
      </c>
      <c r="H9" s="1" t="str">
        <f t="shared" ref="H9:H12" si="11">"A850418317"</f>
        <v>A850418317</v>
      </c>
      <c r="I9" s="1" t="str">
        <f t="shared" ref="I9:L9" si="12">"0.00"</f>
        <v>0.00</v>
      </c>
      <c r="J9" s="1" t="str">
        <f t="shared" si="12"/>
        <v>0.00</v>
      </c>
      <c r="K9" s="1" t="str">
        <f t="shared" si="3"/>
        <v>0.00</v>
      </c>
      <c r="L9" s="1" t="str">
        <f t="shared" si="12"/>
        <v>0.00</v>
      </c>
      <c r="M9" s="1" t="str">
        <f t="shared" si="4"/>
        <v>0.00</v>
      </c>
      <c r="N9" s="1" t="str">
        <f>"起始配号:100003833320"</f>
        <v>起始配号:100003833320</v>
      </c>
    </row>
    <row r="10" spans="1:14">
      <c r="A10" s="1" t="str">
        <f t="shared" ref="A10:A14" si="13">"20171024"</f>
        <v>20171024</v>
      </c>
      <c r="B10" s="1" t="str">
        <f>"09:32:14"</f>
        <v>09:32:14</v>
      </c>
      <c r="C10" s="1" t="str">
        <f>"600732"</f>
        <v>600732</v>
      </c>
      <c r="D10" s="1" t="str">
        <f>"ST新梅"</f>
        <v>ST新梅</v>
      </c>
      <c r="E10" s="1" t="str">
        <f t="shared" ref="E10:E13" si="14">"卖出"</f>
        <v>卖出</v>
      </c>
      <c r="F10" s="1" t="str">
        <f>"7.650"</f>
        <v>7.650</v>
      </c>
      <c r="G10" s="1" t="str">
        <f>"-400.00"</f>
        <v>-400.00</v>
      </c>
      <c r="H10" s="1" t="str">
        <f t="shared" si="11"/>
        <v>A850418317</v>
      </c>
      <c r="I10" s="1" t="str">
        <f>"3060.00"</f>
        <v>3060.00</v>
      </c>
      <c r="J10" s="1" t="str">
        <f t="shared" ref="J10:J13" si="15">"5.00"</f>
        <v>5.00</v>
      </c>
      <c r="K10" s="1" t="str">
        <f>"3.06"</f>
        <v>3.06</v>
      </c>
      <c r="L10" s="1" t="str">
        <f>"0.06"</f>
        <v>0.06</v>
      </c>
      <c r="M10" s="1" t="str">
        <f t="shared" si="4"/>
        <v>0.00</v>
      </c>
      <c r="N10" s="1" t="str">
        <f t="shared" ref="N10:N13" si="16">"证券卖出"</f>
        <v>证券卖出</v>
      </c>
    </row>
    <row r="11" spans="1:14">
      <c r="A11" s="1" t="str">
        <f t="shared" si="13"/>
        <v>20171024</v>
      </c>
      <c r="B11" s="1" t="str">
        <f>"09:33:25"</f>
        <v>09:33:25</v>
      </c>
      <c r="C11" s="1" t="str">
        <f>"600676"</f>
        <v>600676</v>
      </c>
      <c r="D11" s="1" t="str">
        <f>"交运股份"</f>
        <v>交运股份</v>
      </c>
      <c r="E11" s="1" t="str">
        <f t="shared" si="14"/>
        <v>卖出</v>
      </c>
      <c r="F11" s="1" t="str">
        <f>"8.410"</f>
        <v>8.410</v>
      </c>
      <c r="G11" s="1" t="str">
        <f>"-1000.00"</f>
        <v>-1000.00</v>
      </c>
      <c r="H11" s="1" t="str">
        <f t="shared" si="11"/>
        <v>A850418317</v>
      </c>
      <c r="I11" s="1" t="str">
        <f>"8410.00"</f>
        <v>8410.00</v>
      </c>
      <c r="J11" s="1" t="str">
        <f t="shared" si="15"/>
        <v>5.00</v>
      </c>
      <c r="K11" s="1" t="str">
        <f>"8.41"</f>
        <v>8.41</v>
      </c>
      <c r="L11" s="1" t="str">
        <f>"0.17"</f>
        <v>0.17</v>
      </c>
      <c r="M11" s="1" t="str">
        <f t="shared" si="4"/>
        <v>0.00</v>
      </c>
      <c r="N11" s="1" t="str">
        <f t="shared" si="16"/>
        <v>证券卖出</v>
      </c>
    </row>
    <row r="12" spans="1:14">
      <c r="A12" s="1" t="str">
        <f t="shared" si="13"/>
        <v>20171024</v>
      </c>
      <c r="B12" s="1" t="str">
        <f>"14:00:35"</f>
        <v>14:00:35</v>
      </c>
      <c r="C12" s="1" t="str">
        <f>"600900"</f>
        <v>600900</v>
      </c>
      <c r="D12" s="1" t="str">
        <f>"长江电力"</f>
        <v>长江电力</v>
      </c>
      <c r="E12" s="1" t="str">
        <f t="shared" ref="E12:E21" si="17">"买入"</f>
        <v>买入</v>
      </c>
      <c r="F12" s="1" t="str">
        <f>"16.230"</f>
        <v>16.230</v>
      </c>
      <c r="G12" s="1" t="str">
        <f>"600.00"</f>
        <v>600.00</v>
      </c>
      <c r="H12" s="1" t="str">
        <f t="shared" si="11"/>
        <v>A850418317</v>
      </c>
      <c r="I12" s="1" t="str">
        <f>"9738.00"</f>
        <v>9738.00</v>
      </c>
      <c r="J12" s="1" t="str">
        <f t="shared" si="15"/>
        <v>5.00</v>
      </c>
      <c r="K12" s="1" t="str">
        <f t="shared" ref="K12:K21" si="18">"0.00"</f>
        <v>0.00</v>
      </c>
      <c r="L12" s="1" t="str">
        <f>"0.19"</f>
        <v>0.19</v>
      </c>
      <c r="M12" s="1" t="str">
        <f t="shared" si="4"/>
        <v>0.00</v>
      </c>
      <c r="N12" s="1" t="str">
        <f t="shared" ref="N12:N17" si="19">"证券买入"</f>
        <v>证券买入</v>
      </c>
    </row>
    <row r="13" spans="1:14">
      <c r="A13" s="1" t="str">
        <f t="shared" si="13"/>
        <v>20171024</v>
      </c>
      <c r="B13" s="1" t="str">
        <f>"09:32:08"</f>
        <v>09:32:08</v>
      </c>
      <c r="C13" s="1" t="str">
        <f>"000513"</f>
        <v>000513</v>
      </c>
      <c r="D13" s="1" t="str">
        <f>"丽珠集团"</f>
        <v>丽珠集团</v>
      </c>
      <c r="E13" s="1" t="str">
        <f t="shared" si="14"/>
        <v>卖出</v>
      </c>
      <c r="F13" s="1" t="str">
        <f>"64.180"</f>
        <v>64.180</v>
      </c>
      <c r="G13" s="1" t="str">
        <f>"-300.00"</f>
        <v>-300.00</v>
      </c>
      <c r="H13" s="1" t="str">
        <f>"0104152129"</f>
        <v>0104152129</v>
      </c>
      <c r="I13" s="1" t="str">
        <f>"19254.00"</f>
        <v>19254.00</v>
      </c>
      <c r="J13" s="1" t="str">
        <f t="shared" si="15"/>
        <v>5.00</v>
      </c>
      <c r="K13" s="1" t="str">
        <f>"19.25"</f>
        <v>19.25</v>
      </c>
      <c r="L13" s="1" t="str">
        <f>"0.39"</f>
        <v>0.39</v>
      </c>
      <c r="M13" s="1" t="str">
        <f t="shared" si="4"/>
        <v>0.00</v>
      </c>
      <c r="N13" s="1" t="str">
        <f t="shared" si="16"/>
        <v>证券卖出</v>
      </c>
    </row>
    <row r="14" spans="1:14">
      <c r="A14" s="1" t="str">
        <f t="shared" si="13"/>
        <v>20171024</v>
      </c>
      <c r="B14" s="1" t="str">
        <f>"21:33:20"</f>
        <v>21:33:20</v>
      </c>
      <c r="C14" s="1" t="str">
        <f>"736659"</f>
        <v>736659</v>
      </c>
      <c r="D14" s="1" t="str">
        <f>"璞泰配号"</f>
        <v>璞泰配号</v>
      </c>
      <c r="E14" s="1" t="str">
        <f t="shared" si="17"/>
        <v>买入</v>
      </c>
      <c r="F14" s="1" t="str">
        <f t="shared" ref="F14:F20" si="20">"0.000"</f>
        <v>0.000</v>
      </c>
      <c r="G14" s="1" t="str">
        <f t="shared" ref="G14:G19" si="21">"1.00"</f>
        <v>1.00</v>
      </c>
      <c r="H14" s="1" t="str">
        <f t="shared" ref="H14:H16" si="22">"A850418317"</f>
        <v>A850418317</v>
      </c>
      <c r="I14" s="1" t="str">
        <f t="shared" ref="I14:L14" si="23">"0.00"</f>
        <v>0.00</v>
      </c>
      <c r="J14" s="1" t="str">
        <f t="shared" si="23"/>
        <v>0.00</v>
      </c>
      <c r="K14" s="1" t="str">
        <f t="shared" si="23"/>
        <v>0.00</v>
      </c>
      <c r="L14" s="1" t="str">
        <f t="shared" si="23"/>
        <v>0.00</v>
      </c>
      <c r="M14" s="1" t="str">
        <f t="shared" si="4"/>
        <v>0.00</v>
      </c>
      <c r="N14" s="1" t="str">
        <f>"起始配号:100076996885"</f>
        <v>起始配号:100076996885</v>
      </c>
    </row>
    <row r="15" spans="1:14">
      <c r="A15" s="1" t="str">
        <f t="shared" ref="A15:A20" si="24">"20171025"</f>
        <v>20171025</v>
      </c>
      <c r="B15" s="1" t="str">
        <f>"09:25:01"</f>
        <v>09:25:01</v>
      </c>
      <c r="C15" s="1" t="str">
        <f>"601200"</f>
        <v>601200</v>
      </c>
      <c r="D15" s="1" t="str">
        <f>"上海环境"</f>
        <v>上海环境</v>
      </c>
      <c r="E15" s="1" t="str">
        <f t="shared" si="17"/>
        <v>买入</v>
      </c>
      <c r="F15" s="1" t="str">
        <f>"27.500"</f>
        <v>27.500</v>
      </c>
      <c r="G15" s="1" t="str">
        <f>"200.00"</f>
        <v>200.00</v>
      </c>
      <c r="H15" s="1" t="str">
        <f t="shared" si="22"/>
        <v>A850418317</v>
      </c>
      <c r="I15" s="1" t="str">
        <f>"5500.00"</f>
        <v>5500.00</v>
      </c>
      <c r="J15" s="1" t="str">
        <f t="shared" ref="J15:J17" si="25">"5.00"</f>
        <v>5.00</v>
      </c>
      <c r="K15" s="1" t="str">
        <f t="shared" si="18"/>
        <v>0.00</v>
      </c>
      <c r="L15" s="1" t="str">
        <f>"0.11"</f>
        <v>0.11</v>
      </c>
      <c r="M15" s="1" t="str">
        <f t="shared" si="4"/>
        <v>0.00</v>
      </c>
      <c r="N15" s="1" t="str">
        <f t="shared" si="19"/>
        <v>证券买入</v>
      </c>
    </row>
    <row r="16" spans="1:14">
      <c r="A16" s="1" t="str">
        <f t="shared" si="24"/>
        <v>20171025</v>
      </c>
      <c r="B16" s="1" t="str">
        <f>"10:45:53"</f>
        <v>10:45:53</v>
      </c>
      <c r="C16" s="1" t="str">
        <f>"600699"</f>
        <v>600699</v>
      </c>
      <c r="D16" s="1" t="str">
        <f>"均胜电子"</f>
        <v>均胜电子</v>
      </c>
      <c r="E16" s="1" t="str">
        <f t="shared" si="17"/>
        <v>买入</v>
      </c>
      <c r="F16" s="1" t="str">
        <f>"38.340"</f>
        <v>38.340</v>
      </c>
      <c r="G16" s="1" t="str">
        <f>"100.00"</f>
        <v>100.00</v>
      </c>
      <c r="H16" s="1" t="str">
        <f t="shared" si="22"/>
        <v>A850418317</v>
      </c>
      <c r="I16" s="1" t="str">
        <f>"3834.00"</f>
        <v>3834.00</v>
      </c>
      <c r="J16" s="1" t="str">
        <f t="shared" si="25"/>
        <v>5.00</v>
      </c>
      <c r="K16" s="1" t="str">
        <f t="shared" si="18"/>
        <v>0.00</v>
      </c>
      <c r="L16" s="1" t="str">
        <f>"0.08"</f>
        <v>0.08</v>
      </c>
      <c r="M16" s="1" t="str">
        <f t="shared" si="4"/>
        <v>0.00</v>
      </c>
      <c r="N16" s="1" t="str">
        <f t="shared" si="19"/>
        <v>证券买入</v>
      </c>
    </row>
    <row r="17" spans="1:14">
      <c r="A17" s="1" t="str">
        <f t="shared" si="24"/>
        <v>20171025</v>
      </c>
      <c r="B17" s="1" t="str">
        <f>"09:30:40"</f>
        <v>09:30:40</v>
      </c>
      <c r="C17" s="1" t="str">
        <f>"300425"</f>
        <v>300425</v>
      </c>
      <c r="D17" s="1" t="str">
        <f>"环能科技"</f>
        <v>环能科技</v>
      </c>
      <c r="E17" s="1" t="str">
        <f t="shared" si="17"/>
        <v>买入</v>
      </c>
      <c r="F17" s="1" t="str">
        <f>"12.150"</f>
        <v>12.150</v>
      </c>
      <c r="G17" s="1" t="str">
        <f>"400.00"</f>
        <v>400.00</v>
      </c>
      <c r="H17" s="1" t="str">
        <f>"0104152129"</f>
        <v>0104152129</v>
      </c>
      <c r="I17" s="1" t="str">
        <f>"4860.00"</f>
        <v>4860.00</v>
      </c>
      <c r="J17" s="1" t="str">
        <f t="shared" si="25"/>
        <v>5.00</v>
      </c>
      <c r="K17" s="1" t="str">
        <f t="shared" si="18"/>
        <v>0.00</v>
      </c>
      <c r="L17" s="1" t="str">
        <f>"0.10"</f>
        <v>0.10</v>
      </c>
      <c r="M17" s="1" t="str">
        <f t="shared" si="4"/>
        <v>0.00</v>
      </c>
      <c r="N17" s="1" t="str">
        <f t="shared" si="19"/>
        <v>证券买入</v>
      </c>
    </row>
    <row r="18" spans="1:14">
      <c r="A18" s="1" t="str">
        <f t="shared" si="24"/>
        <v>20171025</v>
      </c>
      <c r="B18" s="1" t="str">
        <f>"21:51:01"</f>
        <v>21:51:01</v>
      </c>
      <c r="C18" s="1" t="str">
        <f>"736507"</f>
        <v>736507</v>
      </c>
      <c r="D18" s="1" t="str">
        <f>"振江配号"</f>
        <v>振江配号</v>
      </c>
      <c r="E18" s="1" t="str">
        <f t="shared" si="17"/>
        <v>买入</v>
      </c>
      <c r="F18" s="1" t="str">
        <f t="shared" si="20"/>
        <v>0.000</v>
      </c>
      <c r="G18" s="1" t="str">
        <f t="shared" si="21"/>
        <v>1.00</v>
      </c>
      <c r="H18" s="1" t="str">
        <f t="shared" ref="H18:H24" si="26">"A850418317"</f>
        <v>A850418317</v>
      </c>
      <c r="I18" s="1" t="str">
        <f t="shared" ref="I18:L18" si="27">"0.00"</f>
        <v>0.00</v>
      </c>
      <c r="J18" s="1" t="str">
        <f t="shared" si="27"/>
        <v>0.00</v>
      </c>
      <c r="K18" s="1" t="str">
        <f t="shared" si="18"/>
        <v>0.00</v>
      </c>
      <c r="L18" s="1" t="str">
        <f t="shared" si="27"/>
        <v>0.00</v>
      </c>
      <c r="M18" s="1" t="str">
        <f t="shared" si="4"/>
        <v>0.00</v>
      </c>
      <c r="N18" s="1" t="str">
        <f>"起始配号:100049470328"</f>
        <v>起始配号:100049470328</v>
      </c>
    </row>
    <row r="19" spans="1:14">
      <c r="A19" s="1" t="str">
        <f t="shared" si="24"/>
        <v>20171025</v>
      </c>
      <c r="B19" s="1" t="str">
        <f>"21:51:36"</f>
        <v>21:51:36</v>
      </c>
      <c r="C19" s="1" t="str">
        <f>"736856"</f>
        <v>736856</v>
      </c>
      <c r="D19" s="1" t="str">
        <f>"东宏配号"</f>
        <v>东宏配号</v>
      </c>
      <c r="E19" s="1" t="str">
        <f t="shared" si="17"/>
        <v>买入</v>
      </c>
      <c r="F19" s="1" t="str">
        <f t="shared" si="20"/>
        <v>0.000</v>
      </c>
      <c r="G19" s="1" t="str">
        <f t="shared" si="21"/>
        <v>1.00</v>
      </c>
      <c r="H19" s="1" t="str">
        <f t="shared" si="26"/>
        <v>A850418317</v>
      </c>
      <c r="I19" s="1" t="str">
        <f t="shared" ref="I19:L19" si="28">"0.00"</f>
        <v>0.00</v>
      </c>
      <c r="J19" s="1" t="str">
        <f t="shared" si="28"/>
        <v>0.00</v>
      </c>
      <c r="K19" s="1" t="str">
        <f t="shared" si="18"/>
        <v>0.00</v>
      </c>
      <c r="L19" s="1" t="str">
        <f t="shared" si="28"/>
        <v>0.00</v>
      </c>
      <c r="M19" s="1" t="str">
        <f t="shared" si="4"/>
        <v>0.00</v>
      </c>
      <c r="N19" s="1" t="str">
        <f>"起始配号:100063297613"</f>
        <v>起始配号:100063297613</v>
      </c>
    </row>
    <row r="20" spans="1:14">
      <c r="A20" s="1" t="str">
        <f t="shared" si="24"/>
        <v>20171025</v>
      </c>
      <c r="B20" s="1" t="str">
        <f>"21:48:57"</f>
        <v>21:48:57</v>
      </c>
      <c r="C20" s="1" t="str">
        <f>"300718"</f>
        <v>300718</v>
      </c>
      <c r="D20" s="1" t="str">
        <f>"长盛轴承"</f>
        <v>长盛轴承</v>
      </c>
      <c r="E20" s="1" t="str">
        <f t="shared" si="17"/>
        <v>买入</v>
      </c>
      <c r="F20" s="1" t="str">
        <f t="shared" si="20"/>
        <v>0.000</v>
      </c>
      <c r="G20" s="1" t="str">
        <f>"2.00"</f>
        <v>2.00</v>
      </c>
      <c r="H20" s="1" t="str">
        <f>"0104152129"</f>
        <v>0104152129</v>
      </c>
      <c r="I20" s="1" t="str">
        <f t="shared" ref="I20:L20" si="29">"0.00"</f>
        <v>0.00</v>
      </c>
      <c r="J20" s="1" t="str">
        <f t="shared" si="29"/>
        <v>0.00</v>
      </c>
      <c r="K20" s="1" t="str">
        <f t="shared" si="18"/>
        <v>0.00</v>
      </c>
      <c r="L20" s="1" t="str">
        <f t="shared" si="29"/>
        <v>0.00</v>
      </c>
      <c r="M20" s="1" t="str">
        <f t="shared" si="4"/>
        <v>0.00</v>
      </c>
      <c r="N20" s="1" t="str">
        <f>"起始配号:89775300"</f>
        <v>起始配号:89775300</v>
      </c>
    </row>
    <row r="21" spans="1:14">
      <c r="A21" s="1" t="str">
        <f t="shared" ref="A21:A30" si="30">"20171026"</f>
        <v>20171026</v>
      </c>
      <c r="B21" s="1" t="str">
        <f>"09:25:00"</f>
        <v>09:25:00</v>
      </c>
      <c r="C21" s="1" t="str">
        <f>"600703"</f>
        <v>600703</v>
      </c>
      <c r="D21" s="1" t="str">
        <f>"三安光电"</f>
        <v>三安光电</v>
      </c>
      <c r="E21" s="1" t="str">
        <f t="shared" si="17"/>
        <v>买入</v>
      </c>
      <c r="F21" s="1" t="str">
        <f>"25.550"</f>
        <v>25.550</v>
      </c>
      <c r="G21" s="1" t="str">
        <f>"300.00"</f>
        <v>300.00</v>
      </c>
      <c r="H21" s="1" t="str">
        <f t="shared" si="26"/>
        <v>A850418317</v>
      </c>
      <c r="I21" s="1" t="str">
        <f>"7665.00"</f>
        <v>7665.00</v>
      </c>
      <c r="J21" s="1" t="str">
        <f t="shared" ref="J21:J27" si="31">"5.00"</f>
        <v>5.00</v>
      </c>
      <c r="K21" s="1" t="str">
        <f t="shared" si="18"/>
        <v>0.00</v>
      </c>
      <c r="L21" s="1" t="str">
        <f>"0.15"</f>
        <v>0.15</v>
      </c>
      <c r="M21" s="1" t="str">
        <f t="shared" si="4"/>
        <v>0.00</v>
      </c>
      <c r="N21" s="1" t="str">
        <f t="shared" ref="N21:N24" si="32">"证券买入"</f>
        <v>证券买入</v>
      </c>
    </row>
    <row r="22" spans="1:14">
      <c r="A22" s="1" t="str">
        <f t="shared" si="30"/>
        <v>20171026</v>
      </c>
      <c r="B22" s="1" t="str">
        <f>"09:32:29"</f>
        <v>09:32:29</v>
      </c>
      <c r="C22" s="1" t="str">
        <f>"601200"</f>
        <v>601200</v>
      </c>
      <c r="D22" s="1" t="str">
        <f>"上海环境"</f>
        <v>上海环境</v>
      </c>
      <c r="E22" s="1" t="str">
        <f t="shared" ref="E22:E27" si="33">"卖出"</f>
        <v>卖出</v>
      </c>
      <c r="F22" s="1" t="str">
        <f>"27.310"</f>
        <v>27.310</v>
      </c>
      <c r="G22" s="1" t="str">
        <f>"-200.00"</f>
        <v>-200.00</v>
      </c>
      <c r="H22" s="1" t="str">
        <f t="shared" si="26"/>
        <v>A850418317</v>
      </c>
      <c r="I22" s="1" t="str">
        <f>"5462.00"</f>
        <v>5462.00</v>
      </c>
      <c r="J22" s="1" t="str">
        <f t="shared" si="31"/>
        <v>5.00</v>
      </c>
      <c r="K22" s="1" t="str">
        <f>"5.46"</f>
        <v>5.46</v>
      </c>
      <c r="L22" s="1" t="str">
        <f>"0.11"</f>
        <v>0.11</v>
      </c>
      <c r="M22" s="1" t="str">
        <f t="shared" si="4"/>
        <v>0.00</v>
      </c>
      <c r="N22" s="1" t="str">
        <f t="shared" ref="N22:N27" si="34">"证券卖出"</f>
        <v>证券卖出</v>
      </c>
    </row>
    <row r="23" spans="1:14">
      <c r="A23" s="1" t="str">
        <f t="shared" si="30"/>
        <v>20171026</v>
      </c>
      <c r="B23" s="1" t="str">
        <f>"09:34:51"</f>
        <v>09:34:51</v>
      </c>
      <c r="C23" s="1" t="str">
        <f>"600703"</f>
        <v>600703</v>
      </c>
      <c r="D23" s="1" t="str">
        <f>"三安光电"</f>
        <v>三安光电</v>
      </c>
      <c r="E23" s="1" t="str">
        <f t="shared" ref="E23:E32" si="35">"买入"</f>
        <v>买入</v>
      </c>
      <c r="F23" s="1" t="str">
        <f>"25.650"</f>
        <v>25.650</v>
      </c>
      <c r="G23" s="1" t="str">
        <f>"400.00"</f>
        <v>400.00</v>
      </c>
      <c r="H23" s="1" t="str">
        <f t="shared" si="26"/>
        <v>A850418317</v>
      </c>
      <c r="I23" s="1" t="str">
        <f>"10260.00"</f>
        <v>10260.00</v>
      </c>
      <c r="J23" s="1" t="str">
        <f t="shared" si="31"/>
        <v>5.00</v>
      </c>
      <c r="K23" s="1" t="str">
        <f t="shared" ref="K23:K32" si="36">"0.00"</f>
        <v>0.00</v>
      </c>
      <c r="L23" s="1" t="str">
        <f>"0.21"</f>
        <v>0.21</v>
      </c>
      <c r="M23" s="1" t="str">
        <f t="shared" si="4"/>
        <v>0.00</v>
      </c>
      <c r="N23" s="1" t="str">
        <f t="shared" si="32"/>
        <v>证券买入</v>
      </c>
    </row>
    <row r="24" spans="1:14">
      <c r="A24" s="1" t="str">
        <f t="shared" si="30"/>
        <v>20171026</v>
      </c>
      <c r="B24" s="1" t="str">
        <f>"14:56:52"</f>
        <v>14:56:52</v>
      </c>
      <c r="C24" s="1" t="str">
        <f>"600732"</f>
        <v>600732</v>
      </c>
      <c r="D24" s="1" t="str">
        <f>"ST新梅"</f>
        <v>ST新梅</v>
      </c>
      <c r="E24" s="1" t="str">
        <f t="shared" si="35"/>
        <v>买入</v>
      </c>
      <c r="F24" s="1" t="str">
        <f>"7.590"</f>
        <v>7.590</v>
      </c>
      <c r="G24" s="1" t="str">
        <f>"100.00"</f>
        <v>100.00</v>
      </c>
      <c r="H24" s="1" t="str">
        <f t="shared" si="26"/>
        <v>A850418317</v>
      </c>
      <c r="I24" s="1" t="str">
        <f>"759.00"</f>
        <v>759.00</v>
      </c>
      <c r="J24" s="1" t="str">
        <f t="shared" si="31"/>
        <v>5.00</v>
      </c>
      <c r="K24" s="1" t="str">
        <f t="shared" si="36"/>
        <v>0.00</v>
      </c>
      <c r="L24" s="1" t="str">
        <f>"0.02"</f>
        <v>0.02</v>
      </c>
      <c r="M24" s="1" t="str">
        <f t="shared" si="4"/>
        <v>0.00</v>
      </c>
      <c r="N24" s="1" t="str">
        <f t="shared" si="32"/>
        <v>证券买入</v>
      </c>
    </row>
    <row r="25" spans="1:14">
      <c r="A25" s="1" t="str">
        <f t="shared" si="30"/>
        <v>20171026</v>
      </c>
      <c r="B25" s="1" t="str">
        <f>"09:30:01"</f>
        <v>09:30:01</v>
      </c>
      <c r="C25" s="1" t="str">
        <f t="shared" ref="C25:C27" si="37">"300425"</f>
        <v>300425</v>
      </c>
      <c r="D25" s="1" t="str">
        <f t="shared" ref="D25:D27" si="38">"环能科技"</f>
        <v>环能科技</v>
      </c>
      <c r="E25" s="1" t="str">
        <f t="shared" si="33"/>
        <v>卖出</v>
      </c>
      <c r="F25" s="1" t="str">
        <f>"13.200"</f>
        <v>13.200</v>
      </c>
      <c r="G25" s="1" t="str">
        <f>"-100.00"</f>
        <v>-100.00</v>
      </c>
      <c r="H25" s="1" t="str">
        <f t="shared" ref="H25:H27" si="39">"0104152129"</f>
        <v>0104152129</v>
      </c>
      <c r="I25" s="1" t="str">
        <f>"1320.00"</f>
        <v>1320.00</v>
      </c>
      <c r="J25" s="1" t="str">
        <f t="shared" si="31"/>
        <v>5.00</v>
      </c>
      <c r="K25" s="1" t="str">
        <f>"1.32"</f>
        <v>1.32</v>
      </c>
      <c r="L25" s="1" t="str">
        <f>"0.03"</f>
        <v>0.03</v>
      </c>
      <c r="M25" s="1" t="str">
        <f t="shared" si="4"/>
        <v>0.00</v>
      </c>
      <c r="N25" s="1" t="str">
        <f t="shared" si="34"/>
        <v>证券卖出</v>
      </c>
    </row>
    <row r="26" spans="1:14">
      <c r="A26" s="1" t="str">
        <f t="shared" si="30"/>
        <v>20171026</v>
      </c>
      <c r="B26" s="1" t="str">
        <f>"09:31:47"</f>
        <v>09:31:47</v>
      </c>
      <c r="C26" s="1" t="str">
        <f t="shared" si="37"/>
        <v>300425</v>
      </c>
      <c r="D26" s="1" t="str">
        <f t="shared" si="38"/>
        <v>环能科技</v>
      </c>
      <c r="E26" s="1" t="str">
        <f t="shared" si="33"/>
        <v>卖出</v>
      </c>
      <c r="F26" s="1" t="str">
        <f>"13.190"</f>
        <v>13.190</v>
      </c>
      <c r="G26" s="1" t="str">
        <f>"-100.00"</f>
        <v>-100.00</v>
      </c>
      <c r="H26" s="1" t="str">
        <f t="shared" si="39"/>
        <v>0104152129</v>
      </c>
      <c r="I26" s="1" t="str">
        <f>"1319.00"</f>
        <v>1319.00</v>
      </c>
      <c r="J26" s="1" t="str">
        <f t="shared" si="31"/>
        <v>5.00</v>
      </c>
      <c r="K26" s="1" t="str">
        <f>"1.32"</f>
        <v>1.32</v>
      </c>
      <c r="L26" s="1" t="str">
        <f>"0.03"</f>
        <v>0.03</v>
      </c>
      <c r="M26" s="1" t="str">
        <f t="shared" si="4"/>
        <v>0.00</v>
      </c>
      <c r="N26" s="1" t="str">
        <f t="shared" si="34"/>
        <v>证券卖出</v>
      </c>
    </row>
    <row r="27" spans="1:14">
      <c r="A27" s="1" t="str">
        <f t="shared" si="30"/>
        <v>20171026</v>
      </c>
      <c r="B27" s="1" t="str">
        <f>"09:32:00"</f>
        <v>09:32:00</v>
      </c>
      <c r="C27" s="1" t="str">
        <f t="shared" si="37"/>
        <v>300425</v>
      </c>
      <c r="D27" s="1" t="str">
        <f t="shared" si="38"/>
        <v>环能科技</v>
      </c>
      <c r="E27" s="1" t="str">
        <f t="shared" si="33"/>
        <v>卖出</v>
      </c>
      <c r="F27" s="1" t="str">
        <f>"13.160"</f>
        <v>13.160</v>
      </c>
      <c r="G27" s="1" t="str">
        <f>"-200.00"</f>
        <v>-200.00</v>
      </c>
      <c r="H27" s="1" t="str">
        <f t="shared" si="39"/>
        <v>0104152129</v>
      </c>
      <c r="I27" s="1" t="str">
        <f>"2632.00"</f>
        <v>2632.00</v>
      </c>
      <c r="J27" s="1" t="str">
        <f t="shared" si="31"/>
        <v>5.00</v>
      </c>
      <c r="K27" s="1" t="str">
        <f>"2.63"</f>
        <v>2.63</v>
      </c>
      <c r="L27" s="1" t="str">
        <f>"0.05"</f>
        <v>0.05</v>
      </c>
      <c r="M27" s="1" t="str">
        <f t="shared" si="4"/>
        <v>0.00</v>
      </c>
      <c r="N27" s="1" t="str">
        <f t="shared" si="34"/>
        <v>证券卖出</v>
      </c>
    </row>
    <row r="28" spans="1:14">
      <c r="A28" s="1" t="str">
        <f t="shared" si="30"/>
        <v>20171026</v>
      </c>
      <c r="B28" s="1" t="str">
        <f>"21:52:14"</f>
        <v>21:52:14</v>
      </c>
      <c r="C28" s="1" t="str">
        <f>"741903"</f>
        <v>741903</v>
      </c>
      <c r="D28" s="1" t="str">
        <f>"贵燃配号"</f>
        <v>贵燃配号</v>
      </c>
      <c r="E28" s="1" t="str">
        <f t="shared" si="35"/>
        <v>买入</v>
      </c>
      <c r="F28" s="1" t="str">
        <f t="shared" ref="F28:F32" si="40">"0.000"</f>
        <v>0.000</v>
      </c>
      <c r="G28" s="1" t="str">
        <f>"1.00"</f>
        <v>1.00</v>
      </c>
      <c r="H28" s="1" t="str">
        <f>"A850418317"</f>
        <v>A850418317</v>
      </c>
      <c r="I28" s="1" t="str">
        <f t="shared" ref="I28:L28" si="41">"0.00"</f>
        <v>0.00</v>
      </c>
      <c r="J28" s="1" t="str">
        <f t="shared" si="41"/>
        <v>0.00</v>
      </c>
      <c r="K28" s="1" t="str">
        <f t="shared" si="36"/>
        <v>0.00</v>
      </c>
      <c r="L28" s="1" t="str">
        <f t="shared" si="41"/>
        <v>0.00</v>
      </c>
      <c r="M28" s="1" t="str">
        <f t="shared" si="4"/>
        <v>0.00</v>
      </c>
      <c r="N28" s="1" t="str">
        <f>"起始配号:100042153715"</f>
        <v>起始配号:100042153715</v>
      </c>
    </row>
    <row r="29" spans="1:14">
      <c r="A29" s="1" t="str">
        <f t="shared" si="30"/>
        <v>20171026</v>
      </c>
      <c r="B29" s="1" t="str">
        <f>"21:50:19"</f>
        <v>21:50:19</v>
      </c>
      <c r="C29" s="1" t="str">
        <f>"300717"</f>
        <v>300717</v>
      </c>
      <c r="D29" s="1" t="str">
        <f>"华信新材"</f>
        <v>华信新材</v>
      </c>
      <c r="E29" s="1" t="str">
        <f t="shared" si="35"/>
        <v>买入</v>
      </c>
      <c r="F29" s="1" t="str">
        <f t="shared" si="40"/>
        <v>0.000</v>
      </c>
      <c r="G29" s="1" t="str">
        <f t="shared" ref="G29:G32" si="42">"2.00"</f>
        <v>2.00</v>
      </c>
      <c r="H29" s="1" t="str">
        <f t="shared" ref="H29:H32" si="43">"0104152129"</f>
        <v>0104152129</v>
      </c>
      <c r="I29" s="1" t="str">
        <f t="shared" ref="I29:L29" si="44">"0.00"</f>
        <v>0.00</v>
      </c>
      <c r="J29" s="1" t="str">
        <f t="shared" si="44"/>
        <v>0.00</v>
      </c>
      <c r="K29" s="1" t="str">
        <f t="shared" si="36"/>
        <v>0.00</v>
      </c>
      <c r="L29" s="1" t="str">
        <f t="shared" si="44"/>
        <v>0.00</v>
      </c>
      <c r="M29" s="1" t="str">
        <f t="shared" si="4"/>
        <v>0.00</v>
      </c>
      <c r="N29" s="1" t="str">
        <f>"起始配号:60285913"</f>
        <v>起始配号:60285913</v>
      </c>
    </row>
    <row r="30" spans="1:14">
      <c r="A30" s="1" t="str">
        <f t="shared" si="30"/>
        <v>20171026</v>
      </c>
      <c r="B30" s="1" t="str">
        <f>"21:50:19"</f>
        <v>21:50:19</v>
      </c>
      <c r="C30" s="1" t="str">
        <f>"300720"</f>
        <v>300720</v>
      </c>
      <c r="D30" s="1" t="str">
        <f>"海川智能"</f>
        <v>海川智能</v>
      </c>
      <c r="E30" s="1" t="str">
        <f t="shared" si="35"/>
        <v>买入</v>
      </c>
      <c r="F30" s="1" t="str">
        <f t="shared" si="40"/>
        <v>0.000</v>
      </c>
      <c r="G30" s="1" t="str">
        <f t="shared" si="42"/>
        <v>2.00</v>
      </c>
      <c r="H30" s="1" t="str">
        <f t="shared" si="43"/>
        <v>0104152129</v>
      </c>
      <c r="I30" s="1" t="str">
        <f t="shared" ref="I30:L30" si="45">"0.00"</f>
        <v>0.00</v>
      </c>
      <c r="J30" s="1" t="str">
        <f t="shared" si="45"/>
        <v>0.00</v>
      </c>
      <c r="K30" s="1" t="str">
        <f t="shared" si="36"/>
        <v>0.00</v>
      </c>
      <c r="L30" s="1" t="str">
        <f t="shared" si="45"/>
        <v>0.00</v>
      </c>
      <c r="M30" s="1" t="str">
        <f t="shared" si="4"/>
        <v>0.00</v>
      </c>
      <c r="N30" s="1" t="str">
        <f>"起始配号:63916789"</f>
        <v>起始配号:63916789</v>
      </c>
    </row>
    <row r="31" spans="1:14">
      <c r="A31" s="1" t="str">
        <f>"20171027"</f>
        <v>20171027</v>
      </c>
      <c r="B31" s="1" t="str">
        <f>"22:29:52"</f>
        <v>22:29:52</v>
      </c>
      <c r="C31" s="1" t="str">
        <f>"300719"</f>
        <v>300719</v>
      </c>
      <c r="D31" s="1" t="str">
        <f>"安达维尔"</f>
        <v>安达维尔</v>
      </c>
      <c r="E31" s="1" t="str">
        <f t="shared" si="35"/>
        <v>买入</v>
      </c>
      <c r="F31" s="1" t="str">
        <f t="shared" si="40"/>
        <v>0.000</v>
      </c>
      <c r="G31" s="1" t="str">
        <f t="shared" si="42"/>
        <v>2.00</v>
      </c>
      <c r="H31" s="1" t="str">
        <f t="shared" si="43"/>
        <v>0104152129</v>
      </c>
      <c r="I31" s="1" t="str">
        <f t="shared" ref="I31:L31" si="46">"0.00"</f>
        <v>0.00</v>
      </c>
      <c r="J31" s="1" t="str">
        <f t="shared" si="46"/>
        <v>0.00</v>
      </c>
      <c r="K31" s="1" t="str">
        <f t="shared" si="36"/>
        <v>0.00</v>
      </c>
      <c r="L31" s="1" t="str">
        <f t="shared" si="46"/>
        <v>0.00</v>
      </c>
      <c r="M31" s="1" t="str">
        <f t="shared" si="4"/>
        <v>0.00</v>
      </c>
      <c r="N31" s="1" t="str">
        <f>"起始配号:226837129"</f>
        <v>起始配号:226837129</v>
      </c>
    </row>
    <row r="32" spans="1:14">
      <c r="A32" s="1" t="str">
        <f>"20171027"</f>
        <v>20171027</v>
      </c>
      <c r="B32" s="1" t="str">
        <f>"22:30:13"</f>
        <v>22:30:13</v>
      </c>
      <c r="C32" s="1" t="str">
        <f>"300716"</f>
        <v>300716</v>
      </c>
      <c r="D32" s="1" t="str">
        <f>"国立科技"</f>
        <v>国立科技</v>
      </c>
      <c r="E32" s="1" t="str">
        <f t="shared" si="35"/>
        <v>买入</v>
      </c>
      <c r="F32" s="1" t="str">
        <f t="shared" si="40"/>
        <v>0.000</v>
      </c>
      <c r="G32" s="1" t="str">
        <f t="shared" si="42"/>
        <v>2.00</v>
      </c>
      <c r="H32" s="1" t="str">
        <f t="shared" si="43"/>
        <v>0104152129</v>
      </c>
      <c r="I32" s="1" t="str">
        <f t="shared" ref="I32:L32" si="47">"0.00"</f>
        <v>0.00</v>
      </c>
      <c r="J32" s="1" t="str">
        <f t="shared" si="47"/>
        <v>0.00</v>
      </c>
      <c r="K32" s="1" t="str">
        <f t="shared" si="36"/>
        <v>0.00</v>
      </c>
      <c r="L32" s="1" t="str">
        <f t="shared" si="47"/>
        <v>0.00</v>
      </c>
      <c r="M32" s="1" t="str">
        <f t="shared" si="4"/>
        <v>0.00</v>
      </c>
      <c r="N32" s="1" t="str">
        <f>"起始配号:172720683"</f>
        <v>起始配号:172720683</v>
      </c>
    </row>
    <row r="33" spans="1:14">
      <c r="A33" s="1" t="str">
        <f t="shared" ref="A33:A35" si="48">"20171030"</f>
        <v>20171030</v>
      </c>
      <c r="B33" s="1" t="str">
        <f>"10:40:54"</f>
        <v>10:40:54</v>
      </c>
      <c r="C33" s="1" t="str">
        <f>"600732"</f>
        <v>600732</v>
      </c>
      <c r="D33" s="1" t="str">
        <f>"ST新梅"</f>
        <v>ST新梅</v>
      </c>
      <c r="E33" s="1" t="str">
        <f t="shared" ref="E33:E35" si="49">"卖出"</f>
        <v>卖出</v>
      </c>
      <c r="F33" s="1" t="str">
        <f>"7.620"</f>
        <v>7.620</v>
      </c>
      <c r="G33" s="1" t="str">
        <f>"-100.00"</f>
        <v>-100.00</v>
      </c>
      <c r="H33" s="1" t="str">
        <f t="shared" ref="H33:H39" si="50">"A850418317"</f>
        <v>A850418317</v>
      </c>
      <c r="I33" s="1" t="str">
        <f>"762.00"</f>
        <v>762.00</v>
      </c>
      <c r="J33" s="1" t="str">
        <f t="shared" ref="J33:J37" si="51">"5.00"</f>
        <v>5.00</v>
      </c>
      <c r="K33" s="1" t="str">
        <f>"0.76"</f>
        <v>0.76</v>
      </c>
      <c r="L33" s="1" t="str">
        <f>"0.02"</f>
        <v>0.02</v>
      </c>
      <c r="M33" s="1" t="str">
        <f t="shared" si="4"/>
        <v>0.00</v>
      </c>
      <c r="N33" s="1" t="str">
        <f t="shared" ref="N33:N35" si="52">"证券卖出"</f>
        <v>证券卖出</v>
      </c>
    </row>
    <row r="34" spans="1:14">
      <c r="A34" s="1" t="str">
        <f t="shared" si="48"/>
        <v>20171030</v>
      </c>
      <c r="B34" s="1" t="str">
        <f>"10:41:16"</f>
        <v>10:41:16</v>
      </c>
      <c r="C34" s="1" t="str">
        <f>"600900"</f>
        <v>600900</v>
      </c>
      <c r="D34" s="1" t="str">
        <f>"长江电力"</f>
        <v>长江电力</v>
      </c>
      <c r="E34" s="1" t="str">
        <f t="shared" si="49"/>
        <v>卖出</v>
      </c>
      <c r="F34" s="1" t="str">
        <f>"15.950"</f>
        <v>15.950</v>
      </c>
      <c r="G34" s="1" t="str">
        <f>"-200.00"</f>
        <v>-200.00</v>
      </c>
      <c r="H34" s="1" t="str">
        <f t="shared" si="50"/>
        <v>A850418317</v>
      </c>
      <c r="I34" s="1" t="str">
        <f>"3190.00"</f>
        <v>3190.00</v>
      </c>
      <c r="J34" s="1" t="str">
        <f t="shared" si="51"/>
        <v>5.00</v>
      </c>
      <c r="K34" s="1" t="str">
        <f>"3.19"</f>
        <v>3.19</v>
      </c>
      <c r="L34" s="1" t="str">
        <f>"0.06"</f>
        <v>0.06</v>
      </c>
      <c r="M34" s="1" t="str">
        <f t="shared" si="4"/>
        <v>0.00</v>
      </c>
      <c r="N34" s="1" t="str">
        <f t="shared" si="52"/>
        <v>证券卖出</v>
      </c>
    </row>
    <row r="35" spans="1:14">
      <c r="A35" s="1" t="str">
        <f t="shared" si="48"/>
        <v>20171030</v>
      </c>
      <c r="B35" s="1" t="str">
        <f>"13:35:12"</f>
        <v>13:35:12</v>
      </c>
      <c r="C35" s="1" t="str">
        <f>"600900"</f>
        <v>600900</v>
      </c>
      <c r="D35" s="1" t="str">
        <f>"长江电力"</f>
        <v>长江电力</v>
      </c>
      <c r="E35" s="1" t="str">
        <f t="shared" si="49"/>
        <v>卖出</v>
      </c>
      <c r="F35" s="1" t="str">
        <f>"15.890"</f>
        <v>15.890</v>
      </c>
      <c r="G35" s="1" t="str">
        <f>"-400.00"</f>
        <v>-400.00</v>
      </c>
      <c r="H35" s="1" t="str">
        <f t="shared" si="50"/>
        <v>A850418317</v>
      </c>
      <c r="I35" s="1" t="str">
        <f>"6356.00"</f>
        <v>6356.00</v>
      </c>
      <c r="J35" s="1" t="str">
        <f t="shared" si="51"/>
        <v>5.00</v>
      </c>
      <c r="K35" s="1" t="str">
        <f>"6.36"</f>
        <v>6.36</v>
      </c>
      <c r="L35" s="1" t="str">
        <f>"0.13"</f>
        <v>0.13</v>
      </c>
      <c r="M35" s="1" t="str">
        <f t="shared" si="4"/>
        <v>0.00</v>
      </c>
      <c r="N35" s="1" t="str">
        <f t="shared" si="52"/>
        <v>证券卖出</v>
      </c>
    </row>
    <row r="36" spans="1:14">
      <c r="A36" s="1" t="str">
        <f t="shared" ref="A36:A40" si="53">"20171031"</f>
        <v>20171031</v>
      </c>
      <c r="B36" s="1" t="str">
        <f>"09:25:00"</f>
        <v>09:25:00</v>
      </c>
      <c r="C36" s="1" t="str">
        <f>"600699"</f>
        <v>600699</v>
      </c>
      <c r="D36" s="1" t="str">
        <f>"均胜电子"</f>
        <v>均胜电子</v>
      </c>
      <c r="E36" s="1" t="str">
        <f t="shared" ref="E36:E45" si="54">"买入"</f>
        <v>买入</v>
      </c>
      <c r="F36" s="1" t="str">
        <f>"38.440"</f>
        <v>38.440</v>
      </c>
      <c r="G36" s="1" t="str">
        <f>"100.00"</f>
        <v>100.00</v>
      </c>
      <c r="H36" s="1" t="str">
        <f t="shared" si="50"/>
        <v>A850418317</v>
      </c>
      <c r="I36" s="1" t="str">
        <f>"3844.00"</f>
        <v>3844.00</v>
      </c>
      <c r="J36" s="1" t="str">
        <f t="shared" si="51"/>
        <v>5.00</v>
      </c>
      <c r="K36" s="1" t="str">
        <f t="shared" ref="K36:K45" si="55">"0.00"</f>
        <v>0.00</v>
      </c>
      <c r="L36" s="1" t="str">
        <f>"0.08"</f>
        <v>0.08</v>
      </c>
      <c r="M36" s="1" t="str">
        <f t="shared" si="4"/>
        <v>0.00</v>
      </c>
      <c r="N36" s="1" t="str">
        <f>"证券买入"</f>
        <v>证券买入</v>
      </c>
    </row>
    <row r="37" spans="1:14">
      <c r="A37" s="1" t="str">
        <f t="shared" si="53"/>
        <v>20171031</v>
      </c>
      <c r="B37" s="1" t="str">
        <f>"11:12:51"</f>
        <v>11:12:51</v>
      </c>
      <c r="C37" s="1" t="str">
        <f>"600703"</f>
        <v>600703</v>
      </c>
      <c r="D37" s="1" t="str">
        <f>"三安光电"</f>
        <v>三安光电</v>
      </c>
      <c r="E37" s="1" t="str">
        <f t="shared" si="54"/>
        <v>买入</v>
      </c>
      <c r="F37" s="1" t="str">
        <f>"25.180"</f>
        <v>25.180</v>
      </c>
      <c r="G37" s="1" t="str">
        <f>"100.00"</f>
        <v>100.00</v>
      </c>
      <c r="H37" s="1" t="str">
        <f t="shared" si="50"/>
        <v>A850418317</v>
      </c>
      <c r="I37" s="1" t="str">
        <f>"2518.00"</f>
        <v>2518.00</v>
      </c>
      <c r="J37" s="1" t="str">
        <f t="shared" si="51"/>
        <v>5.00</v>
      </c>
      <c r="K37" s="1" t="str">
        <f t="shared" si="55"/>
        <v>0.00</v>
      </c>
      <c r="L37" s="1" t="str">
        <f>"0.05"</f>
        <v>0.05</v>
      </c>
      <c r="M37" s="1" t="str">
        <f t="shared" si="4"/>
        <v>0.00</v>
      </c>
      <c r="N37" s="1" t="str">
        <f>"证券买入"</f>
        <v>证券买入</v>
      </c>
    </row>
    <row r="38" spans="1:14">
      <c r="A38" s="1" t="str">
        <f t="shared" si="53"/>
        <v>20171031</v>
      </c>
      <c r="B38" s="1" t="str">
        <f>"21:37:25"</f>
        <v>21:37:25</v>
      </c>
      <c r="C38" s="1" t="str">
        <f>"736916"</f>
        <v>736916</v>
      </c>
      <c r="D38" s="1" t="str">
        <f>"苏特配号"</f>
        <v>苏特配号</v>
      </c>
      <c r="E38" s="1" t="str">
        <f t="shared" si="54"/>
        <v>买入</v>
      </c>
      <c r="F38" s="1" t="str">
        <f t="shared" ref="F38:F45" si="56">"0.000"</f>
        <v>0.000</v>
      </c>
      <c r="G38" s="1" t="str">
        <f t="shared" ref="G38:G42" si="57">"1.00"</f>
        <v>1.00</v>
      </c>
      <c r="H38" s="1" t="str">
        <f t="shared" si="50"/>
        <v>A850418317</v>
      </c>
      <c r="I38" s="1" t="str">
        <f t="shared" ref="I38:L38" si="58">"0.00"</f>
        <v>0.00</v>
      </c>
      <c r="J38" s="1" t="str">
        <f t="shared" si="58"/>
        <v>0.00</v>
      </c>
      <c r="K38" s="1" t="str">
        <f t="shared" si="55"/>
        <v>0.00</v>
      </c>
      <c r="L38" s="1" t="str">
        <f t="shared" si="58"/>
        <v>0.00</v>
      </c>
      <c r="M38" s="1" t="str">
        <f t="shared" si="4"/>
        <v>0.00</v>
      </c>
      <c r="N38" s="1" t="str">
        <f>"起始配号:100072319543"</f>
        <v>起始配号:100072319543</v>
      </c>
    </row>
    <row r="39" spans="1:14">
      <c r="A39" s="1" t="str">
        <f t="shared" si="53"/>
        <v>20171031</v>
      </c>
      <c r="B39" s="1" t="str">
        <f>"21:38:15"</f>
        <v>21:38:15</v>
      </c>
      <c r="C39" s="1" t="str">
        <f>"736083"</f>
        <v>736083</v>
      </c>
      <c r="D39" s="1" t="str">
        <f>"剑桥配号"</f>
        <v>剑桥配号</v>
      </c>
      <c r="E39" s="1" t="str">
        <f t="shared" si="54"/>
        <v>买入</v>
      </c>
      <c r="F39" s="1" t="str">
        <f t="shared" si="56"/>
        <v>0.000</v>
      </c>
      <c r="G39" s="1" t="str">
        <f t="shared" si="57"/>
        <v>1.00</v>
      </c>
      <c r="H39" s="1" t="str">
        <f t="shared" si="50"/>
        <v>A850418317</v>
      </c>
      <c r="I39" s="1" t="str">
        <f t="shared" ref="I39:L39" si="59">"0.00"</f>
        <v>0.00</v>
      </c>
      <c r="J39" s="1" t="str">
        <f t="shared" si="59"/>
        <v>0.00</v>
      </c>
      <c r="K39" s="1" t="str">
        <f t="shared" si="55"/>
        <v>0.00</v>
      </c>
      <c r="L39" s="1" t="str">
        <f t="shared" si="59"/>
        <v>0.00</v>
      </c>
      <c r="M39" s="1" t="str">
        <f t="shared" si="4"/>
        <v>0.00</v>
      </c>
      <c r="N39" s="1" t="str">
        <f>"起始配号:100038855046"</f>
        <v>起始配号:100038855046</v>
      </c>
    </row>
    <row r="40" spans="1:14">
      <c r="A40" s="1" t="str">
        <f t="shared" si="53"/>
        <v>20171031</v>
      </c>
      <c r="B40" s="1" t="str">
        <f>"21:39:49"</f>
        <v>21:39:49</v>
      </c>
      <c r="C40" s="1" t="str">
        <f>"300722"</f>
        <v>300722</v>
      </c>
      <c r="D40" s="1" t="str">
        <f>"新余国科"</f>
        <v>新余国科</v>
      </c>
      <c r="E40" s="1" t="str">
        <f t="shared" si="54"/>
        <v>买入</v>
      </c>
      <c r="F40" s="1" t="str">
        <f t="shared" si="56"/>
        <v>0.000</v>
      </c>
      <c r="G40" s="1" t="str">
        <f t="shared" ref="G40:G45" si="60">"2.00"</f>
        <v>2.00</v>
      </c>
      <c r="H40" s="1" t="str">
        <f t="shared" ref="H40:H45" si="61">"0104152129"</f>
        <v>0104152129</v>
      </c>
      <c r="I40" s="1" t="str">
        <f t="shared" ref="I40:L40" si="62">"0.00"</f>
        <v>0.00</v>
      </c>
      <c r="J40" s="1" t="str">
        <f t="shared" si="62"/>
        <v>0.00</v>
      </c>
      <c r="K40" s="1" t="str">
        <f t="shared" si="55"/>
        <v>0.00</v>
      </c>
      <c r="L40" s="1" t="str">
        <f t="shared" si="62"/>
        <v>0.00</v>
      </c>
      <c r="M40" s="1" t="str">
        <f t="shared" si="4"/>
        <v>0.00</v>
      </c>
      <c r="N40" s="1" t="str">
        <f>"起始配号:126021122"</f>
        <v>起始配号:126021122</v>
      </c>
    </row>
    <row r="41" spans="1:14">
      <c r="A41" s="1" t="str">
        <f t="shared" ref="A41:A43" si="63">"20171101"</f>
        <v>20171101</v>
      </c>
      <c r="B41" s="1" t="str">
        <f>"21:32:07"</f>
        <v>21:32:07</v>
      </c>
      <c r="C41" s="1" t="str">
        <f>"736278"</f>
        <v>736278</v>
      </c>
      <c r="D41" s="1" t="str">
        <f>"大业配号"</f>
        <v>大业配号</v>
      </c>
      <c r="E41" s="1" t="str">
        <f t="shared" si="54"/>
        <v>买入</v>
      </c>
      <c r="F41" s="1" t="str">
        <f t="shared" si="56"/>
        <v>0.000</v>
      </c>
      <c r="G41" s="1" t="str">
        <f t="shared" si="57"/>
        <v>1.00</v>
      </c>
      <c r="H41" s="1" t="str">
        <f t="shared" ref="H41:H49" si="64">"A850418317"</f>
        <v>A850418317</v>
      </c>
      <c r="I41" s="1" t="str">
        <f t="shared" ref="I41:L41" si="65">"0.00"</f>
        <v>0.00</v>
      </c>
      <c r="J41" s="1" t="str">
        <f t="shared" si="65"/>
        <v>0.00</v>
      </c>
      <c r="K41" s="1" t="str">
        <f t="shared" si="55"/>
        <v>0.00</v>
      </c>
      <c r="L41" s="1" t="str">
        <f t="shared" si="65"/>
        <v>0.00</v>
      </c>
      <c r="M41" s="1" t="str">
        <f t="shared" si="4"/>
        <v>0.00</v>
      </c>
      <c r="N41" s="1" t="str">
        <f>"起始配号:100037971959"</f>
        <v>起始配号:100037971959</v>
      </c>
    </row>
    <row r="42" spans="1:14">
      <c r="A42" s="1" t="str">
        <f t="shared" si="63"/>
        <v>20171101</v>
      </c>
      <c r="B42" s="1" t="str">
        <f>"21:31:03"</f>
        <v>21:31:03</v>
      </c>
      <c r="C42" s="1" t="str">
        <f>"736076"</f>
        <v>736076</v>
      </c>
      <c r="D42" s="1" t="str">
        <f>"乐惠配号"</f>
        <v>乐惠配号</v>
      </c>
      <c r="E42" s="1" t="str">
        <f t="shared" si="54"/>
        <v>买入</v>
      </c>
      <c r="F42" s="1" t="str">
        <f t="shared" si="56"/>
        <v>0.000</v>
      </c>
      <c r="G42" s="1" t="str">
        <f t="shared" si="57"/>
        <v>1.00</v>
      </c>
      <c r="H42" s="1" t="str">
        <f t="shared" si="64"/>
        <v>A850418317</v>
      </c>
      <c r="I42" s="1" t="str">
        <f t="shared" ref="I42:L42" si="66">"0.00"</f>
        <v>0.00</v>
      </c>
      <c r="J42" s="1" t="str">
        <f t="shared" si="66"/>
        <v>0.00</v>
      </c>
      <c r="K42" s="1" t="str">
        <f t="shared" si="55"/>
        <v>0.00</v>
      </c>
      <c r="L42" s="1" t="str">
        <f t="shared" si="66"/>
        <v>0.00</v>
      </c>
      <c r="M42" s="1" t="str">
        <f t="shared" si="4"/>
        <v>0.00</v>
      </c>
      <c r="N42" s="1" t="str">
        <f>"起始配号:100036190175"</f>
        <v>起始配号:100036190175</v>
      </c>
    </row>
    <row r="43" spans="1:14">
      <c r="A43" s="1" t="str">
        <f t="shared" si="63"/>
        <v>20171101</v>
      </c>
      <c r="B43" s="1" t="str">
        <f>"21:29:57"</f>
        <v>21:29:57</v>
      </c>
      <c r="C43" s="1" t="str">
        <f>"300725"</f>
        <v>300725</v>
      </c>
      <c r="D43" s="1" t="str">
        <f>"药石科技"</f>
        <v>药石科技</v>
      </c>
      <c r="E43" s="1" t="str">
        <f t="shared" si="54"/>
        <v>买入</v>
      </c>
      <c r="F43" s="1" t="str">
        <f t="shared" si="56"/>
        <v>0.000</v>
      </c>
      <c r="G43" s="1" t="str">
        <f t="shared" si="60"/>
        <v>2.00</v>
      </c>
      <c r="H43" s="1" t="str">
        <f t="shared" si="61"/>
        <v>0104152129</v>
      </c>
      <c r="I43" s="1" t="str">
        <f t="shared" ref="I43:L43" si="67">"0.00"</f>
        <v>0.00</v>
      </c>
      <c r="J43" s="1" t="str">
        <f t="shared" si="67"/>
        <v>0.00</v>
      </c>
      <c r="K43" s="1" t="str">
        <f t="shared" si="55"/>
        <v>0.00</v>
      </c>
      <c r="L43" s="1" t="str">
        <f t="shared" si="67"/>
        <v>0.00</v>
      </c>
      <c r="M43" s="1" t="str">
        <f t="shared" si="4"/>
        <v>0.00</v>
      </c>
      <c r="N43" s="1" t="str">
        <f>"起始配号:74984035"</f>
        <v>起始配号:74984035</v>
      </c>
    </row>
    <row r="44" spans="1:14">
      <c r="A44" s="1" t="str">
        <f>"20171102"</f>
        <v>20171102</v>
      </c>
      <c r="B44" s="1" t="str">
        <f>"21:44:49"</f>
        <v>21:44:49</v>
      </c>
      <c r="C44" s="1" t="str">
        <f>"002864"</f>
        <v>002864</v>
      </c>
      <c r="D44" s="1" t="str">
        <f>"盘龙药业"</f>
        <v>盘龙药业</v>
      </c>
      <c r="E44" s="1" t="str">
        <f t="shared" si="54"/>
        <v>买入</v>
      </c>
      <c r="F44" s="1" t="str">
        <f t="shared" si="56"/>
        <v>0.000</v>
      </c>
      <c r="G44" s="1" t="str">
        <f t="shared" si="60"/>
        <v>2.00</v>
      </c>
      <c r="H44" s="1" t="str">
        <f t="shared" si="61"/>
        <v>0104152129</v>
      </c>
      <c r="I44" s="1" t="str">
        <f t="shared" ref="I44:L44" si="68">"0.00"</f>
        <v>0.00</v>
      </c>
      <c r="J44" s="1" t="str">
        <f t="shared" si="68"/>
        <v>0.00</v>
      </c>
      <c r="K44" s="1" t="str">
        <f t="shared" si="55"/>
        <v>0.00</v>
      </c>
      <c r="L44" s="1" t="str">
        <f t="shared" si="68"/>
        <v>0.00</v>
      </c>
      <c r="M44" s="1" t="str">
        <f t="shared" si="4"/>
        <v>0.00</v>
      </c>
      <c r="N44" s="1" t="str">
        <f>"起始配号:13077349"</f>
        <v>起始配号:13077349</v>
      </c>
    </row>
    <row r="45" spans="1:14">
      <c r="A45" s="1" t="str">
        <f>"20171102"</f>
        <v>20171102</v>
      </c>
      <c r="B45" s="1" t="str">
        <f>"21:45:29"</f>
        <v>21:45:29</v>
      </c>
      <c r="C45" s="1" t="str">
        <f>"300721"</f>
        <v>300721</v>
      </c>
      <c r="D45" s="1" t="str">
        <f>"怡达股份"</f>
        <v>怡达股份</v>
      </c>
      <c r="E45" s="1" t="str">
        <f t="shared" si="54"/>
        <v>买入</v>
      </c>
      <c r="F45" s="1" t="str">
        <f t="shared" si="56"/>
        <v>0.000</v>
      </c>
      <c r="G45" s="1" t="str">
        <f t="shared" si="60"/>
        <v>2.00</v>
      </c>
      <c r="H45" s="1" t="str">
        <f t="shared" si="61"/>
        <v>0104152129</v>
      </c>
      <c r="I45" s="1" t="str">
        <f t="shared" ref="I45:L45" si="69">"0.00"</f>
        <v>0.00</v>
      </c>
      <c r="J45" s="1" t="str">
        <f t="shared" si="69"/>
        <v>0.00</v>
      </c>
      <c r="K45" s="1" t="str">
        <f t="shared" si="55"/>
        <v>0.00</v>
      </c>
      <c r="L45" s="1" t="str">
        <f t="shared" si="69"/>
        <v>0.00</v>
      </c>
      <c r="M45" s="1" t="str">
        <f t="shared" si="4"/>
        <v>0.00</v>
      </c>
      <c r="N45" s="1" t="str">
        <f>"起始配号:10789725"</f>
        <v>起始配号:10789725</v>
      </c>
    </row>
    <row r="46" spans="1:14">
      <c r="A46" s="1" t="str">
        <f t="shared" ref="A46:A48" si="70">"20171103"</f>
        <v>20171103</v>
      </c>
      <c r="B46" s="1" t="str">
        <f>"14:36:16"</f>
        <v>14:36:16</v>
      </c>
      <c r="C46" s="1" t="str">
        <f>"600703"</f>
        <v>600703</v>
      </c>
      <c r="D46" s="1" t="str">
        <f>"三安光电"</f>
        <v>三安光电</v>
      </c>
      <c r="E46" s="1" t="str">
        <f>"卖出"</f>
        <v>卖出</v>
      </c>
      <c r="F46" s="1" t="str">
        <f>"26.640"</f>
        <v>26.640</v>
      </c>
      <c r="G46" s="1" t="str">
        <f>"-800.00"</f>
        <v>-800.00</v>
      </c>
      <c r="H46" s="1" t="str">
        <f t="shared" si="64"/>
        <v>A850418317</v>
      </c>
      <c r="I46" s="1" t="str">
        <f>"21312.00"</f>
        <v>21312.00</v>
      </c>
      <c r="J46" s="1" t="str">
        <f>"5.33"</f>
        <v>5.33</v>
      </c>
      <c r="K46" s="1" t="str">
        <f>"21.31"</f>
        <v>21.31</v>
      </c>
      <c r="L46" s="1" t="str">
        <f>"0.43"</f>
        <v>0.43</v>
      </c>
      <c r="M46" s="1" t="str">
        <f t="shared" si="4"/>
        <v>0.00</v>
      </c>
      <c r="N46" s="1" t="str">
        <f>"证券卖出"</f>
        <v>证券卖出</v>
      </c>
    </row>
    <row r="47" spans="1:14">
      <c r="A47" s="1" t="str">
        <f t="shared" si="70"/>
        <v>20171103</v>
      </c>
      <c r="B47" s="1" t="str">
        <f>"14:43:03"</f>
        <v>14:43:03</v>
      </c>
      <c r="C47" s="1" t="str">
        <f>"600699"</f>
        <v>600699</v>
      </c>
      <c r="D47" s="1" t="str">
        <f>"均胜电子"</f>
        <v>均胜电子</v>
      </c>
      <c r="E47" s="1" t="str">
        <f>"卖出"</f>
        <v>卖出</v>
      </c>
      <c r="F47" s="1" t="str">
        <f>"38.490"</f>
        <v>38.490</v>
      </c>
      <c r="G47" s="1" t="str">
        <f>"-200.00"</f>
        <v>-200.00</v>
      </c>
      <c r="H47" s="1" t="str">
        <f t="shared" si="64"/>
        <v>A850418317</v>
      </c>
      <c r="I47" s="1" t="str">
        <f>"7698.00"</f>
        <v>7698.00</v>
      </c>
      <c r="J47" s="1" t="str">
        <f t="shared" ref="J47:J56" si="71">"5.00"</f>
        <v>5.00</v>
      </c>
      <c r="K47" s="1" t="str">
        <f>"7.70"</f>
        <v>7.70</v>
      </c>
      <c r="L47" s="1" t="str">
        <f>"0.15"</f>
        <v>0.15</v>
      </c>
      <c r="M47" s="1" t="str">
        <f t="shared" si="4"/>
        <v>0.00</v>
      </c>
      <c r="N47" s="1" t="str">
        <f>"证券卖出"</f>
        <v>证券卖出</v>
      </c>
    </row>
    <row r="48" spans="1:14">
      <c r="A48" s="1" t="str">
        <f t="shared" si="70"/>
        <v>20171103</v>
      </c>
      <c r="B48" s="1" t="str">
        <f>"21:26:55"</f>
        <v>21:26:55</v>
      </c>
      <c r="C48" s="1" t="str">
        <f>"736605"</f>
        <v>736605</v>
      </c>
      <c r="D48" s="1" t="str">
        <f>"珀莱配号"</f>
        <v>珀莱配号</v>
      </c>
      <c r="E48" s="1" t="str">
        <f t="shared" ref="E48:E62" si="72">"买入"</f>
        <v>买入</v>
      </c>
      <c r="F48" s="1" t="str">
        <f t="shared" ref="F48:F50" si="73">"0.000"</f>
        <v>0.000</v>
      </c>
      <c r="G48" s="1" t="str">
        <f>"1.00"</f>
        <v>1.00</v>
      </c>
      <c r="H48" s="1" t="str">
        <f t="shared" si="64"/>
        <v>A850418317</v>
      </c>
      <c r="I48" s="1" t="str">
        <f t="shared" ref="I48:L48" si="74">"0.00"</f>
        <v>0.00</v>
      </c>
      <c r="J48" s="1" t="str">
        <f t="shared" si="74"/>
        <v>0.00</v>
      </c>
      <c r="K48" s="1" t="str">
        <f t="shared" si="74"/>
        <v>0.00</v>
      </c>
      <c r="L48" s="1" t="str">
        <f t="shared" si="74"/>
        <v>0.00</v>
      </c>
      <c r="M48" s="1" t="str">
        <f t="shared" si="4"/>
        <v>0.00</v>
      </c>
      <c r="N48" s="1" t="str">
        <f>"起始配号:100084608284"</f>
        <v>起始配号:100084608284</v>
      </c>
    </row>
    <row r="49" spans="1:14">
      <c r="A49" s="1" t="str">
        <f>"20171106"</f>
        <v>20171106</v>
      </c>
      <c r="B49" s="1" t="str">
        <f>"23:30:36"</f>
        <v>23:30:36</v>
      </c>
      <c r="C49" s="1" t="str">
        <f>"794127"</f>
        <v>794127</v>
      </c>
      <c r="D49" s="1" t="str">
        <f>"小康配号"</f>
        <v>小康配号</v>
      </c>
      <c r="E49" s="1" t="str">
        <f t="shared" si="72"/>
        <v>买入</v>
      </c>
      <c r="F49" s="1" t="str">
        <f t="shared" si="73"/>
        <v>0.000</v>
      </c>
      <c r="G49" s="1" t="str">
        <f>"1000.00"</f>
        <v>1000.00</v>
      </c>
      <c r="H49" s="1" t="str">
        <f t="shared" si="64"/>
        <v>A850418317</v>
      </c>
      <c r="I49" s="1" t="str">
        <f t="shared" ref="I49:L49" si="75">"0.00"</f>
        <v>0.00</v>
      </c>
      <c r="J49" s="1" t="str">
        <f t="shared" si="75"/>
        <v>0.00</v>
      </c>
      <c r="K49" s="1" t="str">
        <f t="shared" si="75"/>
        <v>0.00</v>
      </c>
      <c r="L49" s="1" t="str">
        <f t="shared" si="75"/>
        <v>0.00</v>
      </c>
      <c r="M49" s="1" t="str">
        <f t="shared" si="4"/>
        <v>0.00</v>
      </c>
      <c r="N49" s="1" t="str">
        <f>"起始配号:100837494904"</f>
        <v>起始配号:100837494904</v>
      </c>
    </row>
    <row r="50" spans="1:14">
      <c r="A50" s="1" t="str">
        <f>"20171106"</f>
        <v>20171106</v>
      </c>
      <c r="B50" s="1" t="str">
        <f>"23:30:16"</f>
        <v>23:30:16</v>
      </c>
      <c r="C50" s="1" t="str">
        <f>"072527"</f>
        <v>072527</v>
      </c>
      <c r="D50" s="1" t="str">
        <f>"时达发债"</f>
        <v>时达发债</v>
      </c>
      <c r="E50" s="1" t="str">
        <f t="shared" si="72"/>
        <v>买入</v>
      </c>
      <c r="F50" s="1" t="str">
        <f t="shared" si="73"/>
        <v>0.000</v>
      </c>
      <c r="G50" s="1" t="str">
        <f>"1000.00"</f>
        <v>1000.00</v>
      </c>
      <c r="H50" s="1" t="str">
        <f>"0104152129"</f>
        <v>0104152129</v>
      </c>
      <c r="I50" s="1" t="str">
        <f t="shared" ref="I50:L50" si="76">"0.00"</f>
        <v>0.00</v>
      </c>
      <c r="J50" s="1" t="str">
        <f t="shared" si="76"/>
        <v>0.00</v>
      </c>
      <c r="K50" s="1" t="str">
        <f t="shared" si="76"/>
        <v>0.00</v>
      </c>
      <c r="L50" s="1" t="str">
        <f t="shared" si="76"/>
        <v>0.00</v>
      </c>
      <c r="M50" s="1" t="str">
        <f t="shared" si="4"/>
        <v>0.00</v>
      </c>
      <c r="N50" s="1" t="str">
        <f>"起始配号:866720696"</f>
        <v>起始配号:866720696</v>
      </c>
    </row>
    <row r="51" spans="1:14">
      <c r="A51" s="1" t="str">
        <f t="shared" ref="A51:A58" si="77">"20171107"</f>
        <v>20171107</v>
      </c>
      <c r="B51" s="1" t="str">
        <f>"09:25:01"</f>
        <v>09:25:01</v>
      </c>
      <c r="C51" s="1" t="str">
        <f t="shared" ref="C51:C55" si="78">"600703"</f>
        <v>600703</v>
      </c>
      <c r="D51" s="1" t="str">
        <f t="shared" ref="D51:D55" si="79">"三安光电"</f>
        <v>三安光电</v>
      </c>
      <c r="E51" s="1" t="str">
        <f t="shared" si="72"/>
        <v>买入</v>
      </c>
      <c r="F51" s="1" t="str">
        <f>"28.690"</f>
        <v>28.690</v>
      </c>
      <c r="G51" s="1" t="str">
        <f t="shared" ref="G51:G54" si="80">"200.00"</f>
        <v>200.00</v>
      </c>
      <c r="H51" s="1" t="str">
        <f t="shared" ref="H51:H55" si="81">"A850418317"</f>
        <v>A850418317</v>
      </c>
      <c r="I51" s="1" t="str">
        <f>"5738.00"</f>
        <v>5738.00</v>
      </c>
      <c r="J51" s="1" t="str">
        <f t="shared" si="71"/>
        <v>5.00</v>
      </c>
      <c r="K51" s="1" t="str">
        <f t="shared" ref="K51:K62" si="82">"0.00"</f>
        <v>0.00</v>
      </c>
      <c r="L51" s="1" t="str">
        <f>"0.11"</f>
        <v>0.11</v>
      </c>
      <c r="M51" s="1" t="str">
        <f t="shared" si="4"/>
        <v>0.00</v>
      </c>
      <c r="N51" s="1" t="str">
        <f t="shared" ref="N51:N56" si="83">"证券买入"</f>
        <v>证券买入</v>
      </c>
    </row>
    <row r="52" spans="1:14">
      <c r="A52" s="1" t="str">
        <f t="shared" si="77"/>
        <v>20171107</v>
      </c>
      <c r="B52" s="1" t="str">
        <f>"09:25:02"</f>
        <v>09:25:02</v>
      </c>
      <c r="C52" s="1" t="str">
        <f>"603648"</f>
        <v>603648</v>
      </c>
      <c r="D52" s="1" t="str">
        <f>"畅联股份"</f>
        <v>畅联股份</v>
      </c>
      <c r="E52" s="1" t="str">
        <f t="shared" si="72"/>
        <v>买入</v>
      </c>
      <c r="F52" s="1" t="str">
        <f>"30.270"</f>
        <v>30.270</v>
      </c>
      <c r="G52" s="1" t="str">
        <f t="shared" si="80"/>
        <v>200.00</v>
      </c>
      <c r="H52" s="1" t="str">
        <f t="shared" si="81"/>
        <v>A850418317</v>
      </c>
      <c r="I52" s="1" t="str">
        <f>"6054.00"</f>
        <v>6054.00</v>
      </c>
      <c r="J52" s="1" t="str">
        <f t="shared" si="71"/>
        <v>5.00</v>
      </c>
      <c r="K52" s="1" t="str">
        <f t="shared" si="82"/>
        <v>0.00</v>
      </c>
      <c r="L52" s="1" t="str">
        <f t="shared" ref="L52:L54" si="84">"0.12"</f>
        <v>0.12</v>
      </c>
      <c r="M52" s="1" t="str">
        <f t="shared" si="4"/>
        <v>0.00</v>
      </c>
      <c r="N52" s="1" t="str">
        <f t="shared" si="83"/>
        <v>证券买入</v>
      </c>
    </row>
    <row r="53" spans="1:14">
      <c r="A53" s="1" t="str">
        <f t="shared" si="77"/>
        <v>20171107</v>
      </c>
      <c r="B53" s="1" t="str">
        <f>"09:25:02"</f>
        <v>09:25:02</v>
      </c>
      <c r="C53" s="1" t="str">
        <f>"603648"</f>
        <v>603648</v>
      </c>
      <c r="D53" s="1" t="str">
        <f>"畅联股份"</f>
        <v>畅联股份</v>
      </c>
      <c r="E53" s="1" t="str">
        <f t="shared" si="72"/>
        <v>买入</v>
      </c>
      <c r="F53" s="1" t="str">
        <f>"30.270"</f>
        <v>30.270</v>
      </c>
      <c r="G53" s="1" t="str">
        <f t="shared" si="80"/>
        <v>200.00</v>
      </c>
      <c r="H53" s="1" t="str">
        <f t="shared" si="81"/>
        <v>A850418317</v>
      </c>
      <c r="I53" s="1" t="str">
        <f>"6054.00"</f>
        <v>6054.00</v>
      </c>
      <c r="J53" s="1" t="str">
        <f t="shared" si="71"/>
        <v>5.00</v>
      </c>
      <c r="K53" s="1" t="str">
        <f t="shared" si="82"/>
        <v>0.00</v>
      </c>
      <c r="L53" s="1" t="str">
        <f t="shared" si="84"/>
        <v>0.12</v>
      </c>
      <c r="M53" s="1" t="str">
        <f t="shared" si="4"/>
        <v>0.00</v>
      </c>
      <c r="N53" s="1" t="str">
        <f t="shared" si="83"/>
        <v>证券买入</v>
      </c>
    </row>
    <row r="54" spans="1:14">
      <c r="A54" s="1" t="str">
        <f t="shared" si="77"/>
        <v>20171107</v>
      </c>
      <c r="B54" s="1" t="str">
        <f>"09:33:51"</f>
        <v>09:33:51</v>
      </c>
      <c r="C54" s="1" t="str">
        <f t="shared" si="78"/>
        <v>600703</v>
      </c>
      <c r="D54" s="1" t="str">
        <f t="shared" si="79"/>
        <v>三安光电</v>
      </c>
      <c r="E54" s="1" t="str">
        <f t="shared" si="72"/>
        <v>买入</v>
      </c>
      <c r="F54" s="1" t="str">
        <f>"29.170"</f>
        <v>29.170</v>
      </c>
      <c r="G54" s="1" t="str">
        <f t="shared" si="80"/>
        <v>200.00</v>
      </c>
      <c r="H54" s="1" t="str">
        <f t="shared" si="81"/>
        <v>A850418317</v>
      </c>
      <c r="I54" s="1" t="str">
        <f>"5834.00"</f>
        <v>5834.00</v>
      </c>
      <c r="J54" s="1" t="str">
        <f t="shared" si="71"/>
        <v>5.00</v>
      </c>
      <c r="K54" s="1" t="str">
        <f t="shared" si="82"/>
        <v>0.00</v>
      </c>
      <c r="L54" s="1" t="str">
        <f t="shared" si="84"/>
        <v>0.12</v>
      </c>
      <c r="M54" s="1" t="str">
        <f t="shared" si="4"/>
        <v>0.00</v>
      </c>
      <c r="N54" s="1" t="str">
        <f t="shared" si="83"/>
        <v>证券买入</v>
      </c>
    </row>
    <row r="55" spans="1:14">
      <c r="A55" s="1" t="str">
        <f t="shared" si="77"/>
        <v>20171107</v>
      </c>
      <c r="B55" s="1" t="str">
        <f>"09:35:00"</f>
        <v>09:35:00</v>
      </c>
      <c r="C55" s="1" t="str">
        <f t="shared" si="78"/>
        <v>600703</v>
      </c>
      <c r="D55" s="1" t="str">
        <f t="shared" si="79"/>
        <v>三安光电</v>
      </c>
      <c r="E55" s="1" t="str">
        <f t="shared" si="72"/>
        <v>买入</v>
      </c>
      <c r="F55" s="1" t="str">
        <f>"29.100"</f>
        <v>29.100</v>
      </c>
      <c r="G55" s="1" t="str">
        <f>"100.00"</f>
        <v>100.00</v>
      </c>
      <c r="H55" s="1" t="str">
        <f t="shared" si="81"/>
        <v>A850418317</v>
      </c>
      <c r="I55" s="1" t="str">
        <f>"2910.00"</f>
        <v>2910.00</v>
      </c>
      <c r="J55" s="1" t="str">
        <f t="shared" si="71"/>
        <v>5.00</v>
      </c>
      <c r="K55" s="1" t="str">
        <f t="shared" si="82"/>
        <v>0.00</v>
      </c>
      <c r="L55" s="1" t="str">
        <f>"0.06"</f>
        <v>0.06</v>
      </c>
      <c r="M55" s="1" t="str">
        <f t="shared" si="4"/>
        <v>0.00</v>
      </c>
      <c r="N55" s="1" t="str">
        <f t="shared" si="83"/>
        <v>证券买入</v>
      </c>
    </row>
    <row r="56" spans="1:14">
      <c r="A56" s="1" t="str">
        <f t="shared" si="77"/>
        <v>20171107</v>
      </c>
      <c r="B56" s="1" t="str">
        <f>"09:54:15"</f>
        <v>09:54:15</v>
      </c>
      <c r="C56" s="1" t="str">
        <f>"000725"</f>
        <v>000725</v>
      </c>
      <c r="D56" s="1" t="str">
        <f>"京东方Ａ"</f>
        <v>京东方Ａ</v>
      </c>
      <c r="E56" s="1" t="str">
        <f t="shared" si="72"/>
        <v>买入</v>
      </c>
      <c r="F56" s="1" t="str">
        <f>"6.490"</f>
        <v>6.490</v>
      </c>
      <c r="G56" s="1" t="str">
        <f>"300.00"</f>
        <v>300.00</v>
      </c>
      <c r="H56" s="1" t="str">
        <f>"0104152129"</f>
        <v>0104152129</v>
      </c>
      <c r="I56" s="1" t="str">
        <f>"1947.00"</f>
        <v>1947.00</v>
      </c>
      <c r="J56" s="1" t="str">
        <f t="shared" si="71"/>
        <v>5.00</v>
      </c>
      <c r="K56" s="1" t="str">
        <f t="shared" si="82"/>
        <v>0.00</v>
      </c>
      <c r="L56" s="1" t="str">
        <f>"0.04"</f>
        <v>0.04</v>
      </c>
      <c r="M56" s="1" t="str">
        <f t="shared" si="4"/>
        <v>0.00</v>
      </c>
      <c r="N56" s="1" t="str">
        <f t="shared" si="83"/>
        <v>证券买入</v>
      </c>
    </row>
    <row r="57" spans="1:14">
      <c r="A57" s="1" t="str">
        <f t="shared" si="77"/>
        <v>20171107</v>
      </c>
      <c r="B57" s="1" t="str">
        <f>"23:13:20"</f>
        <v>23:13:20</v>
      </c>
      <c r="C57" s="1" t="str">
        <f>"741933"</f>
        <v>741933</v>
      </c>
      <c r="D57" s="1" t="str">
        <f>"爱柯配号"</f>
        <v>爱柯配号</v>
      </c>
      <c r="E57" s="1" t="str">
        <f t="shared" si="72"/>
        <v>买入</v>
      </c>
      <c r="F57" s="1" t="str">
        <f t="shared" ref="F57:F62" si="85">"0.000"</f>
        <v>0.000</v>
      </c>
      <c r="G57" s="1" t="str">
        <f t="shared" ref="G57:G60" si="86">"1.00"</f>
        <v>1.00</v>
      </c>
      <c r="H57" s="1" t="str">
        <f t="shared" ref="H57:H60" si="87">"A850418317"</f>
        <v>A850418317</v>
      </c>
      <c r="I57" s="1" t="str">
        <f t="shared" ref="I57:L57" si="88">"0.00"</f>
        <v>0.00</v>
      </c>
      <c r="J57" s="1" t="str">
        <f t="shared" si="88"/>
        <v>0.00</v>
      </c>
      <c r="K57" s="1" t="str">
        <f t="shared" si="82"/>
        <v>0.00</v>
      </c>
      <c r="L57" s="1" t="str">
        <f t="shared" si="88"/>
        <v>0.00</v>
      </c>
      <c r="M57" s="1" t="str">
        <f t="shared" si="4"/>
        <v>0.00</v>
      </c>
      <c r="N57" s="1" t="str">
        <f>"起始配号:100008167713"</f>
        <v>起始配号:100008167713</v>
      </c>
    </row>
    <row r="58" spans="1:14">
      <c r="A58" s="1" t="str">
        <f t="shared" si="77"/>
        <v>20171107</v>
      </c>
      <c r="B58" s="1" t="str">
        <f>"23:13:54"</f>
        <v>23:13:54</v>
      </c>
      <c r="C58" s="1" t="str">
        <f>"736970"</f>
        <v>736970</v>
      </c>
      <c r="D58" s="1" t="str">
        <f>"中农配号"</f>
        <v>中农配号</v>
      </c>
      <c r="E58" s="1" t="str">
        <f t="shared" si="72"/>
        <v>买入</v>
      </c>
      <c r="F58" s="1" t="str">
        <f t="shared" si="85"/>
        <v>0.000</v>
      </c>
      <c r="G58" s="1" t="str">
        <f t="shared" si="86"/>
        <v>1.00</v>
      </c>
      <c r="H58" s="1" t="str">
        <f t="shared" si="87"/>
        <v>A850418317</v>
      </c>
      <c r="I58" s="1" t="str">
        <f t="shared" ref="I58:L58" si="89">"0.00"</f>
        <v>0.00</v>
      </c>
      <c r="J58" s="1" t="str">
        <f t="shared" si="89"/>
        <v>0.00</v>
      </c>
      <c r="K58" s="1" t="str">
        <f t="shared" si="82"/>
        <v>0.00</v>
      </c>
      <c r="L58" s="1" t="str">
        <f t="shared" si="89"/>
        <v>0.00</v>
      </c>
      <c r="M58" s="1" t="str">
        <f t="shared" si="4"/>
        <v>0.00</v>
      </c>
      <c r="N58" s="1" t="str">
        <f>"起始配号:100004813527"</f>
        <v>起始配号:100004813527</v>
      </c>
    </row>
    <row r="59" spans="1:14">
      <c r="A59" s="1" t="str">
        <f t="shared" ref="A59:A61" si="90">"20171108"</f>
        <v>20171108</v>
      </c>
      <c r="B59" s="1" t="str">
        <f>"23:51:20"</f>
        <v>23:51:20</v>
      </c>
      <c r="C59" s="1" t="str">
        <f>"736365"</f>
        <v>736365</v>
      </c>
      <c r="D59" s="1" t="str">
        <f>"水星配号"</f>
        <v>水星配号</v>
      </c>
      <c r="E59" s="1" t="str">
        <f t="shared" si="72"/>
        <v>买入</v>
      </c>
      <c r="F59" s="1" t="str">
        <f t="shared" si="85"/>
        <v>0.000</v>
      </c>
      <c r="G59" s="1" t="str">
        <f t="shared" si="86"/>
        <v>1.00</v>
      </c>
      <c r="H59" s="1" t="str">
        <f t="shared" si="87"/>
        <v>A850418317</v>
      </c>
      <c r="I59" s="1" t="str">
        <f t="shared" ref="I59:L59" si="91">"0.00"</f>
        <v>0.00</v>
      </c>
      <c r="J59" s="1" t="str">
        <f t="shared" si="91"/>
        <v>0.00</v>
      </c>
      <c r="K59" s="1" t="str">
        <f t="shared" si="82"/>
        <v>0.00</v>
      </c>
      <c r="L59" s="1" t="str">
        <f t="shared" si="91"/>
        <v>0.00</v>
      </c>
      <c r="M59" s="1" t="str">
        <f t="shared" si="4"/>
        <v>0.00</v>
      </c>
      <c r="N59" s="1" t="str">
        <f>"起始配号:100016134380"</f>
        <v>起始配号:100016134380</v>
      </c>
    </row>
    <row r="60" spans="1:14">
      <c r="A60" s="1" t="str">
        <f t="shared" si="90"/>
        <v>20171108</v>
      </c>
      <c r="B60" s="1" t="str">
        <f>"23:51:52"</f>
        <v>23:51:52</v>
      </c>
      <c r="C60" s="1" t="str">
        <f>"791019"</f>
        <v>791019</v>
      </c>
      <c r="D60" s="1" t="str">
        <f>"山版配号"</f>
        <v>山版配号</v>
      </c>
      <c r="E60" s="1" t="str">
        <f t="shared" si="72"/>
        <v>买入</v>
      </c>
      <c r="F60" s="1" t="str">
        <f t="shared" si="85"/>
        <v>0.000</v>
      </c>
      <c r="G60" s="1" t="str">
        <f t="shared" si="86"/>
        <v>1.00</v>
      </c>
      <c r="H60" s="1" t="str">
        <f t="shared" si="87"/>
        <v>A850418317</v>
      </c>
      <c r="I60" s="1" t="str">
        <f t="shared" ref="I60:L60" si="92">"0.00"</f>
        <v>0.00</v>
      </c>
      <c r="J60" s="1" t="str">
        <f t="shared" si="92"/>
        <v>0.00</v>
      </c>
      <c r="K60" s="1" t="str">
        <f t="shared" si="82"/>
        <v>0.00</v>
      </c>
      <c r="L60" s="1" t="str">
        <f t="shared" si="92"/>
        <v>0.00</v>
      </c>
      <c r="M60" s="1" t="str">
        <f t="shared" si="4"/>
        <v>0.00</v>
      </c>
      <c r="N60" s="1" t="str">
        <f>"起始配号:100023660979"</f>
        <v>起始配号:100023660979</v>
      </c>
    </row>
    <row r="61" spans="1:14">
      <c r="A61" s="1" t="str">
        <f t="shared" si="90"/>
        <v>20171108</v>
      </c>
      <c r="B61" s="1" t="str">
        <f>"23:51:10"</f>
        <v>23:51:10</v>
      </c>
      <c r="C61" s="1" t="str">
        <f>"072318"</f>
        <v>072318</v>
      </c>
      <c r="D61" s="1" t="str">
        <f>"久立发债"</f>
        <v>久立发债</v>
      </c>
      <c r="E61" s="1" t="str">
        <f t="shared" si="72"/>
        <v>买入</v>
      </c>
      <c r="F61" s="1" t="str">
        <f t="shared" si="85"/>
        <v>0.000</v>
      </c>
      <c r="G61" s="1" t="str">
        <f>"1000.00"</f>
        <v>1000.00</v>
      </c>
      <c r="H61" s="1" t="str">
        <f>"0104152129"</f>
        <v>0104152129</v>
      </c>
      <c r="I61" s="1" t="str">
        <f t="shared" ref="I61:L61" si="93">"0.00"</f>
        <v>0.00</v>
      </c>
      <c r="J61" s="1" t="str">
        <f t="shared" si="93"/>
        <v>0.00</v>
      </c>
      <c r="K61" s="1" t="str">
        <f t="shared" si="82"/>
        <v>0.00</v>
      </c>
      <c r="L61" s="1" t="str">
        <f t="shared" si="93"/>
        <v>0.00</v>
      </c>
      <c r="M61" s="1" t="str">
        <f t="shared" si="4"/>
        <v>0.00</v>
      </c>
      <c r="N61" s="1" t="str">
        <f>"起始配号:474895770"</f>
        <v>起始配号:474895770</v>
      </c>
    </row>
    <row r="62" spans="1:14">
      <c r="A62" s="1" t="str">
        <f>"20171109"</f>
        <v>20171109</v>
      </c>
      <c r="B62" s="1" t="str">
        <f>"22:25:13"</f>
        <v>22:25:13</v>
      </c>
      <c r="C62" s="1" t="str">
        <f>"736661"</f>
        <v>736661</v>
      </c>
      <c r="D62" s="1" t="str">
        <f>"恒林配号"</f>
        <v>恒林配号</v>
      </c>
      <c r="E62" s="1" t="str">
        <f t="shared" si="72"/>
        <v>买入</v>
      </c>
      <c r="F62" s="1" t="str">
        <f t="shared" si="85"/>
        <v>0.000</v>
      </c>
      <c r="G62" s="1" t="str">
        <f>"1.00"</f>
        <v>1.00</v>
      </c>
      <c r="H62" s="1" t="str">
        <f t="shared" ref="H62:H64" si="94">"A850418317"</f>
        <v>A850418317</v>
      </c>
      <c r="I62" s="1" t="str">
        <f t="shared" ref="I62:L62" si="95">"0.00"</f>
        <v>0.00</v>
      </c>
      <c r="J62" s="1" t="str">
        <f t="shared" si="95"/>
        <v>0.00</v>
      </c>
      <c r="K62" s="1" t="str">
        <f t="shared" si="82"/>
        <v>0.00</v>
      </c>
      <c r="L62" s="1" t="str">
        <f t="shared" si="95"/>
        <v>0.00</v>
      </c>
      <c r="M62" s="1" t="str">
        <f t="shared" si="4"/>
        <v>0.00</v>
      </c>
      <c r="N62" s="1" t="str">
        <f>"起始配号:100002785830"</f>
        <v>起始配号:100002785830</v>
      </c>
    </row>
    <row r="63" spans="1:14">
      <c r="A63" s="1" t="str">
        <f t="shared" ref="A63:A66" si="96">"20171110"</f>
        <v>20171110</v>
      </c>
      <c r="B63" s="1" t="str">
        <f>"09:33:56"</f>
        <v>09:33:56</v>
      </c>
      <c r="C63" s="1" t="str">
        <f>"603648"</f>
        <v>603648</v>
      </c>
      <c r="D63" s="1" t="str">
        <f>"畅联股份"</f>
        <v>畅联股份</v>
      </c>
      <c r="E63" s="1" t="str">
        <f>"卖出"</f>
        <v>卖出</v>
      </c>
      <c r="F63" s="1" t="str">
        <f>"30.950"</f>
        <v>30.950</v>
      </c>
      <c r="G63" s="1" t="str">
        <f>"-400.00"</f>
        <v>-400.00</v>
      </c>
      <c r="H63" s="1" t="str">
        <f t="shared" si="94"/>
        <v>A850418317</v>
      </c>
      <c r="I63" s="1" t="str">
        <f>"12380.00"</f>
        <v>12380.00</v>
      </c>
      <c r="J63" s="1" t="str">
        <f t="shared" ref="J63:J65" si="97">"5.00"</f>
        <v>5.00</v>
      </c>
      <c r="K63" s="1" t="str">
        <f>"12.38"</f>
        <v>12.38</v>
      </c>
      <c r="L63" s="1" t="str">
        <f>"0.25"</f>
        <v>0.25</v>
      </c>
      <c r="M63" s="1" t="str">
        <f t="shared" si="4"/>
        <v>0.00</v>
      </c>
      <c r="N63" s="1" t="str">
        <f>"证券卖出"</f>
        <v>证券卖出</v>
      </c>
    </row>
    <row r="64" spans="1:14">
      <c r="A64" s="1" t="str">
        <f t="shared" si="96"/>
        <v>20171110</v>
      </c>
      <c r="B64" s="1" t="str">
        <f>"10:55:46"</f>
        <v>10:55:46</v>
      </c>
      <c r="C64" s="1" t="str">
        <f>"600230"</f>
        <v>600230</v>
      </c>
      <c r="D64" s="1" t="str">
        <f>"沧州大化"</f>
        <v>沧州大化</v>
      </c>
      <c r="E64" s="1" t="str">
        <f t="shared" ref="E64:E70" si="98">"买入"</f>
        <v>买入</v>
      </c>
      <c r="F64" s="1" t="str">
        <f>"45.500"</f>
        <v>45.500</v>
      </c>
      <c r="G64" s="1" t="str">
        <f>"100.00"</f>
        <v>100.00</v>
      </c>
      <c r="H64" s="1" t="str">
        <f t="shared" si="94"/>
        <v>A850418317</v>
      </c>
      <c r="I64" s="1" t="str">
        <f>"4550.00"</f>
        <v>4550.00</v>
      </c>
      <c r="J64" s="1" t="str">
        <f t="shared" si="97"/>
        <v>5.00</v>
      </c>
      <c r="K64" s="1" t="str">
        <f t="shared" ref="K64:K70" si="99">"0.00"</f>
        <v>0.00</v>
      </c>
      <c r="L64" s="1" t="str">
        <f>"0.09"</f>
        <v>0.09</v>
      </c>
      <c r="M64" s="1" t="str">
        <f t="shared" si="4"/>
        <v>0.00</v>
      </c>
      <c r="N64" s="1" t="str">
        <f t="shared" ref="N64:N68" si="100">"证券买入"</f>
        <v>证券买入</v>
      </c>
    </row>
    <row r="65" spans="1:14">
      <c r="A65" s="1" t="str">
        <f t="shared" si="96"/>
        <v>20171110</v>
      </c>
      <c r="B65" s="1" t="str">
        <f>"10:44:01"</f>
        <v>10:44:01</v>
      </c>
      <c r="C65" s="1" t="str">
        <f>"000725"</f>
        <v>000725</v>
      </c>
      <c r="D65" s="1" t="str">
        <f>"京东方Ａ"</f>
        <v>京东方Ａ</v>
      </c>
      <c r="E65" s="1" t="str">
        <f t="shared" si="98"/>
        <v>买入</v>
      </c>
      <c r="F65" s="1" t="str">
        <f>"6.460"</f>
        <v>6.460</v>
      </c>
      <c r="G65" s="1" t="str">
        <f>"500.00"</f>
        <v>500.00</v>
      </c>
      <c r="H65" s="1" t="str">
        <f t="shared" ref="H65:H68" si="101">"0104152129"</f>
        <v>0104152129</v>
      </c>
      <c r="I65" s="1" t="str">
        <f>"3230.00"</f>
        <v>3230.00</v>
      </c>
      <c r="J65" s="1" t="str">
        <f t="shared" si="97"/>
        <v>5.00</v>
      </c>
      <c r="K65" s="1" t="str">
        <f t="shared" si="99"/>
        <v>0.00</v>
      </c>
      <c r="L65" s="1" t="str">
        <f>"0.06"</f>
        <v>0.06</v>
      </c>
      <c r="M65" s="1" t="str">
        <f t="shared" si="4"/>
        <v>0.00</v>
      </c>
      <c r="N65" s="1" t="str">
        <f t="shared" si="100"/>
        <v>证券买入</v>
      </c>
    </row>
    <row r="66" spans="1:14">
      <c r="A66" s="1" t="str">
        <f t="shared" si="96"/>
        <v>20171110</v>
      </c>
      <c r="B66" s="1" t="str">
        <f>"22:27:20"</f>
        <v>22:27:20</v>
      </c>
      <c r="C66" s="1" t="str">
        <f>"756822"</f>
        <v>756822</v>
      </c>
      <c r="D66" s="1" t="str">
        <f>"嘉澳配号"</f>
        <v>嘉澳配号</v>
      </c>
      <c r="E66" s="1" t="str">
        <f t="shared" si="98"/>
        <v>买入</v>
      </c>
      <c r="F66" s="1" t="str">
        <f>"0.000"</f>
        <v>0.000</v>
      </c>
      <c r="G66" s="1" t="str">
        <f>"1000.00"</f>
        <v>1000.00</v>
      </c>
      <c r="H66" s="1" t="str">
        <f t="shared" ref="H66:H72" si="102">"A850418317"</f>
        <v>A850418317</v>
      </c>
      <c r="I66" s="1" t="str">
        <f t="shared" ref="I66:M66" si="103">"0.00"</f>
        <v>0.00</v>
      </c>
      <c r="J66" s="1" t="str">
        <f t="shared" si="103"/>
        <v>0.00</v>
      </c>
      <c r="K66" s="1" t="str">
        <f t="shared" si="99"/>
        <v>0.00</v>
      </c>
      <c r="L66" s="1" t="str">
        <f t="shared" si="103"/>
        <v>0.00</v>
      </c>
      <c r="M66" s="1" t="str">
        <f t="shared" si="103"/>
        <v>0.00</v>
      </c>
      <c r="N66" s="1" t="str">
        <f>"起始配号:100987272546"</f>
        <v>起始配号:100987272546</v>
      </c>
    </row>
    <row r="67" spans="1:14">
      <c r="A67" s="1" t="str">
        <f t="shared" ref="A67:A69" si="104">"20171113"</f>
        <v>20171113</v>
      </c>
      <c r="B67" s="1" t="str">
        <f>"11:06:43"</f>
        <v>11:06:43</v>
      </c>
      <c r="C67" s="1" t="str">
        <f>"000553"</f>
        <v>000553</v>
      </c>
      <c r="D67" s="1" t="str">
        <f>"沙隆达Ａ"</f>
        <v>沙隆达Ａ</v>
      </c>
      <c r="E67" s="1" t="str">
        <f t="shared" si="98"/>
        <v>买入</v>
      </c>
      <c r="F67" s="1" t="str">
        <f>"16.930"</f>
        <v>16.930</v>
      </c>
      <c r="G67" s="1" t="str">
        <f>"300.00"</f>
        <v>300.00</v>
      </c>
      <c r="H67" s="1" t="str">
        <f t="shared" si="101"/>
        <v>0104152129</v>
      </c>
      <c r="I67" s="1" t="str">
        <f>"5079.00"</f>
        <v>5079.00</v>
      </c>
      <c r="J67" s="1" t="str">
        <f t="shared" ref="J67:J73" si="105">"5.00"</f>
        <v>5.00</v>
      </c>
      <c r="K67" s="1" t="str">
        <f t="shared" si="99"/>
        <v>0.00</v>
      </c>
      <c r="L67" s="1" t="str">
        <f>"0.10"</f>
        <v>0.10</v>
      </c>
      <c r="M67" s="1" t="str">
        <f t="shared" ref="M67:M131" si="106">"0.00"</f>
        <v>0.00</v>
      </c>
      <c r="N67" s="1" t="str">
        <f t="shared" si="100"/>
        <v>证券买入</v>
      </c>
    </row>
    <row r="68" spans="1:14">
      <c r="A68" s="1" t="str">
        <f t="shared" si="104"/>
        <v>20171113</v>
      </c>
      <c r="B68" s="1" t="str">
        <f>"14:29:41"</f>
        <v>14:29:41</v>
      </c>
      <c r="C68" s="1" t="str">
        <f>"000553"</f>
        <v>000553</v>
      </c>
      <c r="D68" s="1" t="str">
        <f>"沙隆达Ａ"</f>
        <v>沙隆达Ａ</v>
      </c>
      <c r="E68" s="1" t="str">
        <f t="shared" si="98"/>
        <v>买入</v>
      </c>
      <c r="F68" s="1" t="str">
        <f>"16.830"</f>
        <v>16.830</v>
      </c>
      <c r="G68" s="1" t="str">
        <f>"200.00"</f>
        <v>200.00</v>
      </c>
      <c r="H68" s="1" t="str">
        <f t="shared" si="101"/>
        <v>0104152129</v>
      </c>
      <c r="I68" s="1" t="str">
        <f>"3366.00"</f>
        <v>3366.00</v>
      </c>
      <c r="J68" s="1" t="str">
        <f t="shared" si="105"/>
        <v>5.00</v>
      </c>
      <c r="K68" s="1" t="str">
        <f t="shared" si="99"/>
        <v>0.00</v>
      </c>
      <c r="L68" s="1" t="str">
        <f>"0.07"</f>
        <v>0.07</v>
      </c>
      <c r="M68" s="1" t="str">
        <f t="shared" si="106"/>
        <v>0.00</v>
      </c>
      <c r="N68" s="1" t="str">
        <f t="shared" si="100"/>
        <v>证券买入</v>
      </c>
    </row>
    <row r="69" spans="1:14">
      <c r="A69" s="1" t="str">
        <f t="shared" si="104"/>
        <v>20171113</v>
      </c>
      <c r="B69" s="1" t="str">
        <f>"22:48:02"</f>
        <v>22:48:02</v>
      </c>
      <c r="C69" s="1" t="str">
        <f>"744566"</f>
        <v>744566</v>
      </c>
      <c r="D69" s="1" t="str">
        <f>"济川配号"</f>
        <v>济川配号</v>
      </c>
      <c r="E69" s="1" t="str">
        <f t="shared" si="98"/>
        <v>买入</v>
      </c>
      <c r="F69" s="1" t="str">
        <f>"0.000"</f>
        <v>0.000</v>
      </c>
      <c r="G69" s="1" t="str">
        <f>"1000.00"</f>
        <v>1000.00</v>
      </c>
      <c r="H69" s="1" t="str">
        <f t="shared" si="102"/>
        <v>A850418317</v>
      </c>
      <c r="I69" s="1" t="str">
        <f t="shared" ref="I69:M69" si="107">"0.00"</f>
        <v>0.00</v>
      </c>
      <c r="J69" s="1" t="str">
        <f t="shared" si="107"/>
        <v>0.00</v>
      </c>
      <c r="K69" s="1" t="str">
        <f t="shared" si="99"/>
        <v>0.00</v>
      </c>
      <c r="L69" s="1" t="str">
        <f t="shared" si="107"/>
        <v>0.00</v>
      </c>
      <c r="M69" s="1" t="str">
        <f t="shared" si="107"/>
        <v>0.00</v>
      </c>
      <c r="N69" s="1" t="str">
        <f>"起始配号:100604209524"</f>
        <v>起始配号:100604209524</v>
      </c>
    </row>
    <row r="70" spans="1:14">
      <c r="A70" s="1" t="str">
        <f t="shared" ref="A70:A73" si="108">"20171114"</f>
        <v>20171114</v>
      </c>
      <c r="B70" s="1" t="str">
        <f>"10:06:06"</f>
        <v>10:06:06</v>
      </c>
      <c r="C70" s="1" t="str">
        <f>"600732"</f>
        <v>600732</v>
      </c>
      <c r="D70" s="1" t="str">
        <f>"ST新梅"</f>
        <v>ST新梅</v>
      </c>
      <c r="E70" s="1" t="str">
        <f t="shared" si="98"/>
        <v>买入</v>
      </c>
      <c r="F70" s="1" t="str">
        <f>"8.800"</f>
        <v>8.800</v>
      </c>
      <c r="G70" s="1" t="str">
        <f>"100.00"</f>
        <v>100.00</v>
      </c>
      <c r="H70" s="1" t="str">
        <f t="shared" si="102"/>
        <v>A850418317</v>
      </c>
      <c r="I70" s="1" t="str">
        <f>"880.00"</f>
        <v>880.00</v>
      </c>
      <c r="J70" s="1" t="str">
        <f t="shared" si="105"/>
        <v>5.00</v>
      </c>
      <c r="K70" s="1" t="str">
        <f t="shared" si="99"/>
        <v>0.00</v>
      </c>
      <c r="L70" s="1" t="str">
        <f>"0.02"</f>
        <v>0.02</v>
      </c>
      <c r="M70" s="1" t="str">
        <f t="shared" si="106"/>
        <v>0.00</v>
      </c>
      <c r="N70" s="1" t="str">
        <f t="shared" ref="N70:N73" si="109">"证券买入"</f>
        <v>证券买入</v>
      </c>
    </row>
    <row r="71" spans="1:14">
      <c r="A71" s="1" t="str">
        <f t="shared" si="108"/>
        <v>20171114</v>
      </c>
      <c r="B71" s="1" t="str">
        <f>"14:44:41"</f>
        <v>14:44:41</v>
      </c>
      <c r="C71" s="1" t="str">
        <f>"600230"</f>
        <v>600230</v>
      </c>
      <c r="D71" s="1" t="str">
        <f>"沧州大化"</f>
        <v>沧州大化</v>
      </c>
      <c r="E71" s="1" t="str">
        <f>"卖出"</f>
        <v>卖出</v>
      </c>
      <c r="F71" s="1" t="str">
        <f>"47.960"</f>
        <v>47.960</v>
      </c>
      <c r="G71" s="1" t="str">
        <f>"-100.00"</f>
        <v>-100.00</v>
      </c>
      <c r="H71" s="1" t="str">
        <f t="shared" si="102"/>
        <v>A850418317</v>
      </c>
      <c r="I71" s="1" t="str">
        <f>"4796.00"</f>
        <v>4796.00</v>
      </c>
      <c r="J71" s="1" t="str">
        <f t="shared" si="105"/>
        <v>5.00</v>
      </c>
      <c r="K71" s="1" t="str">
        <f>"4.80"</f>
        <v>4.80</v>
      </c>
      <c r="L71" s="1" t="str">
        <f>"0.10"</f>
        <v>0.10</v>
      </c>
      <c r="M71" s="1" t="str">
        <f t="shared" si="106"/>
        <v>0.00</v>
      </c>
      <c r="N71" s="1" t="str">
        <f>"证券卖出"</f>
        <v>证券卖出</v>
      </c>
    </row>
    <row r="72" spans="1:14">
      <c r="A72" s="1" t="str">
        <f t="shared" si="108"/>
        <v>20171114</v>
      </c>
      <c r="B72" s="1" t="str">
        <f>"14:50:45"</f>
        <v>14:50:45</v>
      </c>
      <c r="C72" s="1" t="str">
        <f>"600703"</f>
        <v>600703</v>
      </c>
      <c r="D72" s="1" t="str">
        <f>"三安光电"</f>
        <v>三安光电</v>
      </c>
      <c r="E72" s="1" t="str">
        <f t="shared" ref="E72:E75" si="110">"买入"</f>
        <v>买入</v>
      </c>
      <c r="F72" s="1" t="str">
        <f>"27.100"</f>
        <v>27.100</v>
      </c>
      <c r="G72" s="1" t="str">
        <f>"200.00"</f>
        <v>200.00</v>
      </c>
      <c r="H72" s="1" t="str">
        <f t="shared" si="102"/>
        <v>A850418317</v>
      </c>
      <c r="I72" s="1" t="str">
        <f>"5420.00"</f>
        <v>5420.00</v>
      </c>
      <c r="J72" s="1" t="str">
        <f t="shared" si="105"/>
        <v>5.00</v>
      </c>
      <c r="K72" s="1" t="str">
        <f t="shared" ref="K72:K75" si="111">"0.00"</f>
        <v>0.00</v>
      </c>
      <c r="L72" s="1" t="str">
        <f>"0.11"</f>
        <v>0.11</v>
      </c>
      <c r="M72" s="1" t="str">
        <f t="shared" si="106"/>
        <v>0.00</v>
      </c>
      <c r="N72" s="1" t="str">
        <f t="shared" si="109"/>
        <v>证券买入</v>
      </c>
    </row>
    <row r="73" spans="1:14">
      <c r="A73" s="1" t="str">
        <f t="shared" si="108"/>
        <v>20171114</v>
      </c>
      <c r="B73" s="1" t="str">
        <f>"10:06:35"</f>
        <v>10:06:35</v>
      </c>
      <c r="C73" s="1" t="str">
        <f>"000725"</f>
        <v>000725</v>
      </c>
      <c r="D73" s="1" t="str">
        <f>"京东方Ａ"</f>
        <v>京东方Ａ</v>
      </c>
      <c r="E73" s="1" t="str">
        <f t="shared" si="110"/>
        <v>买入</v>
      </c>
      <c r="F73" s="1" t="str">
        <f>"6.290"</f>
        <v>6.290</v>
      </c>
      <c r="G73" s="1" t="str">
        <f>"100.00"</f>
        <v>100.00</v>
      </c>
      <c r="H73" s="1" t="str">
        <f>"0104152129"</f>
        <v>0104152129</v>
      </c>
      <c r="I73" s="1" t="str">
        <f>"629.00"</f>
        <v>629.00</v>
      </c>
      <c r="J73" s="1" t="str">
        <f t="shared" si="105"/>
        <v>5.00</v>
      </c>
      <c r="K73" s="1" t="str">
        <f t="shared" si="111"/>
        <v>0.00</v>
      </c>
      <c r="L73" s="1" t="str">
        <f>"0.01"</f>
        <v>0.01</v>
      </c>
      <c r="M73" s="1" t="str">
        <f t="shared" si="106"/>
        <v>0.00</v>
      </c>
      <c r="N73" s="1" t="str">
        <f t="shared" si="109"/>
        <v>证券买入</v>
      </c>
    </row>
    <row r="74" spans="1:14">
      <c r="A74" s="1" t="str">
        <f>"20171115"</f>
        <v>20171115</v>
      </c>
      <c r="B74" s="1" t="str">
        <f>"23:15:05"</f>
        <v>23:15:05</v>
      </c>
      <c r="C74" s="1" t="str">
        <f>"736685"</f>
        <v>736685</v>
      </c>
      <c r="D74" s="1" t="str">
        <f>"晨丰配号"</f>
        <v>晨丰配号</v>
      </c>
      <c r="E74" s="1" t="str">
        <f t="shared" si="110"/>
        <v>买入</v>
      </c>
      <c r="F74" s="1" t="str">
        <f>"0.000"</f>
        <v>0.000</v>
      </c>
      <c r="G74" s="1" t="str">
        <f>"1.00"</f>
        <v>1.00</v>
      </c>
      <c r="H74" s="1" t="str">
        <f t="shared" ref="H74:H79" si="112">"A850418317"</f>
        <v>A850418317</v>
      </c>
      <c r="I74" s="1" t="str">
        <f t="shared" ref="I74:L74" si="113">"0.00"</f>
        <v>0.00</v>
      </c>
      <c r="J74" s="1" t="str">
        <f t="shared" si="113"/>
        <v>0.00</v>
      </c>
      <c r="K74" s="1" t="str">
        <f t="shared" si="111"/>
        <v>0.00</v>
      </c>
      <c r="L74" s="1" t="str">
        <f t="shared" si="113"/>
        <v>0.00</v>
      </c>
      <c r="M74" s="1" t="str">
        <f t="shared" si="106"/>
        <v>0.00</v>
      </c>
      <c r="N74" s="1" t="str">
        <f>"起始配号:100013973525"</f>
        <v>起始配号:100013973525</v>
      </c>
    </row>
    <row r="75" spans="1:14">
      <c r="A75" s="1" t="str">
        <f t="shared" ref="A75:A82" si="114">"20171116"</f>
        <v>20171116</v>
      </c>
      <c r="B75" s="1" t="str">
        <f>"09:49:21"</f>
        <v>09:49:21</v>
      </c>
      <c r="C75" s="1" t="str">
        <f t="shared" ref="C75:C78" si="115">"600732"</f>
        <v>600732</v>
      </c>
      <c r="D75" s="1" t="str">
        <f t="shared" ref="D75:D78" si="116">"ST新梅"</f>
        <v>ST新梅</v>
      </c>
      <c r="E75" s="1" t="str">
        <f t="shared" si="110"/>
        <v>买入</v>
      </c>
      <c r="F75" s="1" t="str">
        <f>"9.130"</f>
        <v>9.130</v>
      </c>
      <c r="G75" s="1" t="str">
        <f>"1100.00"</f>
        <v>1100.00</v>
      </c>
      <c r="H75" s="1" t="str">
        <f t="shared" si="112"/>
        <v>A850418317</v>
      </c>
      <c r="I75" s="1" t="str">
        <f>"10043.00"</f>
        <v>10043.00</v>
      </c>
      <c r="J75" s="1" t="str">
        <f t="shared" ref="J75:J81" si="117">"5.00"</f>
        <v>5.00</v>
      </c>
      <c r="K75" s="1" t="str">
        <f t="shared" si="111"/>
        <v>0.00</v>
      </c>
      <c r="L75" s="1" t="str">
        <f>"0.20"</f>
        <v>0.20</v>
      </c>
      <c r="M75" s="1" t="str">
        <f t="shared" si="106"/>
        <v>0.00</v>
      </c>
      <c r="N75" s="1" t="str">
        <f t="shared" ref="N75:N78" si="118">"证券买入"</f>
        <v>证券买入</v>
      </c>
    </row>
    <row r="76" spans="1:14">
      <c r="A76" s="1" t="str">
        <f t="shared" si="114"/>
        <v>20171116</v>
      </c>
      <c r="B76" s="1" t="str">
        <f>"10:30:17"</f>
        <v>10:30:17</v>
      </c>
      <c r="C76" s="1" t="str">
        <f>"600703"</f>
        <v>600703</v>
      </c>
      <c r="D76" s="1" t="str">
        <f>"三安光电"</f>
        <v>三安光电</v>
      </c>
      <c r="E76" s="1" t="str">
        <f t="shared" ref="E76:E80" si="119">"卖出"</f>
        <v>卖出</v>
      </c>
      <c r="F76" s="1" t="str">
        <f>"26.430"</f>
        <v>26.430</v>
      </c>
      <c r="G76" s="1" t="str">
        <f>"-200.00"</f>
        <v>-200.00</v>
      </c>
      <c r="H76" s="1" t="str">
        <f t="shared" si="112"/>
        <v>A850418317</v>
      </c>
      <c r="I76" s="1" t="str">
        <f>"5286.00"</f>
        <v>5286.00</v>
      </c>
      <c r="J76" s="1" t="str">
        <f t="shared" si="117"/>
        <v>5.00</v>
      </c>
      <c r="K76" s="1" t="str">
        <f>"5.29"</f>
        <v>5.29</v>
      </c>
      <c r="L76" s="1" t="str">
        <f t="shared" ref="L76:L81" si="120">"0.11"</f>
        <v>0.11</v>
      </c>
      <c r="M76" s="1" t="str">
        <f t="shared" si="106"/>
        <v>0.00</v>
      </c>
      <c r="N76" s="1" t="str">
        <f t="shared" ref="N76:N80" si="121">"证券卖出"</f>
        <v>证券卖出</v>
      </c>
    </row>
    <row r="77" spans="1:14">
      <c r="A77" s="1" t="str">
        <f t="shared" si="114"/>
        <v>20171116</v>
      </c>
      <c r="B77" s="1" t="str">
        <f>"10:35:18"</f>
        <v>10:35:18</v>
      </c>
      <c r="C77" s="1" t="str">
        <f t="shared" si="115"/>
        <v>600732</v>
      </c>
      <c r="D77" s="1" t="str">
        <f t="shared" si="116"/>
        <v>ST新梅</v>
      </c>
      <c r="E77" s="1" t="str">
        <f t="shared" ref="E77:E82" si="122">"买入"</f>
        <v>买入</v>
      </c>
      <c r="F77" s="1" t="str">
        <f>"8.870"</f>
        <v>8.870</v>
      </c>
      <c r="G77" s="1" t="str">
        <f>"200.00"</f>
        <v>200.00</v>
      </c>
      <c r="H77" s="1" t="str">
        <f t="shared" si="112"/>
        <v>A850418317</v>
      </c>
      <c r="I77" s="1" t="str">
        <f>"1774.00"</f>
        <v>1774.00</v>
      </c>
      <c r="J77" s="1" t="str">
        <f t="shared" si="117"/>
        <v>5.00</v>
      </c>
      <c r="K77" s="1" t="str">
        <f t="shared" ref="K77:K82" si="123">"0.00"</f>
        <v>0.00</v>
      </c>
      <c r="L77" s="1" t="str">
        <f>"0.04"</f>
        <v>0.04</v>
      </c>
      <c r="M77" s="1" t="str">
        <f t="shared" si="106"/>
        <v>0.00</v>
      </c>
      <c r="N77" s="1" t="str">
        <f t="shared" si="118"/>
        <v>证券买入</v>
      </c>
    </row>
    <row r="78" spans="1:14">
      <c r="A78" s="1" t="str">
        <f t="shared" si="114"/>
        <v>20171116</v>
      </c>
      <c r="B78" s="1" t="str">
        <f>"13:14:56"</f>
        <v>13:14:56</v>
      </c>
      <c r="C78" s="1" t="str">
        <f t="shared" si="115"/>
        <v>600732</v>
      </c>
      <c r="D78" s="1" t="str">
        <f t="shared" si="116"/>
        <v>ST新梅</v>
      </c>
      <c r="E78" s="1" t="str">
        <f t="shared" si="122"/>
        <v>买入</v>
      </c>
      <c r="F78" s="1" t="str">
        <f>"9.030"</f>
        <v>9.030</v>
      </c>
      <c r="G78" s="1" t="str">
        <f>"1000.00"</f>
        <v>1000.00</v>
      </c>
      <c r="H78" s="1" t="str">
        <f t="shared" si="112"/>
        <v>A850418317</v>
      </c>
      <c r="I78" s="1" t="str">
        <f>"9030.00"</f>
        <v>9030.00</v>
      </c>
      <c r="J78" s="1" t="str">
        <f t="shared" si="117"/>
        <v>5.00</v>
      </c>
      <c r="K78" s="1" t="str">
        <f t="shared" si="123"/>
        <v>0.00</v>
      </c>
      <c r="L78" s="1" t="str">
        <f>"0.18"</f>
        <v>0.18</v>
      </c>
      <c r="M78" s="1" t="str">
        <f t="shared" si="106"/>
        <v>0.00</v>
      </c>
      <c r="N78" s="1" t="str">
        <f t="shared" si="118"/>
        <v>证券买入</v>
      </c>
    </row>
    <row r="79" spans="1:14">
      <c r="A79" s="1" t="str">
        <f t="shared" si="114"/>
        <v>20171116</v>
      </c>
      <c r="B79" s="1" t="str">
        <f>"14:30:39"</f>
        <v>14:30:39</v>
      </c>
      <c r="C79" s="1" t="str">
        <f>"600703"</f>
        <v>600703</v>
      </c>
      <c r="D79" s="1" t="str">
        <f>"三安光电"</f>
        <v>三安光电</v>
      </c>
      <c r="E79" s="1" t="str">
        <f t="shared" si="119"/>
        <v>卖出</v>
      </c>
      <c r="F79" s="1" t="str">
        <f>"27.360"</f>
        <v>27.360</v>
      </c>
      <c r="G79" s="1" t="str">
        <f>"-200.00"</f>
        <v>-200.00</v>
      </c>
      <c r="H79" s="1" t="str">
        <f t="shared" si="112"/>
        <v>A850418317</v>
      </c>
      <c r="I79" s="1" t="str">
        <f>"5472.00"</f>
        <v>5472.00</v>
      </c>
      <c r="J79" s="1" t="str">
        <f t="shared" si="117"/>
        <v>5.00</v>
      </c>
      <c r="K79" s="1" t="str">
        <f>"5.47"</f>
        <v>5.47</v>
      </c>
      <c r="L79" s="1" t="str">
        <f t="shared" si="120"/>
        <v>0.11</v>
      </c>
      <c r="M79" s="1" t="str">
        <f t="shared" si="106"/>
        <v>0.00</v>
      </c>
      <c r="N79" s="1" t="str">
        <f t="shared" si="121"/>
        <v>证券卖出</v>
      </c>
    </row>
    <row r="80" spans="1:14">
      <c r="A80" s="1" t="str">
        <f t="shared" si="114"/>
        <v>20171116</v>
      </c>
      <c r="B80" s="1" t="str">
        <f>"10:06:17"</f>
        <v>10:06:17</v>
      </c>
      <c r="C80" s="1" t="str">
        <f>"000725"</f>
        <v>000725</v>
      </c>
      <c r="D80" s="1" t="str">
        <f>"京东方Ａ"</f>
        <v>京东方Ａ</v>
      </c>
      <c r="E80" s="1" t="str">
        <f t="shared" si="119"/>
        <v>卖出</v>
      </c>
      <c r="F80" s="1" t="str">
        <f>"6.090"</f>
        <v>6.090</v>
      </c>
      <c r="G80" s="1" t="str">
        <f>"-900.00"</f>
        <v>-900.00</v>
      </c>
      <c r="H80" s="1" t="str">
        <f>"0104152129"</f>
        <v>0104152129</v>
      </c>
      <c r="I80" s="1" t="str">
        <f>"5481.00"</f>
        <v>5481.00</v>
      </c>
      <c r="J80" s="1" t="str">
        <f t="shared" si="117"/>
        <v>5.00</v>
      </c>
      <c r="K80" s="1" t="str">
        <f>"5.48"</f>
        <v>5.48</v>
      </c>
      <c r="L80" s="1" t="str">
        <f t="shared" si="120"/>
        <v>0.11</v>
      </c>
      <c r="M80" s="1" t="str">
        <f t="shared" si="106"/>
        <v>0.00</v>
      </c>
      <c r="N80" s="1" t="str">
        <f t="shared" si="121"/>
        <v>证券卖出</v>
      </c>
    </row>
    <row r="81" spans="1:14">
      <c r="A81" s="1" t="str">
        <f t="shared" si="114"/>
        <v>20171116</v>
      </c>
      <c r="B81" s="1" t="str">
        <f>"14:31:03"</f>
        <v>14:31:03</v>
      </c>
      <c r="C81" s="1" t="str">
        <f>"000533"</f>
        <v>000533</v>
      </c>
      <c r="D81" s="1" t="str">
        <f>"万 家 乐"</f>
        <v>万 家 乐</v>
      </c>
      <c r="E81" s="1" t="str">
        <f t="shared" si="122"/>
        <v>买入</v>
      </c>
      <c r="F81" s="1" t="str">
        <f>"9.440"</f>
        <v>9.440</v>
      </c>
      <c r="G81" s="1" t="str">
        <f>"600.00"</f>
        <v>600.00</v>
      </c>
      <c r="H81" s="1" t="str">
        <f>"0104152129"</f>
        <v>0104152129</v>
      </c>
      <c r="I81" s="1" t="str">
        <f>"5664.00"</f>
        <v>5664.00</v>
      </c>
      <c r="J81" s="1" t="str">
        <f t="shared" si="117"/>
        <v>5.00</v>
      </c>
      <c r="K81" s="1" t="str">
        <f t="shared" si="123"/>
        <v>0.00</v>
      </c>
      <c r="L81" s="1" t="str">
        <f t="shared" si="120"/>
        <v>0.11</v>
      </c>
      <c r="M81" s="1" t="str">
        <f t="shared" si="106"/>
        <v>0.00</v>
      </c>
      <c r="N81" s="1" t="str">
        <f>"证券买入"</f>
        <v>证券买入</v>
      </c>
    </row>
    <row r="82" spans="1:14">
      <c r="A82" s="1" t="str">
        <f t="shared" si="114"/>
        <v>20171116</v>
      </c>
      <c r="B82" s="1" t="str">
        <f>"23:30:58"</f>
        <v>23:30:58</v>
      </c>
      <c r="C82" s="1" t="str">
        <f>"736809"</f>
        <v>736809</v>
      </c>
      <c r="D82" s="1" t="str">
        <f>"豪能配号"</f>
        <v>豪能配号</v>
      </c>
      <c r="E82" s="1" t="str">
        <f t="shared" si="122"/>
        <v>买入</v>
      </c>
      <c r="F82" s="1" t="str">
        <f>"0.000"</f>
        <v>0.000</v>
      </c>
      <c r="G82" s="1" t="str">
        <f>"1.00"</f>
        <v>1.00</v>
      </c>
      <c r="H82" s="1" t="str">
        <f t="shared" ref="H82:H86" si="124">"A850418317"</f>
        <v>A850418317</v>
      </c>
      <c r="I82" s="1" t="str">
        <f t="shared" ref="I82:L82" si="125">"0.00"</f>
        <v>0.00</v>
      </c>
      <c r="J82" s="1" t="str">
        <f t="shared" si="125"/>
        <v>0.00</v>
      </c>
      <c r="K82" s="1" t="str">
        <f t="shared" si="123"/>
        <v>0.00</v>
      </c>
      <c r="L82" s="1" t="str">
        <f t="shared" si="125"/>
        <v>0.00</v>
      </c>
      <c r="M82" s="1" t="str">
        <f t="shared" si="106"/>
        <v>0.00</v>
      </c>
      <c r="N82" s="1" t="str">
        <f>"起始配号:100011132721"</f>
        <v>起始配号:100011132721</v>
      </c>
    </row>
    <row r="83" spans="1:14">
      <c r="A83" s="1" t="str">
        <f t="shared" ref="A83:A89" si="126">"20171117"</f>
        <v>20171117</v>
      </c>
      <c r="B83" s="1" t="str">
        <f>"14:13:48"</f>
        <v>14:13:48</v>
      </c>
      <c r="C83" s="1" t="str">
        <f>"600703"</f>
        <v>600703</v>
      </c>
      <c r="D83" s="1" t="str">
        <f>"三安光电"</f>
        <v>三安光电</v>
      </c>
      <c r="E83" s="1" t="str">
        <f t="shared" ref="E83:E87" si="127">"卖出"</f>
        <v>卖出</v>
      </c>
      <c r="F83" s="1" t="str">
        <f>"26.580"</f>
        <v>26.580</v>
      </c>
      <c r="G83" s="1" t="str">
        <f>"-300.00"</f>
        <v>-300.00</v>
      </c>
      <c r="H83" s="1" t="str">
        <f t="shared" si="124"/>
        <v>A850418317</v>
      </c>
      <c r="I83" s="1" t="str">
        <f>"7974.00"</f>
        <v>7974.00</v>
      </c>
      <c r="J83" s="1" t="str">
        <f t="shared" ref="J83:J91" si="128">"5.00"</f>
        <v>5.00</v>
      </c>
      <c r="K83" s="1" t="str">
        <f>"7.98"</f>
        <v>7.98</v>
      </c>
      <c r="L83" s="1" t="str">
        <f>"0.16"</f>
        <v>0.16</v>
      </c>
      <c r="M83" s="1" t="str">
        <f t="shared" si="106"/>
        <v>0.00</v>
      </c>
      <c r="N83" s="1" t="str">
        <f t="shared" ref="N83:N87" si="129">"证券卖出"</f>
        <v>证券卖出</v>
      </c>
    </row>
    <row r="84" spans="1:14">
      <c r="A84" s="1" t="str">
        <f t="shared" si="126"/>
        <v>20171117</v>
      </c>
      <c r="B84" s="1" t="str">
        <f>"14:24:58"</f>
        <v>14:24:58</v>
      </c>
      <c r="C84" s="1" t="str">
        <f t="shared" ref="C84:C86" si="130">"600732"</f>
        <v>600732</v>
      </c>
      <c r="D84" s="1" t="str">
        <f t="shared" ref="D84:D86" si="131">"ST新梅"</f>
        <v>ST新梅</v>
      </c>
      <c r="E84" s="1" t="str">
        <f t="shared" si="127"/>
        <v>卖出</v>
      </c>
      <c r="F84" s="1" t="str">
        <f>"8.640"</f>
        <v>8.640</v>
      </c>
      <c r="G84" s="1" t="str">
        <f>"-1200.00"</f>
        <v>-1200.00</v>
      </c>
      <c r="H84" s="1" t="str">
        <f t="shared" si="124"/>
        <v>A850418317</v>
      </c>
      <c r="I84" s="1" t="str">
        <f>"10368.00"</f>
        <v>10368.00</v>
      </c>
      <c r="J84" s="1" t="str">
        <f t="shared" si="128"/>
        <v>5.00</v>
      </c>
      <c r="K84" s="1" t="str">
        <f>"10.37"</f>
        <v>10.37</v>
      </c>
      <c r="L84" s="1" t="str">
        <f>"0.21"</f>
        <v>0.21</v>
      </c>
      <c r="M84" s="1" t="str">
        <f t="shared" si="106"/>
        <v>0.00</v>
      </c>
      <c r="N84" s="1" t="str">
        <f t="shared" si="129"/>
        <v>证券卖出</v>
      </c>
    </row>
    <row r="85" spans="1:14">
      <c r="A85" s="1" t="str">
        <f t="shared" si="126"/>
        <v>20171117</v>
      </c>
      <c r="B85" s="1" t="str">
        <f>"14:25:29"</f>
        <v>14:25:29</v>
      </c>
      <c r="C85" s="1" t="str">
        <f t="shared" si="130"/>
        <v>600732</v>
      </c>
      <c r="D85" s="1" t="str">
        <f t="shared" si="131"/>
        <v>ST新梅</v>
      </c>
      <c r="E85" s="1" t="str">
        <f t="shared" si="127"/>
        <v>卖出</v>
      </c>
      <c r="F85" s="1" t="str">
        <f>"8.610"</f>
        <v>8.610</v>
      </c>
      <c r="G85" s="1" t="str">
        <f t="shared" ref="G85:G87" si="132">"-600.00"</f>
        <v>-600.00</v>
      </c>
      <c r="H85" s="1" t="str">
        <f t="shared" si="124"/>
        <v>A850418317</v>
      </c>
      <c r="I85" s="1" t="str">
        <f>"5166.00"</f>
        <v>5166.00</v>
      </c>
      <c r="J85" s="1" t="str">
        <f t="shared" si="128"/>
        <v>5.00</v>
      </c>
      <c r="K85" s="1" t="str">
        <f>"5.17"</f>
        <v>5.17</v>
      </c>
      <c r="L85" s="1" t="str">
        <f t="shared" ref="L85:L88" si="133">"0.10"</f>
        <v>0.10</v>
      </c>
      <c r="M85" s="1" t="str">
        <f t="shared" si="106"/>
        <v>0.00</v>
      </c>
      <c r="N85" s="1" t="str">
        <f t="shared" si="129"/>
        <v>证券卖出</v>
      </c>
    </row>
    <row r="86" spans="1:14">
      <c r="A86" s="1" t="str">
        <f t="shared" si="126"/>
        <v>20171117</v>
      </c>
      <c r="B86" s="1" t="str">
        <f>"14:31:48"</f>
        <v>14:31:48</v>
      </c>
      <c r="C86" s="1" t="str">
        <f t="shared" si="130"/>
        <v>600732</v>
      </c>
      <c r="D86" s="1" t="str">
        <f t="shared" si="131"/>
        <v>ST新梅</v>
      </c>
      <c r="E86" s="1" t="str">
        <f t="shared" si="127"/>
        <v>卖出</v>
      </c>
      <c r="F86" s="1" t="str">
        <f>"8.560"</f>
        <v>8.560</v>
      </c>
      <c r="G86" s="1" t="str">
        <f t="shared" si="132"/>
        <v>-600.00</v>
      </c>
      <c r="H86" s="1" t="str">
        <f t="shared" si="124"/>
        <v>A850418317</v>
      </c>
      <c r="I86" s="1" t="str">
        <f>"5136.00"</f>
        <v>5136.00</v>
      </c>
      <c r="J86" s="1" t="str">
        <f t="shared" si="128"/>
        <v>5.00</v>
      </c>
      <c r="K86" s="1" t="str">
        <f>"5.14"</f>
        <v>5.14</v>
      </c>
      <c r="L86" s="1" t="str">
        <f t="shared" si="133"/>
        <v>0.10</v>
      </c>
      <c r="M86" s="1" t="str">
        <f t="shared" si="106"/>
        <v>0.00</v>
      </c>
      <c r="N86" s="1" t="str">
        <f t="shared" si="129"/>
        <v>证券卖出</v>
      </c>
    </row>
    <row r="87" spans="1:14">
      <c r="A87" s="1" t="str">
        <f t="shared" si="126"/>
        <v>20171117</v>
      </c>
      <c r="B87" s="1" t="str">
        <f>"09:25:00"</f>
        <v>09:25:00</v>
      </c>
      <c r="C87" s="1" t="str">
        <f>"000533"</f>
        <v>000533</v>
      </c>
      <c r="D87" s="1" t="str">
        <f>"万 家 乐"</f>
        <v>万 家 乐</v>
      </c>
      <c r="E87" s="1" t="str">
        <f t="shared" si="127"/>
        <v>卖出</v>
      </c>
      <c r="F87" s="1" t="str">
        <f>"9.520"</f>
        <v>9.520</v>
      </c>
      <c r="G87" s="1" t="str">
        <f t="shared" si="132"/>
        <v>-600.00</v>
      </c>
      <c r="H87" s="1" t="str">
        <f t="shared" ref="H87:H92" si="134">"0104152129"</f>
        <v>0104152129</v>
      </c>
      <c r="I87" s="1" t="str">
        <f>"5712.00"</f>
        <v>5712.00</v>
      </c>
      <c r="J87" s="1" t="str">
        <f t="shared" si="128"/>
        <v>5.00</v>
      </c>
      <c r="K87" s="1" t="str">
        <f>"5.71"</f>
        <v>5.71</v>
      </c>
      <c r="L87" s="1" t="str">
        <f>"0.11"</f>
        <v>0.11</v>
      </c>
      <c r="M87" s="1" t="str">
        <f t="shared" si="106"/>
        <v>0.00</v>
      </c>
      <c r="N87" s="1" t="str">
        <f t="shared" si="129"/>
        <v>证券卖出</v>
      </c>
    </row>
    <row r="88" spans="1:14">
      <c r="A88" s="1" t="str">
        <f t="shared" si="126"/>
        <v>20171117</v>
      </c>
      <c r="B88" s="1" t="str">
        <f>"09:30:34"</f>
        <v>09:30:34</v>
      </c>
      <c r="C88" s="1" t="str">
        <f>"000553"</f>
        <v>000553</v>
      </c>
      <c r="D88" s="1" t="str">
        <f>"沙隆达Ａ"</f>
        <v>沙隆达Ａ</v>
      </c>
      <c r="E88" s="1" t="str">
        <f t="shared" ref="E88:E100" si="135">"买入"</f>
        <v>买入</v>
      </c>
      <c r="F88" s="1" t="str">
        <f>"16.850"</f>
        <v>16.850</v>
      </c>
      <c r="G88" s="1" t="str">
        <f>"300.00"</f>
        <v>300.00</v>
      </c>
      <c r="H88" s="1" t="str">
        <f t="shared" si="134"/>
        <v>0104152129</v>
      </c>
      <c r="I88" s="1" t="str">
        <f>"5055.00"</f>
        <v>5055.00</v>
      </c>
      <c r="J88" s="1" t="str">
        <f t="shared" si="128"/>
        <v>5.00</v>
      </c>
      <c r="K88" s="1" t="str">
        <f t="shared" ref="K88:K101" si="136">"0.00"</f>
        <v>0.00</v>
      </c>
      <c r="L88" s="1" t="str">
        <f t="shared" si="133"/>
        <v>0.10</v>
      </c>
      <c r="M88" s="1" t="str">
        <f t="shared" si="106"/>
        <v>0.00</v>
      </c>
      <c r="N88" s="1" t="str">
        <f t="shared" ref="N88:N95" si="137">"证券买入"</f>
        <v>证券买入</v>
      </c>
    </row>
    <row r="89" spans="1:14">
      <c r="A89" s="1" t="str">
        <f t="shared" si="126"/>
        <v>20171117</v>
      </c>
      <c r="B89" s="1" t="str">
        <f>"14:47:45"</f>
        <v>14:47:45</v>
      </c>
      <c r="C89" s="1" t="str">
        <f>"002061"</f>
        <v>002061</v>
      </c>
      <c r="D89" s="1" t="str">
        <f>"江山化工"</f>
        <v>江山化工</v>
      </c>
      <c r="E89" s="1" t="str">
        <f t="shared" si="135"/>
        <v>买入</v>
      </c>
      <c r="F89" s="1" t="str">
        <f>"14.140"</f>
        <v>14.140</v>
      </c>
      <c r="G89" s="1" t="str">
        <f>"200.00"</f>
        <v>200.00</v>
      </c>
      <c r="H89" s="1" t="str">
        <f t="shared" si="134"/>
        <v>0104152129</v>
      </c>
      <c r="I89" s="1" t="str">
        <f>"2828.00"</f>
        <v>2828.00</v>
      </c>
      <c r="J89" s="1" t="str">
        <f t="shared" si="128"/>
        <v>5.00</v>
      </c>
      <c r="K89" s="1" t="str">
        <f t="shared" si="136"/>
        <v>0.00</v>
      </c>
      <c r="L89" s="1" t="str">
        <f>"0.06"</f>
        <v>0.06</v>
      </c>
      <c r="M89" s="1" t="str">
        <f t="shared" si="106"/>
        <v>0.00</v>
      </c>
      <c r="N89" s="1" t="str">
        <f t="shared" si="137"/>
        <v>证券买入</v>
      </c>
    </row>
    <row r="90" spans="1:14">
      <c r="A90" s="1" t="str">
        <f t="shared" ref="A90:A92" si="138">"20171120"</f>
        <v>20171120</v>
      </c>
      <c r="B90" s="1" t="str">
        <f>"09:32:22"</f>
        <v>09:32:22</v>
      </c>
      <c r="C90" s="1" t="str">
        <f>"000553"</f>
        <v>000553</v>
      </c>
      <c r="D90" s="1" t="str">
        <f>"沙隆达Ａ"</f>
        <v>沙隆达Ａ</v>
      </c>
      <c r="E90" s="1" t="str">
        <f t="shared" ref="E90:E92" si="139">"卖出"</f>
        <v>卖出</v>
      </c>
      <c r="F90" s="1" t="str">
        <f>"15.950"</f>
        <v>15.950</v>
      </c>
      <c r="G90" s="1" t="str">
        <f>"-800.00"</f>
        <v>-800.00</v>
      </c>
      <c r="H90" s="1" t="str">
        <f t="shared" si="134"/>
        <v>0104152129</v>
      </c>
      <c r="I90" s="1" t="str">
        <f>"12760.00"</f>
        <v>12760.00</v>
      </c>
      <c r="J90" s="1" t="str">
        <f t="shared" si="128"/>
        <v>5.00</v>
      </c>
      <c r="K90" s="1" t="str">
        <f>"12.77"</f>
        <v>12.77</v>
      </c>
      <c r="L90" s="1" t="str">
        <f>"0.26"</f>
        <v>0.26</v>
      </c>
      <c r="M90" s="1" t="str">
        <f t="shared" si="106"/>
        <v>0.00</v>
      </c>
      <c r="N90" s="1" t="str">
        <f>"证券卖出"</f>
        <v>证券卖出</v>
      </c>
    </row>
    <row r="91" spans="1:14">
      <c r="A91" s="1" t="str">
        <f t="shared" si="138"/>
        <v>20171120</v>
      </c>
      <c r="B91" s="1" t="str">
        <f>"09:32:40"</f>
        <v>09:32:40</v>
      </c>
      <c r="C91" s="1" t="str">
        <f>"002061"</f>
        <v>002061</v>
      </c>
      <c r="D91" s="1" t="str">
        <f>"江山化工"</f>
        <v>江山化工</v>
      </c>
      <c r="E91" s="1" t="str">
        <f t="shared" si="139"/>
        <v>卖出</v>
      </c>
      <c r="F91" s="1" t="str">
        <f>"13.710"</f>
        <v>13.710</v>
      </c>
      <c r="G91" s="1" t="str">
        <f>"-200.00"</f>
        <v>-200.00</v>
      </c>
      <c r="H91" s="1" t="str">
        <f t="shared" si="134"/>
        <v>0104152129</v>
      </c>
      <c r="I91" s="1" t="str">
        <f>"2742.00"</f>
        <v>2742.00</v>
      </c>
      <c r="J91" s="1" t="str">
        <f t="shared" si="128"/>
        <v>5.00</v>
      </c>
      <c r="K91" s="1" t="str">
        <f>"2.74"</f>
        <v>2.74</v>
      </c>
      <c r="L91" s="1" t="str">
        <f>"0.05"</f>
        <v>0.05</v>
      </c>
      <c r="M91" s="1" t="str">
        <f t="shared" si="106"/>
        <v>0.00</v>
      </c>
      <c r="N91" s="1" t="str">
        <f>"证券卖出"</f>
        <v>证券卖出</v>
      </c>
    </row>
    <row r="92" spans="1:14">
      <c r="A92" s="1" t="str">
        <f t="shared" si="138"/>
        <v>20171120</v>
      </c>
      <c r="B92" s="1" t="str">
        <f>"10:00:09"</f>
        <v>10:00:09</v>
      </c>
      <c r="C92" s="1" t="str">
        <f>"131801"</f>
        <v>131801</v>
      </c>
      <c r="D92" s="1" t="str">
        <f>"Ｒ-007"</f>
        <v>Ｒ-007</v>
      </c>
      <c r="E92" s="1" t="str">
        <f t="shared" si="139"/>
        <v>卖出</v>
      </c>
      <c r="F92" s="1" t="str">
        <f>"4.048"</f>
        <v>4.048</v>
      </c>
      <c r="G92" s="1" t="str">
        <f>"300.00"</f>
        <v>300.00</v>
      </c>
      <c r="H92" s="1" t="str">
        <f t="shared" si="134"/>
        <v>0104152129</v>
      </c>
      <c r="I92" s="1" t="str">
        <f>"30000.00"</f>
        <v>30000.00</v>
      </c>
      <c r="J92" s="1" t="str">
        <f>"1.50"</f>
        <v>1.50</v>
      </c>
      <c r="K92" s="1" t="str">
        <f t="shared" si="136"/>
        <v>0.00</v>
      </c>
      <c r="L92" s="1" t="str">
        <f>"0.00"</f>
        <v>0.00</v>
      </c>
      <c r="M92" s="1" t="str">
        <f t="shared" si="106"/>
        <v>0.00</v>
      </c>
      <c r="N92" s="1" t="str">
        <f>"融券回购购回日:20171127预计利息:23.29-131990"</f>
        <v>融券回购购回日:20171127预计利息:23.29-131990</v>
      </c>
    </row>
    <row r="93" spans="1:14">
      <c r="A93" s="1" t="str">
        <f t="shared" ref="A93:A97" si="140">"20171121"</f>
        <v>20171121</v>
      </c>
      <c r="B93" s="1" t="str">
        <f>"09:43:29"</f>
        <v>09:43:29</v>
      </c>
      <c r="C93" s="1" t="str">
        <f>"600699"</f>
        <v>600699</v>
      </c>
      <c r="D93" s="1" t="str">
        <f>"均胜电子"</f>
        <v>均胜电子</v>
      </c>
      <c r="E93" s="1" t="str">
        <f t="shared" si="135"/>
        <v>买入</v>
      </c>
      <c r="F93" s="1" t="str">
        <f>"39.370"</f>
        <v>39.370</v>
      </c>
      <c r="G93" s="1" t="str">
        <f t="shared" ref="G93:G95" si="141">"100.00"</f>
        <v>100.00</v>
      </c>
      <c r="H93" s="1" t="str">
        <f t="shared" ref="H93:H98" si="142">"A850418317"</f>
        <v>A850418317</v>
      </c>
      <c r="I93" s="1" t="str">
        <f>"3937.00"</f>
        <v>3937.00</v>
      </c>
      <c r="J93" s="1" t="str">
        <f t="shared" ref="J93:J95" si="143">"5.00"</f>
        <v>5.00</v>
      </c>
      <c r="K93" s="1" t="str">
        <f t="shared" si="136"/>
        <v>0.00</v>
      </c>
      <c r="L93" s="1" t="str">
        <f>"0.08"</f>
        <v>0.08</v>
      </c>
      <c r="M93" s="1" t="str">
        <f t="shared" si="106"/>
        <v>0.00</v>
      </c>
      <c r="N93" s="1" t="str">
        <f t="shared" si="137"/>
        <v>证券买入</v>
      </c>
    </row>
    <row r="94" spans="1:14">
      <c r="A94" s="1" t="str">
        <f t="shared" si="140"/>
        <v>20171121</v>
      </c>
      <c r="B94" s="1" t="str">
        <f>"10:04:26"</f>
        <v>10:04:26</v>
      </c>
      <c r="C94" s="1" t="str">
        <f>"600460"</f>
        <v>600460</v>
      </c>
      <c r="D94" s="1" t="str">
        <f>"士兰微"</f>
        <v>士兰微</v>
      </c>
      <c r="E94" s="1" t="str">
        <f t="shared" si="135"/>
        <v>买入</v>
      </c>
      <c r="F94" s="1" t="str">
        <f>"11.140"</f>
        <v>11.140</v>
      </c>
      <c r="G94" s="1" t="str">
        <f t="shared" si="141"/>
        <v>100.00</v>
      </c>
      <c r="H94" s="1" t="str">
        <f t="shared" si="142"/>
        <v>A850418317</v>
      </c>
      <c r="I94" s="1" t="str">
        <f>"1114.00"</f>
        <v>1114.00</v>
      </c>
      <c r="J94" s="1" t="str">
        <f t="shared" si="143"/>
        <v>5.00</v>
      </c>
      <c r="K94" s="1" t="str">
        <f t="shared" si="136"/>
        <v>0.00</v>
      </c>
      <c r="L94" s="1" t="str">
        <f>"0.02"</f>
        <v>0.02</v>
      </c>
      <c r="M94" s="1" t="str">
        <f t="shared" si="106"/>
        <v>0.00</v>
      </c>
      <c r="N94" s="1" t="str">
        <f t="shared" si="137"/>
        <v>证券买入</v>
      </c>
    </row>
    <row r="95" spans="1:14">
      <c r="A95" s="1" t="str">
        <f t="shared" si="140"/>
        <v>20171121</v>
      </c>
      <c r="B95" s="1" t="str">
        <f>"09:51:04"</f>
        <v>09:51:04</v>
      </c>
      <c r="C95" s="1" t="str">
        <f>"000553"</f>
        <v>000553</v>
      </c>
      <c r="D95" s="1" t="str">
        <f>"沙隆达Ａ"</f>
        <v>沙隆达Ａ</v>
      </c>
      <c r="E95" s="1" t="str">
        <f t="shared" si="135"/>
        <v>买入</v>
      </c>
      <c r="F95" s="1" t="str">
        <f>"16.530"</f>
        <v>16.530</v>
      </c>
      <c r="G95" s="1" t="str">
        <f t="shared" si="141"/>
        <v>100.00</v>
      </c>
      <c r="H95" s="1" t="str">
        <f t="shared" ref="H95:H101" si="144">"0104152129"</f>
        <v>0104152129</v>
      </c>
      <c r="I95" s="1" t="str">
        <f>"1653.00"</f>
        <v>1653.00</v>
      </c>
      <c r="J95" s="1" t="str">
        <f t="shared" si="143"/>
        <v>5.00</v>
      </c>
      <c r="K95" s="1" t="str">
        <f t="shared" si="136"/>
        <v>0.00</v>
      </c>
      <c r="L95" s="1" t="str">
        <f>"0.03"</f>
        <v>0.03</v>
      </c>
      <c r="M95" s="1" t="str">
        <f t="shared" si="106"/>
        <v>0.00</v>
      </c>
      <c r="N95" s="1" t="str">
        <f t="shared" si="137"/>
        <v>证券买入</v>
      </c>
    </row>
    <row r="96" spans="1:14">
      <c r="A96" s="1" t="str">
        <f t="shared" si="140"/>
        <v>20171121</v>
      </c>
      <c r="B96" s="1" t="str">
        <f>"22:07:43"</f>
        <v>22:07:43</v>
      </c>
      <c r="C96" s="1" t="str">
        <f>"736848"</f>
        <v>736848</v>
      </c>
      <c r="D96" s="1" t="str">
        <f>"好太配号"</f>
        <v>好太配号</v>
      </c>
      <c r="E96" s="1" t="str">
        <f t="shared" si="135"/>
        <v>买入</v>
      </c>
      <c r="F96" s="1" t="str">
        <f t="shared" ref="F96:F98" si="145">"0.000"</f>
        <v>0.000</v>
      </c>
      <c r="G96" s="1" t="str">
        <f>"2.00"</f>
        <v>2.00</v>
      </c>
      <c r="H96" s="1" t="str">
        <f t="shared" si="142"/>
        <v>A850418317</v>
      </c>
      <c r="I96" s="1" t="str">
        <f t="shared" ref="I96:L96" si="146">"0.00"</f>
        <v>0.00</v>
      </c>
      <c r="J96" s="1" t="str">
        <f t="shared" si="146"/>
        <v>0.00</v>
      </c>
      <c r="K96" s="1" t="str">
        <f t="shared" si="136"/>
        <v>0.00</v>
      </c>
      <c r="L96" s="1" t="str">
        <f t="shared" si="146"/>
        <v>0.00</v>
      </c>
      <c r="M96" s="1" t="str">
        <f t="shared" si="106"/>
        <v>0.00</v>
      </c>
      <c r="N96" s="1" t="str">
        <f>"起始配号:100008754192"</f>
        <v>起始配号:100008754192</v>
      </c>
    </row>
    <row r="97" spans="1:14">
      <c r="A97" s="1" t="str">
        <f t="shared" si="140"/>
        <v>20171121</v>
      </c>
      <c r="B97" s="1" t="str">
        <f>"22:08:09"</f>
        <v>22:08:09</v>
      </c>
      <c r="C97" s="1" t="str">
        <f>"736711"</f>
        <v>736711</v>
      </c>
      <c r="D97" s="1" t="str">
        <f>"香飘配号"</f>
        <v>香飘配号</v>
      </c>
      <c r="E97" s="1" t="str">
        <f t="shared" si="135"/>
        <v>买入</v>
      </c>
      <c r="F97" s="1" t="str">
        <f t="shared" si="145"/>
        <v>0.000</v>
      </c>
      <c r="G97" s="1" t="str">
        <f>"2.00"</f>
        <v>2.00</v>
      </c>
      <c r="H97" s="1" t="str">
        <f t="shared" si="142"/>
        <v>A850418317</v>
      </c>
      <c r="I97" s="1" t="str">
        <f t="shared" ref="I97:L97" si="147">"0.00"</f>
        <v>0.00</v>
      </c>
      <c r="J97" s="1" t="str">
        <f t="shared" si="147"/>
        <v>0.00</v>
      </c>
      <c r="K97" s="1" t="str">
        <f t="shared" si="136"/>
        <v>0.00</v>
      </c>
      <c r="L97" s="1" t="str">
        <f t="shared" si="147"/>
        <v>0.00</v>
      </c>
      <c r="M97" s="1" t="str">
        <f t="shared" si="106"/>
        <v>0.00</v>
      </c>
      <c r="N97" s="1" t="str">
        <f>"起始配号:100007855780"</f>
        <v>起始配号:100007855780</v>
      </c>
    </row>
    <row r="98" spans="1:14">
      <c r="A98" s="1" t="str">
        <f>"20171122"</f>
        <v>20171122</v>
      </c>
      <c r="B98" s="1" t="str">
        <f>"23:13:25"</f>
        <v>23:13:25</v>
      </c>
      <c r="C98" s="1" t="str">
        <f>"736917"</f>
        <v>736917</v>
      </c>
      <c r="D98" s="1" t="str">
        <f>"合力配号"</f>
        <v>合力配号</v>
      </c>
      <c r="E98" s="1" t="str">
        <f t="shared" si="135"/>
        <v>买入</v>
      </c>
      <c r="F98" s="1" t="str">
        <f t="shared" si="145"/>
        <v>0.000</v>
      </c>
      <c r="G98" s="1" t="str">
        <f>"1.00"</f>
        <v>1.00</v>
      </c>
      <c r="H98" s="1" t="str">
        <f t="shared" si="142"/>
        <v>A850418317</v>
      </c>
      <c r="I98" s="1" t="str">
        <f t="shared" ref="I98:L98" si="148">"0.00"</f>
        <v>0.00</v>
      </c>
      <c r="J98" s="1" t="str">
        <f t="shared" si="148"/>
        <v>0.00</v>
      </c>
      <c r="K98" s="1" t="str">
        <f t="shared" si="136"/>
        <v>0.00</v>
      </c>
      <c r="L98" s="1" t="str">
        <f t="shared" si="148"/>
        <v>0.00</v>
      </c>
      <c r="M98" s="1" t="str">
        <f t="shared" si="106"/>
        <v>0.00</v>
      </c>
      <c r="N98" s="1" t="str">
        <f>"起始配号:100003644647"</f>
        <v>起始配号:100003644647</v>
      </c>
    </row>
    <row r="99" spans="1:14">
      <c r="A99" s="1" t="str">
        <f t="shared" ref="A99:A101" si="149">"20171127"</f>
        <v>20171127</v>
      </c>
      <c r="B99" s="1" t="str">
        <f>"09:25:00"</f>
        <v>09:25:00</v>
      </c>
      <c r="C99" s="1" t="str">
        <f>"002558"</f>
        <v>002558</v>
      </c>
      <c r="D99" s="1" t="str">
        <f>"巨人网络"</f>
        <v>巨人网络</v>
      </c>
      <c r="E99" s="1" t="str">
        <f t="shared" si="135"/>
        <v>买入</v>
      </c>
      <c r="F99" s="1" t="str">
        <f>"41.800"</f>
        <v>41.800</v>
      </c>
      <c r="G99" s="1" t="str">
        <f>"100.00"</f>
        <v>100.00</v>
      </c>
      <c r="H99" s="1" t="str">
        <f t="shared" si="144"/>
        <v>0104152129</v>
      </c>
      <c r="I99" s="1" t="str">
        <f>"4180.00"</f>
        <v>4180.00</v>
      </c>
      <c r="J99" s="1" t="str">
        <f t="shared" ref="J99:J115" si="150">"5.00"</f>
        <v>5.00</v>
      </c>
      <c r="K99" s="1" t="str">
        <f t="shared" si="136"/>
        <v>0.00</v>
      </c>
      <c r="L99" s="1" t="str">
        <f>"0.08"</f>
        <v>0.08</v>
      </c>
      <c r="M99" s="1" t="str">
        <f t="shared" si="106"/>
        <v>0.00</v>
      </c>
      <c r="N99" s="1" t="str">
        <f t="shared" ref="N99:N107" si="151">"证券买入"</f>
        <v>证券买入</v>
      </c>
    </row>
    <row r="100" spans="1:14">
      <c r="A100" s="1" t="str">
        <f t="shared" si="149"/>
        <v>20171127</v>
      </c>
      <c r="B100" s="1" t="str">
        <f>"09:47:29"</f>
        <v>09:47:29</v>
      </c>
      <c r="C100" s="1" t="str">
        <f>"000856"</f>
        <v>000856</v>
      </c>
      <c r="D100" s="1" t="str">
        <f>"冀东装备"</f>
        <v>冀东装备</v>
      </c>
      <c r="E100" s="1" t="str">
        <f t="shared" si="135"/>
        <v>买入</v>
      </c>
      <c r="F100" s="1" t="str">
        <f>"19.270"</f>
        <v>19.270</v>
      </c>
      <c r="G100" s="1" t="str">
        <f t="shared" ref="G100:G105" si="152">"200.00"</f>
        <v>200.00</v>
      </c>
      <c r="H100" s="1" t="str">
        <f t="shared" si="144"/>
        <v>0104152129</v>
      </c>
      <c r="I100" s="1" t="str">
        <f>"3854.00"</f>
        <v>3854.00</v>
      </c>
      <c r="J100" s="1" t="str">
        <f t="shared" si="150"/>
        <v>5.00</v>
      </c>
      <c r="K100" s="1" t="str">
        <f t="shared" si="136"/>
        <v>0.00</v>
      </c>
      <c r="L100" s="1" t="str">
        <f>"0.08"</f>
        <v>0.08</v>
      </c>
      <c r="M100" s="1" t="str">
        <f t="shared" si="106"/>
        <v>0.00</v>
      </c>
      <c r="N100" s="1" t="str">
        <f t="shared" si="151"/>
        <v>证券买入</v>
      </c>
    </row>
    <row r="101" spans="1:14">
      <c r="A101" s="1" t="str">
        <f t="shared" si="149"/>
        <v>20171127</v>
      </c>
      <c r="B101" s="1" t="str">
        <f>"19:29:31"</f>
        <v>19:29:31</v>
      </c>
      <c r="C101" s="1" t="str">
        <f>"131801"</f>
        <v>131801</v>
      </c>
      <c r="D101" s="1" t="str">
        <f>"Ｒ-007"</f>
        <v>Ｒ-007</v>
      </c>
      <c r="E101" s="1" t="str">
        <f t="shared" ref="E101:E103" si="153">"卖出"</f>
        <v>卖出</v>
      </c>
      <c r="F101" s="1" t="str">
        <f>"4.048"</f>
        <v>4.048</v>
      </c>
      <c r="G101" s="1" t="str">
        <f>"-300.00"</f>
        <v>-300.00</v>
      </c>
      <c r="H101" s="1" t="str">
        <f t="shared" si="144"/>
        <v>0104152129</v>
      </c>
      <c r="I101" s="1" t="str">
        <f>"30000.00"</f>
        <v>30000.00</v>
      </c>
      <c r="J101" s="1" t="str">
        <f>"0.00"</f>
        <v>0.00</v>
      </c>
      <c r="K101" s="1" t="str">
        <f t="shared" si="136"/>
        <v>0.00</v>
      </c>
      <c r="L101" s="1" t="str">
        <f>"0.00"</f>
        <v>0.00</v>
      </c>
      <c r="M101" s="1" t="str">
        <f t="shared" si="106"/>
        <v>0.00</v>
      </c>
      <c r="N101" s="1" t="str">
        <f>"融券购回:23.29-131990"</f>
        <v>融券购回:23.29-131990</v>
      </c>
    </row>
    <row r="102" spans="1:14">
      <c r="A102" s="1" t="str">
        <f t="shared" ref="A102:A116" si="154">"20171128"</f>
        <v>20171128</v>
      </c>
      <c r="B102" s="1" t="str">
        <f>"10:31:00"</f>
        <v>10:31:00</v>
      </c>
      <c r="C102" s="1" t="str">
        <f>"600699"</f>
        <v>600699</v>
      </c>
      <c r="D102" s="1" t="str">
        <f>"均胜电子"</f>
        <v>均胜电子</v>
      </c>
      <c r="E102" s="1" t="str">
        <f t="shared" si="153"/>
        <v>卖出</v>
      </c>
      <c r="F102" s="1" t="str">
        <f>"36.270"</f>
        <v>36.270</v>
      </c>
      <c r="G102" s="1" t="str">
        <f>"-100.00"</f>
        <v>-100.00</v>
      </c>
      <c r="H102" s="1" t="str">
        <f t="shared" ref="H102:H107" si="155">"A850418317"</f>
        <v>A850418317</v>
      </c>
      <c r="I102" s="1" t="str">
        <f>"3627.00"</f>
        <v>3627.00</v>
      </c>
      <c r="J102" s="1" t="str">
        <f t="shared" si="150"/>
        <v>5.00</v>
      </c>
      <c r="K102" s="1" t="str">
        <f>"3.63"</f>
        <v>3.63</v>
      </c>
      <c r="L102" s="1" t="str">
        <f t="shared" ref="L102:L107" si="156">"0.07"</f>
        <v>0.07</v>
      </c>
      <c r="M102" s="1" t="str">
        <f t="shared" si="106"/>
        <v>0.00</v>
      </c>
      <c r="N102" s="1" t="str">
        <f>"证券卖出"</f>
        <v>证券卖出</v>
      </c>
    </row>
    <row r="103" spans="1:14">
      <c r="A103" s="1" t="str">
        <f t="shared" si="154"/>
        <v>20171128</v>
      </c>
      <c r="B103" s="1" t="str">
        <f>"10:32:49"</f>
        <v>10:32:49</v>
      </c>
      <c r="C103" s="1" t="str">
        <f t="shared" ref="C103:C107" si="157">"600460"</f>
        <v>600460</v>
      </c>
      <c r="D103" s="1" t="str">
        <f t="shared" ref="D103:D107" si="158">"士兰微"</f>
        <v>士兰微</v>
      </c>
      <c r="E103" s="1" t="str">
        <f t="shared" si="153"/>
        <v>卖出</v>
      </c>
      <c r="F103" s="1" t="str">
        <f>"10.730"</f>
        <v>10.730</v>
      </c>
      <c r="G103" s="1" t="str">
        <f>"-100.00"</f>
        <v>-100.00</v>
      </c>
      <c r="H103" s="1" t="str">
        <f t="shared" si="155"/>
        <v>A850418317</v>
      </c>
      <c r="I103" s="1" t="str">
        <f>"1073.00"</f>
        <v>1073.00</v>
      </c>
      <c r="J103" s="1" t="str">
        <f t="shared" si="150"/>
        <v>5.00</v>
      </c>
      <c r="K103" s="1" t="str">
        <f>"1.07"</f>
        <v>1.07</v>
      </c>
      <c r="L103" s="1" t="str">
        <f>"0.02"</f>
        <v>0.02</v>
      </c>
      <c r="M103" s="1" t="str">
        <f t="shared" si="106"/>
        <v>0.00</v>
      </c>
      <c r="N103" s="1" t="str">
        <f>"证券卖出"</f>
        <v>证券卖出</v>
      </c>
    </row>
    <row r="104" spans="1:14">
      <c r="A104" s="1" t="str">
        <f t="shared" si="154"/>
        <v>20171128</v>
      </c>
      <c r="B104" s="1" t="str">
        <f>"13:42:59"</f>
        <v>13:42:59</v>
      </c>
      <c r="C104" s="1" t="str">
        <f>"600699"</f>
        <v>600699</v>
      </c>
      <c r="D104" s="1" t="str">
        <f>"均胜电子"</f>
        <v>均胜电子</v>
      </c>
      <c r="E104" s="1" t="str">
        <f t="shared" ref="E104:E107" si="159">"买入"</f>
        <v>买入</v>
      </c>
      <c r="F104" s="1" t="str">
        <f>"36.690"</f>
        <v>36.690</v>
      </c>
      <c r="G104" s="1" t="str">
        <f t="shared" si="152"/>
        <v>200.00</v>
      </c>
      <c r="H104" s="1" t="str">
        <f t="shared" si="155"/>
        <v>A850418317</v>
      </c>
      <c r="I104" s="1" t="str">
        <f>"7338.00"</f>
        <v>7338.00</v>
      </c>
      <c r="J104" s="1" t="str">
        <f t="shared" si="150"/>
        <v>5.00</v>
      </c>
      <c r="K104" s="1" t="str">
        <f t="shared" ref="K104:K107" si="160">"0.00"</f>
        <v>0.00</v>
      </c>
      <c r="L104" s="1" t="str">
        <f>"0.15"</f>
        <v>0.15</v>
      </c>
      <c r="M104" s="1" t="str">
        <f t="shared" si="106"/>
        <v>0.00</v>
      </c>
      <c r="N104" s="1" t="str">
        <f t="shared" si="151"/>
        <v>证券买入</v>
      </c>
    </row>
    <row r="105" spans="1:14">
      <c r="A105" s="1" t="str">
        <f t="shared" si="154"/>
        <v>20171128</v>
      </c>
      <c r="B105" s="1" t="str">
        <f>"13:46:18"</f>
        <v>13:46:18</v>
      </c>
      <c r="C105" s="1" t="str">
        <f t="shared" si="157"/>
        <v>600460</v>
      </c>
      <c r="D105" s="1" t="str">
        <f t="shared" si="158"/>
        <v>士兰微</v>
      </c>
      <c r="E105" s="1" t="str">
        <f t="shared" si="159"/>
        <v>买入</v>
      </c>
      <c r="F105" s="1" t="str">
        <f>"11.160"</f>
        <v>11.160</v>
      </c>
      <c r="G105" s="1" t="str">
        <f t="shared" si="152"/>
        <v>200.00</v>
      </c>
      <c r="H105" s="1" t="str">
        <f t="shared" si="155"/>
        <v>A850418317</v>
      </c>
      <c r="I105" s="1" t="str">
        <f>"2232.00"</f>
        <v>2232.00</v>
      </c>
      <c r="J105" s="1" t="str">
        <f t="shared" si="150"/>
        <v>5.00</v>
      </c>
      <c r="K105" s="1" t="str">
        <f t="shared" si="160"/>
        <v>0.00</v>
      </c>
      <c r="L105" s="1" t="str">
        <f>"0.04"</f>
        <v>0.04</v>
      </c>
      <c r="M105" s="1" t="str">
        <f t="shared" si="106"/>
        <v>0.00</v>
      </c>
      <c r="N105" s="1" t="str">
        <f t="shared" si="151"/>
        <v>证券买入</v>
      </c>
    </row>
    <row r="106" spans="1:14">
      <c r="A106" s="1" t="str">
        <f t="shared" si="154"/>
        <v>20171128</v>
      </c>
      <c r="B106" s="1" t="str">
        <f>"13:54:56"</f>
        <v>13:54:56</v>
      </c>
      <c r="C106" s="1" t="str">
        <f t="shared" si="157"/>
        <v>600460</v>
      </c>
      <c r="D106" s="1" t="str">
        <f t="shared" si="158"/>
        <v>士兰微</v>
      </c>
      <c r="E106" s="1" t="str">
        <f t="shared" si="159"/>
        <v>买入</v>
      </c>
      <c r="F106" s="1" t="str">
        <f>"11.080"</f>
        <v>11.080</v>
      </c>
      <c r="G106" s="1" t="str">
        <f>"300.00"</f>
        <v>300.00</v>
      </c>
      <c r="H106" s="1" t="str">
        <f t="shared" si="155"/>
        <v>A850418317</v>
      </c>
      <c r="I106" s="1" t="str">
        <f>"3324.00"</f>
        <v>3324.00</v>
      </c>
      <c r="J106" s="1" t="str">
        <f t="shared" si="150"/>
        <v>5.00</v>
      </c>
      <c r="K106" s="1" t="str">
        <f t="shared" si="160"/>
        <v>0.00</v>
      </c>
      <c r="L106" s="1" t="str">
        <f t="shared" si="156"/>
        <v>0.07</v>
      </c>
      <c r="M106" s="1" t="str">
        <f t="shared" si="106"/>
        <v>0.00</v>
      </c>
      <c r="N106" s="1" t="str">
        <f t="shared" si="151"/>
        <v>证券买入</v>
      </c>
    </row>
    <row r="107" spans="1:14">
      <c r="A107" s="1" t="str">
        <f t="shared" si="154"/>
        <v>20171128</v>
      </c>
      <c r="B107" s="1" t="str">
        <f>"13:55:54"</f>
        <v>13:55:54</v>
      </c>
      <c r="C107" s="1" t="str">
        <f t="shared" si="157"/>
        <v>600460</v>
      </c>
      <c r="D107" s="1" t="str">
        <f t="shared" si="158"/>
        <v>士兰微</v>
      </c>
      <c r="E107" s="1" t="str">
        <f t="shared" si="159"/>
        <v>买入</v>
      </c>
      <c r="F107" s="1" t="str">
        <f>"11.080"</f>
        <v>11.080</v>
      </c>
      <c r="G107" s="1" t="str">
        <f>"300.00"</f>
        <v>300.00</v>
      </c>
      <c r="H107" s="1" t="str">
        <f t="shared" si="155"/>
        <v>A850418317</v>
      </c>
      <c r="I107" s="1" t="str">
        <f>"3324.00"</f>
        <v>3324.00</v>
      </c>
      <c r="J107" s="1" t="str">
        <f t="shared" si="150"/>
        <v>5.00</v>
      </c>
      <c r="K107" s="1" t="str">
        <f t="shared" si="160"/>
        <v>0.00</v>
      </c>
      <c r="L107" s="1" t="str">
        <f t="shared" si="156"/>
        <v>0.07</v>
      </c>
      <c r="M107" s="1" t="str">
        <f t="shared" si="106"/>
        <v>0.00</v>
      </c>
      <c r="N107" s="1" t="str">
        <f t="shared" si="151"/>
        <v>证券买入</v>
      </c>
    </row>
    <row r="108" spans="1:14">
      <c r="A108" s="1" t="str">
        <f t="shared" si="154"/>
        <v>20171128</v>
      </c>
      <c r="B108" s="1" t="str">
        <f>"10:23:03"</f>
        <v>10:23:03</v>
      </c>
      <c r="C108" s="1" t="str">
        <f>"000856"</f>
        <v>000856</v>
      </c>
      <c r="D108" s="1" t="str">
        <f>"冀东装备"</f>
        <v>冀东装备</v>
      </c>
      <c r="E108" s="1" t="str">
        <f t="shared" ref="E108:E110" si="161">"卖出"</f>
        <v>卖出</v>
      </c>
      <c r="F108" s="1" t="str">
        <f>"19.050"</f>
        <v>19.050</v>
      </c>
      <c r="G108" s="1" t="str">
        <f>"-200.00"</f>
        <v>-200.00</v>
      </c>
      <c r="H108" s="1" t="str">
        <f t="shared" ref="H108:H116" si="162">"0104152129"</f>
        <v>0104152129</v>
      </c>
      <c r="I108" s="1" t="str">
        <f>"3810.00"</f>
        <v>3810.00</v>
      </c>
      <c r="J108" s="1" t="str">
        <f t="shared" si="150"/>
        <v>5.00</v>
      </c>
      <c r="K108" s="1" t="str">
        <f>"3.81"</f>
        <v>3.81</v>
      </c>
      <c r="L108" s="1" t="str">
        <f>"0.08"</f>
        <v>0.08</v>
      </c>
      <c r="M108" s="1" t="str">
        <f t="shared" si="106"/>
        <v>0.00</v>
      </c>
      <c r="N108" s="1" t="str">
        <f t="shared" ref="N108:N110" si="163">"证券卖出"</f>
        <v>证券卖出</v>
      </c>
    </row>
    <row r="109" spans="1:14">
      <c r="A109" s="1" t="str">
        <f t="shared" si="154"/>
        <v>20171128</v>
      </c>
      <c r="B109" s="1" t="str">
        <f>"10:27:17"</f>
        <v>10:27:17</v>
      </c>
      <c r="C109" s="1" t="str">
        <f t="shared" ref="C109:C113" si="164">"000553"</f>
        <v>000553</v>
      </c>
      <c r="D109" s="1" t="str">
        <f t="shared" ref="D109:D113" si="165">"沙隆达Ａ"</f>
        <v>沙隆达Ａ</v>
      </c>
      <c r="E109" s="1" t="str">
        <f t="shared" si="161"/>
        <v>卖出</v>
      </c>
      <c r="F109" s="1" t="str">
        <f>"16.040"</f>
        <v>16.040</v>
      </c>
      <c r="G109" s="1" t="str">
        <f>"-100.00"</f>
        <v>-100.00</v>
      </c>
      <c r="H109" s="1" t="str">
        <f t="shared" si="162"/>
        <v>0104152129</v>
      </c>
      <c r="I109" s="1" t="str">
        <f>"1604.00"</f>
        <v>1604.00</v>
      </c>
      <c r="J109" s="1" t="str">
        <f t="shared" si="150"/>
        <v>5.00</v>
      </c>
      <c r="K109" s="1" t="str">
        <f>"1.60"</f>
        <v>1.60</v>
      </c>
      <c r="L109" s="1" t="str">
        <f>"0.03"</f>
        <v>0.03</v>
      </c>
      <c r="M109" s="1" t="str">
        <f t="shared" si="106"/>
        <v>0.00</v>
      </c>
      <c r="N109" s="1" t="str">
        <f t="shared" si="163"/>
        <v>证券卖出</v>
      </c>
    </row>
    <row r="110" spans="1:14">
      <c r="A110" s="1" t="str">
        <f t="shared" si="154"/>
        <v>20171128</v>
      </c>
      <c r="B110" s="1" t="str">
        <f>"10:27:53"</f>
        <v>10:27:53</v>
      </c>
      <c r="C110" s="1" t="str">
        <f>"002558"</f>
        <v>002558</v>
      </c>
      <c r="D110" s="1" t="str">
        <f>"巨人网络"</f>
        <v>巨人网络</v>
      </c>
      <c r="E110" s="1" t="str">
        <f t="shared" si="161"/>
        <v>卖出</v>
      </c>
      <c r="F110" s="1" t="str">
        <f>"39.800"</f>
        <v>39.800</v>
      </c>
      <c r="G110" s="1" t="str">
        <f>"-100.00"</f>
        <v>-100.00</v>
      </c>
      <c r="H110" s="1" t="str">
        <f t="shared" si="162"/>
        <v>0104152129</v>
      </c>
      <c r="I110" s="1" t="str">
        <f>"3980.00"</f>
        <v>3980.00</v>
      </c>
      <c r="J110" s="1" t="str">
        <f t="shared" si="150"/>
        <v>5.00</v>
      </c>
      <c r="K110" s="1" t="str">
        <f>"3.98"</f>
        <v>3.98</v>
      </c>
      <c r="L110" s="1" t="str">
        <f>"0.08"</f>
        <v>0.08</v>
      </c>
      <c r="M110" s="1" t="str">
        <f t="shared" si="106"/>
        <v>0.00</v>
      </c>
      <c r="N110" s="1" t="str">
        <f t="shared" si="163"/>
        <v>证券卖出</v>
      </c>
    </row>
    <row r="111" spans="1:14">
      <c r="A111" s="1" t="str">
        <f t="shared" si="154"/>
        <v>20171128</v>
      </c>
      <c r="B111" s="1" t="str">
        <f>"13:44:38"</f>
        <v>13:44:38</v>
      </c>
      <c r="C111" s="1" t="str">
        <f t="shared" si="164"/>
        <v>000553</v>
      </c>
      <c r="D111" s="1" t="str">
        <f t="shared" si="165"/>
        <v>沙隆达Ａ</v>
      </c>
      <c r="E111" s="1" t="str">
        <f t="shared" ref="E111:E116" si="166">"买入"</f>
        <v>买入</v>
      </c>
      <c r="F111" s="1" t="str">
        <f>"16.470"</f>
        <v>16.470</v>
      </c>
      <c r="G111" s="1" t="str">
        <f>"200.00"</f>
        <v>200.00</v>
      </c>
      <c r="H111" s="1" t="str">
        <f t="shared" si="162"/>
        <v>0104152129</v>
      </c>
      <c r="I111" s="1" t="str">
        <f>"3294.00"</f>
        <v>3294.00</v>
      </c>
      <c r="J111" s="1" t="str">
        <f t="shared" si="150"/>
        <v>5.00</v>
      </c>
      <c r="K111" s="1" t="str">
        <f t="shared" ref="K111:K116" si="167">"0.00"</f>
        <v>0.00</v>
      </c>
      <c r="L111" s="1" t="str">
        <f>"0.07"</f>
        <v>0.07</v>
      </c>
      <c r="M111" s="1" t="str">
        <f t="shared" si="106"/>
        <v>0.00</v>
      </c>
      <c r="N111" s="1" t="str">
        <f t="shared" ref="N111:N115" si="168">"证券买入"</f>
        <v>证券买入</v>
      </c>
    </row>
    <row r="112" spans="1:14">
      <c r="A112" s="1" t="str">
        <f t="shared" si="154"/>
        <v>20171128</v>
      </c>
      <c r="B112" s="1" t="str">
        <f>"13:45:36"</f>
        <v>13:45:36</v>
      </c>
      <c r="C112" s="1" t="str">
        <f t="shared" si="164"/>
        <v>000553</v>
      </c>
      <c r="D112" s="1" t="str">
        <f t="shared" si="165"/>
        <v>沙隆达Ａ</v>
      </c>
      <c r="E112" s="1" t="str">
        <f t="shared" si="166"/>
        <v>买入</v>
      </c>
      <c r="F112" s="1" t="str">
        <f>"16.560"</f>
        <v>16.560</v>
      </c>
      <c r="G112" s="1" t="str">
        <f>"200.00"</f>
        <v>200.00</v>
      </c>
      <c r="H112" s="1" t="str">
        <f t="shared" si="162"/>
        <v>0104152129</v>
      </c>
      <c r="I112" s="1" t="str">
        <f>"3312.00"</f>
        <v>3312.00</v>
      </c>
      <c r="J112" s="1" t="str">
        <f t="shared" si="150"/>
        <v>5.00</v>
      </c>
      <c r="K112" s="1" t="str">
        <f t="shared" si="167"/>
        <v>0.00</v>
      </c>
      <c r="L112" s="1" t="str">
        <f>"0.07"</f>
        <v>0.07</v>
      </c>
      <c r="M112" s="1" t="str">
        <f t="shared" si="106"/>
        <v>0.00</v>
      </c>
      <c r="N112" s="1" t="str">
        <f t="shared" si="168"/>
        <v>证券买入</v>
      </c>
    </row>
    <row r="113" spans="1:14">
      <c r="A113" s="1" t="str">
        <f t="shared" si="154"/>
        <v>20171128</v>
      </c>
      <c r="B113" s="1" t="str">
        <f>"13:47:11"</f>
        <v>13:47:11</v>
      </c>
      <c r="C113" s="1" t="str">
        <f t="shared" si="164"/>
        <v>000553</v>
      </c>
      <c r="D113" s="1" t="str">
        <f t="shared" si="165"/>
        <v>沙隆达Ａ</v>
      </c>
      <c r="E113" s="1" t="str">
        <f t="shared" si="166"/>
        <v>买入</v>
      </c>
      <c r="F113" s="1" t="str">
        <f>"16.520"</f>
        <v>16.520</v>
      </c>
      <c r="G113" s="1" t="str">
        <f t="shared" ref="G113:G115" si="169">"100.00"</f>
        <v>100.00</v>
      </c>
      <c r="H113" s="1" t="str">
        <f t="shared" si="162"/>
        <v>0104152129</v>
      </c>
      <c r="I113" s="1" t="str">
        <f>"1652.00"</f>
        <v>1652.00</v>
      </c>
      <c r="J113" s="1" t="str">
        <f t="shared" si="150"/>
        <v>5.00</v>
      </c>
      <c r="K113" s="1" t="str">
        <f t="shared" si="167"/>
        <v>0.00</v>
      </c>
      <c r="L113" s="1" t="str">
        <f>"0.03"</f>
        <v>0.03</v>
      </c>
      <c r="M113" s="1" t="str">
        <f t="shared" si="106"/>
        <v>0.00</v>
      </c>
      <c r="N113" s="1" t="str">
        <f t="shared" si="168"/>
        <v>证券买入</v>
      </c>
    </row>
    <row r="114" spans="1:14">
      <c r="A114" s="1" t="str">
        <f t="shared" si="154"/>
        <v>20171128</v>
      </c>
      <c r="B114" s="1" t="str">
        <f>"13:51:06"</f>
        <v>13:51:06</v>
      </c>
      <c r="C114" s="1" t="str">
        <f>"300176"</f>
        <v>300176</v>
      </c>
      <c r="D114" s="1" t="str">
        <f>"鸿特精密"</f>
        <v>鸿特精密</v>
      </c>
      <c r="E114" s="1" t="str">
        <f t="shared" si="166"/>
        <v>买入</v>
      </c>
      <c r="F114" s="1" t="str">
        <f>"108.440"</f>
        <v>108.440</v>
      </c>
      <c r="G114" s="1" t="str">
        <f t="shared" si="169"/>
        <v>100.00</v>
      </c>
      <c r="H114" s="1" t="str">
        <f t="shared" si="162"/>
        <v>0104152129</v>
      </c>
      <c r="I114" s="1" t="str">
        <f>"10844.00"</f>
        <v>10844.00</v>
      </c>
      <c r="J114" s="1" t="str">
        <f t="shared" si="150"/>
        <v>5.00</v>
      </c>
      <c r="K114" s="1" t="str">
        <f t="shared" si="167"/>
        <v>0.00</v>
      </c>
      <c r="L114" s="1" t="str">
        <f>"0.22"</f>
        <v>0.22</v>
      </c>
      <c r="M114" s="1" t="str">
        <f t="shared" si="106"/>
        <v>0.00</v>
      </c>
      <c r="N114" s="1" t="str">
        <f t="shared" si="168"/>
        <v>证券买入</v>
      </c>
    </row>
    <row r="115" spans="1:14">
      <c r="A115" s="1" t="str">
        <f t="shared" si="154"/>
        <v>20171128</v>
      </c>
      <c r="B115" s="1" t="str">
        <f>"13:57:20"</f>
        <v>13:57:20</v>
      </c>
      <c r="C115" s="1" t="str">
        <f>"000338"</f>
        <v>000338</v>
      </c>
      <c r="D115" s="1" t="str">
        <f>"潍柴动力"</f>
        <v>潍柴动力</v>
      </c>
      <c r="E115" s="1" t="str">
        <f t="shared" si="166"/>
        <v>买入</v>
      </c>
      <c r="F115" s="1" t="str">
        <f>"8.180"</f>
        <v>8.180</v>
      </c>
      <c r="G115" s="1" t="str">
        <f t="shared" si="169"/>
        <v>100.00</v>
      </c>
      <c r="H115" s="1" t="str">
        <f t="shared" si="162"/>
        <v>0104152129</v>
      </c>
      <c r="I115" s="1" t="str">
        <f>"818.00"</f>
        <v>818.00</v>
      </c>
      <c r="J115" s="1" t="str">
        <f t="shared" si="150"/>
        <v>5.00</v>
      </c>
      <c r="K115" s="1" t="str">
        <f t="shared" si="167"/>
        <v>0.00</v>
      </c>
      <c r="L115" s="1" t="str">
        <f>"0.02"</f>
        <v>0.02</v>
      </c>
      <c r="M115" s="1" t="str">
        <f t="shared" si="106"/>
        <v>0.00</v>
      </c>
      <c r="N115" s="1" t="str">
        <f t="shared" si="168"/>
        <v>证券买入</v>
      </c>
    </row>
    <row r="116" spans="1:14">
      <c r="A116" s="1" t="str">
        <f t="shared" si="154"/>
        <v>20171128</v>
      </c>
      <c r="B116" s="1" t="str">
        <f>"22:25:18"</f>
        <v>22:25:18</v>
      </c>
      <c r="C116" s="1" t="str">
        <f>"072562"</f>
        <v>072562</v>
      </c>
      <c r="D116" s="1" t="str">
        <f>"兄弟发债"</f>
        <v>兄弟发债</v>
      </c>
      <c r="E116" s="1" t="str">
        <f t="shared" si="166"/>
        <v>买入</v>
      </c>
      <c r="F116" s="1" t="str">
        <f>"0.000"</f>
        <v>0.000</v>
      </c>
      <c r="G116" s="1" t="str">
        <f>"1000.00"</f>
        <v>1000.00</v>
      </c>
      <c r="H116" s="1" t="str">
        <f t="shared" si="162"/>
        <v>0104152129</v>
      </c>
      <c r="I116" s="1" t="str">
        <f t="shared" ref="I116:L116" si="170">"0.00"</f>
        <v>0.00</v>
      </c>
      <c r="J116" s="1" t="str">
        <f t="shared" si="170"/>
        <v>0.00</v>
      </c>
      <c r="K116" s="1" t="str">
        <f t="shared" si="167"/>
        <v>0.00</v>
      </c>
      <c r="L116" s="1" t="str">
        <f t="shared" si="170"/>
        <v>0.00</v>
      </c>
      <c r="M116" s="1" t="str">
        <f t="shared" si="106"/>
        <v>0.00</v>
      </c>
      <c r="N116" s="1" t="str">
        <f>"起始配号:615606212"</f>
        <v>起始配号:615606212</v>
      </c>
    </row>
    <row r="117" spans="1:14">
      <c r="A117" s="1" t="str">
        <f t="shared" ref="A117:A134" si="171">"20171129"</f>
        <v>20171129</v>
      </c>
      <c r="B117" s="1" t="str">
        <f>"09:51:49"</f>
        <v>09:51:49</v>
      </c>
      <c r="C117" s="1" t="str">
        <f>"600699"</f>
        <v>600699</v>
      </c>
      <c r="D117" s="1" t="str">
        <f>"均胜电子"</f>
        <v>均胜电子</v>
      </c>
      <c r="E117" s="1" t="str">
        <f>"卖出"</f>
        <v>卖出</v>
      </c>
      <c r="F117" s="1" t="str">
        <f>"36.300"</f>
        <v>36.300</v>
      </c>
      <c r="G117" s="1" t="str">
        <f>"-200.00"</f>
        <v>-200.00</v>
      </c>
      <c r="H117" s="1" t="str">
        <f t="shared" ref="H117:H126" si="172">"A850418317"</f>
        <v>A850418317</v>
      </c>
      <c r="I117" s="1" t="str">
        <f>"7260.00"</f>
        <v>7260.00</v>
      </c>
      <c r="J117" s="1" t="str">
        <f t="shared" ref="J117:J145" si="173">"5.00"</f>
        <v>5.00</v>
      </c>
      <c r="K117" s="1" t="str">
        <f>"7.26"</f>
        <v>7.26</v>
      </c>
      <c r="L117" s="1" t="str">
        <f>"0.15"</f>
        <v>0.15</v>
      </c>
      <c r="M117" s="1" t="str">
        <f t="shared" si="106"/>
        <v>0.00</v>
      </c>
      <c r="N117" s="1" t="str">
        <f>"证券卖出"</f>
        <v>证券卖出</v>
      </c>
    </row>
    <row r="118" spans="1:14">
      <c r="A118" s="1" t="str">
        <f t="shared" si="171"/>
        <v>20171129</v>
      </c>
      <c r="B118" s="1" t="str">
        <f>"10:00:07"</f>
        <v>10:00:07</v>
      </c>
      <c r="C118" s="1" t="str">
        <f>"600668"</f>
        <v>600668</v>
      </c>
      <c r="D118" s="1" t="str">
        <f>"尖峰集团"</f>
        <v>尖峰集团</v>
      </c>
      <c r="E118" s="1" t="str">
        <f t="shared" ref="E118:E126" si="174">"买入"</f>
        <v>买入</v>
      </c>
      <c r="F118" s="1" t="str">
        <f>"16.370"</f>
        <v>16.370</v>
      </c>
      <c r="G118" s="1" t="str">
        <f>"200.00"</f>
        <v>200.00</v>
      </c>
      <c r="H118" s="1" t="str">
        <f t="shared" si="172"/>
        <v>A850418317</v>
      </c>
      <c r="I118" s="1" t="str">
        <f>"3274.00"</f>
        <v>3274.00</v>
      </c>
      <c r="J118" s="1" t="str">
        <f t="shared" si="173"/>
        <v>5.00</v>
      </c>
      <c r="K118" s="1" t="str">
        <f t="shared" ref="K118:K126" si="175">"0.00"</f>
        <v>0.00</v>
      </c>
      <c r="L118" s="1" t="str">
        <f>"0.07"</f>
        <v>0.07</v>
      </c>
      <c r="M118" s="1" t="str">
        <f t="shared" si="106"/>
        <v>0.00</v>
      </c>
      <c r="N118" s="1" t="str">
        <f t="shared" ref="N118:N126" si="176">"证券买入"</f>
        <v>证券买入</v>
      </c>
    </row>
    <row r="119" spans="1:14">
      <c r="A119" s="1" t="str">
        <f t="shared" si="171"/>
        <v>20171129</v>
      </c>
      <c r="B119" s="1" t="str">
        <f>"10:03:26"</f>
        <v>10:03:26</v>
      </c>
      <c r="C119" s="1" t="str">
        <f t="shared" ref="C119:C123" si="177">"600460"</f>
        <v>600460</v>
      </c>
      <c r="D119" s="1" t="str">
        <f t="shared" ref="D119:D123" si="178">"士兰微"</f>
        <v>士兰微</v>
      </c>
      <c r="E119" s="1" t="str">
        <f t="shared" si="174"/>
        <v>买入</v>
      </c>
      <c r="F119" s="1" t="str">
        <f>"12.190"</f>
        <v>12.190</v>
      </c>
      <c r="G119" s="1" t="str">
        <f t="shared" ref="G119:G122" si="179">"100.00"</f>
        <v>100.00</v>
      </c>
      <c r="H119" s="1" t="str">
        <f t="shared" si="172"/>
        <v>A850418317</v>
      </c>
      <c r="I119" s="1" t="str">
        <f>"1219.00"</f>
        <v>1219.00</v>
      </c>
      <c r="J119" s="1" t="str">
        <f t="shared" si="173"/>
        <v>5.00</v>
      </c>
      <c r="K119" s="1" t="str">
        <f t="shared" si="175"/>
        <v>0.00</v>
      </c>
      <c r="L119" s="1" t="str">
        <f>"0.02"</f>
        <v>0.02</v>
      </c>
      <c r="M119" s="1" t="str">
        <f t="shared" si="106"/>
        <v>0.00</v>
      </c>
      <c r="N119" s="1" t="str">
        <f t="shared" si="176"/>
        <v>证券买入</v>
      </c>
    </row>
    <row r="120" spans="1:14">
      <c r="A120" s="1" t="str">
        <f t="shared" si="171"/>
        <v>20171129</v>
      </c>
      <c r="B120" s="1" t="str">
        <f>"10:29:02"</f>
        <v>10:29:02</v>
      </c>
      <c r="C120" s="1" t="str">
        <f t="shared" si="177"/>
        <v>600460</v>
      </c>
      <c r="D120" s="1" t="str">
        <f t="shared" si="178"/>
        <v>士兰微</v>
      </c>
      <c r="E120" s="1" t="str">
        <f>"卖出"</f>
        <v>卖出</v>
      </c>
      <c r="F120" s="1" t="str">
        <f>"12.080"</f>
        <v>12.080</v>
      </c>
      <c r="G120" s="1" t="str">
        <f>"-800.00"</f>
        <v>-800.00</v>
      </c>
      <c r="H120" s="1" t="str">
        <f t="shared" si="172"/>
        <v>A850418317</v>
      </c>
      <c r="I120" s="1" t="str">
        <f>"9664.00"</f>
        <v>9664.00</v>
      </c>
      <c r="J120" s="1" t="str">
        <f t="shared" si="173"/>
        <v>5.00</v>
      </c>
      <c r="K120" s="1" t="str">
        <f>"9.66"</f>
        <v>9.66</v>
      </c>
      <c r="L120" s="1" t="str">
        <f>"0.19"</f>
        <v>0.19</v>
      </c>
      <c r="M120" s="1" t="str">
        <f t="shared" si="106"/>
        <v>0.00</v>
      </c>
      <c r="N120" s="1" t="str">
        <f>"证券卖出"</f>
        <v>证券卖出</v>
      </c>
    </row>
    <row r="121" spans="1:14">
      <c r="A121" s="1" t="str">
        <f t="shared" si="171"/>
        <v>20171129</v>
      </c>
      <c r="B121" s="1" t="str">
        <f>"10:33:21"</f>
        <v>10:33:21</v>
      </c>
      <c r="C121" s="1" t="str">
        <f>"600230"</f>
        <v>600230</v>
      </c>
      <c r="D121" s="1" t="str">
        <f>"沧州大化"</f>
        <v>沧州大化</v>
      </c>
      <c r="E121" s="1" t="str">
        <f t="shared" si="174"/>
        <v>买入</v>
      </c>
      <c r="F121" s="1" t="str">
        <f>"47.390"</f>
        <v>47.390</v>
      </c>
      <c r="G121" s="1" t="str">
        <f t="shared" si="179"/>
        <v>100.00</v>
      </c>
      <c r="H121" s="1" t="str">
        <f t="shared" si="172"/>
        <v>A850418317</v>
      </c>
      <c r="I121" s="1" t="str">
        <f>"4739.00"</f>
        <v>4739.00</v>
      </c>
      <c r="J121" s="1" t="str">
        <f t="shared" si="173"/>
        <v>5.00</v>
      </c>
      <c r="K121" s="1" t="str">
        <f t="shared" si="175"/>
        <v>0.00</v>
      </c>
      <c r="L121" s="1" t="str">
        <f>"0.09"</f>
        <v>0.09</v>
      </c>
      <c r="M121" s="1" t="str">
        <f t="shared" si="106"/>
        <v>0.00</v>
      </c>
      <c r="N121" s="1" t="str">
        <f t="shared" si="176"/>
        <v>证券买入</v>
      </c>
    </row>
    <row r="122" spans="1:14">
      <c r="A122" s="1" t="str">
        <f t="shared" si="171"/>
        <v>20171129</v>
      </c>
      <c r="B122" s="1" t="str">
        <f>"11:00:51"</f>
        <v>11:00:51</v>
      </c>
      <c r="C122" s="1" t="str">
        <f>"600230"</f>
        <v>600230</v>
      </c>
      <c r="D122" s="1" t="str">
        <f>"沧州大化"</f>
        <v>沧州大化</v>
      </c>
      <c r="E122" s="1" t="str">
        <f t="shared" si="174"/>
        <v>买入</v>
      </c>
      <c r="F122" s="1" t="str">
        <f>"47.320"</f>
        <v>47.320</v>
      </c>
      <c r="G122" s="1" t="str">
        <f t="shared" si="179"/>
        <v>100.00</v>
      </c>
      <c r="H122" s="1" t="str">
        <f t="shared" si="172"/>
        <v>A850418317</v>
      </c>
      <c r="I122" s="1" t="str">
        <f>"4732.00"</f>
        <v>4732.00</v>
      </c>
      <c r="J122" s="1" t="str">
        <f t="shared" si="173"/>
        <v>5.00</v>
      </c>
      <c r="K122" s="1" t="str">
        <f t="shared" si="175"/>
        <v>0.00</v>
      </c>
      <c r="L122" s="1" t="str">
        <f>"0.09"</f>
        <v>0.09</v>
      </c>
      <c r="M122" s="1" t="str">
        <f t="shared" si="106"/>
        <v>0.00</v>
      </c>
      <c r="N122" s="1" t="str">
        <f t="shared" si="176"/>
        <v>证券买入</v>
      </c>
    </row>
    <row r="123" spans="1:14">
      <c r="A123" s="1" t="str">
        <f t="shared" si="171"/>
        <v>20171129</v>
      </c>
      <c r="B123" s="1" t="str">
        <f>"11:10:07"</f>
        <v>11:10:07</v>
      </c>
      <c r="C123" s="1" t="str">
        <f t="shared" si="177"/>
        <v>600460</v>
      </c>
      <c r="D123" s="1" t="str">
        <f t="shared" si="178"/>
        <v>士兰微</v>
      </c>
      <c r="E123" s="1" t="str">
        <f t="shared" si="174"/>
        <v>买入</v>
      </c>
      <c r="F123" s="1" t="str">
        <f>"12.050"</f>
        <v>12.050</v>
      </c>
      <c r="G123" s="1" t="str">
        <f>"200.00"</f>
        <v>200.00</v>
      </c>
      <c r="H123" s="1" t="str">
        <f t="shared" si="172"/>
        <v>A850418317</v>
      </c>
      <c r="I123" s="1" t="str">
        <f>"2410.00"</f>
        <v>2410.00</v>
      </c>
      <c r="J123" s="1" t="str">
        <f t="shared" si="173"/>
        <v>5.00</v>
      </c>
      <c r="K123" s="1" t="str">
        <f t="shared" si="175"/>
        <v>0.00</v>
      </c>
      <c r="L123" s="1" t="str">
        <f>"0.05"</f>
        <v>0.05</v>
      </c>
      <c r="M123" s="1" t="str">
        <f t="shared" si="106"/>
        <v>0.00</v>
      </c>
      <c r="N123" s="1" t="str">
        <f t="shared" si="176"/>
        <v>证券买入</v>
      </c>
    </row>
    <row r="124" spans="1:14">
      <c r="A124" s="1" t="str">
        <f t="shared" si="171"/>
        <v>20171129</v>
      </c>
      <c r="B124" s="1" t="str">
        <f>"13:50:53"</f>
        <v>13:50:53</v>
      </c>
      <c r="C124" s="1" t="str">
        <f t="shared" ref="C124:C126" si="180">"600507"</f>
        <v>600507</v>
      </c>
      <c r="D124" s="1" t="str">
        <f t="shared" ref="D124:D126" si="181">"方大特钢"</f>
        <v>方大特钢</v>
      </c>
      <c r="E124" s="1" t="str">
        <f t="shared" si="174"/>
        <v>买入</v>
      </c>
      <c r="F124" s="1" t="str">
        <f>"16.190"</f>
        <v>16.190</v>
      </c>
      <c r="G124" s="1" t="str">
        <f t="shared" ref="G124:G126" si="182">"100.00"</f>
        <v>100.00</v>
      </c>
      <c r="H124" s="1" t="str">
        <f t="shared" si="172"/>
        <v>A850418317</v>
      </c>
      <c r="I124" s="1" t="str">
        <f>"1619.00"</f>
        <v>1619.00</v>
      </c>
      <c r="J124" s="1" t="str">
        <f t="shared" si="173"/>
        <v>5.00</v>
      </c>
      <c r="K124" s="1" t="str">
        <f t="shared" si="175"/>
        <v>0.00</v>
      </c>
      <c r="L124" s="1" t="str">
        <f t="shared" ref="L124:L126" si="183">"0.03"</f>
        <v>0.03</v>
      </c>
      <c r="M124" s="1" t="str">
        <f t="shared" si="106"/>
        <v>0.00</v>
      </c>
      <c r="N124" s="1" t="str">
        <f t="shared" si="176"/>
        <v>证券买入</v>
      </c>
    </row>
    <row r="125" spans="1:14">
      <c r="A125" s="1" t="str">
        <f t="shared" si="171"/>
        <v>20171129</v>
      </c>
      <c r="B125" s="1" t="str">
        <f>"14:02:16"</f>
        <v>14:02:16</v>
      </c>
      <c r="C125" s="1" t="str">
        <f t="shared" si="180"/>
        <v>600507</v>
      </c>
      <c r="D125" s="1" t="str">
        <f t="shared" si="181"/>
        <v>方大特钢</v>
      </c>
      <c r="E125" s="1" t="str">
        <f t="shared" si="174"/>
        <v>买入</v>
      </c>
      <c r="F125" s="1" t="str">
        <f>"16.000"</f>
        <v>16.000</v>
      </c>
      <c r="G125" s="1" t="str">
        <f t="shared" si="182"/>
        <v>100.00</v>
      </c>
      <c r="H125" s="1" t="str">
        <f t="shared" si="172"/>
        <v>A850418317</v>
      </c>
      <c r="I125" s="1" t="str">
        <f>"1600.00"</f>
        <v>1600.00</v>
      </c>
      <c r="J125" s="1" t="str">
        <f t="shared" si="173"/>
        <v>5.00</v>
      </c>
      <c r="K125" s="1" t="str">
        <f t="shared" si="175"/>
        <v>0.00</v>
      </c>
      <c r="L125" s="1" t="str">
        <f t="shared" si="183"/>
        <v>0.03</v>
      </c>
      <c r="M125" s="1" t="str">
        <f t="shared" si="106"/>
        <v>0.00</v>
      </c>
      <c r="N125" s="1" t="str">
        <f t="shared" si="176"/>
        <v>证券买入</v>
      </c>
    </row>
    <row r="126" spans="1:14">
      <c r="A126" s="1" t="str">
        <f t="shared" si="171"/>
        <v>20171129</v>
      </c>
      <c r="B126" s="1" t="str">
        <f>"14:03:14"</f>
        <v>14:03:14</v>
      </c>
      <c r="C126" s="1" t="str">
        <f t="shared" si="180"/>
        <v>600507</v>
      </c>
      <c r="D126" s="1" t="str">
        <f t="shared" si="181"/>
        <v>方大特钢</v>
      </c>
      <c r="E126" s="1" t="str">
        <f t="shared" si="174"/>
        <v>买入</v>
      </c>
      <c r="F126" s="1" t="str">
        <f>"15.910"</f>
        <v>15.910</v>
      </c>
      <c r="G126" s="1" t="str">
        <f t="shared" si="182"/>
        <v>100.00</v>
      </c>
      <c r="H126" s="1" t="str">
        <f t="shared" si="172"/>
        <v>A850418317</v>
      </c>
      <c r="I126" s="1" t="str">
        <f>"1591.00"</f>
        <v>1591.00</v>
      </c>
      <c r="J126" s="1" t="str">
        <f t="shared" si="173"/>
        <v>5.00</v>
      </c>
      <c r="K126" s="1" t="str">
        <f t="shared" si="175"/>
        <v>0.00</v>
      </c>
      <c r="L126" s="1" t="str">
        <f t="shared" si="183"/>
        <v>0.03</v>
      </c>
      <c r="M126" s="1" t="str">
        <f t="shared" si="106"/>
        <v>0.00</v>
      </c>
      <c r="N126" s="1" t="str">
        <f t="shared" si="176"/>
        <v>证券买入</v>
      </c>
    </row>
    <row r="127" spans="1:14">
      <c r="A127" s="1" t="str">
        <f t="shared" si="171"/>
        <v>20171129</v>
      </c>
      <c r="B127" s="1" t="str">
        <f>"09:56:39"</f>
        <v>09:56:39</v>
      </c>
      <c r="C127" s="1" t="str">
        <f>"000338"</f>
        <v>000338</v>
      </c>
      <c r="D127" s="1" t="str">
        <f>"潍柴动力"</f>
        <v>潍柴动力</v>
      </c>
      <c r="E127" s="1" t="str">
        <f t="shared" ref="E127:E130" si="184">"卖出"</f>
        <v>卖出</v>
      </c>
      <c r="F127" s="1" t="str">
        <f>"8.120"</f>
        <v>8.120</v>
      </c>
      <c r="G127" s="1" t="str">
        <f>"-100.00"</f>
        <v>-100.00</v>
      </c>
      <c r="H127" s="1" t="str">
        <f t="shared" ref="H127:H134" si="185">"0104152129"</f>
        <v>0104152129</v>
      </c>
      <c r="I127" s="1" t="str">
        <f>"812.00"</f>
        <v>812.00</v>
      </c>
      <c r="J127" s="1" t="str">
        <f t="shared" si="173"/>
        <v>5.00</v>
      </c>
      <c r="K127" s="1" t="str">
        <f>"0.81"</f>
        <v>0.81</v>
      </c>
      <c r="L127" s="1" t="str">
        <f>"0.02"</f>
        <v>0.02</v>
      </c>
      <c r="M127" s="1" t="str">
        <f t="shared" si="106"/>
        <v>0.00</v>
      </c>
      <c r="N127" s="1" t="str">
        <f t="shared" ref="N127:N130" si="186">"证券卖出"</f>
        <v>证券卖出</v>
      </c>
    </row>
    <row r="128" spans="1:14">
      <c r="A128" s="1" t="str">
        <f t="shared" si="171"/>
        <v>20171129</v>
      </c>
      <c r="B128" s="1" t="str">
        <f>"10:34:56"</f>
        <v>10:34:56</v>
      </c>
      <c r="C128" s="1" t="str">
        <f t="shared" ref="C128:C132" si="187">"000553"</f>
        <v>000553</v>
      </c>
      <c r="D128" s="1" t="str">
        <f t="shared" ref="D128:D132" si="188">"沙隆达Ａ"</f>
        <v>沙隆达Ａ</v>
      </c>
      <c r="E128" s="1" t="str">
        <f t="shared" si="184"/>
        <v>卖出</v>
      </c>
      <c r="F128" s="1" t="str">
        <f>"17.250"</f>
        <v>17.250</v>
      </c>
      <c r="G128" s="1" t="str">
        <f>"-500.00"</f>
        <v>-500.00</v>
      </c>
      <c r="H128" s="1" t="str">
        <f t="shared" si="185"/>
        <v>0104152129</v>
      </c>
      <c r="I128" s="1" t="str">
        <f>"8625.00"</f>
        <v>8625.00</v>
      </c>
      <c r="J128" s="1" t="str">
        <f t="shared" si="173"/>
        <v>5.00</v>
      </c>
      <c r="K128" s="1" t="str">
        <f>"8.63"</f>
        <v>8.63</v>
      </c>
      <c r="L128" s="1" t="str">
        <f>"0.17"</f>
        <v>0.17</v>
      </c>
      <c r="M128" s="1" t="str">
        <f t="shared" si="106"/>
        <v>0.00</v>
      </c>
      <c r="N128" s="1" t="str">
        <f t="shared" si="186"/>
        <v>证券卖出</v>
      </c>
    </row>
    <row r="129" spans="1:14">
      <c r="A129" s="1" t="str">
        <f t="shared" si="171"/>
        <v>20171129</v>
      </c>
      <c r="B129" s="1" t="str">
        <f>"10:56:31"</f>
        <v>10:56:31</v>
      </c>
      <c r="C129" s="1" t="str">
        <f t="shared" si="187"/>
        <v>000553</v>
      </c>
      <c r="D129" s="1" t="str">
        <f t="shared" si="188"/>
        <v>沙隆达Ａ</v>
      </c>
      <c r="E129" s="1" t="str">
        <f t="shared" ref="E129:E134" si="189">"买入"</f>
        <v>买入</v>
      </c>
      <c r="F129" s="1" t="str">
        <f>"17.620"</f>
        <v>17.620</v>
      </c>
      <c r="G129" s="1" t="str">
        <f>"500.00"</f>
        <v>500.00</v>
      </c>
      <c r="H129" s="1" t="str">
        <f t="shared" si="185"/>
        <v>0104152129</v>
      </c>
      <c r="I129" s="1" t="str">
        <f>"8810.00"</f>
        <v>8810.00</v>
      </c>
      <c r="J129" s="1" t="str">
        <f t="shared" si="173"/>
        <v>5.00</v>
      </c>
      <c r="K129" s="1" t="str">
        <f t="shared" ref="K129:K134" si="190">"0.00"</f>
        <v>0.00</v>
      </c>
      <c r="L129" s="1" t="str">
        <f>"0.18"</f>
        <v>0.18</v>
      </c>
      <c r="M129" s="1" t="str">
        <f t="shared" si="106"/>
        <v>0.00</v>
      </c>
      <c r="N129" s="1" t="str">
        <f t="shared" ref="N129:N134" si="191">"证券买入"</f>
        <v>证券买入</v>
      </c>
    </row>
    <row r="130" spans="1:14">
      <c r="A130" s="1" t="str">
        <f t="shared" si="171"/>
        <v>20171129</v>
      </c>
      <c r="B130" s="1" t="str">
        <f>"11:03:51"</f>
        <v>11:03:51</v>
      </c>
      <c r="C130" s="1" t="str">
        <f>"300176"</f>
        <v>300176</v>
      </c>
      <c r="D130" s="1" t="str">
        <f>"鸿特精密"</f>
        <v>鸿特精密</v>
      </c>
      <c r="E130" s="1" t="str">
        <f t="shared" si="184"/>
        <v>卖出</v>
      </c>
      <c r="F130" s="1" t="str">
        <f>"107.010"</f>
        <v>107.010</v>
      </c>
      <c r="G130" s="1" t="str">
        <f>"-100.00"</f>
        <v>-100.00</v>
      </c>
      <c r="H130" s="1" t="str">
        <f t="shared" si="185"/>
        <v>0104152129</v>
      </c>
      <c r="I130" s="1" t="str">
        <f>"10701.00"</f>
        <v>10701.00</v>
      </c>
      <c r="J130" s="1" t="str">
        <f t="shared" si="173"/>
        <v>5.00</v>
      </c>
      <c r="K130" s="1" t="str">
        <f>"10.70"</f>
        <v>10.70</v>
      </c>
      <c r="L130" s="1" t="str">
        <f>"0.21"</f>
        <v>0.21</v>
      </c>
      <c r="M130" s="1" t="str">
        <f t="shared" si="106"/>
        <v>0.00</v>
      </c>
      <c r="N130" s="1" t="str">
        <f t="shared" si="186"/>
        <v>证券卖出</v>
      </c>
    </row>
    <row r="131" spans="1:14">
      <c r="A131" s="1" t="str">
        <f t="shared" si="171"/>
        <v>20171129</v>
      </c>
      <c r="B131" s="1" t="str">
        <f>"13:43:02"</f>
        <v>13:43:02</v>
      </c>
      <c r="C131" s="1" t="str">
        <f t="shared" si="187"/>
        <v>000553</v>
      </c>
      <c r="D131" s="1" t="str">
        <f t="shared" si="188"/>
        <v>沙隆达Ａ</v>
      </c>
      <c r="E131" s="1" t="str">
        <f t="shared" si="189"/>
        <v>买入</v>
      </c>
      <c r="F131" s="1" t="str">
        <f>"17.380"</f>
        <v>17.380</v>
      </c>
      <c r="G131" s="1" t="str">
        <f t="shared" ref="G131:G133" si="192">"100.00"</f>
        <v>100.00</v>
      </c>
      <c r="H131" s="1" t="str">
        <f t="shared" si="185"/>
        <v>0104152129</v>
      </c>
      <c r="I131" s="1" t="str">
        <f>"1738.00"</f>
        <v>1738.00</v>
      </c>
      <c r="J131" s="1" t="str">
        <f t="shared" si="173"/>
        <v>5.00</v>
      </c>
      <c r="K131" s="1" t="str">
        <f t="shared" si="190"/>
        <v>0.00</v>
      </c>
      <c r="L131" s="1" t="str">
        <f>"0.03"</f>
        <v>0.03</v>
      </c>
      <c r="M131" s="1" t="str">
        <f t="shared" si="106"/>
        <v>0.00</v>
      </c>
      <c r="N131" s="1" t="str">
        <f t="shared" si="191"/>
        <v>证券买入</v>
      </c>
    </row>
    <row r="132" spans="1:14">
      <c r="A132" s="1" t="str">
        <f t="shared" si="171"/>
        <v>20171129</v>
      </c>
      <c r="B132" s="1" t="str">
        <f>"13:45:18"</f>
        <v>13:45:18</v>
      </c>
      <c r="C132" s="1" t="str">
        <f t="shared" si="187"/>
        <v>000553</v>
      </c>
      <c r="D132" s="1" t="str">
        <f t="shared" si="188"/>
        <v>沙隆达Ａ</v>
      </c>
      <c r="E132" s="1" t="str">
        <f t="shared" si="189"/>
        <v>买入</v>
      </c>
      <c r="F132" s="1" t="str">
        <f>"17.400"</f>
        <v>17.400</v>
      </c>
      <c r="G132" s="1" t="str">
        <f t="shared" si="192"/>
        <v>100.00</v>
      </c>
      <c r="H132" s="1" t="str">
        <f t="shared" si="185"/>
        <v>0104152129</v>
      </c>
      <c r="I132" s="1" t="str">
        <f>"1740.00"</f>
        <v>1740.00</v>
      </c>
      <c r="J132" s="1" t="str">
        <f t="shared" si="173"/>
        <v>5.00</v>
      </c>
      <c r="K132" s="1" t="str">
        <f t="shared" si="190"/>
        <v>0.00</v>
      </c>
      <c r="L132" s="1" t="str">
        <f>"0.03"</f>
        <v>0.03</v>
      </c>
      <c r="M132" s="1" t="str">
        <f t="shared" ref="M132:M195" si="193">"0.00"</f>
        <v>0.00</v>
      </c>
      <c r="N132" s="1" t="str">
        <f t="shared" si="191"/>
        <v>证券买入</v>
      </c>
    </row>
    <row r="133" spans="1:14">
      <c r="A133" s="1" t="str">
        <f t="shared" si="171"/>
        <v>20171129</v>
      </c>
      <c r="B133" s="1" t="str">
        <f>"14:22:14"</f>
        <v>14:22:14</v>
      </c>
      <c r="C133" s="1" t="str">
        <f>"002670"</f>
        <v>002670</v>
      </c>
      <c r="D133" s="1" t="str">
        <f>"国盛金控"</f>
        <v>国盛金控</v>
      </c>
      <c r="E133" s="1" t="str">
        <f t="shared" si="189"/>
        <v>买入</v>
      </c>
      <c r="F133" s="1" t="str">
        <f>"21.640"</f>
        <v>21.640</v>
      </c>
      <c r="G133" s="1" t="str">
        <f t="shared" si="192"/>
        <v>100.00</v>
      </c>
      <c r="H133" s="1" t="str">
        <f t="shared" si="185"/>
        <v>0104152129</v>
      </c>
      <c r="I133" s="1" t="str">
        <f>"2164.00"</f>
        <v>2164.00</v>
      </c>
      <c r="J133" s="1" t="str">
        <f t="shared" si="173"/>
        <v>5.00</v>
      </c>
      <c r="K133" s="1" t="str">
        <f t="shared" si="190"/>
        <v>0.00</v>
      </c>
      <c r="L133" s="1" t="str">
        <f>"0.04"</f>
        <v>0.04</v>
      </c>
      <c r="M133" s="1" t="str">
        <f t="shared" si="193"/>
        <v>0.00</v>
      </c>
      <c r="N133" s="1" t="str">
        <f t="shared" si="191"/>
        <v>证券买入</v>
      </c>
    </row>
    <row r="134" spans="1:14">
      <c r="A134" s="1" t="str">
        <f t="shared" si="171"/>
        <v>20171129</v>
      </c>
      <c r="B134" s="1" t="str">
        <f>"14:25:15"</f>
        <v>14:25:15</v>
      </c>
      <c r="C134" s="1" t="str">
        <f>"002477"</f>
        <v>002477</v>
      </c>
      <c r="D134" s="1" t="str">
        <f>"雏鹰农牧"</f>
        <v>雏鹰农牧</v>
      </c>
      <c r="E134" s="1" t="str">
        <f t="shared" si="189"/>
        <v>买入</v>
      </c>
      <c r="F134" s="1" t="str">
        <f>"4.720"</f>
        <v>4.720</v>
      </c>
      <c r="G134" s="1" t="str">
        <f t="shared" ref="G134:G138" si="194">"200.00"</f>
        <v>200.00</v>
      </c>
      <c r="H134" s="1" t="str">
        <f t="shared" si="185"/>
        <v>0104152129</v>
      </c>
      <c r="I134" s="1" t="str">
        <f>"944.00"</f>
        <v>944.00</v>
      </c>
      <c r="J134" s="1" t="str">
        <f t="shared" si="173"/>
        <v>5.00</v>
      </c>
      <c r="K134" s="1" t="str">
        <f t="shared" si="190"/>
        <v>0.00</v>
      </c>
      <c r="L134" s="1" t="str">
        <f>"0.02"</f>
        <v>0.02</v>
      </c>
      <c r="M134" s="1" t="str">
        <f t="shared" si="193"/>
        <v>0.00</v>
      </c>
      <c r="N134" s="1" t="str">
        <f t="shared" si="191"/>
        <v>证券买入</v>
      </c>
    </row>
    <row r="135" spans="1:14">
      <c r="A135" s="1" t="str">
        <f t="shared" ref="A135:A146" si="195">"20171130"</f>
        <v>20171130</v>
      </c>
      <c r="B135" s="1" t="str">
        <f>"09:25:01"</f>
        <v>09:25:01</v>
      </c>
      <c r="C135" s="1" t="str">
        <f>"600460"</f>
        <v>600460</v>
      </c>
      <c r="D135" s="1" t="str">
        <f>"士兰微"</f>
        <v>士兰微</v>
      </c>
      <c r="E135" s="1" t="str">
        <f t="shared" ref="E135:E140" si="196">"卖出"</f>
        <v>卖出</v>
      </c>
      <c r="F135" s="1" t="str">
        <f>"11.840"</f>
        <v>11.840</v>
      </c>
      <c r="G135" s="1" t="str">
        <f>"-300.00"</f>
        <v>-300.00</v>
      </c>
      <c r="H135" s="1" t="str">
        <f t="shared" ref="H135:H140" si="197">"A850418317"</f>
        <v>A850418317</v>
      </c>
      <c r="I135" s="1" t="str">
        <f>"3552.00"</f>
        <v>3552.00</v>
      </c>
      <c r="J135" s="1" t="str">
        <f t="shared" si="173"/>
        <v>5.00</v>
      </c>
      <c r="K135" s="1" t="str">
        <f>"3.55"</f>
        <v>3.55</v>
      </c>
      <c r="L135" s="1" t="str">
        <f>"0.07"</f>
        <v>0.07</v>
      </c>
      <c r="M135" s="1" t="str">
        <f t="shared" si="193"/>
        <v>0.00</v>
      </c>
      <c r="N135" s="1" t="str">
        <f t="shared" ref="N135:N140" si="198">"证券卖出"</f>
        <v>证券卖出</v>
      </c>
    </row>
    <row r="136" spans="1:14">
      <c r="A136" s="1" t="str">
        <f t="shared" si="195"/>
        <v>20171130</v>
      </c>
      <c r="B136" s="1" t="str">
        <f>"09:42:10"</f>
        <v>09:42:10</v>
      </c>
      <c r="C136" s="1" t="str">
        <f>"600230"</f>
        <v>600230</v>
      </c>
      <c r="D136" s="1" t="str">
        <f>"沧州大化"</f>
        <v>沧州大化</v>
      </c>
      <c r="E136" s="1" t="str">
        <f t="shared" si="196"/>
        <v>卖出</v>
      </c>
      <c r="F136" s="1" t="str">
        <f>"48.050"</f>
        <v>48.050</v>
      </c>
      <c r="G136" s="1" t="str">
        <f>"-200.00"</f>
        <v>-200.00</v>
      </c>
      <c r="H136" s="1" t="str">
        <f t="shared" si="197"/>
        <v>A850418317</v>
      </c>
      <c r="I136" s="1" t="str">
        <f>"9610.00"</f>
        <v>9610.00</v>
      </c>
      <c r="J136" s="1" t="str">
        <f t="shared" si="173"/>
        <v>5.00</v>
      </c>
      <c r="K136" s="1" t="str">
        <f>"9.61"</f>
        <v>9.61</v>
      </c>
      <c r="L136" s="1" t="str">
        <f>"0.19"</f>
        <v>0.19</v>
      </c>
      <c r="M136" s="1" t="str">
        <f t="shared" si="193"/>
        <v>0.00</v>
      </c>
      <c r="N136" s="1" t="str">
        <f t="shared" si="198"/>
        <v>证券卖出</v>
      </c>
    </row>
    <row r="137" spans="1:14">
      <c r="A137" s="1" t="str">
        <f t="shared" si="195"/>
        <v>20171130</v>
      </c>
      <c r="B137" s="1" t="str">
        <f>"09:47:08"</f>
        <v>09:47:08</v>
      </c>
      <c r="C137" s="1" t="str">
        <f>"603648"</f>
        <v>603648</v>
      </c>
      <c r="D137" s="1" t="str">
        <f>"畅联股份"</f>
        <v>畅联股份</v>
      </c>
      <c r="E137" s="1" t="str">
        <f t="shared" ref="E137:E141" si="199">"买入"</f>
        <v>买入</v>
      </c>
      <c r="F137" s="1" t="str">
        <f>"21.780"</f>
        <v>21.780</v>
      </c>
      <c r="G137" s="1" t="str">
        <f t="shared" si="194"/>
        <v>200.00</v>
      </c>
      <c r="H137" s="1" t="str">
        <f t="shared" si="197"/>
        <v>A850418317</v>
      </c>
      <c r="I137" s="1" t="str">
        <f>"4356.00"</f>
        <v>4356.00</v>
      </c>
      <c r="J137" s="1" t="str">
        <f t="shared" si="173"/>
        <v>5.00</v>
      </c>
      <c r="K137" s="1" t="str">
        <f t="shared" ref="K137:K141" si="200">"0.00"</f>
        <v>0.00</v>
      </c>
      <c r="L137" s="1" t="str">
        <f>"0.09"</f>
        <v>0.09</v>
      </c>
      <c r="M137" s="1" t="str">
        <f t="shared" si="193"/>
        <v>0.00</v>
      </c>
      <c r="N137" s="1" t="str">
        <f t="shared" ref="N137:N141" si="201">"证券买入"</f>
        <v>证券买入</v>
      </c>
    </row>
    <row r="138" spans="1:14">
      <c r="A138" s="1" t="str">
        <f t="shared" si="195"/>
        <v>20171130</v>
      </c>
      <c r="B138" s="1" t="str">
        <f>"09:53:37"</f>
        <v>09:53:37</v>
      </c>
      <c r="C138" s="1" t="str">
        <f>"600184"</f>
        <v>600184</v>
      </c>
      <c r="D138" s="1" t="str">
        <f>"光电股份"</f>
        <v>光电股份</v>
      </c>
      <c r="E138" s="1" t="str">
        <f t="shared" si="199"/>
        <v>买入</v>
      </c>
      <c r="F138" s="1" t="str">
        <f>"21.530"</f>
        <v>21.530</v>
      </c>
      <c r="G138" s="1" t="str">
        <f t="shared" si="194"/>
        <v>200.00</v>
      </c>
      <c r="H138" s="1" t="str">
        <f t="shared" si="197"/>
        <v>A850418317</v>
      </c>
      <c r="I138" s="1" t="str">
        <f>"4306.00"</f>
        <v>4306.00</v>
      </c>
      <c r="J138" s="1" t="str">
        <f t="shared" si="173"/>
        <v>5.00</v>
      </c>
      <c r="K138" s="1" t="str">
        <f t="shared" si="200"/>
        <v>0.00</v>
      </c>
      <c r="L138" s="1" t="str">
        <f>"0.09"</f>
        <v>0.09</v>
      </c>
      <c r="M138" s="1" t="str">
        <f t="shared" si="193"/>
        <v>0.00</v>
      </c>
      <c r="N138" s="1" t="str">
        <f t="shared" si="201"/>
        <v>证券买入</v>
      </c>
    </row>
    <row r="139" spans="1:14">
      <c r="A139" s="1" t="str">
        <f t="shared" si="195"/>
        <v>20171130</v>
      </c>
      <c r="B139" s="1" t="str">
        <f>"10:27:23"</f>
        <v>10:27:23</v>
      </c>
      <c r="C139" s="1" t="str">
        <f>"600668"</f>
        <v>600668</v>
      </c>
      <c r="D139" s="1" t="str">
        <f>"尖峰集团"</f>
        <v>尖峰集团</v>
      </c>
      <c r="E139" s="1" t="str">
        <f t="shared" si="196"/>
        <v>卖出</v>
      </c>
      <c r="F139" s="1" t="str">
        <f>"16.440"</f>
        <v>16.440</v>
      </c>
      <c r="G139" s="1" t="str">
        <f>"-200.00"</f>
        <v>-200.00</v>
      </c>
      <c r="H139" s="1" t="str">
        <f t="shared" si="197"/>
        <v>A850418317</v>
      </c>
      <c r="I139" s="1" t="str">
        <f>"3288.00"</f>
        <v>3288.00</v>
      </c>
      <c r="J139" s="1" t="str">
        <f t="shared" si="173"/>
        <v>5.00</v>
      </c>
      <c r="K139" s="1" t="str">
        <f>"3.29"</f>
        <v>3.29</v>
      </c>
      <c r="L139" s="1" t="str">
        <f>"0.07"</f>
        <v>0.07</v>
      </c>
      <c r="M139" s="1" t="str">
        <f t="shared" si="193"/>
        <v>0.00</v>
      </c>
      <c r="N139" s="1" t="str">
        <f t="shared" si="198"/>
        <v>证券卖出</v>
      </c>
    </row>
    <row r="140" spans="1:14">
      <c r="A140" s="1" t="str">
        <f t="shared" si="195"/>
        <v>20171130</v>
      </c>
      <c r="B140" s="1" t="str">
        <f>"10:28:37"</f>
        <v>10:28:37</v>
      </c>
      <c r="C140" s="1" t="str">
        <f>"600507"</f>
        <v>600507</v>
      </c>
      <c r="D140" s="1" t="str">
        <f>"方大特钢"</f>
        <v>方大特钢</v>
      </c>
      <c r="E140" s="1" t="str">
        <f t="shared" si="196"/>
        <v>卖出</v>
      </c>
      <c r="F140" s="1" t="str">
        <f>"16.220"</f>
        <v>16.220</v>
      </c>
      <c r="G140" s="1" t="str">
        <f>"-300.00"</f>
        <v>-300.00</v>
      </c>
      <c r="H140" s="1" t="str">
        <f t="shared" si="197"/>
        <v>A850418317</v>
      </c>
      <c r="I140" s="1" t="str">
        <f>"4866.00"</f>
        <v>4866.00</v>
      </c>
      <c r="J140" s="1" t="str">
        <f t="shared" si="173"/>
        <v>5.00</v>
      </c>
      <c r="K140" s="1" t="str">
        <f>"4.87"</f>
        <v>4.87</v>
      </c>
      <c r="L140" s="1" t="str">
        <f>"0.10"</f>
        <v>0.10</v>
      </c>
      <c r="M140" s="1" t="str">
        <f t="shared" si="193"/>
        <v>0.00</v>
      </c>
      <c r="N140" s="1" t="str">
        <f t="shared" si="198"/>
        <v>证券卖出</v>
      </c>
    </row>
    <row r="141" spans="1:14">
      <c r="A141" s="1" t="str">
        <f t="shared" si="195"/>
        <v>20171130</v>
      </c>
      <c r="B141" s="1" t="str">
        <f>"09:47:57"</f>
        <v>09:47:57</v>
      </c>
      <c r="C141" s="1" t="str">
        <f>"002128"</f>
        <v>002128</v>
      </c>
      <c r="D141" s="1" t="str">
        <f>"露天煤业"</f>
        <v>露天煤业</v>
      </c>
      <c r="E141" s="1" t="str">
        <f t="shared" si="199"/>
        <v>买入</v>
      </c>
      <c r="F141" s="1" t="str">
        <f>"12.090"</f>
        <v>12.090</v>
      </c>
      <c r="G141" s="1" t="str">
        <f>"300.00"</f>
        <v>300.00</v>
      </c>
      <c r="H141" s="1" t="str">
        <f t="shared" ref="H141:H145" si="202">"0104152129"</f>
        <v>0104152129</v>
      </c>
      <c r="I141" s="1" t="str">
        <f>"3627.00"</f>
        <v>3627.00</v>
      </c>
      <c r="J141" s="1" t="str">
        <f t="shared" si="173"/>
        <v>5.00</v>
      </c>
      <c r="K141" s="1" t="str">
        <f t="shared" si="200"/>
        <v>0.00</v>
      </c>
      <c r="L141" s="1" t="str">
        <f>"0.07"</f>
        <v>0.07</v>
      </c>
      <c r="M141" s="1" t="str">
        <f t="shared" si="193"/>
        <v>0.00</v>
      </c>
      <c r="N141" s="1" t="str">
        <f t="shared" si="201"/>
        <v>证券买入</v>
      </c>
    </row>
    <row r="142" spans="1:14">
      <c r="A142" s="1" t="str">
        <f t="shared" si="195"/>
        <v>20171130</v>
      </c>
      <c r="B142" s="1" t="str">
        <f>"10:28:06"</f>
        <v>10:28:06</v>
      </c>
      <c r="C142" s="1" t="str">
        <f>"002670"</f>
        <v>002670</v>
      </c>
      <c r="D142" s="1" t="str">
        <f>"国盛金控"</f>
        <v>国盛金控</v>
      </c>
      <c r="E142" s="1" t="str">
        <f>"卖出"</f>
        <v>卖出</v>
      </c>
      <c r="F142" s="1" t="str">
        <f>"22.520"</f>
        <v>22.520</v>
      </c>
      <c r="G142" s="1" t="str">
        <f>"-100.00"</f>
        <v>-100.00</v>
      </c>
      <c r="H142" s="1" t="str">
        <f t="shared" si="202"/>
        <v>0104152129</v>
      </c>
      <c r="I142" s="1" t="str">
        <f>"2252.00"</f>
        <v>2252.00</v>
      </c>
      <c r="J142" s="1" t="str">
        <f t="shared" si="173"/>
        <v>5.00</v>
      </c>
      <c r="K142" s="1" t="str">
        <f>"2.25"</f>
        <v>2.25</v>
      </c>
      <c r="L142" s="1" t="str">
        <f>"0.05"</f>
        <v>0.05</v>
      </c>
      <c r="M142" s="1" t="str">
        <f t="shared" si="193"/>
        <v>0.00</v>
      </c>
      <c r="N142" s="1" t="str">
        <f>"证券卖出"</f>
        <v>证券卖出</v>
      </c>
    </row>
    <row r="143" spans="1:14">
      <c r="A143" s="1" t="str">
        <f t="shared" si="195"/>
        <v>20171130</v>
      </c>
      <c r="B143" s="1" t="str">
        <f>"13:01:17"</f>
        <v>13:01:17</v>
      </c>
      <c r="C143" s="1" t="str">
        <f>"300722"</f>
        <v>300722</v>
      </c>
      <c r="D143" s="1" t="str">
        <f>"新余国科"</f>
        <v>新余国科</v>
      </c>
      <c r="E143" s="1" t="str">
        <f t="shared" ref="E143:E146" si="203">"买入"</f>
        <v>买入</v>
      </c>
      <c r="F143" s="1" t="str">
        <f>"44.100"</f>
        <v>44.100</v>
      </c>
      <c r="G143" s="1" t="str">
        <f t="shared" ref="G143:G145" si="204">"100.00"</f>
        <v>100.00</v>
      </c>
      <c r="H143" s="1" t="str">
        <f t="shared" si="202"/>
        <v>0104152129</v>
      </c>
      <c r="I143" s="1" t="str">
        <f>"4410.00"</f>
        <v>4410.00</v>
      </c>
      <c r="J143" s="1" t="str">
        <f t="shared" si="173"/>
        <v>5.00</v>
      </c>
      <c r="K143" s="1" t="str">
        <f t="shared" ref="K143:K146" si="205">"0.00"</f>
        <v>0.00</v>
      </c>
      <c r="L143" s="1" t="str">
        <f>"0.09"</f>
        <v>0.09</v>
      </c>
      <c r="M143" s="1" t="str">
        <f t="shared" si="193"/>
        <v>0.00</v>
      </c>
      <c r="N143" s="1" t="str">
        <f t="shared" ref="N143:N145" si="206">"证券买入"</f>
        <v>证券买入</v>
      </c>
    </row>
    <row r="144" spans="1:14">
      <c r="A144" s="1" t="str">
        <f t="shared" si="195"/>
        <v>20171130</v>
      </c>
      <c r="B144" s="1" t="str">
        <f>"13:25:55"</f>
        <v>13:25:55</v>
      </c>
      <c r="C144" s="1" t="str">
        <f>"300274"</f>
        <v>300274</v>
      </c>
      <c r="D144" s="1" t="str">
        <f>"阳光电源"</f>
        <v>阳光电源</v>
      </c>
      <c r="E144" s="1" t="str">
        <f t="shared" si="203"/>
        <v>买入</v>
      </c>
      <c r="F144" s="1" t="str">
        <f>"16.620"</f>
        <v>16.620</v>
      </c>
      <c r="G144" s="1" t="str">
        <f t="shared" si="204"/>
        <v>100.00</v>
      </c>
      <c r="H144" s="1" t="str">
        <f t="shared" si="202"/>
        <v>0104152129</v>
      </c>
      <c r="I144" s="1" t="str">
        <f>"1662.00"</f>
        <v>1662.00</v>
      </c>
      <c r="J144" s="1" t="str">
        <f t="shared" si="173"/>
        <v>5.00</v>
      </c>
      <c r="K144" s="1" t="str">
        <f t="shared" si="205"/>
        <v>0.00</v>
      </c>
      <c r="L144" s="1" t="str">
        <f>"0.03"</f>
        <v>0.03</v>
      </c>
      <c r="M144" s="1" t="str">
        <f t="shared" si="193"/>
        <v>0.00</v>
      </c>
      <c r="N144" s="1" t="str">
        <f t="shared" si="206"/>
        <v>证券买入</v>
      </c>
    </row>
    <row r="145" spans="1:14">
      <c r="A145" s="1" t="str">
        <f t="shared" si="195"/>
        <v>20171130</v>
      </c>
      <c r="B145" s="1" t="str">
        <f>"13:36:42"</f>
        <v>13:36:42</v>
      </c>
      <c r="C145" s="1" t="str">
        <f>"000725"</f>
        <v>000725</v>
      </c>
      <c r="D145" s="1" t="str">
        <f>"京东方Ａ"</f>
        <v>京东方Ａ</v>
      </c>
      <c r="E145" s="1" t="str">
        <f t="shared" si="203"/>
        <v>买入</v>
      </c>
      <c r="F145" s="1" t="str">
        <f>"5.410"</f>
        <v>5.410</v>
      </c>
      <c r="G145" s="1" t="str">
        <f t="shared" si="204"/>
        <v>100.00</v>
      </c>
      <c r="H145" s="1" t="str">
        <f t="shared" si="202"/>
        <v>0104152129</v>
      </c>
      <c r="I145" s="1" t="str">
        <f>"541.00"</f>
        <v>541.00</v>
      </c>
      <c r="J145" s="1" t="str">
        <f t="shared" si="173"/>
        <v>5.00</v>
      </c>
      <c r="K145" s="1" t="str">
        <f t="shared" si="205"/>
        <v>0.00</v>
      </c>
      <c r="L145" s="1" t="str">
        <f>"0.01"</f>
        <v>0.01</v>
      </c>
      <c r="M145" s="1" t="str">
        <f t="shared" si="193"/>
        <v>0.00</v>
      </c>
      <c r="N145" s="1" t="str">
        <f t="shared" si="206"/>
        <v>证券买入</v>
      </c>
    </row>
    <row r="146" spans="1:14">
      <c r="A146" s="1" t="str">
        <f t="shared" si="195"/>
        <v>20171130</v>
      </c>
      <c r="B146" s="1" t="str">
        <f>"22:03:37"</f>
        <v>22:03:37</v>
      </c>
      <c r="C146" s="1" t="str">
        <f>"736890"</f>
        <v>736890</v>
      </c>
      <c r="D146" s="1" t="str">
        <f>"春秋配号"</f>
        <v>春秋配号</v>
      </c>
      <c r="E146" s="1" t="str">
        <f t="shared" si="203"/>
        <v>买入</v>
      </c>
      <c r="F146" s="1" t="str">
        <f>"0.000"</f>
        <v>0.000</v>
      </c>
      <c r="G146" s="1" t="str">
        <f>"1.00"</f>
        <v>1.00</v>
      </c>
      <c r="H146" s="1" t="str">
        <f t="shared" ref="H146:H148" si="207">"A850418317"</f>
        <v>A850418317</v>
      </c>
      <c r="I146" s="1" t="str">
        <f t="shared" ref="I146:L146" si="208">"0.00"</f>
        <v>0.00</v>
      </c>
      <c r="J146" s="1" t="str">
        <f t="shared" si="208"/>
        <v>0.00</v>
      </c>
      <c r="K146" s="1" t="str">
        <f t="shared" si="205"/>
        <v>0.00</v>
      </c>
      <c r="L146" s="1" t="str">
        <f t="shared" si="208"/>
        <v>0.00</v>
      </c>
      <c r="M146" s="1" t="str">
        <f t="shared" si="193"/>
        <v>0.00</v>
      </c>
      <c r="N146" s="1" t="str">
        <f>"起始配号:100007083084"</f>
        <v>起始配号:100007083084</v>
      </c>
    </row>
    <row r="147" spans="1:14">
      <c r="A147" s="1" t="str">
        <f t="shared" ref="A147:A150" si="209">"20171201"</f>
        <v>20171201</v>
      </c>
      <c r="B147" s="1" t="str">
        <f>"13:23:31"</f>
        <v>13:23:31</v>
      </c>
      <c r="C147" s="1" t="str">
        <f>"600184"</f>
        <v>600184</v>
      </c>
      <c r="D147" s="1" t="str">
        <f>"光电股份"</f>
        <v>光电股份</v>
      </c>
      <c r="E147" s="1" t="str">
        <f t="shared" ref="E147:E150" si="210">"卖出"</f>
        <v>卖出</v>
      </c>
      <c r="F147" s="1" t="str">
        <f>"19.800"</f>
        <v>19.800</v>
      </c>
      <c r="G147" s="1" t="str">
        <f>"-200.00"</f>
        <v>-200.00</v>
      </c>
      <c r="H147" s="1" t="str">
        <f t="shared" si="207"/>
        <v>A850418317</v>
      </c>
      <c r="I147" s="1" t="str">
        <f>"3960.00"</f>
        <v>3960.00</v>
      </c>
      <c r="J147" s="1" t="str">
        <f t="shared" ref="J147:J177" si="211">"5.00"</f>
        <v>5.00</v>
      </c>
      <c r="K147" s="1" t="str">
        <f>"3.96"</f>
        <v>3.96</v>
      </c>
      <c r="L147" s="1" t="str">
        <f t="shared" ref="L147:L150" si="212">"0.08"</f>
        <v>0.08</v>
      </c>
      <c r="M147" s="1" t="str">
        <f t="shared" si="193"/>
        <v>0.00</v>
      </c>
      <c r="N147" s="1" t="str">
        <f t="shared" ref="N147:N150" si="213">"证券卖出"</f>
        <v>证券卖出</v>
      </c>
    </row>
    <row r="148" spans="1:14">
      <c r="A148" s="1" t="str">
        <f t="shared" si="209"/>
        <v>20171201</v>
      </c>
      <c r="B148" s="1" t="str">
        <f>"14:00:00"</f>
        <v>14:00:00</v>
      </c>
      <c r="C148" s="1" t="str">
        <f>"603648"</f>
        <v>603648</v>
      </c>
      <c r="D148" s="1" t="str">
        <f>"畅联股份"</f>
        <v>畅联股份</v>
      </c>
      <c r="E148" s="1" t="str">
        <f t="shared" si="210"/>
        <v>卖出</v>
      </c>
      <c r="F148" s="1" t="str">
        <f>"20.700"</f>
        <v>20.700</v>
      </c>
      <c r="G148" s="1" t="str">
        <f>"-200.00"</f>
        <v>-200.00</v>
      </c>
      <c r="H148" s="1" t="str">
        <f t="shared" si="207"/>
        <v>A850418317</v>
      </c>
      <c r="I148" s="1" t="str">
        <f>"4140.00"</f>
        <v>4140.00</v>
      </c>
      <c r="J148" s="1" t="str">
        <f t="shared" si="211"/>
        <v>5.00</v>
      </c>
      <c r="K148" s="1" t="str">
        <f>"4.14"</f>
        <v>4.14</v>
      </c>
      <c r="L148" s="1" t="str">
        <f t="shared" si="212"/>
        <v>0.08</v>
      </c>
      <c r="M148" s="1" t="str">
        <f t="shared" si="193"/>
        <v>0.00</v>
      </c>
      <c r="N148" s="1" t="str">
        <f t="shared" si="213"/>
        <v>证券卖出</v>
      </c>
    </row>
    <row r="149" spans="1:14">
      <c r="A149" s="1" t="str">
        <f t="shared" si="209"/>
        <v>20171201</v>
      </c>
      <c r="B149" s="1" t="str">
        <f>"13:24:30"</f>
        <v>13:24:30</v>
      </c>
      <c r="C149" s="1" t="str">
        <f>"002128"</f>
        <v>002128</v>
      </c>
      <c r="D149" s="1" t="str">
        <f>"露天煤业"</f>
        <v>露天煤业</v>
      </c>
      <c r="E149" s="1" t="str">
        <f t="shared" si="210"/>
        <v>卖出</v>
      </c>
      <c r="F149" s="1" t="str">
        <f>"11.600"</f>
        <v>11.600</v>
      </c>
      <c r="G149" s="1" t="str">
        <f>"-300.00"</f>
        <v>-300.00</v>
      </c>
      <c r="H149" s="1" t="str">
        <f t="shared" ref="H149:H156" si="214">"0104152129"</f>
        <v>0104152129</v>
      </c>
      <c r="I149" s="1" t="str">
        <f>"3480.00"</f>
        <v>3480.00</v>
      </c>
      <c r="J149" s="1" t="str">
        <f t="shared" si="211"/>
        <v>5.00</v>
      </c>
      <c r="K149" s="1" t="str">
        <f>"3.48"</f>
        <v>3.48</v>
      </c>
      <c r="L149" s="1" t="str">
        <f>"0.07"</f>
        <v>0.07</v>
      </c>
      <c r="M149" s="1" t="str">
        <f t="shared" si="193"/>
        <v>0.00</v>
      </c>
      <c r="N149" s="1" t="str">
        <f t="shared" si="213"/>
        <v>证券卖出</v>
      </c>
    </row>
    <row r="150" spans="1:14">
      <c r="A150" s="1" t="str">
        <f t="shared" si="209"/>
        <v>20171201</v>
      </c>
      <c r="B150" s="1" t="str">
        <f>"13:31:24"</f>
        <v>13:31:24</v>
      </c>
      <c r="C150" s="1" t="str">
        <f>"300722"</f>
        <v>300722</v>
      </c>
      <c r="D150" s="1" t="str">
        <f>"新余国科"</f>
        <v>新余国科</v>
      </c>
      <c r="E150" s="1" t="str">
        <f t="shared" si="210"/>
        <v>卖出</v>
      </c>
      <c r="F150" s="1" t="str">
        <f>"40.900"</f>
        <v>40.900</v>
      </c>
      <c r="G150" s="1" t="str">
        <f>"-100.00"</f>
        <v>-100.00</v>
      </c>
      <c r="H150" s="1" t="str">
        <f t="shared" si="214"/>
        <v>0104152129</v>
      </c>
      <c r="I150" s="1" t="str">
        <f>"4090.00"</f>
        <v>4090.00</v>
      </c>
      <c r="J150" s="1" t="str">
        <f t="shared" si="211"/>
        <v>5.00</v>
      </c>
      <c r="K150" s="1" t="str">
        <f>"4.09"</f>
        <v>4.09</v>
      </c>
      <c r="L150" s="1" t="str">
        <f t="shared" si="212"/>
        <v>0.08</v>
      </c>
      <c r="M150" s="1" t="str">
        <f t="shared" si="193"/>
        <v>0.00</v>
      </c>
      <c r="N150" s="1" t="str">
        <f t="shared" si="213"/>
        <v>证券卖出</v>
      </c>
    </row>
    <row r="151" spans="1:14">
      <c r="A151" s="1" t="str">
        <f t="shared" ref="A151:A156" si="215">"20171204"</f>
        <v>20171204</v>
      </c>
      <c r="B151" s="1" t="str">
        <f>"09:25:01"</f>
        <v>09:25:01</v>
      </c>
      <c r="C151" s="1" t="str">
        <f t="shared" ref="C151:C153" si="216">"600460"</f>
        <v>600460</v>
      </c>
      <c r="D151" s="1" t="str">
        <f t="shared" ref="D151:D153" si="217">"士兰微"</f>
        <v>士兰微</v>
      </c>
      <c r="E151" s="1" t="str">
        <f t="shared" ref="E151:E160" si="218">"买入"</f>
        <v>买入</v>
      </c>
      <c r="F151" s="1" t="str">
        <f>"14.050"</f>
        <v>14.050</v>
      </c>
      <c r="G151" s="1" t="str">
        <f>"200.00"</f>
        <v>200.00</v>
      </c>
      <c r="H151" s="1" t="str">
        <f t="shared" ref="H151:H153" si="219">"A850418317"</f>
        <v>A850418317</v>
      </c>
      <c r="I151" s="1" t="str">
        <f>"2810.00"</f>
        <v>2810.00</v>
      </c>
      <c r="J151" s="1" t="str">
        <f t="shared" si="211"/>
        <v>5.00</v>
      </c>
      <c r="K151" s="1" t="str">
        <f t="shared" ref="K151:K160" si="220">"0.00"</f>
        <v>0.00</v>
      </c>
      <c r="L151" s="1" t="str">
        <f>"0.06"</f>
        <v>0.06</v>
      </c>
      <c r="M151" s="1" t="str">
        <f t="shared" si="193"/>
        <v>0.00</v>
      </c>
      <c r="N151" s="1" t="str">
        <f t="shared" ref="N151:N160" si="221">"证券买入"</f>
        <v>证券买入</v>
      </c>
    </row>
    <row r="152" spans="1:14">
      <c r="A152" s="1" t="str">
        <f t="shared" si="215"/>
        <v>20171204</v>
      </c>
      <c r="B152" s="1" t="str">
        <f>"09:33:36"</f>
        <v>09:33:36</v>
      </c>
      <c r="C152" s="1" t="str">
        <f t="shared" si="216"/>
        <v>600460</v>
      </c>
      <c r="D152" s="1" t="str">
        <f t="shared" si="217"/>
        <v>士兰微</v>
      </c>
      <c r="E152" s="1" t="str">
        <f t="shared" si="218"/>
        <v>买入</v>
      </c>
      <c r="F152" s="1" t="str">
        <f>"13.810"</f>
        <v>13.810</v>
      </c>
      <c r="G152" s="1" t="str">
        <f t="shared" ref="G152:G156" si="222">"100.00"</f>
        <v>100.00</v>
      </c>
      <c r="H152" s="1" t="str">
        <f t="shared" si="219"/>
        <v>A850418317</v>
      </c>
      <c r="I152" s="1" t="str">
        <f>"1381.00"</f>
        <v>1381.00</v>
      </c>
      <c r="J152" s="1" t="str">
        <f t="shared" si="211"/>
        <v>5.00</v>
      </c>
      <c r="K152" s="1" t="str">
        <f t="shared" si="220"/>
        <v>0.00</v>
      </c>
      <c r="L152" s="1" t="str">
        <f t="shared" ref="L152:L156" si="223">"0.03"</f>
        <v>0.03</v>
      </c>
      <c r="M152" s="1" t="str">
        <f t="shared" si="193"/>
        <v>0.00</v>
      </c>
      <c r="N152" s="1" t="str">
        <f t="shared" si="221"/>
        <v>证券买入</v>
      </c>
    </row>
    <row r="153" spans="1:14">
      <c r="A153" s="1" t="str">
        <f t="shared" si="215"/>
        <v>20171204</v>
      </c>
      <c r="B153" s="1" t="str">
        <f>"09:40:01"</f>
        <v>09:40:01</v>
      </c>
      <c r="C153" s="1" t="str">
        <f t="shared" si="216"/>
        <v>600460</v>
      </c>
      <c r="D153" s="1" t="str">
        <f t="shared" si="217"/>
        <v>士兰微</v>
      </c>
      <c r="E153" s="1" t="str">
        <f t="shared" si="218"/>
        <v>买入</v>
      </c>
      <c r="F153" s="1" t="str">
        <f>"13.550"</f>
        <v>13.550</v>
      </c>
      <c r="G153" s="1" t="str">
        <f t="shared" si="222"/>
        <v>100.00</v>
      </c>
      <c r="H153" s="1" t="str">
        <f t="shared" si="219"/>
        <v>A850418317</v>
      </c>
      <c r="I153" s="1" t="str">
        <f>"1355.00"</f>
        <v>1355.00</v>
      </c>
      <c r="J153" s="1" t="str">
        <f t="shared" si="211"/>
        <v>5.00</v>
      </c>
      <c r="K153" s="1" t="str">
        <f t="shared" si="220"/>
        <v>0.00</v>
      </c>
      <c r="L153" s="1" t="str">
        <f t="shared" si="223"/>
        <v>0.03</v>
      </c>
      <c r="M153" s="1" t="str">
        <f t="shared" si="193"/>
        <v>0.00</v>
      </c>
      <c r="N153" s="1" t="str">
        <f t="shared" si="221"/>
        <v>证券买入</v>
      </c>
    </row>
    <row r="154" spans="1:14">
      <c r="A154" s="1" t="str">
        <f t="shared" si="215"/>
        <v>20171204</v>
      </c>
      <c r="B154" s="1" t="str">
        <f>"09:25:00"</f>
        <v>09:25:00</v>
      </c>
      <c r="C154" s="1" t="str">
        <f t="shared" ref="C154:C156" si="224">"300101"</f>
        <v>300101</v>
      </c>
      <c r="D154" s="1" t="str">
        <f t="shared" ref="D154:D156" si="225">"振芯科技"</f>
        <v>振芯科技</v>
      </c>
      <c r="E154" s="1" t="str">
        <f t="shared" si="218"/>
        <v>买入</v>
      </c>
      <c r="F154" s="1" t="str">
        <f>"16.750"</f>
        <v>16.750</v>
      </c>
      <c r="G154" s="1" t="str">
        <f>"500.00"</f>
        <v>500.00</v>
      </c>
      <c r="H154" s="1" t="str">
        <f t="shared" si="214"/>
        <v>0104152129</v>
      </c>
      <c r="I154" s="1" t="str">
        <f>"8375.00"</f>
        <v>8375.00</v>
      </c>
      <c r="J154" s="1" t="str">
        <f t="shared" si="211"/>
        <v>5.00</v>
      </c>
      <c r="K154" s="1" t="str">
        <f t="shared" si="220"/>
        <v>0.00</v>
      </c>
      <c r="L154" s="1" t="str">
        <f>"0.17"</f>
        <v>0.17</v>
      </c>
      <c r="M154" s="1" t="str">
        <f t="shared" si="193"/>
        <v>0.00</v>
      </c>
      <c r="N154" s="1" t="str">
        <f t="shared" si="221"/>
        <v>证券买入</v>
      </c>
    </row>
    <row r="155" spans="1:14">
      <c r="A155" s="1" t="str">
        <f t="shared" si="215"/>
        <v>20171204</v>
      </c>
      <c r="B155" s="1" t="str">
        <f>"09:30:35"</f>
        <v>09:30:35</v>
      </c>
      <c r="C155" s="1" t="str">
        <f t="shared" si="224"/>
        <v>300101</v>
      </c>
      <c r="D155" s="1" t="str">
        <f t="shared" si="225"/>
        <v>振芯科技</v>
      </c>
      <c r="E155" s="1" t="str">
        <f t="shared" si="218"/>
        <v>买入</v>
      </c>
      <c r="F155" s="1" t="str">
        <f>"16.670"</f>
        <v>16.670</v>
      </c>
      <c r="G155" s="1" t="str">
        <f t="shared" ref="G155:G158" si="226">"200.00"</f>
        <v>200.00</v>
      </c>
      <c r="H155" s="1" t="str">
        <f t="shared" si="214"/>
        <v>0104152129</v>
      </c>
      <c r="I155" s="1" t="str">
        <f>"3334.00"</f>
        <v>3334.00</v>
      </c>
      <c r="J155" s="1" t="str">
        <f t="shared" si="211"/>
        <v>5.00</v>
      </c>
      <c r="K155" s="1" t="str">
        <f t="shared" si="220"/>
        <v>0.00</v>
      </c>
      <c r="L155" s="1" t="str">
        <f>"0.07"</f>
        <v>0.07</v>
      </c>
      <c r="M155" s="1" t="str">
        <f t="shared" si="193"/>
        <v>0.00</v>
      </c>
      <c r="N155" s="1" t="str">
        <f t="shared" si="221"/>
        <v>证券买入</v>
      </c>
    </row>
    <row r="156" spans="1:14">
      <c r="A156" s="1" t="str">
        <f t="shared" si="215"/>
        <v>20171204</v>
      </c>
      <c r="B156" s="1" t="str">
        <f>"09:48:13"</f>
        <v>09:48:13</v>
      </c>
      <c r="C156" s="1" t="str">
        <f t="shared" si="224"/>
        <v>300101</v>
      </c>
      <c r="D156" s="1" t="str">
        <f t="shared" si="225"/>
        <v>振芯科技</v>
      </c>
      <c r="E156" s="1" t="str">
        <f t="shared" si="218"/>
        <v>买入</v>
      </c>
      <c r="F156" s="1" t="str">
        <f>"16.530"</f>
        <v>16.530</v>
      </c>
      <c r="G156" s="1" t="str">
        <f t="shared" si="222"/>
        <v>100.00</v>
      </c>
      <c r="H156" s="1" t="str">
        <f t="shared" si="214"/>
        <v>0104152129</v>
      </c>
      <c r="I156" s="1" t="str">
        <f>"1653.00"</f>
        <v>1653.00</v>
      </c>
      <c r="J156" s="1" t="str">
        <f t="shared" si="211"/>
        <v>5.00</v>
      </c>
      <c r="K156" s="1" t="str">
        <f t="shared" si="220"/>
        <v>0.00</v>
      </c>
      <c r="L156" s="1" t="str">
        <f t="shared" si="223"/>
        <v>0.03</v>
      </c>
      <c r="M156" s="1" t="str">
        <f t="shared" si="193"/>
        <v>0.00</v>
      </c>
      <c r="N156" s="1" t="str">
        <f t="shared" si="221"/>
        <v>证券买入</v>
      </c>
    </row>
    <row r="157" spans="1:14">
      <c r="A157" s="1" t="str">
        <f t="shared" ref="A157:A178" si="227">"20171205"</f>
        <v>20171205</v>
      </c>
      <c r="B157" s="1" t="str">
        <f>"10:51:12"</f>
        <v>10:51:12</v>
      </c>
      <c r="C157" s="1" t="str">
        <f t="shared" ref="C157:C161" si="228">"600460"</f>
        <v>600460</v>
      </c>
      <c r="D157" s="1" t="str">
        <f t="shared" ref="D157:D161" si="229">"士兰微"</f>
        <v>士兰微</v>
      </c>
      <c r="E157" s="1" t="str">
        <f t="shared" si="218"/>
        <v>买入</v>
      </c>
      <c r="F157" s="1" t="str">
        <f>"13.450"</f>
        <v>13.450</v>
      </c>
      <c r="G157" s="1" t="str">
        <f t="shared" si="226"/>
        <v>200.00</v>
      </c>
      <c r="H157" s="1" t="str">
        <f t="shared" ref="H157:H161" si="230">"A850418317"</f>
        <v>A850418317</v>
      </c>
      <c r="I157" s="1" t="str">
        <f>"2690.00"</f>
        <v>2690.00</v>
      </c>
      <c r="J157" s="1" t="str">
        <f t="shared" si="211"/>
        <v>5.00</v>
      </c>
      <c r="K157" s="1" t="str">
        <f t="shared" si="220"/>
        <v>0.00</v>
      </c>
      <c r="L157" s="1" t="str">
        <f>"0.05"</f>
        <v>0.05</v>
      </c>
      <c r="M157" s="1" t="str">
        <f t="shared" si="193"/>
        <v>0.00</v>
      </c>
      <c r="N157" s="1" t="str">
        <f t="shared" si="221"/>
        <v>证券买入</v>
      </c>
    </row>
    <row r="158" spans="1:14">
      <c r="A158" s="1" t="str">
        <f t="shared" si="227"/>
        <v>20171205</v>
      </c>
      <c r="B158" s="1" t="str">
        <f>"10:52:25"</f>
        <v>10:52:25</v>
      </c>
      <c r="C158" s="1" t="str">
        <f t="shared" si="228"/>
        <v>600460</v>
      </c>
      <c r="D158" s="1" t="str">
        <f t="shared" si="229"/>
        <v>士兰微</v>
      </c>
      <c r="E158" s="1" t="str">
        <f t="shared" si="218"/>
        <v>买入</v>
      </c>
      <c r="F158" s="1" t="str">
        <f>"13.420"</f>
        <v>13.420</v>
      </c>
      <c r="G158" s="1" t="str">
        <f t="shared" si="226"/>
        <v>200.00</v>
      </c>
      <c r="H158" s="1" t="str">
        <f t="shared" si="230"/>
        <v>A850418317</v>
      </c>
      <c r="I158" s="1" t="str">
        <f>"2684.00"</f>
        <v>2684.00</v>
      </c>
      <c r="J158" s="1" t="str">
        <f t="shared" si="211"/>
        <v>5.00</v>
      </c>
      <c r="K158" s="1" t="str">
        <f t="shared" si="220"/>
        <v>0.00</v>
      </c>
      <c r="L158" s="1" t="str">
        <f>"0.05"</f>
        <v>0.05</v>
      </c>
      <c r="M158" s="1" t="str">
        <f t="shared" si="193"/>
        <v>0.00</v>
      </c>
      <c r="N158" s="1" t="str">
        <f t="shared" si="221"/>
        <v>证券买入</v>
      </c>
    </row>
    <row r="159" spans="1:14">
      <c r="A159" s="1" t="str">
        <f t="shared" si="227"/>
        <v>20171205</v>
      </c>
      <c r="B159" s="1" t="str">
        <f>"10:53:24"</f>
        <v>10:53:24</v>
      </c>
      <c r="C159" s="1" t="str">
        <f t="shared" si="228"/>
        <v>600460</v>
      </c>
      <c r="D159" s="1" t="str">
        <f t="shared" si="229"/>
        <v>士兰微</v>
      </c>
      <c r="E159" s="1" t="str">
        <f t="shared" si="218"/>
        <v>买入</v>
      </c>
      <c r="F159" s="1" t="str">
        <f>"13.390"</f>
        <v>13.390</v>
      </c>
      <c r="G159" s="1" t="str">
        <f>"100.00"</f>
        <v>100.00</v>
      </c>
      <c r="H159" s="1" t="str">
        <f t="shared" si="230"/>
        <v>A850418317</v>
      </c>
      <c r="I159" s="1" t="str">
        <f>"1339.00"</f>
        <v>1339.00</v>
      </c>
      <c r="J159" s="1" t="str">
        <f t="shared" si="211"/>
        <v>5.00</v>
      </c>
      <c r="K159" s="1" t="str">
        <f t="shared" si="220"/>
        <v>0.00</v>
      </c>
      <c r="L159" s="1" t="str">
        <f t="shared" ref="L159:L166" si="231">"0.03"</f>
        <v>0.03</v>
      </c>
      <c r="M159" s="1" t="str">
        <f t="shared" si="193"/>
        <v>0.00</v>
      </c>
      <c r="N159" s="1" t="str">
        <f t="shared" si="221"/>
        <v>证券买入</v>
      </c>
    </row>
    <row r="160" spans="1:14">
      <c r="A160" s="1" t="str">
        <f t="shared" si="227"/>
        <v>20171205</v>
      </c>
      <c r="B160" s="1" t="str">
        <f>"10:56:48"</f>
        <v>10:56:48</v>
      </c>
      <c r="C160" s="1" t="str">
        <f t="shared" si="228"/>
        <v>600460</v>
      </c>
      <c r="D160" s="1" t="str">
        <f t="shared" si="229"/>
        <v>士兰微</v>
      </c>
      <c r="E160" s="1" t="str">
        <f t="shared" si="218"/>
        <v>买入</v>
      </c>
      <c r="F160" s="1" t="str">
        <f>"13.460"</f>
        <v>13.460</v>
      </c>
      <c r="G160" s="1" t="str">
        <f>"1000.00"</f>
        <v>1000.00</v>
      </c>
      <c r="H160" s="1" t="str">
        <f t="shared" si="230"/>
        <v>A850418317</v>
      </c>
      <c r="I160" s="1" t="str">
        <f>"13460.00"</f>
        <v>13460.00</v>
      </c>
      <c r="J160" s="1" t="str">
        <f t="shared" si="211"/>
        <v>5.00</v>
      </c>
      <c r="K160" s="1" t="str">
        <f t="shared" si="220"/>
        <v>0.00</v>
      </c>
      <c r="L160" s="1" t="str">
        <f>"0.27"</f>
        <v>0.27</v>
      </c>
      <c r="M160" s="1" t="str">
        <f t="shared" si="193"/>
        <v>0.00</v>
      </c>
      <c r="N160" s="1" t="str">
        <f t="shared" si="221"/>
        <v>证券买入</v>
      </c>
    </row>
    <row r="161" spans="1:14">
      <c r="A161" s="1" t="str">
        <f t="shared" si="227"/>
        <v>20171205</v>
      </c>
      <c r="B161" s="1" t="str">
        <f>"11:12:52"</f>
        <v>11:12:52</v>
      </c>
      <c r="C161" s="1" t="str">
        <f t="shared" si="228"/>
        <v>600460</v>
      </c>
      <c r="D161" s="1" t="str">
        <f t="shared" si="229"/>
        <v>士兰微</v>
      </c>
      <c r="E161" s="1" t="str">
        <f t="shared" ref="E161:E163" si="232">"卖出"</f>
        <v>卖出</v>
      </c>
      <c r="F161" s="1" t="str">
        <f>"13.270"</f>
        <v>13.270</v>
      </c>
      <c r="G161" s="1" t="str">
        <f>"-400.00"</f>
        <v>-400.00</v>
      </c>
      <c r="H161" s="1" t="str">
        <f t="shared" si="230"/>
        <v>A850418317</v>
      </c>
      <c r="I161" s="1" t="str">
        <f>"5308.00"</f>
        <v>5308.00</v>
      </c>
      <c r="J161" s="1" t="str">
        <f t="shared" si="211"/>
        <v>5.00</v>
      </c>
      <c r="K161" s="1" t="str">
        <f>"5.31"</f>
        <v>5.31</v>
      </c>
      <c r="L161" s="1" t="str">
        <f>"0.11"</f>
        <v>0.11</v>
      </c>
      <c r="M161" s="1" t="str">
        <f t="shared" si="193"/>
        <v>0.00</v>
      </c>
      <c r="N161" s="1" t="str">
        <f t="shared" ref="N161:N163" si="233">"证券卖出"</f>
        <v>证券卖出</v>
      </c>
    </row>
    <row r="162" spans="1:14">
      <c r="A162" s="1" t="str">
        <f t="shared" si="227"/>
        <v>20171205</v>
      </c>
      <c r="B162" s="1" t="str">
        <f>"10:50:48"</f>
        <v>10:50:48</v>
      </c>
      <c r="C162" s="1" t="str">
        <f>"300101"</f>
        <v>300101</v>
      </c>
      <c r="D162" s="1" t="str">
        <f>"振芯科技"</f>
        <v>振芯科技</v>
      </c>
      <c r="E162" s="1" t="str">
        <f t="shared" si="232"/>
        <v>卖出</v>
      </c>
      <c r="F162" s="1" t="str">
        <f>"16.070"</f>
        <v>16.070</v>
      </c>
      <c r="G162" s="1" t="str">
        <f>"-200.00"</f>
        <v>-200.00</v>
      </c>
      <c r="H162" s="1" t="str">
        <f t="shared" ref="H162:H177" si="234">"0104152129"</f>
        <v>0104152129</v>
      </c>
      <c r="I162" s="1" t="str">
        <f>"3214.00"</f>
        <v>3214.00</v>
      </c>
      <c r="J162" s="1" t="str">
        <f t="shared" si="211"/>
        <v>5.00</v>
      </c>
      <c r="K162" s="1" t="str">
        <f>"3.21"</f>
        <v>3.21</v>
      </c>
      <c r="L162" s="1" t="str">
        <f>"0.06"</f>
        <v>0.06</v>
      </c>
      <c r="M162" s="1" t="str">
        <f t="shared" si="193"/>
        <v>0.00</v>
      </c>
      <c r="N162" s="1" t="str">
        <f t="shared" si="233"/>
        <v>证券卖出</v>
      </c>
    </row>
    <row r="163" spans="1:14">
      <c r="A163" s="1" t="str">
        <f t="shared" si="227"/>
        <v>20171205</v>
      </c>
      <c r="B163" s="1" t="str">
        <f>"10:51:30"</f>
        <v>10:51:30</v>
      </c>
      <c r="C163" s="1" t="str">
        <f t="shared" ref="C163:C167" si="235">"000553"</f>
        <v>000553</v>
      </c>
      <c r="D163" s="1" t="str">
        <f t="shared" ref="D163:D167" si="236">"沙隆达Ａ"</f>
        <v>沙隆达Ａ</v>
      </c>
      <c r="E163" s="1" t="str">
        <f t="shared" si="232"/>
        <v>卖出</v>
      </c>
      <c r="F163" s="1" t="str">
        <f>"16.420"</f>
        <v>16.420</v>
      </c>
      <c r="G163" s="1" t="str">
        <f t="shared" ref="G163:G166" si="237">"-100.00"</f>
        <v>-100.00</v>
      </c>
      <c r="H163" s="1" t="str">
        <f t="shared" si="234"/>
        <v>0104152129</v>
      </c>
      <c r="I163" s="1" t="str">
        <f>"1642.00"</f>
        <v>1642.00</v>
      </c>
      <c r="J163" s="1" t="str">
        <f t="shared" si="211"/>
        <v>5.00</v>
      </c>
      <c r="K163" s="1" t="str">
        <f t="shared" ref="K163:K166" si="238">"1.64"</f>
        <v>1.64</v>
      </c>
      <c r="L163" s="1" t="str">
        <f t="shared" si="231"/>
        <v>0.03</v>
      </c>
      <c r="M163" s="1" t="str">
        <f t="shared" si="193"/>
        <v>0.00</v>
      </c>
      <c r="N163" s="1" t="str">
        <f t="shared" si="233"/>
        <v>证券卖出</v>
      </c>
    </row>
    <row r="164" spans="1:14">
      <c r="A164" s="1" t="str">
        <f t="shared" si="227"/>
        <v>20171205</v>
      </c>
      <c r="B164" s="1" t="str">
        <f>"10:51:46"</f>
        <v>10:51:46</v>
      </c>
      <c r="C164" s="1" t="str">
        <f>"000830"</f>
        <v>000830</v>
      </c>
      <c r="D164" s="1" t="str">
        <f>"鲁西化工"</f>
        <v>鲁西化工</v>
      </c>
      <c r="E164" s="1" t="str">
        <f>"买入"</f>
        <v>买入</v>
      </c>
      <c r="F164" s="1" t="str">
        <f>"16.950"</f>
        <v>16.950</v>
      </c>
      <c r="G164" s="1" t="str">
        <f>"100.00"</f>
        <v>100.00</v>
      </c>
      <c r="H164" s="1" t="str">
        <f t="shared" si="234"/>
        <v>0104152129</v>
      </c>
      <c r="I164" s="1" t="str">
        <f>"1695.00"</f>
        <v>1695.00</v>
      </c>
      <c r="J164" s="1" t="str">
        <f t="shared" si="211"/>
        <v>5.00</v>
      </c>
      <c r="K164" s="1" t="str">
        <f>"0.00"</f>
        <v>0.00</v>
      </c>
      <c r="L164" s="1" t="str">
        <f t="shared" si="231"/>
        <v>0.03</v>
      </c>
      <c r="M164" s="1" t="str">
        <f t="shared" si="193"/>
        <v>0.00</v>
      </c>
      <c r="N164" s="1" t="str">
        <f>"证券买入"</f>
        <v>证券买入</v>
      </c>
    </row>
    <row r="165" spans="1:14">
      <c r="A165" s="1" t="str">
        <f t="shared" si="227"/>
        <v>20171205</v>
      </c>
      <c r="B165" s="1" t="str">
        <f>"10:52:02"</f>
        <v>10:52:02</v>
      </c>
      <c r="C165" s="1" t="str">
        <f t="shared" si="235"/>
        <v>000553</v>
      </c>
      <c r="D165" s="1" t="str">
        <f t="shared" si="236"/>
        <v>沙隆达Ａ</v>
      </c>
      <c r="E165" s="1" t="str">
        <f t="shared" ref="E165:E172" si="239">"卖出"</f>
        <v>卖出</v>
      </c>
      <c r="F165" s="1" t="str">
        <f>"16.360"</f>
        <v>16.360</v>
      </c>
      <c r="G165" s="1" t="str">
        <f t="shared" si="237"/>
        <v>-100.00</v>
      </c>
      <c r="H165" s="1" t="str">
        <f t="shared" si="234"/>
        <v>0104152129</v>
      </c>
      <c r="I165" s="1" t="str">
        <f>"1636.00"</f>
        <v>1636.00</v>
      </c>
      <c r="J165" s="1" t="str">
        <f t="shared" si="211"/>
        <v>5.00</v>
      </c>
      <c r="K165" s="1" t="str">
        <f t="shared" si="238"/>
        <v>1.64</v>
      </c>
      <c r="L165" s="1" t="str">
        <f t="shared" si="231"/>
        <v>0.03</v>
      </c>
      <c r="M165" s="1" t="str">
        <f t="shared" si="193"/>
        <v>0.00</v>
      </c>
      <c r="N165" s="1" t="str">
        <f t="shared" ref="N165:N172" si="240">"证券卖出"</f>
        <v>证券卖出</v>
      </c>
    </row>
    <row r="166" spans="1:14">
      <c r="A166" s="1" t="str">
        <f t="shared" si="227"/>
        <v>20171205</v>
      </c>
      <c r="B166" s="1" t="str">
        <f>"10:53:14"</f>
        <v>10:53:14</v>
      </c>
      <c r="C166" s="1" t="str">
        <f t="shared" si="235"/>
        <v>000553</v>
      </c>
      <c r="D166" s="1" t="str">
        <f t="shared" si="236"/>
        <v>沙隆达Ａ</v>
      </c>
      <c r="E166" s="1" t="str">
        <f t="shared" si="239"/>
        <v>卖出</v>
      </c>
      <c r="F166" s="1" t="str">
        <f>"16.400"</f>
        <v>16.400</v>
      </c>
      <c r="G166" s="1" t="str">
        <f t="shared" si="237"/>
        <v>-100.00</v>
      </c>
      <c r="H166" s="1" t="str">
        <f t="shared" si="234"/>
        <v>0104152129</v>
      </c>
      <c r="I166" s="1" t="str">
        <f>"1640.00"</f>
        <v>1640.00</v>
      </c>
      <c r="J166" s="1" t="str">
        <f t="shared" si="211"/>
        <v>5.00</v>
      </c>
      <c r="K166" s="1" t="str">
        <f t="shared" si="238"/>
        <v>1.64</v>
      </c>
      <c r="L166" s="1" t="str">
        <f t="shared" si="231"/>
        <v>0.03</v>
      </c>
      <c r="M166" s="1" t="str">
        <f t="shared" si="193"/>
        <v>0.00</v>
      </c>
      <c r="N166" s="1" t="str">
        <f t="shared" si="240"/>
        <v>证券卖出</v>
      </c>
    </row>
    <row r="167" spans="1:14">
      <c r="A167" s="1" t="str">
        <f t="shared" si="227"/>
        <v>20171205</v>
      </c>
      <c r="B167" s="1" t="str">
        <f>"10:55:49"</f>
        <v>10:55:49</v>
      </c>
      <c r="C167" s="1" t="str">
        <f t="shared" si="235"/>
        <v>000553</v>
      </c>
      <c r="D167" s="1" t="str">
        <f t="shared" si="236"/>
        <v>沙隆达Ａ</v>
      </c>
      <c r="E167" s="1" t="str">
        <f t="shared" si="239"/>
        <v>卖出</v>
      </c>
      <c r="F167" s="1" t="str">
        <f>"16.340"</f>
        <v>16.340</v>
      </c>
      <c r="G167" s="1" t="str">
        <f>"-400.00"</f>
        <v>-400.00</v>
      </c>
      <c r="H167" s="1" t="str">
        <f t="shared" si="234"/>
        <v>0104152129</v>
      </c>
      <c r="I167" s="1" t="str">
        <f>"6536.00"</f>
        <v>6536.00</v>
      </c>
      <c r="J167" s="1" t="str">
        <f t="shared" si="211"/>
        <v>5.00</v>
      </c>
      <c r="K167" s="1" t="str">
        <f>"6.54"</f>
        <v>6.54</v>
      </c>
      <c r="L167" s="1" t="str">
        <f>"0.13"</f>
        <v>0.13</v>
      </c>
      <c r="M167" s="1" t="str">
        <f t="shared" si="193"/>
        <v>0.00</v>
      </c>
      <c r="N167" s="1" t="str">
        <f t="shared" si="240"/>
        <v>证券卖出</v>
      </c>
    </row>
    <row r="168" spans="1:14">
      <c r="A168" s="1" t="str">
        <f t="shared" si="227"/>
        <v>20171205</v>
      </c>
      <c r="B168" s="1" t="str">
        <f>"10:56:24"</f>
        <v>10:56:24</v>
      </c>
      <c r="C168" s="1" t="str">
        <f>"300101"</f>
        <v>300101</v>
      </c>
      <c r="D168" s="1" t="str">
        <f>"振芯科技"</f>
        <v>振芯科技</v>
      </c>
      <c r="E168" s="1" t="str">
        <f t="shared" si="239"/>
        <v>卖出</v>
      </c>
      <c r="F168" s="1" t="str">
        <f>"16.060"</f>
        <v>16.060</v>
      </c>
      <c r="G168" s="1" t="str">
        <f>"-400.00"</f>
        <v>-400.00</v>
      </c>
      <c r="H168" s="1" t="str">
        <f t="shared" si="234"/>
        <v>0104152129</v>
      </c>
      <c r="I168" s="1" t="str">
        <f>"6424.00"</f>
        <v>6424.00</v>
      </c>
      <c r="J168" s="1" t="str">
        <f t="shared" si="211"/>
        <v>5.00</v>
      </c>
      <c r="K168" s="1" t="str">
        <f>"6.42"</f>
        <v>6.42</v>
      </c>
      <c r="L168" s="1" t="str">
        <f>"0.13"</f>
        <v>0.13</v>
      </c>
      <c r="M168" s="1" t="str">
        <f t="shared" si="193"/>
        <v>0.00</v>
      </c>
      <c r="N168" s="1" t="str">
        <f t="shared" si="240"/>
        <v>证券卖出</v>
      </c>
    </row>
    <row r="169" spans="1:14">
      <c r="A169" s="1" t="str">
        <f t="shared" si="227"/>
        <v>20171205</v>
      </c>
      <c r="B169" s="1" t="str">
        <f>"10:59:02"</f>
        <v>10:59:02</v>
      </c>
      <c r="C169" s="1" t="str">
        <f>"000725"</f>
        <v>000725</v>
      </c>
      <c r="D169" s="1" t="str">
        <f>"京东方Ａ"</f>
        <v>京东方Ａ</v>
      </c>
      <c r="E169" s="1" t="str">
        <f t="shared" si="239"/>
        <v>卖出</v>
      </c>
      <c r="F169" s="1" t="str">
        <f>"5.680"</f>
        <v>5.680</v>
      </c>
      <c r="G169" s="1" t="str">
        <f t="shared" ref="G169:G171" si="241">"-100.00"</f>
        <v>-100.00</v>
      </c>
      <c r="H169" s="1" t="str">
        <f t="shared" si="234"/>
        <v>0104152129</v>
      </c>
      <c r="I169" s="1" t="str">
        <f>"568.00"</f>
        <v>568.00</v>
      </c>
      <c r="J169" s="1" t="str">
        <f t="shared" si="211"/>
        <v>5.00</v>
      </c>
      <c r="K169" s="1" t="str">
        <f>"0.57"</f>
        <v>0.57</v>
      </c>
      <c r="L169" s="1" t="str">
        <f>"0.01"</f>
        <v>0.01</v>
      </c>
      <c r="M169" s="1" t="str">
        <f t="shared" si="193"/>
        <v>0.00</v>
      </c>
      <c r="N169" s="1" t="str">
        <f t="shared" si="240"/>
        <v>证券卖出</v>
      </c>
    </row>
    <row r="170" spans="1:14">
      <c r="A170" s="1" t="str">
        <f t="shared" si="227"/>
        <v>20171205</v>
      </c>
      <c r="B170" s="1" t="str">
        <f>"11:10:51"</f>
        <v>11:10:51</v>
      </c>
      <c r="C170" s="1" t="str">
        <f>"300274"</f>
        <v>300274</v>
      </c>
      <c r="D170" s="1" t="str">
        <f>"阳光电源"</f>
        <v>阳光电源</v>
      </c>
      <c r="E170" s="1" t="str">
        <f t="shared" si="239"/>
        <v>卖出</v>
      </c>
      <c r="F170" s="1" t="str">
        <f>"16.700"</f>
        <v>16.700</v>
      </c>
      <c r="G170" s="1" t="str">
        <f t="shared" si="241"/>
        <v>-100.00</v>
      </c>
      <c r="H170" s="1" t="str">
        <f t="shared" si="234"/>
        <v>0104152129</v>
      </c>
      <c r="I170" s="1" t="str">
        <f>"1670.00"</f>
        <v>1670.00</v>
      </c>
      <c r="J170" s="1" t="str">
        <f t="shared" si="211"/>
        <v>5.00</v>
      </c>
      <c r="K170" s="1" t="str">
        <f>"1.67"</f>
        <v>1.67</v>
      </c>
      <c r="L170" s="1" t="str">
        <f t="shared" ref="L170:L176" si="242">"0.03"</f>
        <v>0.03</v>
      </c>
      <c r="M170" s="1" t="str">
        <f t="shared" si="193"/>
        <v>0.00</v>
      </c>
      <c r="N170" s="1" t="str">
        <f t="shared" si="240"/>
        <v>证券卖出</v>
      </c>
    </row>
    <row r="171" spans="1:14">
      <c r="A171" s="1" t="str">
        <f t="shared" si="227"/>
        <v>20171205</v>
      </c>
      <c r="B171" s="1" t="str">
        <f>"11:12:32"</f>
        <v>11:12:32</v>
      </c>
      <c r="C171" s="1" t="str">
        <f>"300101"</f>
        <v>300101</v>
      </c>
      <c r="D171" s="1" t="str">
        <f>"振芯科技"</f>
        <v>振芯科技</v>
      </c>
      <c r="E171" s="1" t="str">
        <f t="shared" si="239"/>
        <v>卖出</v>
      </c>
      <c r="F171" s="1" t="str">
        <f>"15.880"</f>
        <v>15.880</v>
      </c>
      <c r="G171" s="1" t="str">
        <f t="shared" si="241"/>
        <v>-100.00</v>
      </c>
      <c r="H171" s="1" t="str">
        <f t="shared" si="234"/>
        <v>0104152129</v>
      </c>
      <c r="I171" s="1" t="str">
        <f>"1588.00"</f>
        <v>1588.00</v>
      </c>
      <c r="J171" s="1" t="str">
        <f t="shared" si="211"/>
        <v>5.00</v>
      </c>
      <c r="K171" s="1" t="str">
        <f>"1.59"</f>
        <v>1.59</v>
      </c>
      <c r="L171" s="1" t="str">
        <f t="shared" si="242"/>
        <v>0.03</v>
      </c>
      <c r="M171" s="1" t="str">
        <f t="shared" si="193"/>
        <v>0.00</v>
      </c>
      <c r="N171" s="1" t="str">
        <f t="shared" si="240"/>
        <v>证券卖出</v>
      </c>
    </row>
    <row r="172" spans="1:14">
      <c r="A172" s="1" t="str">
        <f t="shared" si="227"/>
        <v>20171205</v>
      </c>
      <c r="B172" s="1" t="str">
        <f>"11:13:07"</f>
        <v>11:13:07</v>
      </c>
      <c r="C172" s="1" t="str">
        <f>"002477"</f>
        <v>002477</v>
      </c>
      <c r="D172" s="1" t="str">
        <f>"雏鹰农牧"</f>
        <v>雏鹰农牧</v>
      </c>
      <c r="E172" s="1" t="str">
        <f t="shared" si="239"/>
        <v>卖出</v>
      </c>
      <c r="F172" s="1" t="str">
        <f>"4.600"</f>
        <v>4.600</v>
      </c>
      <c r="G172" s="1" t="str">
        <f>"-200.00"</f>
        <v>-200.00</v>
      </c>
      <c r="H172" s="1" t="str">
        <f t="shared" si="234"/>
        <v>0104152129</v>
      </c>
      <c r="I172" s="1" t="str">
        <f>"920.00"</f>
        <v>920.00</v>
      </c>
      <c r="J172" s="1" t="str">
        <f t="shared" si="211"/>
        <v>5.00</v>
      </c>
      <c r="K172" s="1" t="str">
        <f>"0.92"</f>
        <v>0.92</v>
      </c>
      <c r="L172" s="1" t="str">
        <f>"0.02"</f>
        <v>0.02</v>
      </c>
      <c r="M172" s="1" t="str">
        <f t="shared" si="193"/>
        <v>0.00</v>
      </c>
      <c r="N172" s="1" t="str">
        <f t="shared" si="240"/>
        <v>证券卖出</v>
      </c>
    </row>
    <row r="173" spans="1:14">
      <c r="A173" s="1" t="str">
        <f t="shared" si="227"/>
        <v>20171205</v>
      </c>
      <c r="B173" s="1" t="str">
        <f>"11:15:39"</f>
        <v>11:15:39</v>
      </c>
      <c r="C173" s="1" t="str">
        <f t="shared" ref="C173:C177" si="243">"000830"</f>
        <v>000830</v>
      </c>
      <c r="D173" s="1" t="str">
        <f t="shared" ref="D173:D177" si="244">"鲁西化工"</f>
        <v>鲁西化工</v>
      </c>
      <c r="E173" s="1" t="str">
        <f t="shared" ref="E173:E178" si="245">"买入"</f>
        <v>买入</v>
      </c>
      <c r="F173" s="1" t="str">
        <f>"16.580"</f>
        <v>16.580</v>
      </c>
      <c r="G173" s="1" t="str">
        <f t="shared" ref="G173:G176" si="246">"100.00"</f>
        <v>100.00</v>
      </c>
      <c r="H173" s="1" t="str">
        <f t="shared" si="234"/>
        <v>0104152129</v>
      </c>
      <c r="I173" s="1" t="str">
        <f>"1658.00"</f>
        <v>1658.00</v>
      </c>
      <c r="J173" s="1" t="str">
        <f t="shared" si="211"/>
        <v>5.00</v>
      </c>
      <c r="K173" s="1" t="str">
        <f t="shared" ref="K173:K178" si="247">"0.00"</f>
        <v>0.00</v>
      </c>
      <c r="L173" s="1" t="str">
        <f t="shared" si="242"/>
        <v>0.03</v>
      </c>
      <c r="M173" s="1" t="str">
        <f t="shared" si="193"/>
        <v>0.00</v>
      </c>
      <c r="N173" s="1" t="str">
        <f t="shared" ref="N173:N177" si="248">"证券买入"</f>
        <v>证券买入</v>
      </c>
    </row>
    <row r="174" spans="1:14">
      <c r="A174" s="1" t="str">
        <f t="shared" si="227"/>
        <v>20171205</v>
      </c>
      <c r="B174" s="1" t="str">
        <f>"13:00:04"</f>
        <v>13:00:04</v>
      </c>
      <c r="C174" s="1" t="str">
        <f t="shared" si="243"/>
        <v>000830</v>
      </c>
      <c r="D174" s="1" t="str">
        <f t="shared" si="244"/>
        <v>鲁西化工</v>
      </c>
      <c r="E174" s="1" t="str">
        <f t="shared" si="245"/>
        <v>买入</v>
      </c>
      <c r="F174" s="1" t="str">
        <f>"15.700"</f>
        <v>15.700</v>
      </c>
      <c r="G174" s="1" t="str">
        <f t="shared" si="246"/>
        <v>100.00</v>
      </c>
      <c r="H174" s="1" t="str">
        <f t="shared" si="234"/>
        <v>0104152129</v>
      </c>
      <c r="I174" s="1" t="str">
        <f>"1570.00"</f>
        <v>1570.00</v>
      </c>
      <c r="J174" s="1" t="str">
        <f t="shared" si="211"/>
        <v>5.00</v>
      </c>
      <c r="K174" s="1" t="str">
        <f t="shared" si="247"/>
        <v>0.00</v>
      </c>
      <c r="L174" s="1" t="str">
        <f t="shared" si="242"/>
        <v>0.03</v>
      </c>
      <c r="M174" s="1" t="str">
        <f t="shared" si="193"/>
        <v>0.00</v>
      </c>
      <c r="N174" s="1" t="str">
        <f t="shared" si="248"/>
        <v>证券买入</v>
      </c>
    </row>
    <row r="175" spans="1:14">
      <c r="A175" s="1" t="str">
        <f t="shared" si="227"/>
        <v>20171205</v>
      </c>
      <c r="B175" s="1" t="str">
        <f>"13:01:48"</f>
        <v>13:01:48</v>
      </c>
      <c r="C175" s="1" t="str">
        <f t="shared" si="243"/>
        <v>000830</v>
      </c>
      <c r="D175" s="1" t="str">
        <f t="shared" si="244"/>
        <v>鲁西化工</v>
      </c>
      <c r="E175" s="1" t="str">
        <f t="shared" si="245"/>
        <v>买入</v>
      </c>
      <c r="F175" s="1" t="str">
        <f>"15.870"</f>
        <v>15.870</v>
      </c>
      <c r="G175" s="1" t="str">
        <f t="shared" si="246"/>
        <v>100.00</v>
      </c>
      <c r="H175" s="1" t="str">
        <f t="shared" si="234"/>
        <v>0104152129</v>
      </c>
      <c r="I175" s="1" t="str">
        <f>"1587.00"</f>
        <v>1587.00</v>
      </c>
      <c r="J175" s="1" t="str">
        <f t="shared" si="211"/>
        <v>5.00</v>
      </c>
      <c r="K175" s="1" t="str">
        <f t="shared" si="247"/>
        <v>0.00</v>
      </c>
      <c r="L175" s="1" t="str">
        <f t="shared" si="242"/>
        <v>0.03</v>
      </c>
      <c r="M175" s="1" t="str">
        <f t="shared" si="193"/>
        <v>0.00</v>
      </c>
      <c r="N175" s="1" t="str">
        <f t="shared" si="248"/>
        <v>证券买入</v>
      </c>
    </row>
    <row r="176" spans="1:14">
      <c r="A176" s="1" t="str">
        <f t="shared" si="227"/>
        <v>20171205</v>
      </c>
      <c r="B176" s="1" t="str">
        <f>"13:03:07"</f>
        <v>13:03:07</v>
      </c>
      <c r="C176" s="1" t="str">
        <f t="shared" si="243"/>
        <v>000830</v>
      </c>
      <c r="D176" s="1" t="str">
        <f t="shared" si="244"/>
        <v>鲁西化工</v>
      </c>
      <c r="E176" s="1" t="str">
        <f t="shared" si="245"/>
        <v>买入</v>
      </c>
      <c r="F176" s="1" t="str">
        <f>"16.060"</f>
        <v>16.060</v>
      </c>
      <c r="G176" s="1" t="str">
        <f t="shared" si="246"/>
        <v>100.00</v>
      </c>
      <c r="H176" s="1" t="str">
        <f t="shared" si="234"/>
        <v>0104152129</v>
      </c>
      <c r="I176" s="1" t="str">
        <f>"1606.00"</f>
        <v>1606.00</v>
      </c>
      <c r="J176" s="1" t="str">
        <f t="shared" si="211"/>
        <v>5.00</v>
      </c>
      <c r="K176" s="1" t="str">
        <f t="shared" si="247"/>
        <v>0.00</v>
      </c>
      <c r="L176" s="1" t="str">
        <f t="shared" si="242"/>
        <v>0.03</v>
      </c>
      <c r="M176" s="1" t="str">
        <f t="shared" si="193"/>
        <v>0.00</v>
      </c>
      <c r="N176" s="1" t="str">
        <f t="shared" si="248"/>
        <v>证券买入</v>
      </c>
    </row>
    <row r="177" spans="1:14">
      <c r="A177" s="1" t="str">
        <f t="shared" si="227"/>
        <v>20171205</v>
      </c>
      <c r="B177" s="1" t="str">
        <f>"13:03:50"</f>
        <v>13:03:50</v>
      </c>
      <c r="C177" s="1" t="str">
        <f t="shared" si="243"/>
        <v>000830</v>
      </c>
      <c r="D177" s="1" t="str">
        <f t="shared" si="244"/>
        <v>鲁西化工</v>
      </c>
      <c r="E177" s="1" t="str">
        <f t="shared" si="245"/>
        <v>买入</v>
      </c>
      <c r="F177" s="1" t="str">
        <f>"16.040"</f>
        <v>16.040</v>
      </c>
      <c r="G177" s="1" t="str">
        <f>"200.00"</f>
        <v>200.00</v>
      </c>
      <c r="H177" s="1" t="str">
        <f t="shared" si="234"/>
        <v>0104152129</v>
      </c>
      <c r="I177" s="1" t="str">
        <f>"3208.00"</f>
        <v>3208.00</v>
      </c>
      <c r="J177" s="1" t="str">
        <f t="shared" si="211"/>
        <v>5.00</v>
      </c>
      <c r="K177" s="1" t="str">
        <f t="shared" si="247"/>
        <v>0.00</v>
      </c>
      <c r="L177" s="1" t="str">
        <f>"0.06"</f>
        <v>0.06</v>
      </c>
      <c r="M177" s="1" t="str">
        <f t="shared" si="193"/>
        <v>0.00</v>
      </c>
      <c r="N177" s="1" t="str">
        <f t="shared" si="248"/>
        <v>证券买入</v>
      </c>
    </row>
    <row r="178" spans="1:14">
      <c r="A178" s="1" t="str">
        <f t="shared" si="227"/>
        <v>20171205</v>
      </c>
      <c r="B178" s="1" t="str">
        <f>"22:14:30"</f>
        <v>22:14:30</v>
      </c>
      <c r="C178" s="1" t="str">
        <f>"741025"</f>
        <v>741025</v>
      </c>
      <c r="D178" s="1" t="str">
        <f>"华能配号"</f>
        <v>华能配号</v>
      </c>
      <c r="E178" s="1" t="str">
        <f t="shared" si="245"/>
        <v>买入</v>
      </c>
      <c r="F178" s="1" t="str">
        <f>"0.000"</f>
        <v>0.000</v>
      </c>
      <c r="G178" s="1" t="str">
        <f>"1.00"</f>
        <v>1.00</v>
      </c>
      <c r="H178" s="1" t="str">
        <f t="shared" ref="H178:H185" si="249">"A850418317"</f>
        <v>A850418317</v>
      </c>
      <c r="I178" s="1" t="str">
        <f t="shared" ref="I178:L178" si="250">"0.00"</f>
        <v>0.00</v>
      </c>
      <c r="J178" s="1" t="str">
        <f t="shared" si="250"/>
        <v>0.00</v>
      </c>
      <c r="K178" s="1" t="str">
        <f t="shared" si="247"/>
        <v>0.00</v>
      </c>
      <c r="L178" s="1" t="str">
        <f t="shared" si="250"/>
        <v>0.00</v>
      </c>
      <c r="M178" s="1" t="str">
        <f t="shared" si="193"/>
        <v>0.00</v>
      </c>
      <c r="N178" s="1" t="str">
        <f>"起始配号:100088342767"</f>
        <v>起始配号:100088342767</v>
      </c>
    </row>
    <row r="179" spans="1:14">
      <c r="A179" s="1" t="str">
        <f t="shared" ref="A179:A193" si="251">"20171206"</f>
        <v>20171206</v>
      </c>
      <c r="B179" s="1" t="str">
        <f>"10:09:11"</f>
        <v>10:09:11</v>
      </c>
      <c r="C179" s="1" t="str">
        <f t="shared" ref="C179:C185" si="252">"600460"</f>
        <v>600460</v>
      </c>
      <c r="D179" s="1" t="str">
        <f t="shared" ref="D179:D185" si="253">"士兰微"</f>
        <v>士兰微</v>
      </c>
      <c r="E179" s="1" t="str">
        <f t="shared" ref="E179:E190" si="254">"卖出"</f>
        <v>卖出</v>
      </c>
      <c r="F179" s="1" t="str">
        <f>"13.490"</f>
        <v>13.490</v>
      </c>
      <c r="G179" s="1" t="str">
        <f t="shared" ref="G179:G182" si="255">"-200.00"</f>
        <v>-200.00</v>
      </c>
      <c r="H179" s="1" t="str">
        <f t="shared" si="249"/>
        <v>A850418317</v>
      </c>
      <c r="I179" s="1" t="str">
        <f>"2698.00"</f>
        <v>2698.00</v>
      </c>
      <c r="J179" s="1" t="str">
        <f t="shared" ref="J179:J192" si="256">"5.00"</f>
        <v>5.00</v>
      </c>
      <c r="K179" s="1" t="str">
        <f t="shared" ref="K179:K182" si="257">"2.70"</f>
        <v>2.70</v>
      </c>
      <c r="L179" s="1" t="str">
        <f t="shared" ref="L179:L182" si="258">"0.05"</f>
        <v>0.05</v>
      </c>
      <c r="M179" s="1" t="str">
        <f t="shared" si="193"/>
        <v>0.00</v>
      </c>
      <c r="N179" s="1" t="str">
        <f t="shared" ref="N179:N190" si="259">"证券卖出"</f>
        <v>证券卖出</v>
      </c>
    </row>
    <row r="180" spans="1:14">
      <c r="A180" s="1" t="str">
        <f t="shared" si="251"/>
        <v>20171206</v>
      </c>
      <c r="B180" s="1" t="str">
        <f>"10:09:20"</f>
        <v>10:09:20</v>
      </c>
      <c r="C180" s="1" t="str">
        <f t="shared" si="252"/>
        <v>600460</v>
      </c>
      <c r="D180" s="1" t="str">
        <f t="shared" si="253"/>
        <v>士兰微</v>
      </c>
      <c r="E180" s="1" t="str">
        <f t="shared" si="254"/>
        <v>卖出</v>
      </c>
      <c r="F180" s="1" t="str">
        <f>"13.510"</f>
        <v>13.510</v>
      </c>
      <c r="G180" s="1" t="str">
        <f t="shared" si="255"/>
        <v>-200.00</v>
      </c>
      <c r="H180" s="1" t="str">
        <f t="shared" si="249"/>
        <v>A850418317</v>
      </c>
      <c r="I180" s="1" t="str">
        <f>"2702.00"</f>
        <v>2702.00</v>
      </c>
      <c r="J180" s="1" t="str">
        <f t="shared" si="256"/>
        <v>5.00</v>
      </c>
      <c r="K180" s="1" t="str">
        <f t="shared" si="257"/>
        <v>2.70</v>
      </c>
      <c r="L180" s="1" t="str">
        <f t="shared" si="258"/>
        <v>0.05</v>
      </c>
      <c r="M180" s="1" t="str">
        <f t="shared" si="193"/>
        <v>0.00</v>
      </c>
      <c r="N180" s="1" t="str">
        <f t="shared" si="259"/>
        <v>证券卖出</v>
      </c>
    </row>
    <row r="181" spans="1:14">
      <c r="A181" s="1" t="str">
        <f t="shared" si="251"/>
        <v>20171206</v>
      </c>
      <c r="B181" s="1" t="str">
        <f>"10:09:25"</f>
        <v>10:09:25</v>
      </c>
      <c r="C181" s="1" t="str">
        <f t="shared" si="252"/>
        <v>600460</v>
      </c>
      <c r="D181" s="1" t="str">
        <f t="shared" si="253"/>
        <v>士兰微</v>
      </c>
      <c r="E181" s="1" t="str">
        <f t="shared" si="254"/>
        <v>卖出</v>
      </c>
      <c r="F181" s="1" t="str">
        <f>"13.490"</f>
        <v>13.490</v>
      </c>
      <c r="G181" s="1" t="str">
        <f>"-500.00"</f>
        <v>-500.00</v>
      </c>
      <c r="H181" s="1" t="str">
        <f t="shared" si="249"/>
        <v>A850418317</v>
      </c>
      <c r="I181" s="1" t="str">
        <f>"6745.00"</f>
        <v>6745.00</v>
      </c>
      <c r="J181" s="1" t="str">
        <f t="shared" si="256"/>
        <v>5.00</v>
      </c>
      <c r="K181" s="1" t="str">
        <f>"6.75"</f>
        <v>6.75</v>
      </c>
      <c r="L181" s="1" t="str">
        <f>"0.13"</f>
        <v>0.13</v>
      </c>
      <c r="M181" s="1" t="str">
        <f t="shared" si="193"/>
        <v>0.00</v>
      </c>
      <c r="N181" s="1" t="str">
        <f t="shared" si="259"/>
        <v>证券卖出</v>
      </c>
    </row>
    <row r="182" spans="1:14">
      <c r="A182" s="1" t="str">
        <f t="shared" si="251"/>
        <v>20171206</v>
      </c>
      <c r="B182" s="1" t="str">
        <f>"10:09:32"</f>
        <v>10:09:32</v>
      </c>
      <c r="C182" s="1" t="str">
        <f t="shared" si="252"/>
        <v>600460</v>
      </c>
      <c r="D182" s="1" t="str">
        <f t="shared" si="253"/>
        <v>士兰微</v>
      </c>
      <c r="E182" s="1" t="str">
        <f t="shared" si="254"/>
        <v>卖出</v>
      </c>
      <c r="F182" s="1" t="str">
        <f>"13.500"</f>
        <v>13.500</v>
      </c>
      <c r="G182" s="1" t="str">
        <f t="shared" si="255"/>
        <v>-200.00</v>
      </c>
      <c r="H182" s="1" t="str">
        <f t="shared" si="249"/>
        <v>A850418317</v>
      </c>
      <c r="I182" s="1" t="str">
        <f>"2700.00"</f>
        <v>2700.00</v>
      </c>
      <c r="J182" s="1" t="str">
        <f t="shared" si="256"/>
        <v>5.00</v>
      </c>
      <c r="K182" s="1" t="str">
        <f t="shared" si="257"/>
        <v>2.70</v>
      </c>
      <c r="L182" s="1" t="str">
        <f t="shared" si="258"/>
        <v>0.05</v>
      </c>
      <c r="M182" s="1" t="str">
        <f t="shared" si="193"/>
        <v>0.00</v>
      </c>
      <c r="N182" s="1" t="str">
        <f t="shared" si="259"/>
        <v>证券卖出</v>
      </c>
    </row>
    <row r="183" spans="1:14">
      <c r="A183" s="1" t="str">
        <f t="shared" si="251"/>
        <v>20171206</v>
      </c>
      <c r="B183" s="1" t="str">
        <f>"10:10:33"</f>
        <v>10:10:33</v>
      </c>
      <c r="C183" s="1" t="str">
        <f t="shared" si="252"/>
        <v>600460</v>
      </c>
      <c r="D183" s="1" t="str">
        <f t="shared" si="253"/>
        <v>士兰微</v>
      </c>
      <c r="E183" s="1" t="str">
        <f t="shared" si="254"/>
        <v>卖出</v>
      </c>
      <c r="F183" s="1" t="str">
        <f>"13.590"</f>
        <v>13.590</v>
      </c>
      <c r="G183" s="1" t="str">
        <f t="shared" ref="G183:G186" si="260">"-100.00"</f>
        <v>-100.00</v>
      </c>
      <c r="H183" s="1" t="str">
        <f t="shared" si="249"/>
        <v>A850418317</v>
      </c>
      <c r="I183" s="1" t="str">
        <f>"1359.00"</f>
        <v>1359.00</v>
      </c>
      <c r="J183" s="1" t="str">
        <f t="shared" si="256"/>
        <v>5.00</v>
      </c>
      <c r="K183" s="1" t="str">
        <f>"1.36"</f>
        <v>1.36</v>
      </c>
      <c r="L183" s="1" t="str">
        <f t="shared" ref="L183:L186" si="261">"0.03"</f>
        <v>0.03</v>
      </c>
      <c r="M183" s="1" t="str">
        <f t="shared" si="193"/>
        <v>0.00</v>
      </c>
      <c r="N183" s="1" t="str">
        <f t="shared" si="259"/>
        <v>证券卖出</v>
      </c>
    </row>
    <row r="184" spans="1:14">
      <c r="A184" s="1" t="str">
        <f t="shared" si="251"/>
        <v>20171206</v>
      </c>
      <c r="B184" s="1" t="str">
        <f>"10:11:26"</f>
        <v>10:11:26</v>
      </c>
      <c r="C184" s="1" t="str">
        <f t="shared" si="252"/>
        <v>600460</v>
      </c>
      <c r="D184" s="1" t="str">
        <f t="shared" si="253"/>
        <v>士兰微</v>
      </c>
      <c r="E184" s="1" t="str">
        <f t="shared" si="254"/>
        <v>卖出</v>
      </c>
      <c r="F184" s="1" t="str">
        <f>"13.580"</f>
        <v>13.580</v>
      </c>
      <c r="G184" s="1" t="str">
        <f t="shared" si="260"/>
        <v>-100.00</v>
      </c>
      <c r="H184" s="1" t="str">
        <f t="shared" si="249"/>
        <v>A850418317</v>
      </c>
      <c r="I184" s="1" t="str">
        <f>"1358.00"</f>
        <v>1358.00</v>
      </c>
      <c r="J184" s="1" t="str">
        <f t="shared" si="256"/>
        <v>5.00</v>
      </c>
      <c r="K184" s="1" t="str">
        <f>"1.36"</f>
        <v>1.36</v>
      </c>
      <c r="L184" s="1" t="str">
        <f t="shared" si="261"/>
        <v>0.03</v>
      </c>
      <c r="M184" s="1" t="str">
        <f t="shared" si="193"/>
        <v>0.00</v>
      </c>
      <c r="N184" s="1" t="str">
        <f t="shared" si="259"/>
        <v>证券卖出</v>
      </c>
    </row>
    <row r="185" spans="1:14">
      <c r="A185" s="1" t="str">
        <f t="shared" si="251"/>
        <v>20171206</v>
      </c>
      <c r="B185" s="1" t="str">
        <f>"10:22:33"</f>
        <v>10:22:33</v>
      </c>
      <c r="C185" s="1" t="str">
        <f t="shared" si="252"/>
        <v>600460</v>
      </c>
      <c r="D185" s="1" t="str">
        <f t="shared" si="253"/>
        <v>士兰微</v>
      </c>
      <c r="E185" s="1" t="str">
        <f t="shared" si="254"/>
        <v>卖出</v>
      </c>
      <c r="F185" s="1" t="str">
        <f>"13.600"</f>
        <v>13.600</v>
      </c>
      <c r="G185" s="1" t="str">
        <f t="shared" ref="G185:G188" si="262">"-200.00"</f>
        <v>-200.00</v>
      </c>
      <c r="H185" s="1" t="str">
        <f t="shared" si="249"/>
        <v>A850418317</v>
      </c>
      <c r="I185" s="1" t="str">
        <f>"2720.00"</f>
        <v>2720.00</v>
      </c>
      <c r="J185" s="1" t="str">
        <f t="shared" si="256"/>
        <v>5.00</v>
      </c>
      <c r="K185" s="1" t="str">
        <f>"2.72"</f>
        <v>2.72</v>
      </c>
      <c r="L185" s="1" t="str">
        <f>"0.05"</f>
        <v>0.05</v>
      </c>
      <c r="M185" s="1" t="str">
        <f t="shared" si="193"/>
        <v>0.00</v>
      </c>
      <c r="N185" s="1" t="str">
        <f t="shared" si="259"/>
        <v>证券卖出</v>
      </c>
    </row>
    <row r="186" spans="1:14">
      <c r="A186" s="1" t="str">
        <f t="shared" si="251"/>
        <v>20171206</v>
      </c>
      <c r="B186" s="1" t="str">
        <f>"10:09:53"</f>
        <v>10:09:53</v>
      </c>
      <c r="C186" s="1" t="str">
        <f>"300101"</f>
        <v>300101</v>
      </c>
      <c r="D186" s="1" t="str">
        <f>"振芯科技"</f>
        <v>振芯科技</v>
      </c>
      <c r="E186" s="1" t="str">
        <f t="shared" si="254"/>
        <v>卖出</v>
      </c>
      <c r="F186" s="1" t="str">
        <f>"15.600"</f>
        <v>15.600</v>
      </c>
      <c r="G186" s="1" t="str">
        <f t="shared" si="260"/>
        <v>-100.00</v>
      </c>
      <c r="H186" s="1" t="str">
        <f t="shared" ref="H186:H192" si="263">"0104152129"</f>
        <v>0104152129</v>
      </c>
      <c r="I186" s="1" t="str">
        <f>"1560.00"</f>
        <v>1560.00</v>
      </c>
      <c r="J186" s="1" t="str">
        <f t="shared" si="256"/>
        <v>5.00</v>
      </c>
      <c r="K186" s="1" t="str">
        <f>"1.56"</f>
        <v>1.56</v>
      </c>
      <c r="L186" s="1" t="str">
        <f t="shared" si="261"/>
        <v>0.03</v>
      </c>
      <c r="M186" s="1" t="str">
        <f t="shared" si="193"/>
        <v>0.00</v>
      </c>
      <c r="N186" s="1" t="str">
        <f t="shared" si="259"/>
        <v>证券卖出</v>
      </c>
    </row>
    <row r="187" spans="1:14">
      <c r="A187" s="1" t="str">
        <f t="shared" si="251"/>
        <v>20171206</v>
      </c>
      <c r="B187" s="1" t="str">
        <f>"10:10:55"</f>
        <v>10:10:55</v>
      </c>
      <c r="C187" s="1" t="str">
        <f t="shared" ref="C187:C190" si="264">"000830"</f>
        <v>000830</v>
      </c>
      <c r="D187" s="1" t="str">
        <f t="shared" ref="D187:D190" si="265">"鲁西化工"</f>
        <v>鲁西化工</v>
      </c>
      <c r="E187" s="1" t="str">
        <f t="shared" si="254"/>
        <v>卖出</v>
      </c>
      <c r="F187" s="1" t="str">
        <f>"15.800"</f>
        <v>15.800</v>
      </c>
      <c r="G187" s="1" t="str">
        <f t="shared" si="262"/>
        <v>-200.00</v>
      </c>
      <c r="H187" s="1" t="str">
        <f t="shared" si="263"/>
        <v>0104152129</v>
      </c>
      <c r="I187" s="1" t="str">
        <f>"3160.00"</f>
        <v>3160.00</v>
      </c>
      <c r="J187" s="1" t="str">
        <f t="shared" si="256"/>
        <v>5.00</v>
      </c>
      <c r="K187" s="1" t="str">
        <f>"3.16"</f>
        <v>3.16</v>
      </c>
      <c r="L187" s="1" t="str">
        <f t="shared" ref="L187:L191" si="266">"0.06"</f>
        <v>0.06</v>
      </c>
      <c r="M187" s="1" t="str">
        <f t="shared" si="193"/>
        <v>0.00</v>
      </c>
      <c r="N187" s="1" t="str">
        <f t="shared" si="259"/>
        <v>证券卖出</v>
      </c>
    </row>
    <row r="188" spans="1:14">
      <c r="A188" s="1" t="str">
        <f t="shared" si="251"/>
        <v>20171206</v>
      </c>
      <c r="B188" s="1" t="str">
        <f>"10:11:05"</f>
        <v>10:11:05</v>
      </c>
      <c r="C188" s="1" t="str">
        <f t="shared" si="264"/>
        <v>000830</v>
      </c>
      <c r="D188" s="1" t="str">
        <f t="shared" si="265"/>
        <v>鲁西化工</v>
      </c>
      <c r="E188" s="1" t="str">
        <f t="shared" si="254"/>
        <v>卖出</v>
      </c>
      <c r="F188" s="1" t="str">
        <f>"15.790"</f>
        <v>15.790</v>
      </c>
      <c r="G188" s="1" t="str">
        <f t="shared" si="262"/>
        <v>-200.00</v>
      </c>
      <c r="H188" s="1" t="str">
        <f t="shared" si="263"/>
        <v>0104152129</v>
      </c>
      <c r="I188" s="1" t="str">
        <f>"3158.00"</f>
        <v>3158.00</v>
      </c>
      <c r="J188" s="1" t="str">
        <f t="shared" si="256"/>
        <v>5.00</v>
      </c>
      <c r="K188" s="1" t="str">
        <f>"3.16"</f>
        <v>3.16</v>
      </c>
      <c r="L188" s="1" t="str">
        <f t="shared" si="266"/>
        <v>0.06</v>
      </c>
      <c r="M188" s="1" t="str">
        <f t="shared" si="193"/>
        <v>0.00</v>
      </c>
      <c r="N188" s="1" t="str">
        <f t="shared" si="259"/>
        <v>证券卖出</v>
      </c>
    </row>
    <row r="189" spans="1:14">
      <c r="A189" s="1" t="str">
        <f t="shared" si="251"/>
        <v>20171206</v>
      </c>
      <c r="B189" s="1" t="str">
        <f>"10:11:24"</f>
        <v>10:11:24</v>
      </c>
      <c r="C189" s="1" t="str">
        <f t="shared" si="264"/>
        <v>000830</v>
      </c>
      <c r="D189" s="1" t="str">
        <f t="shared" si="265"/>
        <v>鲁西化工</v>
      </c>
      <c r="E189" s="1" t="str">
        <f t="shared" si="254"/>
        <v>卖出</v>
      </c>
      <c r="F189" s="1" t="str">
        <f>"15.780"</f>
        <v>15.780</v>
      </c>
      <c r="G189" s="1" t="str">
        <f>"-100.00"</f>
        <v>-100.00</v>
      </c>
      <c r="H189" s="1" t="str">
        <f t="shared" si="263"/>
        <v>0104152129</v>
      </c>
      <c r="I189" s="1" t="str">
        <f>"1578.00"</f>
        <v>1578.00</v>
      </c>
      <c r="J189" s="1" t="str">
        <f t="shared" si="256"/>
        <v>5.00</v>
      </c>
      <c r="K189" s="1" t="str">
        <f>"1.58"</f>
        <v>1.58</v>
      </c>
      <c r="L189" s="1" t="str">
        <f>"0.03"</f>
        <v>0.03</v>
      </c>
      <c r="M189" s="1" t="str">
        <f t="shared" si="193"/>
        <v>0.00</v>
      </c>
      <c r="N189" s="1" t="str">
        <f t="shared" si="259"/>
        <v>证券卖出</v>
      </c>
    </row>
    <row r="190" spans="1:14">
      <c r="A190" s="1" t="str">
        <f t="shared" si="251"/>
        <v>20171206</v>
      </c>
      <c r="B190" s="1" t="str">
        <f>"10:12:24"</f>
        <v>10:12:24</v>
      </c>
      <c r="C190" s="1" t="str">
        <f t="shared" si="264"/>
        <v>000830</v>
      </c>
      <c r="D190" s="1" t="str">
        <f t="shared" si="265"/>
        <v>鲁西化工</v>
      </c>
      <c r="E190" s="1" t="str">
        <f t="shared" si="254"/>
        <v>卖出</v>
      </c>
      <c r="F190" s="1" t="str">
        <f>"15.760"</f>
        <v>15.760</v>
      </c>
      <c r="G190" s="1" t="str">
        <f>"-200.00"</f>
        <v>-200.00</v>
      </c>
      <c r="H190" s="1" t="str">
        <f t="shared" si="263"/>
        <v>0104152129</v>
      </c>
      <c r="I190" s="1" t="str">
        <f>"3152.00"</f>
        <v>3152.00</v>
      </c>
      <c r="J190" s="1" t="str">
        <f t="shared" si="256"/>
        <v>5.00</v>
      </c>
      <c r="K190" s="1" t="str">
        <f>"3.15"</f>
        <v>3.15</v>
      </c>
      <c r="L190" s="1" t="str">
        <f t="shared" si="266"/>
        <v>0.06</v>
      </c>
      <c r="M190" s="1" t="str">
        <f t="shared" si="193"/>
        <v>0.00</v>
      </c>
      <c r="N190" s="1" t="str">
        <f t="shared" si="259"/>
        <v>证券卖出</v>
      </c>
    </row>
    <row r="191" spans="1:14">
      <c r="A191" s="1" t="str">
        <f t="shared" si="251"/>
        <v>20171206</v>
      </c>
      <c r="B191" s="1" t="str">
        <f>"14:10:47"</f>
        <v>14:10:47</v>
      </c>
      <c r="C191" s="1" t="str">
        <f>"300274"</f>
        <v>300274</v>
      </c>
      <c r="D191" s="1" t="str">
        <f>"阳光电源"</f>
        <v>阳光电源</v>
      </c>
      <c r="E191" s="1" t="str">
        <f t="shared" ref="E191:E197" si="267">"买入"</f>
        <v>买入</v>
      </c>
      <c r="F191" s="1" t="str">
        <f>"15.880"</f>
        <v>15.880</v>
      </c>
      <c r="G191" s="1" t="str">
        <f>"200.00"</f>
        <v>200.00</v>
      </c>
      <c r="H191" s="1" t="str">
        <f t="shared" si="263"/>
        <v>0104152129</v>
      </c>
      <c r="I191" s="1" t="str">
        <f>"3176.00"</f>
        <v>3176.00</v>
      </c>
      <c r="J191" s="1" t="str">
        <f t="shared" si="256"/>
        <v>5.00</v>
      </c>
      <c r="K191" s="1" t="str">
        <f t="shared" ref="K191:K197" si="268">"0.00"</f>
        <v>0.00</v>
      </c>
      <c r="L191" s="1" t="str">
        <f t="shared" si="266"/>
        <v>0.06</v>
      </c>
      <c r="M191" s="1" t="str">
        <f t="shared" si="193"/>
        <v>0.00</v>
      </c>
      <c r="N191" s="1" t="str">
        <f t="shared" ref="N191:N197" si="269">"证券买入"</f>
        <v>证券买入</v>
      </c>
    </row>
    <row r="192" spans="1:14">
      <c r="A192" s="1" t="str">
        <f t="shared" si="251"/>
        <v>20171206</v>
      </c>
      <c r="B192" s="1" t="str">
        <f>"14:22:54"</f>
        <v>14:22:54</v>
      </c>
      <c r="C192" s="1" t="str">
        <f>"002594"</f>
        <v>002594</v>
      </c>
      <c r="D192" s="1" t="str">
        <f>"比亚迪"</f>
        <v>比亚迪</v>
      </c>
      <c r="E192" s="1" t="str">
        <f t="shared" si="267"/>
        <v>买入</v>
      </c>
      <c r="F192" s="1" t="str">
        <f>"59.150"</f>
        <v>59.150</v>
      </c>
      <c r="G192" s="1" t="str">
        <f t="shared" ref="G192:G195" si="270">"100.00"</f>
        <v>100.00</v>
      </c>
      <c r="H192" s="1" t="str">
        <f t="shared" si="263"/>
        <v>0104152129</v>
      </c>
      <c r="I192" s="1" t="str">
        <f>"5915.00"</f>
        <v>5915.00</v>
      </c>
      <c r="J192" s="1" t="str">
        <f t="shared" si="256"/>
        <v>5.00</v>
      </c>
      <c r="K192" s="1" t="str">
        <f t="shared" si="268"/>
        <v>0.00</v>
      </c>
      <c r="L192" s="1" t="str">
        <f>"0.12"</f>
        <v>0.12</v>
      </c>
      <c r="M192" s="1" t="str">
        <f t="shared" si="193"/>
        <v>0.00</v>
      </c>
      <c r="N192" s="1" t="str">
        <f t="shared" si="269"/>
        <v>证券买入</v>
      </c>
    </row>
    <row r="193" spans="1:14">
      <c r="A193" s="1" t="str">
        <f t="shared" si="251"/>
        <v>20171206</v>
      </c>
      <c r="B193" s="1" t="str">
        <f>"22:54:04"</f>
        <v>22:54:04</v>
      </c>
      <c r="C193" s="1" t="str">
        <f>"736477"</f>
        <v>736477</v>
      </c>
      <c r="D193" s="1" t="str">
        <f>"振静配号"</f>
        <v>振静配号</v>
      </c>
      <c r="E193" s="1" t="str">
        <f t="shared" si="267"/>
        <v>买入</v>
      </c>
      <c r="F193" s="1" t="str">
        <f>"0.000"</f>
        <v>0.000</v>
      </c>
      <c r="G193" s="1" t="str">
        <f>"1.00"</f>
        <v>1.00</v>
      </c>
      <c r="H193" s="1" t="str">
        <f t="shared" ref="H193:H197" si="271">"A850418317"</f>
        <v>A850418317</v>
      </c>
      <c r="I193" s="1" t="str">
        <f t="shared" ref="I193:L193" si="272">"0.00"</f>
        <v>0.00</v>
      </c>
      <c r="J193" s="1" t="str">
        <f t="shared" si="272"/>
        <v>0.00</v>
      </c>
      <c r="K193" s="1" t="str">
        <f t="shared" si="268"/>
        <v>0.00</v>
      </c>
      <c r="L193" s="1" t="str">
        <f t="shared" si="272"/>
        <v>0.00</v>
      </c>
      <c r="M193" s="1" t="str">
        <f t="shared" si="193"/>
        <v>0.00</v>
      </c>
      <c r="N193" s="1" t="str">
        <f>"起始配号:100006341878"</f>
        <v>起始配号:100006341878</v>
      </c>
    </row>
    <row r="194" spans="1:14">
      <c r="A194" s="1" t="str">
        <f t="shared" ref="A194:A202" si="273">"20171207"</f>
        <v>20171207</v>
      </c>
      <c r="B194" s="1" t="str">
        <f>"10:00:37"</f>
        <v>10:00:37</v>
      </c>
      <c r="C194" s="1" t="str">
        <f>"600206"</f>
        <v>600206</v>
      </c>
      <c r="D194" s="1" t="str">
        <f>"有研新材"</f>
        <v>有研新材</v>
      </c>
      <c r="E194" s="1" t="str">
        <f t="shared" si="267"/>
        <v>买入</v>
      </c>
      <c r="F194" s="1" t="str">
        <f>"12.680"</f>
        <v>12.680</v>
      </c>
      <c r="G194" s="1" t="str">
        <f t="shared" si="270"/>
        <v>100.00</v>
      </c>
      <c r="H194" s="1" t="str">
        <f t="shared" si="271"/>
        <v>A850418317</v>
      </c>
      <c r="I194" s="1" t="str">
        <f>"1268.00"</f>
        <v>1268.00</v>
      </c>
      <c r="J194" s="1" t="str">
        <f t="shared" ref="J194:J200" si="274">"5.00"</f>
        <v>5.00</v>
      </c>
      <c r="K194" s="1" t="str">
        <f t="shared" si="268"/>
        <v>0.00</v>
      </c>
      <c r="L194" s="1" t="str">
        <f>"0.03"</f>
        <v>0.03</v>
      </c>
      <c r="M194" s="1" t="str">
        <f t="shared" si="193"/>
        <v>0.00</v>
      </c>
      <c r="N194" s="1" t="str">
        <f t="shared" si="269"/>
        <v>证券买入</v>
      </c>
    </row>
    <row r="195" spans="1:14">
      <c r="A195" s="1" t="str">
        <f t="shared" si="273"/>
        <v>20171207</v>
      </c>
      <c r="B195" s="1" t="str">
        <f>"10:00:58"</f>
        <v>10:00:58</v>
      </c>
      <c r="C195" s="1" t="str">
        <f>"600460"</f>
        <v>600460</v>
      </c>
      <c r="D195" s="1" t="str">
        <f>"士兰微"</f>
        <v>士兰微</v>
      </c>
      <c r="E195" s="1" t="str">
        <f t="shared" si="267"/>
        <v>买入</v>
      </c>
      <c r="F195" s="1" t="str">
        <f>"15.000"</f>
        <v>15.000</v>
      </c>
      <c r="G195" s="1" t="str">
        <f t="shared" si="270"/>
        <v>100.00</v>
      </c>
      <c r="H195" s="1" t="str">
        <f t="shared" si="271"/>
        <v>A850418317</v>
      </c>
      <c r="I195" s="1" t="str">
        <f>"1500.00"</f>
        <v>1500.00</v>
      </c>
      <c r="J195" s="1" t="str">
        <f t="shared" si="274"/>
        <v>5.00</v>
      </c>
      <c r="K195" s="1" t="str">
        <f t="shared" si="268"/>
        <v>0.00</v>
      </c>
      <c r="L195" s="1" t="str">
        <f>"0.03"</f>
        <v>0.03</v>
      </c>
      <c r="M195" s="1" t="str">
        <f t="shared" si="193"/>
        <v>0.00</v>
      </c>
      <c r="N195" s="1" t="str">
        <f t="shared" si="269"/>
        <v>证券买入</v>
      </c>
    </row>
    <row r="196" spans="1:14">
      <c r="A196" s="1" t="str">
        <f t="shared" si="273"/>
        <v>20171207</v>
      </c>
      <c r="B196" s="1" t="str">
        <f>"10:09:04"</f>
        <v>10:09:04</v>
      </c>
      <c r="C196" s="1" t="str">
        <f>"600460"</f>
        <v>600460</v>
      </c>
      <c r="D196" s="1" t="str">
        <f>"士兰微"</f>
        <v>士兰微</v>
      </c>
      <c r="E196" s="1" t="str">
        <f t="shared" si="267"/>
        <v>买入</v>
      </c>
      <c r="F196" s="1" t="str">
        <f>"15.350"</f>
        <v>15.350</v>
      </c>
      <c r="G196" s="1" t="str">
        <f>"200.00"</f>
        <v>200.00</v>
      </c>
      <c r="H196" s="1" t="str">
        <f t="shared" si="271"/>
        <v>A850418317</v>
      </c>
      <c r="I196" s="1" t="str">
        <f>"3070.00"</f>
        <v>3070.00</v>
      </c>
      <c r="J196" s="1" t="str">
        <f t="shared" si="274"/>
        <v>5.00</v>
      </c>
      <c r="K196" s="1" t="str">
        <f t="shared" si="268"/>
        <v>0.00</v>
      </c>
      <c r="L196" s="1" t="str">
        <f t="shared" ref="L196:L198" si="275">"0.06"</f>
        <v>0.06</v>
      </c>
      <c r="M196" s="1" t="str">
        <f t="shared" ref="M196:M259" si="276">"0.00"</f>
        <v>0.00</v>
      </c>
      <c r="N196" s="1" t="str">
        <f t="shared" si="269"/>
        <v>证券买入</v>
      </c>
    </row>
    <row r="197" spans="1:14">
      <c r="A197" s="1" t="str">
        <f t="shared" si="273"/>
        <v>20171207</v>
      </c>
      <c r="B197" s="1" t="str">
        <f>"10:28:27"</f>
        <v>10:28:27</v>
      </c>
      <c r="C197" s="1" t="str">
        <f>"600137"</f>
        <v>600137</v>
      </c>
      <c r="D197" s="1" t="str">
        <f>"浪莎股份"</f>
        <v>浪莎股份</v>
      </c>
      <c r="E197" s="1" t="str">
        <f t="shared" si="267"/>
        <v>买入</v>
      </c>
      <c r="F197" s="1" t="str">
        <f>"31.600"</f>
        <v>31.600</v>
      </c>
      <c r="G197" s="1" t="str">
        <f>"100.00"</f>
        <v>100.00</v>
      </c>
      <c r="H197" s="1" t="str">
        <f t="shared" si="271"/>
        <v>A850418317</v>
      </c>
      <c r="I197" s="1" t="str">
        <f>"3160.00"</f>
        <v>3160.00</v>
      </c>
      <c r="J197" s="1" t="str">
        <f t="shared" si="274"/>
        <v>5.00</v>
      </c>
      <c r="K197" s="1" t="str">
        <f t="shared" si="268"/>
        <v>0.00</v>
      </c>
      <c r="L197" s="1" t="str">
        <f t="shared" si="275"/>
        <v>0.06</v>
      </c>
      <c r="M197" s="1" t="str">
        <f t="shared" si="276"/>
        <v>0.00</v>
      </c>
      <c r="N197" s="1" t="str">
        <f t="shared" si="269"/>
        <v>证券买入</v>
      </c>
    </row>
    <row r="198" spans="1:14">
      <c r="A198" s="1" t="str">
        <f t="shared" si="273"/>
        <v>20171207</v>
      </c>
      <c r="B198" s="1" t="str">
        <f>"09:49:55"</f>
        <v>09:49:55</v>
      </c>
      <c r="C198" s="1" t="str">
        <f>"300274"</f>
        <v>300274</v>
      </c>
      <c r="D198" s="1" t="str">
        <f>"阳光电源"</f>
        <v>阳光电源</v>
      </c>
      <c r="E198" s="1" t="str">
        <f>"卖出"</f>
        <v>卖出</v>
      </c>
      <c r="F198" s="1" t="str">
        <f>"16.160"</f>
        <v>16.160</v>
      </c>
      <c r="G198" s="1" t="str">
        <f>"-200.00"</f>
        <v>-200.00</v>
      </c>
      <c r="H198" s="1" t="str">
        <f t="shared" ref="H198:H202" si="277">"0104152129"</f>
        <v>0104152129</v>
      </c>
      <c r="I198" s="1" t="str">
        <f>"3232.00"</f>
        <v>3232.00</v>
      </c>
      <c r="J198" s="1" t="str">
        <f t="shared" si="274"/>
        <v>5.00</v>
      </c>
      <c r="K198" s="1" t="str">
        <f>"3.23"</f>
        <v>3.23</v>
      </c>
      <c r="L198" s="1" t="str">
        <f t="shared" si="275"/>
        <v>0.06</v>
      </c>
      <c r="M198" s="1" t="str">
        <f t="shared" si="276"/>
        <v>0.00</v>
      </c>
      <c r="N198" s="1" t="str">
        <f>"证券卖出"</f>
        <v>证券卖出</v>
      </c>
    </row>
    <row r="199" spans="1:14">
      <c r="A199" s="1" t="str">
        <f t="shared" si="273"/>
        <v>20171207</v>
      </c>
      <c r="B199" s="1" t="str">
        <f>"09:50:37"</f>
        <v>09:50:37</v>
      </c>
      <c r="C199" s="1" t="str">
        <f>"002594"</f>
        <v>002594</v>
      </c>
      <c r="D199" s="1" t="str">
        <f>"比亚迪"</f>
        <v>比亚迪</v>
      </c>
      <c r="E199" s="1" t="str">
        <f>"卖出"</f>
        <v>卖出</v>
      </c>
      <c r="F199" s="1" t="str">
        <f>"59.900"</f>
        <v>59.900</v>
      </c>
      <c r="G199" s="1" t="str">
        <f>"-100.00"</f>
        <v>-100.00</v>
      </c>
      <c r="H199" s="1" t="str">
        <f t="shared" si="277"/>
        <v>0104152129</v>
      </c>
      <c r="I199" s="1" t="str">
        <f>"5990.00"</f>
        <v>5990.00</v>
      </c>
      <c r="J199" s="1" t="str">
        <f t="shared" si="274"/>
        <v>5.00</v>
      </c>
      <c r="K199" s="1" t="str">
        <f>"5.99"</f>
        <v>5.99</v>
      </c>
      <c r="L199" s="1" t="str">
        <f>"0.12"</f>
        <v>0.12</v>
      </c>
      <c r="M199" s="1" t="str">
        <f t="shared" si="276"/>
        <v>0.00</v>
      </c>
      <c r="N199" s="1" t="str">
        <f>"证券卖出"</f>
        <v>证券卖出</v>
      </c>
    </row>
    <row r="200" spans="1:14">
      <c r="A200" s="1" t="str">
        <f t="shared" si="273"/>
        <v>20171207</v>
      </c>
      <c r="B200" s="1" t="str">
        <f>"09:59:39"</f>
        <v>09:59:39</v>
      </c>
      <c r="C200" s="1" t="str">
        <f>"000830"</f>
        <v>000830</v>
      </c>
      <c r="D200" s="1" t="str">
        <f>"鲁西化工"</f>
        <v>鲁西化工</v>
      </c>
      <c r="E200" s="1" t="str">
        <f t="shared" ref="E200:E204" si="278">"买入"</f>
        <v>买入</v>
      </c>
      <c r="F200" s="1" t="str">
        <f>"16.690"</f>
        <v>16.690</v>
      </c>
      <c r="G200" s="1" t="str">
        <f>"200.00"</f>
        <v>200.00</v>
      </c>
      <c r="H200" s="1" t="str">
        <f t="shared" si="277"/>
        <v>0104152129</v>
      </c>
      <c r="I200" s="1" t="str">
        <f>"3338.00"</f>
        <v>3338.00</v>
      </c>
      <c r="J200" s="1" t="str">
        <f t="shared" si="274"/>
        <v>5.00</v>
      </c>
      <c r="K200" s="1" t="str">
        <f t="shared" ref="K200:K204" si="279">"0.00"</f>
        <v>0.00</v>
      </c>
      <c r="L200" s="1" t="str">
        <f>"0.07"</f>
        <v>0.07</v>
      </c>
      <c r="M200" s="1" t="str">
        <f t="shared" si="276"/>
        <v>0.00</v>
      </c>
      <c r="N200" s="1" t="str">
        <f t="shared" ref="N200:N204" si="280">"证券买入"</f>
        <v>证券买入</v>
      </c>
    </row>
    <row r="201" spans="1:14">
      <c r="A201" s="1" t="str">
        <f t="shared" si="273"/>
        <v>20171207</v>
      </c>
      <c r="B201" s="1" t="str">
        <f>"21:24:54"</f>
        <v>21:24:54</v>
      </c>
      <c r="C201" s="1" t="str">
        <f>"002918"</f>
        <v>002918</v>
      </c>
      <c r="D201" s="1" t="str">
        <f>"蒙娜丽莎"</f>
        <v>蒙娜丽莎</v>
      </c>
      <c r="E201" s="1" t="str">
        <f t="shared" si="278"/>
        <v>买入</v>
      </c>
      <c r="F201" s="1" t="str">
        <f>"0.000"</f>
        <v>0.000</v>
      </c>
      <c r="G201" s="1" t="str">
        <f>"2.00"</f>
        <v>2.00</v>
      </c>
      <c r="H201" s="1" t="str">
        <f t="shared" si="277"/>
        <v>0104152129</v>
      </c>
      <c r="I201" s="1" t="str">
        <f t="shared" ref="I201:L201" si="281">"0.00"</f>
        <v>0.00</v>
      </c>
      <c r="J201" s="1" t="str">
        <f t="shared" si="281"/>
        <v>0.00</v>
      </c>
      <c r="K201" s="1" t="str">
        <f t="shared" si="281"/>
        <v>0.00</v>
      </c>
      <c r="L201" s="1" t="str">
        <f t="shared" si="281"/>
        <v>0.00</v>
      </c>
      <c r="M201" s="1" t="str">
        <f t="shared" si="276"/>
        <v>0.00</v>
      </c>
      <c r="N201" s="1" t="str">
        <f>"起始配号:14451708"</f>
        <v>起始配号:14451708</v>
      </c>
    </row>
    <row r="202" spans="1:14">
      <c r="A202" s="1" t="str">
        <f t="shared" si="273"/>
        <v>20171207</v>
      </c>
      <c r="B202" s="1" t="str">
        <f>"21:24:54"</f>
        <v>21:24:54</v>
      </c>
      <c r="C202" s="1" t="str">
        <f>"002919"</f>
        <v>002919</v>
      </c>
      <c r="D202" s="1" t="str">
        <f>"名臣健康"</f>
        <v>名臣健康</v>
      </c>
      <c r="E202" s="1" t="str">
        <f t="shared" si="278"/>
        <v>买入</v>
      </c>
      <c r="F202" s="1" t="str">
        <f>"0.000"</f>
        <v>0.000</v>
      </c>
      <c r="G202" s="1" t="str">
        <f>"2.00"</f>
        <v>2.00</v>
      </c>
      <c r="H202" s="1" t="str">
        <f t="shared" si="277"/>
        <v>0104152129</v>
      </c>
      <c r="I202" s="1" t="str">
        <f t="shared" ref="I202:L202" si="282">"0.00"</f>
        <v>0.00</v>
      </c>
      <c r="J202" s="1" t="str">
        <f t="shared" si="282"/>
        <v>0.00</v>
      </c>
      <c r="K202" s="1" t="str">
        <f t="shared" si="282"/>
        <v>0.00</v>
      </c>
      <c r="L202" s="1" t="str">
        <f t="shared" si="282"/>
        <v>0.00</v>
      </c>
      <c r="M202" s="1" t="str">
        <f t="shared" si="276"/>
        <v>0.00</v>
      </c>
      <c r="N202" s="1" t="str">
        <f>"起始配号:8965573"</f>
        <v>起始配号:8965573</v>
      </c>
    </row>
    <row r="203" spans="1:14">
      <c r="A203" s="1" t="str">
        <f t="shared" ref="A203:A213" si="283">"20171208"</f>
        <v>20171208</v>
      </c>
      <c r="B203" s="1" t="str">
        <f>"10:02:17"</f>
        <v>10:02:17</v>
      </c>
      <c r="C203" s="1" t="str">
        <f t="shared" ref="C203:C207" si="284">"600460"</f>
        <v>600460</v>
      </c>
      <c r="D203" s="1" t="str">
        <f t="shared" ref="D203:D207" si="285">"士兰微"</f>
        <v>士兰微</v>
      </c>
      <c r="E203" s="1" t="str">
        <f t="shared" si="278"/>
        <v>买入</v>
      </c>
      <c r="F203" s="1" t="str">
        <f>"15.070"</f>
        <v>15.070</v>
      </c>
      <c r="G203" s="1" t="str">
        <f t="shared" ref="G203:G207" si="286">"100.00"</f>
        <v>100.00</v>
      </c>
      <c r="H203" s="1" t="str">
        <f t="shared" ref="H203:H207" si="287">"A850418317"</f>
        <v>A850418317</v>
      </c>
      <c r="I203" s="1" t="str">
        <f>"1507.00"</f>
        <v>1507.00</v>
      </c>
      <c r="J203" s="1" t="str">
        <f t="shared" ref="J203:J233" si="288">"5.00"</f>
        <v>5.00</v>
      </c>
      <c r="K203" s="1" t="str">
        <f t="shared" si="279"/>
        <v>0.00</v>
      </c>
      <c r="L203" s="1" t="str">
        <f t="shared" ref="L203:L207" si="289">"0.03"</f>
        <v>0.03</v>
      </c>
      <c r="M203" s="1" t="str">
        <f t="shared" si="276"/>
        <v>0.00</v>
      </c>
      <c r="N203" s="1" t="str">
        <f t="shared" si="280"/>
        <v>证券买入</v>
      </c>
    </row>
    <row r="204" spans="1:14">
      <c r="A204" s="1" t="str">
        <f t="shared" si="283"/>
        <v>20171208</v>
      </c>
      <c r="B204" s="1" t="str">
        <f>"10:02:22"</f>
        <v>10:02:22</v>
      </c>
      <c r="C204" s="1" t="str">
        <f t="shared" si="284"/>
        <v>600460</v>
      </c>
      <c r="D204" s="1" t="str">
        <f t="shared" si="285"/>
        <v>士兰微</v>
      </c>
      <c r="E204" s="1" t="str">
        <f t="shared" si="278"/>
        <v>买入</v>
      </c>
      <c r="F204" s="1" t="str">
        <f>"15.030"</f>
        <v>15.030</v>
      </c>
      <c r="G204" s="1" t="str">
        <f t="shared" si="286"/>
        <v>100.00</v>
      </c>
      <c r="H204" s="1" t="str">
        <f t="shared" si="287"/>
        <v>A850418317</v>
      </c>
      <c r="I204" s="1" t="str">
        <f>"1503.00"</f>
        <v>1503.00</v>
      </c>
      <c r="J204" s="1" t="str">
        <f t="shared" si="288"/>
        <v>5.00</v>
      </c>
      <c r="K204" s="1" t="str">
        <f t="shared" si="279"/>
        <v>0.00</v>
      </c>
      <c r="L204" s="1" t="str">
        <f t="shared" si="289"/>
        <v>0.03</v>
      </c>
      <c r="M204" s="1" t="str">
        <f t="shared" si="276"/>
        <v>0.00</v>
      </c>
      <c r="N204" s="1" t="str">
        <f t="shared" si="280"/>
        <v>证券买入</v>
      </c>
    </row>
    <row r="205" spans="1:14">
      <c r="A205" s="1" t="str">
        <f t="shared" si="283"/>
        <v>20171208</v>
      </c>
      <c r="B205" s="1" t="str">
        <f>"10:03:30"</f>
        <v>10:03:30</v>
      </c>
      <c r="C205" s="1" t="str">
        <f t="shared" si="284"/>
        <v>600460</v>
      </c>
      <c r="D205" s="1" t="str">
        <f t="shared" si="285"/>
        <v>士兰微</v>
      </c>
      <c r="E205" s="1" t="str">
        <f>"卖出"</f>
        <v>卖出</v>
      </c>
      <c r="F205" s="1" t="str">
        <f>"15.120"</f>
        <v>15.120</v>
      </c>
      <c r="G205" s="1" t="str">
        <f>"-300.00"</f>
        <v>-300.00</v>
      </c>
      <c r="H205" s="1" t="str">
        <f t="shared" si="287"/>
        <v>A850418317</v>
      </c>
      <c r="I205" s="1" t="str">
        <f>"4536.00"</f>
        <v>4536.00</v>
      </c>
      <c r="J205" s="1" t="str">
        <f t="shared" si="288"/>
        <v>5.00</v>
      </c>
      <c r="K205" s="1" t="str">
        <f>"4.54"</f>
        <v>4.54</v>
      </c>
      <c r="L205" s="1" t="str">
        <f>"0.09"</f>
        <v>0.09</v>
      </c>
      <c r="M205" s="1" t="str">
        <f t="shared" si="276"/>
        <v>0.00</v>
      </c>
      <c r="N205" s="1" t="str">
        <f>"证券卖出"</f>
        <v>证券卖出</v>
      </c>
    </row>
    <row r="206" spans="1:14">
      <c r="A206" s="1" t="str">
        <f t="shared" si="283"/>
        <v>20171208</v>
      </c>
      <c r="B206" s="1" t="str">
        <f>"10:05:55"</f>
        <v>10:05:55</v>
      </c>
      <c r="C206" s="1" t="str">
        <f t="shared" si="284"/>
        <v>600460</v>
      </c>
      <c r="D206" s="1" t="str">
        <f t="shared" si="285"/>
        <v>士兰微</v>
      </c>
      <c r="E206" s="1" t="str">
        <f t="shared" ref="E206:E213" si="290">"买入"</f>
        <v>买入</v>
      </c>
      <c r="F206" s="1" t="str">
        <f>"14.990"</f>
        <v>14.990</v>
      </c>
      <c r="G206" s="1" t="str">
        <f t="shared" si="286"/>
        <v>100.00</v>
      </c>
      <c r="H206" s="1" t="str">
        <f t="shared" si="287"/>
        <v>A850418317</v>
      </c>
      <c r="I206" s="1" t="str">
        <f>"1499.00"</f>
        <v>1499.00</v>
      </c>
      <c r="J206" s="1" t="str">
        <f t="shared" si="288"/>
        <v>5.00</v>
      </c>
      <c r="K206" s="1" t="str">
        <f t="shared" ref="K206:K213" si="291">"0.00"</f>
        <v>0.00</v>
      </c>
      <c r="L206" s="1" t="str">
        <f t="shared" si="289"/>
        <v>0.03</v>
      </c>
      <c r="M206" s="1" t="str">
        <f t="shared" si="276"/>
        <v>0.00</v>
      </c>
      <c r="N206" s="1" t="str">
        <f t="shared" ref="N206:N213" si="292">"证券买入"</f>
        <v>证券买入</v>
      </c>
    </row>
    <row r="207" spans="1:14">
      <c r="A207" s="1" t="str">
        <f t="shared" si="283"/>
        <v>20171208</v>
      </c>
      <c r="B207" s="1" t="str">
        <f>"11:18:00"</f>
        <v>11:18:00</v>
      </c>
      <c r="C207" s="1" t="str">
        <f t="shared" si="284"/>
        <v>600460</v>
      </c>
      <c r="D207" s="1" t="str">
        <f t="shared" si="285"/>
        <v>士兰微</v>
      </c>
      <c r="E207" s="1" t="str">
        <f t="shared" si="290"/>
        <v>买入</v>
      </c>
      <c r="F207" s="1" t="str">
        <f>"14.880"</f>
        <v>14.880</v>
      </c>
      <c r="G207" s="1" t="str">
        <f t="shared" si="286"/>
        <v>100.00</v>
      </c>
      <c r="H207" s="1" t="str">
        <f t="shared" si="287"/>
        <v>A850418317</v>
      </c>
      <c r="I207" s="1" t="str">
        <f>"1488.00"</f>
        <v>1488.00</v>
      </c>
      <c r="J207" s="1" t="str">
        <f t="shared" si="288"/>
        <v>5.00</v>
      </c>
      <c r="K207" s="1" t="str">
        <f t="shared" si="291"/>
        <v>0.00</v>
      </c>
      <c r="L207" s="1" t="str">
        <f t="shared" si="289"/>
        <v>0.03</v>
      </c>
      <c r="M207" s="1" t="str">
        <f t="shared" si="276"/>
        <v>0.00</v>
      </c>
      <c r="N207" s="1" t="str">
        <f t="shared" si="292"/>
        <v>证券买入</v>
      </c>
    </row>
    <row r="208" spans="1:14">
      <c r="A208" s="1" t="str">
        <f t="shared" si="283"/>
        <v>20171208</v>
      </c>
      <c r="B208" s="1" t="str">
        <f>"09:54:19"</f>
        <v>09:54:19</v>
      </c>
      <c r="C208" s="1" t="str">
        <f>"000830"</f>
        <v>000830</v>
      </c>
      <c r="D208" s="1" t="str">
        <f>"鲁西化工"</f>
        <v>鲁西化工</v>
      </c>
      <c r="E208" s="1" t="str">
        <f>"卖出"</f>
        <v>卖出</v>
      </c>
      <c r="F208" s="1" t="str">
        <f>"15.380"</f>
        <v>15.380</v>
      </c>
      <c r="G208" s="1" t="str">
        <f>"-200.00"</f>
        <v>-200.00</v>
      </c>
      <c r="H208" s="1" t="str">
        <f t="shared" ref="H208:H213" si="293">"0104152129"</f>
        <v>0104152129</v>
      </c>
      <c r="I208" s="1" t="str">
        <f>"3076.00"</f>
        <v>3076.00</v>
      </c>
      <c r="J208" s="1" t="str">
        <f t="shared" si="288"/>
        <v>5.00</v>
      </c>
      <c r="K208" s="1" t="str">
        <f>"3.08"</f>
        <v>3.08</v>
      </c>
      <c r="L208" s="1" t="str">
        <f>"0.06"</f>
        <v>0.06</v>
      </c>
      <c r="M208" s="1" t="str">
        <f t="shared" si="276"/>
        <v>0.00</v>
      </c>
      <c r="N208" s="1" t="str">
        <f>"证券卖出"</f>
        <v>证券卖出</v>
      </c>
    </row>
    <row r="209" spans="1:14">
      <c r="A209" s="1" t="str">
        <f t="shared" si="283"/>
        <v>20171208</v>
      </c>
      <c r="B209" s="1" t="str">
        <f>"09:59:10"</f>
        <v>09:59:10</v>
      </c>
      <c r="C209" s="1" t="str">
        <f>"300223"</f>
        <v>300223</v>
      </c>
      <c r="D209" s="1" t="str">
        <f>"北京君正"</f>
        <v>北京君正</v>
      </c>
      <c r="E209" s="1" t="str">
        <f t="shared" si="290"/>
        <v>买入</v>
      </c>
      <c r="F209" s="1" t="str">
        <f>"40.030"</f>
        <v>40.030</v>
      </c>
      <c r="G209" s="1" t="str">
        <f t="shared" ref="G209:G213" si="294">"100.00"</f>
        <v>100.00</v>
      </c>
      <c r="H209" s="1" t="str">
        <f t="shared" si="293"/>
        <v>0104152129</v>
      </c>
      <c r="I209" s="1" t="str">
        <f>"4003.00"</f>
        <v>4003.00</v>
      </c>
      <c r="J209" s="1" t="str">
        <f t="shared" si="288"/>
        <v>5.00</v>
      </c>
      <c r="K209" s="1" t="str">
        <f t="shared" si="291"/>
        <v>0.00</v>
      </c>
      <c r="L209" s="1" t="str">
        <f>"0.08"</f>
        <v>0.08</v>
      </c>
      <c r="M209" s="1" t="str">
        <f t="shared" si="276"/>
        <v>0.00</v>
      </c>
      <c r="N209" s="1" t="str">
        <f t="shared" si="292"/>
        <v>证券买入</v>
      </c>
    </row>
    <row r="210" spans="1:14">
      <c r="A210" s="1" t="str">
        <f t="shared" si="283"/>
        <v>20171208</v>
      </c>
      <c r="B210" s="1" t="str">
        <f>"10:46:34"</f>
        <v>10:46:34</v>
      </c>
      <c r="C210" s="1" t="str">
        <f>"300101"</f>
        <v>300101</v>
      </c>
      <c r="D210" s="1" t="str">
        <f>"振芯科技"</f>
        <v>振芯科技</v>
      </c>
      <c r="E210" s="1" t="str">
        <f t="shared" si="290"/>
        <v>买入</v>
      </c>
      <c r="F210" s="1" t="str">
        <f>"16.570"</f>
        <v>16.570</v>
      </c>
      <c r="G210" s="1" t="str">
        <f t="shared" si="294"/>
        <v>100.00</v>
      </c>
      <c r="H210" s="1" t="str">
        <f t="shared" si="293"/>
        <v>0104152129</v>
      </c>
      <c r="I210" s="1" t="str">
        <f>"1657.00"</f>
        <v>1657.00</v>
      </c>
      <c r="J210" s="1" t="str">
        <f t="shared" si="288"/>
        <v>5.00</v>
      </c>
      <c r="K210" s="1" t="str">
        <f t="shared" si="291"/>
        <v>0.00</v>
      </c>
      <c r="L210" s="1" t="str">
        <f t="shared" ref="L210:L212" si="295">"0.03"</f>
        <v>0.03</v>
      </c>
      <c r="M210" s="1" t="str">
        <f t="shared" si="276"/>
        <v>0.00</v>
      </c>
      <c r="N210" s="1" t="str">
        <f t="shared" si="292"/>
        <v>证券买入</v>
      </c>
    </row>
    <row r="211" spans="1:14">
      <c r="A211" s="1" t="str">
        <f t="shared" si="283"/>
        <v>20171208</v>
      </c>
      <c r="B211" s="1" t="str">
        <f>"13:01:02"</f>
        <v>13:01:02</v>
      </c>
      <c r="C211" s="1" t="str">
        <f t="shared" ref="C211:C217" si="296">"000759"</f>
        <v>000759</v>
      </c>
      <c r="D211" s="1" t="str">
        <f t="shared" ref="D211:D217" si="297">"中百集团"</f>
        <v>中百集团</v>
      </c>
      <c r="E211" s="1" t="str">
        <f t="shared" si="290"/>
        <v>买入</v>
      </c>
      <c r="F211" s="1" t="str">
        <f>"8.720"</f>
        <v>8.720</v>
      </c>
      <c r="G211" s="1" t="str">
        <f t="shared" ref="G211:G216" si="298">"200.00"</f>
        <v>200.00</v>
      </c>
      <c r="H211" s="1" t="str">
        <f t="shared" si="293"/>
        <v>0104152129</v>
      </c>
      <c r="I211" s="1" t="str">
        <f>"1744.00"</f>
        <v>1744.00</v>
      </c>
      <c r="J211" s="1" t="str">
        <f t="shared" si="288"/>
        <v>5.00</v>
      </c>
      <c r="K211" s="1" t="str">
        <f t="shared" si="291"/>
        <v>0.00</v>
      </c>
      <c r="L211" s="1" t="str">
        <f t="shared" si="295"/>
        <v>0.03</v>
      </c>
      <c r="M211" s="1" t="str">
        <f t="shared" si="276"/>
        <v>0.00</v>
      </c>
      <c r="N211" s="1" t="str">
        <f t="shared" si="292"/>
        <v>证券买入</v>
      </c>
    </row>
    <row r="212" spans="1:14">
      <c r="A212" s="1" t="str">
        <f t="shared" si="283"/>
        <v>20171208</v>
      </c>
      <c r="B212" s="1" t="str">
        <f>"13:01:33"</f>
        <v>13:01:33</v>
      </c>
      <c r="C212" s="1" t="str">
        <f t="shared" si="296"/>
        <v>000759</v>
      </c>
      <c r="D212" s="1" t="str">
        <f t="shared" si="297"/>
        <v>中百集团</v>
      </c>
      <c r="E212" s="1" t="str">
        <f t="shared" si="290"/>
        <v>买入</v>
      </c>
      <c r="F212" s="1" t="str">
        <f>"8.720"</f>
        <v>8.720</v>
      </c>
      <c r="G212" s="1" t="str">
        <f t="shared" si="298"/>
        <v>200.00</v>
      </c>
      <c r="H212" s="1" t="str">
        <f t="shared" si="293"/>
        <v>0104152129</v>
      </c>
      <c r="I212" s="1" t="str">
        <f>"1744.00"</f>
        <v>1744.00</v>
      </c>
      <c r="J212" s="1" t="str">
        <f t="shared" si="288"/>
        <v>5.00</v>
      </c>
      <c r="K212" s="1" t="str">
        <f t="shared" si="291"/>
        <v>0.00</v>
      </c>
      <c r="L212" s="1" t="str">
        <f t="shared" si="295"/>
        <v>0.03</v>
      </c>
      <c r="M212" s="1" t="str">
        <f t="shared" si="276"/>
        <v>0.00</v>
      </c>
      <c r="N212" s="1" t="str">
        <f t="shared" si="292"/>
        <v>证券买入</v>
      </c>
    </row>
    <row r="213" spans="1:14">
      <c r="A213" s="1" t="str">
        <f t="shared" si="283"/>
        <v>20171208</v>
      </c>
      <c r="B213" s="1" t="str">
        <f>"13:38:17"</f>
        <v>13:38:17</v>
      </c>
      <c r="C213" s="1" t="str">
        <f>"300176"</f>
        <v>300176</v>
      </c>
      <c r="D213" s="1" t="str">
        <f>"鸿特精密"</f>
        <v>鸿特精密</v>
      </c>
      <c r="E213" s="1" t="str">
        <f t="shared" si="290"/>
        <v>买入</v>
      </c>
      <c r="F213" s="1" t="str">
        <f>"125.450"</f>
        <v>125.450</v>
      </c>
      <c r="G213" s="1" t="str">
        <f t="shared" si="294"/>
        <v>100.00</v>
      </c>
      <c r="H213" s="1" t="str">
        <f t="shared" si="293"/>
        <v>0104152129</v>
      </c>
      <c r="I213" s="1" t="str">
        <f>"12545.00"</f>
        <v>12545.00</v>
      </c>
      <c r="J213" s="1" t="str">
        <f t="shared" si="288"/>
        <v>5.00</v>
      </c>
      <c r="K213" s="1" t="str">
        <f t="shared" si="291"/>
        <v>0.00</v>
      </c>
      <c r="L213" s="1" t="str">
        <f>"0.25"</f>
        <v>0.25</v>
      </c>
      <c r="M213" s="1" t="str">
        <f t="shared" si="276"/>
        <v>0.00</v>
      </c>
      <c r="N213" s="1" t="str">
        <f t="shared" si="292"/>
        <v>证券买入</v>
      </c>
    </row>
    <row r="214" spans="1:14">
      <c r="A214" s="1" t="str">
        <f t="shared" ref="A214:A217" si="299">"20171211"</f>
        <v>20171211</v>
      </c>
      <c r="B214" s="1" t="str">
        <f>"09:35:36"</f>
        <v>09:35:36</v>
      </c>
      <c r="C214" s="1" t="str">
        <f>"600137"</f>
        <v>600137</v>
      </c>
      <c r="D214" s="1" t="str">
        <f>"浪莎股份"</f>
        <v>浪莎股份</v>
      </c>
      <c r="E214" s="1" t="str">
        <f>"卖出"</f>
        <v>卖出</v>
      </c>
      <c r="F214" s="1" t="str">
        <f>"29.740"</f>
        <v>29.740</v>
      </c>
      <c r="G214" s="1" t="str">
        <f>"-100.00"</f>
        <v>-100.00</v>
      </c>
      <c r="H214" s="1" t="str">
        <f t="shared" ref="H214:H219" si="300">"A850418317"</f>
        <v>A850418317</v>
      </c>
      <c r="I214" s="1" t="str">
        <f>"2974.00"</f>
        <v>2974.00</v>
      </c>
      <c r="J214" s="1" t="str">
        <f t="shared" si="288"/>
        <v>5.00</v>
      </c>
      <c r="K214" s="1" t="str">
        <f>"2.97"</f>
        <v>2.97</v>
      </c>
      <c r="L214" s="1" t="str">
        <f>"0.06"</f>
        <v>0.06</v>
      </c>
      <c r="M214" s="1" t="str">
        <f t="shared" si="276"/>
        <v>0.00</v>
      </c>
      <c r="N214" s="1" t="str">
        <f>"证券卖出"</f>
        <v>证券卖出</v>
      </c>
    </row>
    <row r="215" spans="1:14">
      <c r="A215" s="1" t="str">
        <f t="shared" si="299"/>
        <v>20171211</v>
      </c>
      <c r="B215" s="1" t="str">
        <f>"09:35:21"</f>
        <v>09:35:21</v>
      </c>
      <c r="C215" s="1" t="str">
        <f t="shared" si="296"/>
        <v>000759</v>
      </c>
      <c r="D215" s="1" t="str">
        <f t="shared" si="297"/>
        <v>中百集团</v>
      </c>
      <c r="E215" s="1" t="str">
        <f t="shared" ref="E215:E219" si="301">"买入"</f>
        <v>买入</v>
      </c>
      <c r="F215" s="1" t="str">
        <f>"9.160"</f>
        <v>9.160</v>
      </c>
      <c r="G215" s="1" t="str">
        <f t="shared" ref="G215:G219" si="302">"100.00"</f>
        <v>100.00</v>
      </c>
      <c r="H215" s="1" t="str">
        <f t="shared" ref="H215:H217" si="303">"0104152129"</f>
        <v>0104152129</v>
      </c>
      <c r="I215" s="1" t="str">
        <f>"916.00"</f>
        <v>916.00</v>
      </c>
      <c r="J215" s="1" t="str">
        <f t="shared" si="288"/>
        <v>5.00</v>
      </c>
      <c r="K215" s="1" t="str">
        <f t="shared" ref="K215:K219" si="304">"0.00"</f>
        <v>0.00</v>
      </c>
      <c r="L215" s="1" t="str">
        <f t="shared" ref="L215:L219" si="305">"0.02"</f>
        <v>0.02</v>
      </c>
      <c r="M215" s="1" t="str">
        <f t="shared" si="276"/>
        <v>0.00</v>
      </c>
      <c r="N215" s="1" t="str">
        <f t="shared" ref="N215:N219" si="306">"证券买入"</f>
        <v>证券买入</v>
      </c>
    </row>
    <row r="216" spans="1:14">
      <c r="A216" s="1" t="str">
        <f t="shared" si="299"/>
        <v>20171211</v>
      </c>
      <c r="B216" s="1" t="str">
        <f>"09:37:46"</f>
        <v>09:37:46</v>
      </c>
      <c r="C216" s="1" t="str">
        <f t="shared" si="296"/>
        <v>000759</v>
      </c>
      <c r="D216" s="1" t="str">
        <f t="shared" si="297"/>
        <v>中百集团</v>
      </c>
      <c r="E216" s="1" t="str">
        <f t="shared" si="301"/>
        <v>买入</v>
      </c>
      <c r="F216" s="1" t="str">
        <f>"9.090"</f>
        <v>9.090</v>
      </c>
      <c r="G216" s="1" t="str">
        <f t="shared" si="298"/>
        <v>200.00</v>
      </c>
      <c r="H216" s="1" t="str">
        <f t="shared" si="303"/>
        <v>0104152129</v>
      </c>
      <c r="I216" s="1" t="str">
        <f>"1818.00"</f>
        <v>1818.00</v>
      </c>
      <c r="J216" s="1" t="str">
        <f t="shared" si="288"/>
        <v>5.00</v>
      </c>
      <c r="K216" s="1" t="str">
        <f t="shared" si="304"/>
        <v>0.00</v>
      </c>
      <c r="L216" s="1" t="str">
        <f>"0.04"</f>
        <v>0.04</v>
      </c>
      <c r="M216" s="1" t="str">
        <f t="shared" si="276"/>
        <v>0.00</v>
      </c>
      <c r="N216" s="1" t="str">
        <f t="shared" si="306"/>
        <v>证券买入</v>
      </c>
    </row>
    <row r="217" spans="1:14">
      <c r="A217" s="1" t="str">
        <f t="shared" si="299"/>
        <v>20171211</v>
      </c>
      <c r="B217" s="1" t="str">
        <f>"09:39:17"</f>
        <v>09:39:17</v>
      </c>
      <c r="C217" s="1" t="str">
        <f t="shared" si="296"/>
        <v>000759</v>
      </c>
      <c r="D217" s="1" t="str">
        <f t="shared" si="297"/>
        <v>中百集团</v>
      </c>
      <c r="E217" s="1" t="str">
        <f t="shared" si="301"/>
        <v>买入</v>
      </c>
      <c r="F217" s="1" t="str">
        <f>"9.070"</f>
        <v>9.070</v>
      </c>
      <c r="G217" s="1" t="str">
        <f t="shared" si="302"/>
        <v>100.00</v>
      </c>
      <c r="H217" s="1" t="str">
        <f t="shared" si="303"/>
        <v>0104152129</v>
      </c>
      <c r="I217" s="1" t="str">
        <f>"907.00"</f>
        <v>907.00</v>
      </c>
      <c r="J217" s="1" t="str">
        <f t="shared" si="288"/>
        <v>5.00</v>
      </c>
      <c r="K217" s="1" t="str">
        <f t="shared" si="304"/>
        <v>0.00</v>
      </c>
      <c r="L217" s="1" t="str">
        <f t="shared" si="305"/>
        <v>0.02</v>
      </c>
      <c r="M217" s="1" t="str">
        <f t="shared" si="276"/>
        <v>0.00</v>
      </c>
      <c r="N217" s="1" t="str">
        <f t="shared" si="306"/>
        <v>证券买入</v>
      </c>
    </row>
    <row r="218" spans="1:14">
      <c r="A218" s="1" t="str">
        <f t="shared" ref="A218:A223" si="307">"20171212"</f>
        <v>20171212</v>
      </c>
      <c r="B218" s="1" t="str">
        <f>"09:41:33"</f>
        <v>09:41:33</v>
      </c>
      <c r="C218" s="1" t="str">
        <f>"600460"</f>
        <v>600460</v>
      </c>
      <c r="D218" s="1" t="str">
        <f>"士兰微"</f>
        <v>士兰微</v>
      </c>
      <c r="E218" s="1" t="str">
        <f t="shared" si="301"/>
        <v>买入</v>
      </c>
      <c r="F218" s="1" t="str">
        <f>"14.680"</f>
        <v>14.680</v>
      </c>
      <c r="G218" s="1" t="str">
        <f t="shared" si="302"/>
        <v>100.00</v>
      </c>
      <c r="H218" s="1" t="str">
        <f t="shared" si="300"/>
        <v>A850418317</v>
      </c>
      <c r="I218" s="1" t="str">
        <f>"1468.00"</f>
        <v>1468.00</v>
      </c>
      <c r="J218" s="1" t="str">
        <f t="shared" si="288"/>
        <v>5.00</v>
      </c>
      <c r="K218" s="1" t="str">
        <f t="shared" si="304"/>
        <v>0.00</v>
      </c>
      <c r="L218" s="1" t="str">
        <f>"0.03"</f>
        <v>0.03</v>
      </c>
      <c r="M218" s="1" t="str">
        <f t="shared" si="276"/>
        <v>0.00</v>
      </c>
      <c r="N218" s="1" t="str">
        <f t="shared" si="306"/>
        <v>证券买入</v>
      </c>
    </row>
    <row r="219" spans="1:14">
      <c r="A219" s="1" t="str">
        <f t="shared" si="307"/>
        <v>20171212</v>
      </c>
      <c r="B219" s="1" t="str">
        <f>"09:44:26"</f>
        <v>09:44:26</v>
      </c>
      <c r="C219" s="1" t="str">
        <f>"600732"</f>
        <v>600732</v>
      </c>
      <c r="D219" s="1" t="str">
        <f>"ST新梅"</f>
        <v>ST新梅</v>
      </c>
      <c r="E219" s="1" t="str">
        <f t="shared" si="301"/>
        <v>买入</v>
      </c>
      <c r="F219" s="1" t="str">
        <f>"7.720"</f>
        <v>7.720</v>
      </c>
      <c r="G219" s="1" t="str">
        <f t="shared" si="302"/>
        <v>100.00</v>
      </c>
      <c r="H219" s="1" t="str">
        <f t="shared" si="300"/>
        <v>A850418317</v>
      </c>
      <c r="I219" s="1" t="str">
        <f>"772.00"</f>
        <v>772.00</v>
      </c>
      <c r="J219" s="1" t="str">
        <f t="shared" si="288"/>
        <v>5.00</v>
      </c>
      <c r="K219" s="1" t="str">
        <f t="shared" si="304"/>
        <v>0.00</v>
      </c>
      <c r="L219" s="1" t="str">
        <f t="shared" si="305"/>
        <v>0.02</v>
      </c>
      <c r="M219" s="1" t="str">
        <f t="shared" si="276"/>
        <v>0.00</v>
      </c>
      <c r="N219" s="1" t="str">
        <f t="shared" si="306"/>
        <v>证券买入</v>
      </c>
    </row>
    <row r="220" spans="1:14">
      <c r="A220" s="1" t="str">
        <f t="shared" si="307"/>
        <v>20171212</v>
      </c>
      <c r="B220" s="1" t="str">
        <f>"09:36:20"</f>
        <v>09:36:20</v>
      </c>
      <c r="C220" s="1" t="str">
        <f t="shared" ref="C220:C223" si="308">"000759"</f>
        <v>000759</v>
      </c>
      <c r="D220" s="1" t="str">
        <f t="shared" ref="D220:D223" si="309">"中百集团"</f>
        <v>中百集团</v>
      </c>
      <c r="E220" s="1" t="str">
        <f>"卖出"</f>
        <v>卖出</v>
      </c>
      <c r="F220" s="1" t="str">
        <f>"9.320"</f>
        <v>9.320</v>
      </c>
      <c r="G220" s="1" t="str">
        <f>"-400.00"</f>
        <v>-400.00</v>
      </c>
      <c r="H220" s="1" t="str">
        <f t="shared" ref="H220:H223" si="310">"0104152129"</f>
        <v>0104152129</v>
      </c>
      <c r="I220" s="1" t="str">
        <f>"3728.00"</f>
        <v>3728.00</v>
      </c>
      <c r="J220" s="1" t="str">
        <f t="shared" si="288"/>
        <v>5.00</v>
      </c>
      <c r="K220" s="1" t="str">
        <f>"3.73"</f>
        <v>3.73</v>
      </c>
      <c r="L220" s="1" t="str">
        <f>"0.07"</f>
        <v>0.07</v>
      </c>
      <c r="M220" s="1" t="str">
        <f t="shared" si="276"/>
        <v>0.00</v>
      </c>
      <c r="N220" s="1" t="str">
        <f>"证券卖出"</f>
        <v>证券卖出</v>
      </c>
    </row>
    <row r="221" spans="1:14">
      <c r="A221" s="1" t="str">
        <f t="shared" si="307"/>
        <v>20171212</v>
      </c>
      <c r="B221" s="1" t="str">
        <f>"09:37:20"</f>
        <v>09:37:20</v>
      </c>
      <c r="C221" s="1" t="str">
        <f t="shared" si="308"/>
        <v>000759</v>
      </c>
      <c r="D221" s="1" t="str">
        <f t="shared" si="309"/>
        <v>中百集团</v>
      </c>
      <c r="E221" s="1" t="str">
        <f>"卖出"</f>
        <v>卖出</v>
      </c>
      <c r="F221" s="1" t="str">
        <f>"9.250"</f>
        <v>9.250</v>
      </c>
      <c r="G221" s="1" t="str">
        <f>"-200.00"</f>
        <v>-200.00</v>
      </c>
      <c r="H221" s="1" t="str">
        <f t="shared" si="310"/>
        <v>0104152129</v>
      </c>
      <c r="I221" s="1" t="str">
        <f>"1850.00"</f>
        <v>1850.00</v>
      </c>
      <c r="J221" s="1" t="str">
        <f t="shared" si="288"/>
        <v>5.00</v>
      </c>
      <c r="K221" s="1" t="str">
        <f>"1.85"</f>
        <v>1.85</v>
      </c>
      <c r="L221" s="1" t="str">
        <f t="shared" ref="L221:L225" si="311">"0.04"</f>
        <v>0.04</v>
      </c>
      <c r="M221" s="1" t="str">
        <f t="shared" si="276"/>
        <v>0.00</v>
      </c>
      <c r="N221" s="1" t="str">
        <f>"证券卖出"</f>
        <v>证券卖出</v>
      </c>
    </row>
    <row r="222" spans="1:14">
      <c r="A222" s="1" t="str">
        <f t="shared" si="307"/>
        <v>20171212</v>
      </c>
      <c r="B222" s="1" t="str">
        <f>"09:37:54"</f>
        <v>09:37:54</v>
      </c>
      <c r="C222" s="1" t="str">
        <f>"300236"</f>
        <v>300236</v>
      </c>
      <c r="D222" s="1" t="str">
        <f>"上海新阳"</f>
        <v>上海新阳</v>
      </c>
      <c r="E222" s="1" t="str">
        <f t="shared" ref="E222:E225" si="312">"买入"</f>
        <v>买入</v>
      </c>
      <c r="F222" s="1" t="str">
        <f>"35.680"</f>
        <v>35.680</v>
      </c>
      <c r="G222" s="1" t="str">
        <f>"100.00"</f>
        <v>100.00</v>
      </c>
      <c r="H222" s="1" t="str">
        <f t="shared" si="310"/>
        <v>0104152129</v>
      </c>
      <c r="I222" s="1" t="str">
        <f>"3568.00"</f>
        <v>3568.00</v>
      </c>
      <c r="J222" s="1" t="str">
        <f t="shared" si="288"/>
        <v>5.00</v>
      </c>
      <c r="K222" s="1" t="str">
        <f t="shared" ref="K222:K225" si="313">"0.00"</f>
        <v>0.00</v>
      </c>
      <c r="L222" s="1" t="str">
        <f>"0.07"</f>
        <v>0.07</v>
      </c>
      <c r="M222" s="1" t="str">
        <f t="shared" si="276"/>
        <v>0.00</v>
      </c>
      <c r="N222" s="1" t="str">
        <f t="shared" ref="N222:N225" si="314">"证券买入"</f>
        <v>证券买入</v>
      </c>
    </row>
    <row r="223" spans="1:14">
      <c r="A223" s="1" t="str">
        <f t="shared" si="307"/>
        <v>20171212</v>
      </c>
      <c r="B223" s="1" t="str">
        <f>"09:51:26"</f>
        <v>09:51:26</v>
      </c>
      <c r="C223" s="1" t="str">
        <f t="shared" si="308"/>
        <v>000759</v>
      </c>
      <c r="D223" s="1" t="str">
        <f t="shared" si="309"/>
        <v>中百集团</v>
      </c>
      <c r="E223" s="1" t="str">
        <f t="shared" si="312"/>
        <v>买入</v>
      </c>
      <c r="F223" s="1" t="str">
        <f>"9.360"</f>
        <v>9.360</v>
      </c>
      <c r="G223" s="1" t="str">
        <f t="shared" ref="G223:G225" si="315">"200.00"</f>
        <v>200.00</v>
      </c>
      <c r="H223" s="1" t="str">
        <f t="shared" si="310"/>
        <v>0104152129</v>
      </c>
      <c r="I223" s="1" t="str">
        <f>"1872.00"</f>
        <v>1872.00</v>
      </c>
      <c r="J223" s="1" t="str">
        <f t="shared" si="288"/>
        <v>5.00</v>
      </c>
      <c r="K223" s="1" t="str">
        <f t="shared" si="313"/>
        <v>0.00</v>
      </c>
      <c r="L223" s="1" t="str">
        <f t="shared" si="311"/>
        <v>0.04</v>
      </c>
      <c r="M223" s="1" t="str">
        <f t="shared" si="276"/>
        <v>0.00</v>
      </c>
      <c r="N223" s="1" t="str">
        <f t="shared" si="314"/>
        <v>证券买入</v>
      </c>
    </row>
    <row r="224" spans="1:14">
      <c r="A224" s="1" t="str">
        <f t="shared" ref="A224:A232" si="316">"20171213"</f>
        <v>20171213</v>
      </c>
      <c r="B224" s="1" t="str">
        <f>"09:37:24"</f>
        <v>09:37:24</v>
      </c>
      <c r="C224" s="1" t="str">
        <f>"600500"</f>
        <v>600500</v>
      </c>
      <c r="D224" s="1" t="str">
        <f>"中化国际"</f>
        <v>中化国际</v>
      </c>
      <c r="E224" s="1" t="str">
        <f t="shared" si="312"/>
        <v>买入</v>
      </c>
      <c r="F224" s="1" t="str">
        <f>"8.980"</f>
        <v>8.980</v>
      </c>
      <c r="G224" s="1" t="str">
        <f t="shared" si="315"/>
        <v>200.00</v>
      </c>
      <c r="H224" s="1" t="str">
        <f t="shared" ref="H224:H229" si="317">"A850418317"</f>
        <v>A850418317</v>
      </c>
      <c r="I224" s="1" t="str">
        <f>"1796.00"</f>
        <v>1796.00</v>
      </c>
      <c r="J224" s="1" t="str">
        <f t="shared" si="288"/>
        <v>5.00</v>
      </c>
      <c r="K224" s="1" t="str">
        <f t="shared" si="313"/>
        <v>0.00</v>
      </c>
      <c r="L224" s="1" t="str">
        <f t="shared" si="311"/>
        <v>0.04</v>
      </c>
      <c r="M224" s="1" t="str">
        <f t="shared" si="276"/>
        <v>0.00</v>
      </c>
      <c r="N224" s="1" t="str">
        <f t="shared" si="314"/>
        <v>证券买入</v>
      </c>
    </row>
    <row r="225" spans="1:14">
      <c r="A225" s="1" t="str">
        <f t="shared" si="316"/>
        <v>20171213</v>
      </c>
      <c r="B225" s="1" t="str">
        <f>"09:38:56"</f>
        <v>09:38:56</v>
      </c>
      <c r="C225" s="1" t="str">
        <f>"600500"</f>
        <v>600500</v>
      </c>
      <c r="D225" s="1" t="str">
        <f>"中化国际"</f>
        <v>中化国际</v>
      </c>
      <c r="E225" s="1" t="str">
        <f t="shared" si="312"/>
        <v>买入</v>
      </c>
      <c r="F225" s="1" t="str">
        <f>"9.070"</f>
        <v>9.070</v>
      </c>
      <c r="G225" s="1" t="str">
        <f t="shared" si="315"/>
        <v>200.00</v>
      </c>
      <c r="H225" s="1" t="str">
        <f t="shared" si="317"/>
        <v>A850418317</v>
      </c>
      <c r="I225" s="1" t="str">
        <f>"1814.00"</f>
        <v>1814.00</v>
      </c>
      <c r="J225" s="1" t="str">
        <f t="shared" si="288"/>
        <v>5.00</v>
      </c>
      <c r="K225" s="1" t="str">
        <f t="shared" si="313"/>
        <v>0.00</v>
      </c>
      <c r="L225" s="1" t="str">
        <f t="shared" si="311"/>
        <v>0.04</v>
      </c>
      <c r="M225" s="1" t="str">
        <f t="shared" si="276"/>
        <v>0.00</v>
      </c>
      <c r="N225" s="1" t="str">
        <f t="shared" si="314"/>
        <v>证券买入</v>
      </c>
    </row>
    <row r="226" spans="1:14">
      <c r="A226" s="1" t="str">
        <f t="shared" si="316"/>
        <v>20171213</v>
      </c>
      <c r="B226" s="1" t="str">
        <f>"09:57:46"</f>
        <v>09:57:46</v>
      </c>
      <c r="C226" s="1" t="str">
        <f>"600206"</f>
        <v>600206</v>
      </c>
      <c r="D226" s="1" t="str">
        <f>"有研新材"</f>
        <v>有研新材</v>
      </c>
      <c r="E226" s="1" t="str">
        <f t="shared" ref="E226:E231" si="318">"卖出"</f>
        <v>卖出</v>
      </c>
      <c r="F226" s="1" t="str">
        <f>"12.860"</f>
        <v>12.860</v>
      </c>
      <c r="G226" s="1" t="str">
        <f t="shared" ref="G226:G230" si="319">"-100.00"</f>
        <v>-100.00</v>
      </c>
      <c r="H226" s="1" t="str">
        <f t="shared" si="317"/>
        <v>A850418317</v>
      </c>
      <c r="I226" s="1" t="str">
        <f>"1286.00"</f>
        <v>1286.00</v>
      </c>
      <c r="J226" s="1" t="str">
        <f t="shared" si="288"/>
        <v>5.00</v>
      </c>
      <c r="K226" s="1" t="str">
        <f>"1.29"</f>
        <v>1.29</v>
      </c>
      <c r="L226" s="1" t="str">
        <f t="shared" ref="L226:L228" si="320">"0.03"</f>
        <v>0.03</v>
      </c>
      <c r="M226" s="1" t="str">
        <f t="shared" si="276"/>
        <v>0.00</v>
      </c>
      <c r="N226" s="1" t="str">
        <f t="shared" ref="N226:N231" si="321">"证券卖出"</f>
        <v>证券卖出</v>
      </c>
    </row>
    <row r="227" spans="1:14">
      <c r="A227" s="1" t="str">
        <f t="shared" si="316"/>
        <v>20171213</v>
      </c>
      <c r="B227" s="1" t="str">
        <f>"10:02:55"</f>
        <v>10:02:55</v>
      </c>
      <c r="C227" s="1" t="str">
        <f>"600460"</f>
        <v>600460</v>
      </c>
      <c r="D227" s="1" t="str">
        <f>"士兰微"</f>
        <v>士兰微</v>
      </c>
      <c r="E227" s="1" t="str">
        <f t="shared" si="318"/>
        <v>卖出</v>
      </c>
      <c r="F227" s="1" t="str">
        <f>"15.170"</f>
        <v>15.170</v>
      </c>
      <c r="G227" s="1" t="str">
        <f t="shared" si="319"/>
        <v>-100.00</v>
      </c>
      <c r="H227" s="1" t="str">
        <f t="shared" si="317"/>
        <v>A850418317</v>
      </c>
      <c r="I227" s="1" t="str">
        <f>"1517.00"</f>
        <v>1517.00</v>
      </c>
      <c r="J227" s="1" t="str">
        <f t="shared" si="288"/>
        <v>5.00</v>
      </c>
      <c r="K227" s="1" t="str">
        <f>"1.52"</f>
        <v>1.52</v>
      </c>
      <c r="L227" s="1" t="str">
        <f t="shared" si="320"/>
        <v>0.03</v>
      </c>
      <c r="M227" s="1" t="str">
        <f t="shared" si="276"/>
        <v>0.00</v>
      </c>
      <c r="N227" s="1" t="str">
        <f t="shared" si="321"/>
        <v>证券卖出</v>
      </c>
    </row>
    <row r="228" spans="1:14">
      <c r="A228" s="1" t="str">
        <f t="shared" si="316"/>
        <v>20171213</v>
      </c>
      <c r="B228" s="1" t="str">
        <f>"13:16:03"</f>
        <v>13:16:03</v>
      </c>
      <c r="C228" s="1" t="str">
        <f>"600171"</f>
        <v>600171</v>
      </c>
      <c r="D228" s="1" t="str">
        <f>"上海贝岭"</f>
        <v>上海贝岭</v>
      </c>
      <c r="E228" s="1" t="str">
        <f t="shared" ref="E228:E235" si="322">"买入"</f>
        <v>买入</v>
      </c>
      <c r="F228" s="1" t="str">
        <f>"16.920"</f>
        <v>16.920</v>
      </c>
      <c r="G228" s="1" t="str">
        <f>"100.00"</f>
        <v>100.00</v>
      </c>
      <c r="H228" s="1" t="str">
        <f t="shared" si="317"/>
        <v>A850418317</v>
      </c>
      <c r="I228" s="1" t="str">
        <f>"1692.00"</f>
        <v>1692.00</v>
      </c>
      <c r="J228" s="1" t="str">
        <f t="shared" si="288"/>
        <v>5.00</v>
      </c>
      <c r="K228" s="1" t="str">
        <f t="shared" ref="K228:K235" si="323">"0.00"</f>
        <v>0.00</v>
      </c>
      <c r="L228" s="1" t="str">
        <f t="shared" si="320"/>
        <v>0.03</v>
      </c>
      <c r="M228" s="1" t="str">
        <f t="shared" si="276"/>
        <v>0.00</v>
      </c>
      <c r="N228" s="1" t="str">
        <f t="shared" ref="N228:N233" si="324">"证券买入"</f>
        <v>证券买入</v>
      </c>
    </row>
    <row r="229" spans="1:14">
      <c r="A229" s="1" t="str">
        <f t="shared" si="316"/>
        <v>20171213</v>
      </c>
      <c r="B229" s="1" t="str">
        <f>"14:58:50"</f>
        <v>14:58:50</v>
      </c>
      <c r="C229" s="1" t="str">
        <f>"600460"</f>
        <v>600460</v>
      </c>
      <c r="D229" s="1" t="str">
        <f>"士兰微"</f>
        <v>士兰微</v>
      </c>
      <c r="E229" s="1" t="str">
        <f t="shared" si="318"/>
        <v>卖出</v>
      </c>
      <c r="F229" s="1" t="str">
        <f>"15.240"</f>
        <v>15.240</v>
      </c>
      <c r="G229" s="1" t="str">
        <f>"-200.00"</f>
        <v>-200.00</v>
      </c>
      <c r="H229" s="1" t="str">
        <f t="shared" si="317"/>
        <v>A850418317</v>
      </c>
      <c r="I229" s="1" t="str">
        <f>"3048.00"</f>
        <v>3048.00</v>
      </c>
      <c r="J229" s="1" t="str">
        <f t="shared" si="288"/>
        <v>5.00</v>
      </c>
      <c r="K229" s="1" t="str">
        <f>"3.05"</f>
        <v>3.05</v>
      </c>
      <c r="L229" s="1" t="str">
        <f>"0.06"</f>
        <v>0.06</v>
      </c>
      <c r="M229" s="1" t="str">
        <f t="shared" si="276"/>
        <v>0.00</v>
      </c>
      <c r="N229" s="1" t="str">
        <f t="shared" si="321"/>
        <v>证券卖出</v>
      </c>
    </row>
    <row r="230" spans="1:14">
      <c r="A230" s="1" t="str">
        <f t="shared" si="316"/>
        <v>20171213</v>
      </c>
      <c r="B230" s="1" t="str">
        <f>"09:30:00"</f>
        <v>09:30:00</v>
      </c>
      <c r="C230" s="1" t="str">
        <f>"300236"</f>
        <v>300236</v>
      </c>
      <c r="D230" s="1" t="str">
        <f>"上海新阳"</f>
        <v>上海新阳</v>
      </c>
      <c r="E230" s="1" t="str">
        <f t="shared" si="318"/>
        <v>卖出</v>
      </c>
      <c r="F230" s="1" t="str">
        <f>"36.180"</f>
        <v>36.180</v>
      </c>
      <c r="G230" s="1" t="str">
        <f t="shared" si="319"/>
        <v>-100.00</v>
      </c>
      <c r="H230" s="1" t="str">
        <f t="shared" ref="H230:H232" si="325">"0104152129"</f>
        <v>0104152129</v>
      </c>
      <c r="I230" s="1" t="str">
        <f>"3618.00"</f>
        <v>3618.00</v>
      </c>
      <c r="J230" s="1" t="str">
        <f t="shared" si="288"/>
        <v>5.00</v>
      </c>
      <c r="K230" s="1" t="str">
        <f>"3.62"</f>
        <v>3.62</v>
      </c>
      <c r="L230" s="1" t="str">
        <f>"0.07"</f>
        <v>0.07</v>
      </c>
      <c r="M230" s="1" t="str">
        <f t="shared" si="276"/>
        <v>0.00</v>
      </c>
      <c r="N230" s="1" t="str">
        <f t="shared" si="321"/>
        <v>证券卖出</v>
      </c>
    </row>
    <row r="231" spans="1:14">
      <c r="A231" s="1" t="str">
        <f t="shared" si="316"/>
        <v>20171213</v>
      </c>
      <c r="B231" s="1" t="str">
        <f>"09:42:26"</f>
        <v>09:42:26</v>
      </c>
      <c r="C231" s="1" t="str">
        <f>"000759"</f>
        <v>000759</v>
      </c>
      <c r="D231" s="1" t="str">
        <f>"中百集团"</f>
        <v>中百集团</v>
      </c>
      <c r="E231" s="1" t="str">
        <f t="shared" si="318"/>
        <v>卖出</v>
      </c>
      <c r="F231" s="1" t="str">
        <f>"9.150"</f>
        <v>9.150</v>
      </c>
      <c r="G231" s="1" t="str">
        <f>"-200.00"</f>
        <v>-200.00</v>
      </c>
      <c r="H231" s="1" t="str">
        <f t="shared" si="325"/>
        <v>0104152129</v>
      </c>
      <c r="I231" s="1" t="str">
        <f>"1830.00"</f>
        <v>1830.00</v>
      </c>
      <c r="J231" s="1" t="str">
        <f t="shared" si="288"/>
        <v>5.00</v>
      </c>
      <c r="K231" s="1" t="str">
        <f>"1.83"</f>
        <v>1.83</v>
      </c>
      <c r="L231" s="1" t="str">
        <f>"0.04"</f>
        <v>0.04</v>
      </c>
      <c r="M231" s="1" t="str">
        <f t="shared" si="276"/>
        <v>0.00</v>
      </c>
      <c r="N231" s="1" t="str">
        <f t="shared" si="321"/>
        <v>证券卖出</v>
      </c>
    </row>
    <row r="232" spans="1:14">
      <c r="A232" s="1" t="str">
        <f t="shared" si="316"/>
        <v>20171213</v>
      </c>
      <c r="B232" s="1" t="str">
        <f>"13:35:23"</f>
        <v>13:35:23</v>
      </c>
      <c r="C232" s="1" t="str">
        <f>"002797"</f>
        <v>002797</v>
      </c>
      <c r="D232" s="1" t="str">
        <f>"第一创业"</f>
        <v>第一创业</v>
      </c>
      <c r="E232" s="1" t="str">
        <f t="shared" si="322"/>
        <v>买入</v>
      </c>
      <c r="F232" s="1" t="str">
        <f>"9.580"</f>
        <v>9.580</v>
      </c>
      <c r="G232" s="1" t="str">
        <f>"300.00"</f>
        <v>300.00</v>
      </c>
      <c r="H232" s="1" t="str">
        <f t="shared" si="325"/>
        <v>0104152129</v>
      </c>
      <c r="I232" s="1" t="str">
        <f>"2874.00"</f>
        <v>2874.00</v>
      </c>
      <c r="J232" s="1" t="str">
        <f t="shared" si="288"/>
        <v>5.00</v>
      </c>
      <c r="K232" s="1" t="str">
        <f t="shared" si="323"/>
        <v>0.00</v>
      </c>
      <c r="L232" s="1" t="str">
        <f>"0.06"</f>
        <v>0.06</v>
      </c>
      <c r="M232" s="1" t="str">
        <f t="shared" si="276"/>
        <v>0.00</v>
      </c>
      <c r="N232" s="1" t="str">
        <f t="shared" si="324"/>
        <v>证券买入</v>
      </c>
    </row>
    <row r="233" spans="1:14">
      <c r="A233" s="1" t="str">
        <f t="shared" ref="A233:A235" si="326">"20171214"</f>
        <v>20171214</v>
      </c>
      <c r="B233" s="1" t="str">
        <f>"11:16:17"</f>
        <v>11:16:17</v>
      </c>
      <c r="C233" s="1" t="str">
        <f t="shared" ref="C233:C238" si="327">"600280"</f>
        <v>600280</v>
      </c>
      <c r="D233" s="1" t="str">
        <f t="shared" ref="D233:D238" si="328">"中央商场"</f>
        <v>中央商场</v>
      </c>
      <c r="E233" s="1" t="str">
        <f t="shared" si="322"/>
        <v>买入</v>
      </c>
      <c r="F233" s="1" t="str">
        <f>"9.400"</f>
        <v>9.400</v>
      </c>
      <c r="G233" s="1" t="str">
        <f t="shared" ref="G233:G238" si="329">"100.00"</f>
        <v>100.00</v>
      </c>
      <c r="H233" s="1" t="str">
        <f t="shared" ref="H233:H249" si="330">"A850418317"</f>
        <v>A850418317</v>
      </c>
      <c r="I233" s="1" t="str">
        <f>"940.00"</f>
        <v>940.00</v>
      </c>
      <c r="J233" s="1" t="str">
        <f t="shared" si="288"/>
        <v>5.00</v>
      </c>
      <c r="K233" s="1" t="str">
        <f t="shared" si="323"/>
        <v>0.00</v>
      </c>
      <c r="L233" s="1" t="str">
        <f t="shared" ref="L233:L238" si="331">"0.02"</f>
        <v>0.02</v>
      </c>
      <c r="M233" s="1" t="str">
        <f t="shared" si="276"/>
        <v>0.00</v>
      </c>
      <c r="N233" s="1" t="str">
        <f t="shared" si="324"/>
        <v>证券买入</v>
      </c>
    </row>
    <row r="234" spans="1:14">
      <c r="A234" s="1" t="str">
        <f t="shared" si="326"/>
        <v>20171214</v>
      </c>
      <c r="B234" s="1" t="str">
        <f>"21:18:44"</f>
        <v>21:18:44</v>
      </c>
      <c r="C234" s="1" t="str">
        <f>"300684"</f>
        <v>300684</v>
      </c>
      <c r="D234" s="1" t="str">
        <f>"中石科技"</f>
        <v>中石科技</v>
      </c>
      <c r="E234" s="1" t="str">
        <f t="shared" si="322"/>
        <v>买入</v>
      </c>
      <c r="F234" s="1" t="str">
        <f>"0.000"</f>
        <v>0.000</v>
      </c>
      <c r="G234" s="1" t="str">
        <f>"2.00"</f>
        <v>2.00</v>
      </c>
      <c r="H234" s="1" t="str">
        <f>"0104152129"</f>
        <v>0104152129</v>
      </c>
      <c r="I234" s="1" t="str">
        <f t="shared" ref="I234:L234" si="332">"0.00"</f>
        <v>0.00</v>
      </c>
      <c r="J234" s="1" t="str">
        <f t="shared" si="332"/>
        <v>0.00</v>
      </c>
      <c r="K234" s="1" t="str">
        <f t="shared" si="323"/>
        <v>0.00</v>
      </c>
      <c r="L234" s="1" t="str">
        <f t="shared" si="332"/>
        <v>0.00</v>
      </c>
      <c r="M234" s="1" t="str">
        <f t="shared" si="276"/>
        <v>0.00</v>
      </c>
      <c r="N234" s="1" t="str">
        <f>"起始配号:11108585"</f>
        <v>起始配号:11108585</v>
      </c>
    </row>
    <row r="235" spans="1:14">
      <c r="A235" s="1" t="str">
        <f t="shared" si="326"/>
        <v>20171214</v>
      </c>
      <c r="B235" s="1" t="str">
        <f>"21:18:55"</f>
        <v>21:18:55</v>
      </c>
      <c r="C235" s="1" t="str">
        <f>"002920"</f>
        <v>002920</v>
      </c>
      <c r="D235" s="1" t="str">
        <f>"德赛西威"</f>
        <v>德赛西威</v>
      </c>
      <c r="E235" s="1" t="str">
        <f t="shared" si="322"/>
        <v>买入</v>
      </c>
      <c r="F235" s="1" t="str">
        <f>"0.000"</f>
        <v>0.000</v>
      </c>
      <c r="G235" s="1" t="str">
        <f>"2.00"</f>
        <v>2.00</v>
      </c>
      <c r="H235" s="1" t="str">
        <f>"0104152129"</f>
        <v>0104152129</v>
      </c>
      <c r="I235" s="1" t="str">
        <f t="shared" ref="I235:L235" si="333">"0.00"</f>
        <v>0.00</v>
      </c>
      <c r="J235" s="1" t="str">
        <f t="shared" si="333"/>
        <v>0.00</v>
      </c>
      <c r="K235" s="1" t="str">
        <f t="shared" si="323"/>
        <v>0.00</v>
      </c>
      <c r="L235" s="1" t="str">
        <f t="shared" si="333"/>
        <v>0.00</v>
      </c>
      <c r="M235" s="1" t="str">
        <f t="shared" si="276"/>
        <v>0.00</v>
      </c>
      <c r="N235" s="1" t="str">
        <f>"起始配号:24789828"</f>
        <v>起始配号:24789828</v>
      </c>
    </row>
    <row r="236" spans="1:14">
      <c r="A236" s="1" t="str">
        <f t="shared" ref="A236:A258" si="334">"20171215"</f>
        <v>20171215</v>
      </c>
      <c r="B236" s="1" t="str">
        <f>"09:47:32"</f>
        <v>09:47:32</v>
      </c>
      <c r="C236" s="1" t="str">
        <f>"600500"</f>
        <v>600500</v>
      </c>
      <c r="D236" s="1" t="str">
        <f>"中化国际"</f>
        <v>中化国际</v>
      </c>
      <c r="E236" s="1" t="str">
        <f>"卖出"</f>
        <v>卖出</v>
      </c>
      <c r="F236" s="1" t="str">
        <f>"8.810"</f>
        <v>8.810</v>
      </c>
      <c r="G236" s="1" t="str">
        <f>"-400.00"</f>
        <v>-400.00</v>
      </c>
      <c r="H236" s="1" t="str">
        <f t="shared" si="330"/>
        <v>A850418317</v>
      </c>
      <c r="I236" s="1" t="str">
        <f>"3524.00"</f>
        <v>3524.00</v>
      </c>
      <c r="J236" s="1" t="str">
        <f t="shared" ref="J236:J257" si="335">"5.00"</f>
        <v>5.00</v>
      </c>
      <c r="K236" s="1" t="str">
        <f>"3.52"</f>
        <v>3.52</v>
      </c>
      <c r="L236" s="1" t="str">
        <f>"0.07"</f>
        <v>0.07</v>
      </c>
      <c r="M236" s="1" t="str">
        <f t="shared" si="276"/>
        <v>0.00</v>
      </c>
      <c r="N236" s="1" t="str">
        <f>"证券卖出"</f>
        <v>证券卖出</v>
      </c>
    </row>
    <row r="237" spans="1:14">
      <c r="A237" s="1" t="str">
        <f t="shared" si="334"/>
        <v>20171215</v>
      </c>
      <c r="B237" s="1" t="str">
        <f>"09:52:11"</f>
        <v>09:52:11</v>
      </c>
      <c r="C237" s="1" t="str">
        <f t="shared" si="327"/>
        <v>600280</v>
      </c>
      <c r="D237" s="1" t="str">
        <f t="shared" si="328"/>
        <v>中央商场</v>
      </c>
      <c r="E237" s="1" t="str">
        <f t="shared" ref="E237:E241" si="336">"买入"</f>
        <v>买入</v>
      </c>
      <c r="F237" s="1" t="str">
        <f>"9.170"</f>
        <v>9.170</v>
      </c>
      <c r="G237" s="1" t="str">
        <f t="shared" si="329"/>
        <v>100.00</v>
      </c>
      <c r="H237" s="1" t="str">
        <f t="shared" si="330"/>
        <v>A850418317</v>
      </c>
      <c r="I237" s="1" t="str">
        <f>"917.00"</f>
        <v>917.00</v>
      </c>
      <c r="J237" s="1" t="str">
        <f t="shared" si="335"/>
        <v>5.00</v>
      </c>
      <c r="K237" s="1" t="str">
        <f t="shared" ref="K237:K241" si="337">"0.00"</f>
        <v>0.00</v>
      </c>
      <c r="L237" s="1" t="str">
        <f t="shared" si="331"/>
        <v>0.02</v>
      </c>
      <c r="M237" s="1" t="str">
        <f t="shared" si="276"/>
        <v>0.00</v>
      </c>
      <c r="N237" s="1" t="str">
        <f t="shared" ref="N237:N241" si="338">"证券买入"</f>
        <v>证券买入</v>
      </c>
    </row>
    <row r="238" spans="1:14">
      <c r="A238" s="1" t="str">
        <f t="shared" si="334"/>
        <v>20171215</v>
      </c>
      <c r="B238" s="1" t="str">
        <f>"09:52:42"</f>
        <v>09:52:42</v>
      </c>
      <c r="C238" s="1" t="str">
        <f t="shared" si="327"/>
        <v>600280</v>
      </c>
      <c r="D238" s="1" t="str">
        <f t="shared" si="328"/>
        <v>中央商场</v>
      </c>
      <c r="E238" s="1" t="str">
        <f t="shared" si="336"/>
        <v>买入</v>
      </c>
      <c r="F238" s="1" t="str">
        <f>"9.200"</f>
        <v>9.200</v>
      </c>
      <c r="G238" s="1" t="str">
        <f t="shared" si="329"/>
        <v>100.00</v>
      </c>
      <c r="H238" s="1" t="str">
        <f t="shared" si="330"/>
        <v>A850418317</v>
      </c>
      <c r="I238" s="1" t="str">
        <f>"920.00"</f>
        <v>920.00</v>
      </c>
      <c r="J238" s="1" t="str">
        <f t="shared" si="335"/>
        <v>5.00</v>
      </c>
      <c r="K238" s="1" t="str">
        <f t="shared" si="337"/>
        <v>0.00</v>
      </c>
      <c r="L238" s="1" t="str">
        <f t="shared" si="331"/>
        <v>0.02</v>
      </c>
      <c r="M238" s="1" t="str">
        <f t="shared" si="276"/>
        <v>0.00</v>
      </c>
      <c r="N238" s="1" t="str">
        <f t="shared" si="338"/>
        <v>证券买入</v>
      </c>
    </row>
    <row r="239" spans="1:14">
      <c r="A239" s="1" t="str">
        <f t="shared" si="334"/>
        <v>20171215</v>
      </c>
      <c r="B239" s="1" t="str">
        <f>"10:05:45"</f>
        <v>10:05:45</v>
      </c>
      <c r="C239" s="1" t="str">
        <f>"600460"</f>
        <v>600460</v>
      </c>
      <c r="D239" s="1" t="str">
        <f>"士兰微"</f>
        <v>士兰微</v>
      </c>
      <c r="E239" s="1" t="str">
        <f>"卖出"</f>
        <v>卖出</v>
      </c>
      <c r="F239" s="1" t="str">
        <f>"15.540"</f>
        <v>15.540</v>
      </c>
      <c r="G239" s="1" t="str">
        <f>"-200.00"</f>
        <v>-200.00</v>
      </c>
      <c r="H239" s="1" t="str">
        <f t="shared" si="330"/>
        <v>A850418317</v>
      </c>
      <c r="I239" s="1" t="str">
        <f>"3108.00"</f>
        <v>3108.00</v>
      </c>
      <c r="J239" s="1" t="str">
        <f t="shared" si="335"/>
        <v>5.00</v>
      </c>
      <c r="K239" s="1" t="str">
        <f>"3.11"</f>
        <v>3.11</v>
      </c>
      <c r="L239" s="1" t="str">
        <f>"0.06"</f>
        <v>0.06</v>
      </c>
      <c r="M239" s="1" t="str">
        <f t="shared" si="276"/>
        <v>0.00</v>
      </c>
      <c r="N239" s="1" t="str">
        <f>"证券卖出"</f>
        <v>证券卖出</v>
      </c>
    </row>
    <row r="240" spans="1:14">
      <c r="A240" s="1" t="str">
        <f t="shared" si="334"/>
        <v>20171215</v>
      </c>
      <c r="B240" s="1" t="str">
        <f>"10:13:44"</f>
        <v>10:13:44</v>
      </c>
      <c r="C240" s="1" t="str">
        <f t="shared" ref="C240:C243" si="339">"600171"</f>
        <v>600171</v>
      </c>
      <c r="D240" s="1" t="str">
        <f t="shared" ref="D240:D243" si="340">"上海贝岭"</f>
        <v>上海贝岭</v>
      </c>
      <c r="E240" s="1" t="str">
        <f t="shared" si="336"/>
        <v>买入</v>
      </c>
      <c r="F240" s="1" t="str">
        <f>"17.960"</f>
        <v>17.960</v>
      </c>
      <c r="G240" s="1" t="str">
        <f t="shared" ref="G240:G243" si="341">"100.00"</f>
        <v>100.00</v>
      </c>
      <c r="H240" s="1" t="str">
        <f t="shared" si="330"/>
        <v>A850418317</v>
      </c>
      <c r="I240" s="1" t="str">
        <f>"1796.00"</f>
        <v>1796.00</v>
      </c>
      <c r="J240" s="1" t="str">
        <f t="shared" si="335"/>
        <v>5.00</v>
      </c>
      <c r="K240" s="1" t="str">
        <f t="shared" si="337"/>
        <v>0.00</v>
      </c>
      <c r="L240" s="1" t="str">
        <f t="shared" ref="L240:L244" si="342">"0.04"</f>
        <v>0.04</v>
      </c>
      <c r="M240" s="1" t="str">
        <f t="shared" si="276"/>
        <v>0.00</v>
      </c>
      <c r="N240" s="1" t="str">
        <f t="shared" si="338"/>
        <v>证券买入</v>
      </c>
    </row>
    <row r="241" spans="1:14">
      <c r="A241" s="1" t="str">
        <f t="shared" si="334"/>
        <v>20171215</v>
      </c>
      <c r="B241" s="1" t="str">
        <f>"10:14:39"</f>
        <v>10:14:39</v>
      </c>
      <c r="C241" s="1" t="str">
        <f t="shared" si="339"/>
        <v>600171</v>
      </c>
      <c r="D241" s="1" t="str">
        <f t="shared" si="340"/>
        <v>上海贝岭</v>
      </c>
      <c r="E241" s="1" t="str">
        <f t="shared" si="336"/>
        <v>买入</v>
      </c>
      <c r="F241" s="1" t="str">
        <f>"17.990"</f>
        <v>17.990</v>
      </c>
      <c r="G241" s="1" t="str">
        <f t="shared" si="341"/>
        <v>100.00</v>
      </c>
      <c r="H241" s="1" t="str">
        <f t="shared" si="330"/>
        <v>A850418317</v>
      </c>
      <c r="I241" s="1" t="str">
        <f>"1799.00"</f>
        <v>1799.00</v>
      </c>
      <c r="J241" s="1" t="str">
        <f t="shared" si="335"/>
        <v>5.00</v>
      </c>
      <c r="K241" s="1" t="str">
        <f t="shared" si="337"/>
        <v>0.00</v>
      </c>
      <c r="L241" s="1" t="str">
        <f t="shared" si="342"/>
        <v>0.04</v>
      </c>
      <c r="M241" s="1" t="str">
        <f t="shared" si="276"/>
        <v>0.00</v>
      </c>
      <c r="N241" s="1" t="str">
        <f t="shared" si="338"/>
        <v>证券买入</v>
      </c>
    </row>
    <row r="242" spans="1:14">
      <c r="A242" s="1" t="str">
        <f t="shared" si="334"/>
        <v>20171215</v>
      </c>
      <c r="B242" s="1" t="str">
        <f>"10:27:57"</f>
        <v>10:27:57</v>
      </c>
      <c r="C242" s="1" t="str">
        <f>"600732"</f>
        <v>600732</v>
      </c>
      <c r="D242" s="1" t="str">
        <f>"ST新梅"</f>
        <v>ST新梅</v>
      </c>
      <c r="E242" s="1" t="str">
        <f>"卖出"</f>
        <v>卖出</v>
      </c>
      <c r="F242" s="1" t="str">
        <f>"8.130"</f>
        <v>8.130</v>
      </c>
      <c r="G242" s="1" t="str">
        <f>"-100.00"</f>
        <v>-100.00</v>
      </c>
      <c r="H242" s="1" t="str">
        <f t="shared" si="330"/>
        <v>A850418317</v>
      </c>
      <c r="I242" s="1" t="str">
        <f>"813.00"</f>
        <v>813.00</v>
      </c>
      <c r="J242" s="1" t="str">
        <f t="shared" si="335"/>
        <v>5.00</v>
      </c>
      <c r="K242" s="1" t="str">
        <f>"0.81"</f>
        <v>0.81</v>
      </c>
      <c r="L242" s="1" t="str">
        <f>"0.02"</f>
        <v>0.02</v>
      </c>
      <c r="M242" s="1" t="str">
        <f t="shared" si="276"/>
        <v>0.00</v>
      </c>
      <c r="N242" s="1" t="str">
        <f>"证券卖出"</f>
        <v>证券卖出</v>
      </c>
    </row>
    <row r="243" spans="1:14">
      <c r="A243" s="1" t="str">
        <f t="shared" si="334"/>
        <v>20171215</v>
      </c>
      <c r="B243" s="1" t="str">
        <f>"10:35:12"</f>
        <v>10:35:12</v>
      </c>
      <c r="C243" s="1" t="str">
        <f t="shared" si="339"/>
        <v>600171</v>
      </c>
      <c r="D243" s="1" t="str">
        <f t="shared" si="340"/>
        <v>上海贝岭</v>
      </c>
      <c r="E243" s="1" t="str">
        <f t="shared" ref="E243:E249" si="343">"买入"</f>
        <v>买入</v>
      </c>
      <c r="F243" s="1" t="str">
        <f>"17.920"</f>
        <v>17.920</v>
      </c>
      <c r="G243" s="1" t="str">
        <f t="shared" si="341"/>
        <v>100.00</v>
      </c>
      <c r="H243" s="1" t="str">
        <f t="shared" si="330"/>
        <v>A850418317</v>
      </c>
      <c r="I243" s="1" t="str">
        <f>"1792.00"</f>
        <v>1792.00</v>
      </c>
      <c r="J243" s="1" t="str">
        <f t="shared" si="335"/>
        <v>5.00</v>
      </c>
      <c r="K243" s="1" t="str">
        <f t="shared" ref="K243:K249" si="344">"0.00"</f>
        <v>0.00</v>
      </c>
      <c r="L243" s="1" t="str">
        <f t="shared" si="342"/>
        <v>0.04</v>
      </c>
      <c r="M243" s="1" t="str">
        <f t="shared" si="276"/>
        <v>0.00</v>
      </c>
      <c r="N243" s="1" t="str">
        <f t="shared" ref="N243:N249" si="345">"证券买入"</f>
        <v>证券买入</v>
      </c>
    </row>
    <row r="244" spans="1:14">
      <c r="A244" s="1" t="str">
        <f t="shared" si="334"/>
        <v>20171215</v>
      </c>
      <c r="B244" s="1" t="str">
        <f>"11:01:22"</f>
        <v>11:01:22</v>
      </c>
      <c r="C244" s="1" t="str">
        <f t="shared" ref="C244:C248" si="346">"600280"</f>
        <v>600280</v>
      </c>
      <c r="D244" s="1" t="str">
        <f t="shared" ref="D244:D248" si="347">"中央商场"</f>
        <v>中央商场</v>
      </c>
      <c r="E244" s="1" t="str">
        <f t="shared" si="343"/>
        <v>买入</v>
      </c>
      <c r="F244" s="1" t="str">
        <f>"9.380"</f>
        <v>9.380</v>
      </c>
      <c r="G244" s="1" t="str">
        <f>"200.00"</f>
        <v>200.00</v>
      </c>
      <c r="H244" s="1" t="str">
        <f t="shared" si="330"/>
        <v>A850418317</v>
      </c>
      <c r="I244" s="1" t="str">
        <f>"1876.00"</f>
        <v>1876.00</v>
      </c>
      <c r="J244" s="1" t="str">
        <f t="shared" si="335"/>
        <v>5.00</v>
      </c>
      <c r="K244" s="1" t="str">
        <f t="shared" si="344"/>
        <v>0.00</v>
      </c>
      <c r="L244" s="1" t="str">
        <f t="shared" si="342"/>
        <v>0.04</v>
      </c>
      <c r="M244" s="1" t="str">
        <f t="shared" si="276"/>
        <v>0.00</v>
      </c>
      <c r="N244" s="1" t="str">
        <f t="shared" si="345"/>
        <v>证券买入</v>
      </c>
    </row>
    <row r="245" spans="1:14">
      <c r="A245" s="1" t="str">
        <f t="shared" si="334"/>
        <v>20171215</v>
      </c>
      <c r="B245" s="1" t="str">
        <f>"11:01:43"</f>
        <v>11:01:43</v>
      </c>
      <c r="C245" s="1" t="str">
        <f t="shared" si="346"/>
        <v>600280</v>
      </c>
      <c r="D245" s="1" t="str">
        <f t="shared" si="347"/>
        <v>中央商场</v>
      </c>
      <c r="E245" s="1" t="str">
        <f t="shared" si="343"/>
        <v>买入</v>
      </c>
      <c r="F245" s="1" t="str">
        <f>"9.370"</f>
        <v>9.370</v>
      </c>
      <c r="G245" s="1" t="str">
        <f>"100.00"</f>
        <v>100.00</v>
      </c>
      <c r="H245" s="1" t="str">
        <f t="shared" si="330"/>
        <v>A850418317</v>
      </c>
      <c r="I245" s="1" t="str">
        <f>"937.00"</f>
        <v>937.00</v>
      </c>
      <c r="J245" s="1" t="str">
        <f t="shared" si="335"/>
        <v>5.00</v>
      </c>
      <c r="K245" s="1" t="str">
        <f t="shared" si="344"/>
        <v>0.00</v>
      </c>
      <c r="L245" s="1" t="str">
        <f>"0.02"</f>
        <v>0.02</v>
      </c>
      <c r="M245" s="1" t="str">
        <f t="shared" si="276"/>
        <v>0.00</v>
      </c>
      <c r="N245" s="1" t="str">
        <f t="shared" si="345"/>
        <v>证券买入</v>
      </c>
    </row>
    <row r="246" spans="1:14">
      <c r="A246" s="1" t="str">
        <f t="shared" si="334"/>
        <v>20171215</v>
      </c>
      <c r="B246" s="1" t="str">
        <f>"11:14:33"</f>
        <v>11:14:33</v>
      </c>
      <c r="C246" s="1" t="str">
        <f t="shared" si="346"/>
        <v>600280</v>
      </c>
      <c r="D246" s="1" t="str">
        <f t="shared" si="347"/>
        <v>中央商场</v>
      </c>
      <c r="E246" s="1" t="str">
        <f t="shared" si="343"/>
        <v>买入</v>
      </c>
      <c r="F246" s="1" t="str">
        <f>"9.480"</f>
        <v>9.480</v>
      </c>
      <c r="G246" s="1" t="str">
        <f>"200.00"</f>
        <v>200.00</v>
      </c>
      <c r="H246" s="1" t="str">
        <f t="shared" si="330"/>
        <v>A850418317</v>
      </c>
      <c r="I246" s="1" t="str">
        <f>"1896.00"</f>
        <v>1896.00</v>
      </c>
      <c r="J246" s="1" t="str">
        <f t="shared" si="335"/>
        <v>5.00</v>
      </c>
      <c r="K246" s="1" t="str">
        <f t="shared" si="344"/>
        <v>0.00</v>
      </c>
      <c r="L246" s="1" t="str">
        <f>"0.04"</f>
        <v>0.04</v>
      </c>
      <c r="M246" s="1" t="str">
        <f t="shared" si="276"/>
        <v>0.00</v>
      </c>
      <c r="N246" s="1" t="str">
        <f t="shared" si="345"/>
        <v>证券买入</v>
      </c>
    </row>
    <row r="247" spans="1:14">
      <c r="A247" s="1" t="str">
        <f t="shared" si="334"/>
        <v>20171215</v>
      </c>
      <c r="B247" s="1" t="str">
        <f>"11:21:35"</f>
        <v>11:21:35</v>
      </c>
      <c r="C247" s="1" t="str">
        <f t="shared" si="346"/>
        <v>600280</v>
      </c>
      <c r="D247" s="1" t="str">
        <f t="shared" si="347"/>
        <v>中央商场</v>
      </c>
      <c r="E247" s="1" t="str">
        <f t="shared" si="343"/>
        <v>买入</v>
      </c>
      <c r="F247" s="1" t="str">
        <f>"9.530"</f>
        <v>9.530</v>
      </c>
      <c r="G247" s="1" t="str">
        <f>"300.00"</f>
        <v>300.00</v>
      </c>
      <c r="H247" s="1" t="str">
        <f t="shared" si="330"/>
        <v>A850418317</v>
      </c>
      <c r="I247" s="1" t="str">
        <f>"2859.00"</f>
        <v>2859.00</v>
      </c>
      <c r="J247" s="1" t="str">
        <f t="shared" si="335"/>
        <v>5.00</v>
      </c>
      <c r="K247" s="1" t="str">
        <f t="shared" si="344"/>
        <v>0.00</v>
      </c>
      <c r="L247" s="1" t="str">
        <f>"0.06"</f>
        <v>0.06</v>
      </c>
      <c r="M247" s="1" t="str">
        <f t="shared" si="276"/>
        <v>0.00</v>
      </c>
      <c r="N247" s="1" t="str">
        <f t="shared" si="345"/>
        <v>证券买入</v>
      </c>
    </row>
    <row r="248" spans="1:14">
      <c r="A248" s="1" t="str">
        <f t="shared" si="334"/>
        <v>20171215</v>
      </c>
      <c r="B248" s="1" t="str">
        <f>"11:23:07"</f>
        <v>11:23:07</v>
      </c>
      <c r="C248" s="1" t="str">
        <f t="shared" si="346"/>
        <v>600280</v>
      </c>
      <c r="D248" s="1" t="str">
        <f t="shared" si="347"/>
        <v>中央商场</v>
      </c>
      <c r="E248" s="1" t="str">
        <f t="shared" si="343"/>
        <v>买入</v>
      </c>
      <c r="F248" s="1" t="str">
        <f>"9.580"</f>
        <v>9.580</v>
      </c>
      <c r="G248" s="1" t="str">
        <f>"400.00"</f>
        <v>400.00</v>
      </c>
      <c r="H248" s="1" t="str">
        <f t="shared" si="330"/>
        <v>A850418317</v>
      </c>
      <c r="I248" s="1" t="str">
        <f>"3832.00"</f>
        <v>3832.00</v>
      </c>
      <c r="J248" s="1" t="str">
        <f t="shared" si="335"/>
        <v>5.00</v>
      </c>
      <c r="K248" s="1" t="str">
        <f t="shared" si="344"/>
        <v>0.00</v>
      </c>
      <c r="L248" s="1" t="str">
        <f>"0.08"</f>
        <v>0.08</v>
      </c>
      <c r="M248" s="1" t="str">
        <f t="shared" si="276"/>
        <v>0.00</v>
      </c>
      <c r="N248" s="1" t="str">
        <f t="shared" si="345"/>
        <v>证券买入</v>
      </c>
    </row>
    <row r="249" spans="1:14">
      <c r="A249" s="1" t="str">
        <f t="shared" si="334"/>
        <v>20171215</v>
      </c>
      <c r="B249" s="1" t="str">
        <f>"13:02:31"</f>
        <v>13:02:31</v>
      </c>
      <c r="C249" s="1" t="str">
        <f>"600171"</f>
        <v>600171</v>
      </c>
      <c r="D249" s="1" t="str">
        <f>"上海贝岭"</f>
        <v>上海贝岭</v>
      </c>
      <c r="E249" s="1" t="str">
        <f t="shared" si="343"/>
        <v>买入</v>
      </c>
      <c r="F249" s="1" t="str">
        <f>"17.300"</f>
        <v>17.300</v>
      </c>
      <c r="G249" s="1" t="str">
        <f t="shared" ref="G249:G252" si="348">"100.00"</f>
        <v>100.00</v>
      </c>
      <c r="H249" s="1" t="str">
        <f t="shared" si="330"/>
        <v>A850418317</v>
      </c>
      <c r="I249" s="1" t="str">
        <f>"1730.00"</f>
        <v>1730.00</v>
      </c>
      <c r="J249" s="1" t="str">
        <f t="shared" si="335"/>
        <v>5.00</v>
      </c>
      <c r="K249" s="1" t="str">
        <f t="shared" si="344"/>
        <v>0.00</v>
      </c>
      <c r="L249" s="1" t="str">
        <f>"0.03"</f>
        <v>0.03</v>
      </c>
      <c r="M249" s="1" t="str">
        <f t="shared" si="276"/>
        <v>0.00</v>
      </c>
      <c r="N249" s="1" t="str">
        <f t="shared" si="345"/>
        <v>证券买入</v>
      </c>
    </row>
    <row r="250" spans="1:14">
      <c r="A250" s="1" t="str">
        <f t="shared" si="334"/>
        <v>20171215</v>
      </c>
      <c r="B250" s="1" t="str">
        <f>"09:30:01"</f>
        <v>09:30:01</v>
      </c>
      <c r="C250" s="1" t="str">
        <f t="shared" ref="C250:C253" si="349">"000759"</f>
        <v>000759</v>
      </c>
      <c r="D250" s="1" t="str">
        <f t="shared" ref="D250:D253" si="350">"中百集团"</f>
        <v>中百集团</v>
      </c>
      <c r="E250" s="1" t="str">
        <f t="shared" ref="E250:E257" si="351">"卖出"</f>
        <v>卖出</v>
      </c>
      <c r="F250" s="1" t="str">
        <f>"10.710"</f>
        <v>10.710</v>
      </c>
      <c r="G250" s="1" t="str">
        <f t="shared" ref="G250:G255" si="352">"-100.00"</f>
        <v>-100.00</v>
      </c>
      <c r="H250" s="1" t="str">
        <f t="shared" ref="H250:H258" si="353">"0104152129"</f>
        <v>0104152129</v>
      </c>
      <c r="I250" s="1" t="str">
        <f>"1071.00"</f>
        <v>1071.00</v>
      </c>
      <c r="J250" s="1" t="str">
        <f t="shared" si="335"/>
        <v>5.00</v>
      </c>
      <c r="K250" s="1" t="str">
        <f>"1.07"</f>
        <v>1.07</v>
      </c>
      <c r="L250" s="1" t="str">
        <f t="shared" ref="L250:L253" si="354">"0.02"</f>
        <v>0.02</v>
      </c>
      <c r="M250" s="1" t="str">
        <f t="shared" si="276"/>
        <v>0.00</v>
      </c>
      <c r="N250" s="1" t="str">
        <f t="shared" ref="N250:N257" si="355">"证券卖出"</f>
        <v>证券卖出</v>
      </c>
    </row>
    <row r="251" spans="1:14">
      <c r="A251" s="1" t="str">
        <f t="shared" si="334"/>
        <v>20171215</v>
      </c>
      <c r="B251" s="1" t="str">
        <f>"09:53:08"</f>
        <v>09:53:08</v>
      </c>
      <c r="C251" s="1" t="str">
        <f t="shared" si="349"/>
        <v>000759</v>
      </c>
      <c r="D251" s="1" t="str">
        <f t="shared" si="350"/>
        <v>中百集团</v>
      </c>
      <c r="E251" s="1" t="str">
        <f>"买入"</f>
        <v>买入</v>
      </c>
      <c r="F251" s="1" t="str">
        <f>"10.730"</f>
        <v>10.730</v>
      </c>
      <c r="G251" s="1" t="str">
        <f t="shared" si="348"/>
        <v>100.00</v>
      </c>
      <c r="H251" s="1" t="str">
        <f t="shared" si="353"/>
        <v>0104152129</v>
      </c>
      <c r="I251" s="1" t="str">
        <f>"1073.00"</f>
        <v>1073.00</v>
      </c>
      <c r="J251" s="1" t="str">
        <f t="shared" si="335"/>
        <v>5.00</v>
      </c>
      <c r="K251" s="1" t="str">
        <f>"0.00"</f>
        <v>0.00</v>
      </c>
      <c r="L251" s="1" t="str">
        <f t="shared" si="354"/>
        <v>0.02</v>
      </c>
      <c r="M251" s="1" t="str">
        <f t="shared" si="276"/>
        <v>0.00</v>
      </c>
      <c r="N251" s="1" t="str">
        <f>"证券买入"</f>
        <v>证券买入</v>
      </c>
    </row>
    <row r="252" spans="1:14">
      <c r="A252" s="1" t="str">
        <f t="shared" si="334"/>
        <v>20171215</v>
      </c>
      <c r="B252" s="1" t="str">
        <f>"09:57:58"</f>
        <v>09:57:58</v>
      </c>
      <c r="C252" s="1" t="str">
        <f t="shared" si="349"/>
        <v>000759</v>
      </c>
      <c r="D252" s="1" t="str">
        <f t="shared" si="350"/>
        <v>中百集团</v>
      </c>
      <c r="E252" s="1" t="str">
        <f>"买入"</f>
        <v>买入</v>
      </c>
      <c r="F252" s="1" t="str">
        <f>"10.830"</f>
        <v>10.830</v>
      </c>
      <c r="G252" s="1" t="str">
        <f t="shared" si="348"/>
        <v>100.00</v>
      </c>
      <c r="H252" s="1" t="str">
        <f t="shared" si="353"/>
        <v>0104152129</v>
      </c>
      <c r="I252" s="1" t="str">
        <f>"1083.00"</f>
        <v>1083.00</v>
      </c>
      <c r="J252" s="1" t="str">
        <f t="shared" si="335"/>
        <v>5.00</v>
      </c>
      <c r="K252" s="1" t="str">
        <f>"0.00"</f>
        <v>0.00</v>
      </c>
      <c r="L252" s="1" t="str">
        <f t="shared" si="354"/>
        <v>0.02</v>
      </c>
      <c r="M252" s="1" t="str">
        <f t="shared" si="276"/>
        <v>0.00</v>
      </c>
      <c r="N252" s="1" t="str">
        <f>"证券买入"</f>
        <v>证券买入</v>
      </c>
    </row>
    <row r="253" spans="1:14">
      <c r="A253" s="1" t="str">
        <f t="shared" si="334"/>
        <v>20171215</v>
      </c>
      <c r="B253" s="1" t="str">
        <f>"10:01:13"</f>
        <v>10:01:13</v>
      </c>
      <c r="C253" s="1" t="str">
        <f t="shared" si="349"/>
        <v>000759</v>
      </c>
      <c r="D253" s="1" t="str">
        <f t="shared" si="350"/>
        <v>中百集团</v>
      </c>
      <c r="E253" s="1" t="str">
        <f t="shared" si="351"/>
        <v>卖出</v>
      </c>
      <c r="F253" s="1" t="str">
        <f>"11.090"</f>
        <v>11.090</v>
      </c>
      <c r="G253" s="1" t="str">
        <f t="shared" si="352"/>
        <v>-100.00</v>
      </c>
      <c r="H253" s="1" t="str">
        <f t="shared" si="353"/>
        <v>0104152129</v>
      </c>
      <c r="I253" s="1" t="str">
        <f>"1109.00"</f>
        <v>1109.00</v>
      </c>
      <c r="J253" s="1" t="str">
        <f t="shared" si="335"/>
        <v>5.00</v>
      </c>
      <c r="K253" s="1" t="str">
        <f>"1.11"</f>
        <v>1.11</v>
      </c>
      <c r="L253" s="1" t="str">
        <f t="shared" si="354"/>
        <v>0.02</v>
      </c>
      <c r="M253" s="1" t="str">
        <f t="shared" si="276"/>
        <v>0.00</v>
      </c>
      <c r="N253" s="1" t="str">
        <f t="shared" si="355"/>
        <v>证券卖出</v>
      </c>
    </row>
    <row r="254" spans="1:14">
      <c r="A254" s="1" t="str">
        <f t="shared" si="334"/>
        <v>20171215</v>
      </c>
      <c r="B254" s="1" t="str">
        <f>"10:04:53"</f>
        <v>10:04:53</v>
      </c>
      <c r="C254" s="1" t="str">
        <f>"300176"</f>
        <v>300176</v>
      </c>
      <c r="D254" s="1" t="str">
        <f>"鸿特精密"</f>
        <v>鸿特精密</v>
      </c>
      <c r="E254" s="1" t="str">
        <f t="shared" si="351"/>
        <v>卖出</v>
      </c>
      <c r="F254" s="1" t="str">
        <f>"129.360"</f>
        <v>129.360</v>
      </c>
      <c r="G254" s="1" t="str">
        <f t="shared" si="352"/>
        <v>-100.00</v>
      </c>
      <c r="H254" s="1" t="str">
        <f t="shared" si="353"/>
        <v>0104152129</v>
      </c>
      <c r="I254" s="1" t="str">
        <f>"12936.00"</f>
        <v>12936.00</v>
      </c>
      <c r="J254" s="1" t="str">
        <f t="shared" si="335"/>
        <v>5.00</v>
      </c>
      <c r="K254" s="1" t="str">
        <f>"12.94"</f>
        <v>12.94</v>
      </c>
      <c r="L254" s="1" t="str">
        <f>"0.26"</f>
        <v>0.26</v>
      </c>
      <c r="M254" s="1" t="str">
        <f t="shared" si="276"/>
        <v>0.00</v>
      </c>
      <c r="N254" s="1" t="str">
        <f t="shared" si="355"/>
        <v>证券卖出</v>
      </c>
    </row>
    <row r="255" spans="1:14">
      <c r="A255" s="1" t="str">
        <f t="shared" si="334"/>
        <v>20171215</v>
      </c>
      <c r="B255" s="1" t="str">
        <f>"10:12:15"</f>
        <v>10:12:15</v>
      </c>
      <c r="C255" s="1" t="str">
        <f>"300101"</f>
        <v>300101</v>
      </c>
      <c r="D255" s="1" t="str">
        <f>"振芯科技"</f>
        <v>振芯科技</v>
      </c>
      <c r="E255" s="1" t="str">
        <f t="shared" si="351"/>
        <v>卖出</v>
      </c>
      <c r="F255" s="1" t="str">
        <f>"15.840"</f>
        <v>15.840</v>
      </c>
      <c r="G255" s="1" t="str">
        <f t="shared" si="352"/>
        <v>-100.00</v>
      </c>
      <c r="H255" s="1" t="str">
        <f t="shared" si="353"/>
        <v>0104152129</v>
      </c>
      <c r="I255" s="1" t="str">
        <f>"1584.00"</f>
        <v>1584.00</v>
      </c>
      <c r="J255" s="1" t="str">
        <f t="shared" si="335"/>
        <v>5.00</v>
      </c>
      <c r="K255" s="1" t="str">
        <f>"1.58"</f>
        <v>1.58</v>
      </c>
      <c r="L255" s="1" t="str">
        <f>"0.03"</f>
        <v>0.03</v>
      </c>
      <c r="M255" s="1" t="str">
        <f t="shared" si="276"/>
        <v>0.00</v>
      </c>
      <c r="N255" s="1" t="str">
        <f t="shared" si="355"/>
        <v>证券卖出</v>
      </c>
    </row>
    <row r="256" spans="1:14">
      <c r="A256" s="1" t="str">
        <f t="shared" si="334"/>
        <v>20171215</v>
      </c>
      <c r="B256" s="1" t="str">
        <f>"10:15:22"</f>
        <v>10:15:22</v>
      </c>
      <c r="C256" s="1" t="str">
        <f>"002797"</f>
        <v>002797</v>
      </c>
      <c r="D256" s="1" t="str">
        <f>"第一创业"</f>
        <v>第一创业</v>
      </c>
      <c r="E256" s="1" t="str">
        <f t="shared" si="351"/>
        <v>卖出</v>
      </c>
      <c r="F256" s="1" t="str">
        <f>"9.530"</f>
        <v>9.530</v>
      </c>
      <c r="G256" s="1" t="str">
        <f>"-300.00"</f>
        <v>-300.00</v>
      </c>
      <c r="H256" s="1" t="str">
        <f t="shared" si="353"/>
        <v>0104152129</v>
      </c>
      <c r="I256" s="1" t="str">
        <f>"2859.00"</f>
        <v>2859.00</v>
      </c>
      <c r="J256" s="1" t="str">
        <f t="shared" si="335"/>
        <v>5.00</v>
      </c>
      <c r="K256" s="1" t="str">
        <f>"2.86"</f>
        <v>2.86</v>
      </c>
      <c r="L256" s="1" t="str">
        <f>"0.06"</f>
        <v>0.06</v>
      </c>
      <c r="M256" s="1" t="str">
        <f t="shared" si="276"/>
        <v>0.00</v>
      </c>
      <c r="N256" s="1" t="str">
        <f t="shared" si="355"/>
        <v>证券卖出</v>
      </c>
    </row>
    <row r="257" spans="1:14">
      <c r="A257" s="1" t="str">
        <f t="shared" si="334"/>
        <v>20171215</v>
      </c>
      <c r="B257" s="1" t="str">
        <f>"11:18:26"</f>
        <v>11:18:26</v>
      </c>
      <c r="C257" s="1" t="str">
        <f>"300223"</f>
        <v>300223</v>
      </c>
      <c r="D257" s="1" t="str">
        <f>"北京君正"</f>
        <v>北京君正</v>
      </c>
      <c r="E257" s="1" t="str">
        <f t="shared" si="351"/>
        <v>卖出</v>
      </c>
      <c r="F257" s="1" t="str">
        <f>"36.860"</f>
        <v>36.860</v>
      </c>
      <c r="G257" s="1" t="str">
        <f>"-100.00"</f>
        <v>-100.00</v>
      </c>
      <c r="H257" s="1" t="str">
        <f t="shared" si="353"/>
        <v>0104152129</v>
      </c>
      <c r="I257" s="1" t="str">
        <f>"3686.00"</f>
        <v>3686.00</v>
      </c>
      <c r="J257" s="1" t="str">
        <f t="shared" si="335"/>
        <v>5.00</v>
      </c>
      <c r="K257" s="1" t="str">
        <f>"3.69"</f>
        <v>3.69</v>
      </c>
      <c r="L257" s="1" t="str">
        <f>"0.07"</f>
        <v>0.07</v>
      </c>
      <c r="M257" s="1" t="str">
        <f t="shared" si="276"/>
        <v>0.00</v>
      </c>
      <c r="N257" s="1" t="str">
        <f t="shared" si="355"/>
        <v>证券卖出</v>
      </c>
    </row>
    <row r="258" spans="1:14">
      <c r="A258" s="1" t="str">
        <f t="shared" si="334"/>
        <v>20171215</v>
      </c>
      <c r="B258" s="1" t="str">
        <f>"22:43:12"</f>
        <v>22:43:12</v>
      </c>
      <c r="C258" s="1" t="str">
        <f>"002921"</f>
        <v>002921</v>
      </c>
      <c r="D258" s="1" t="str">
        <f>"联诚精密"</f>
        <v>联诚精密</v>
      </c>
      <c r="E258" s="1" t="str">
        <f t="shared" ref="E258:E260" si="356">"买入"</f>
        <v>买入</v>
      </c>
      <c r="F258" s="1" t="str">
        <f>"0.000"</f>
        <v>0.000</v>
      </c>
      <c r="G258" s="1" t="str">
        <f>"2.00"</f>
        <v>2.00</v>
      </c>
      <c r="H258" s="1" t="str">
        <f t="shared" si="353"/>
        <v>0104152129</v>
      </c>
      <c r="I258" s="1" t="str">
        <f t="shared" ref="I258:L258" si="357">"0.00"</f>
        <v>0.00</v>
      </c>
      <c r="J258" s="1" t="str">
        <f t="shared" si="357"/>
        <v>0.00</v>
      </c>
      <c r="K258" s="1" t="str">
        <f t="shared" si="357"/>
        <v>0.00</v>
      </c>
      <c r="L258" s="1" t="str">
        <f t="shared" si="357"/>
        <v>0.00</v>
      </c>
      <c r="M258" s="1" t="str">
        <f t="shared" si="276"/>
        <v>0.00</v>
      </c>
      <c r="N258" s="1" t="str">
        <f>"起始配号:20584409"</f>
        <v>起始配号:20584409</v>
      </c>
    </row>
    <row r="259" spans="1:14">
      <c r="A259" s="1" t="str">
        <f t="shared" ref="A259:A269" si="358">"20171218"</f>
        <v>20171218</v>
      </c>
      <c r="B259" s="1" t="str">
        <f>"09:30:00"</f>
        <v>09:30:00</v>
      </c>
      <c r="C259" s="1" t="str">
        <f>"603010"</f>
        <v>603010</v>
      </c>
      <c r="D259" s="1" t="str">
        <f>"万盛股份"</f>
        <v>万盛股份</v>
      </c>
      <c r="E259" s="1" t="str">
        <f t="shared" si="356"/>
        <v>买入</v>
      </c>
      <c r="F259" s="1" t="str">
        <f>"32.950"</f>
        <v>32.950</v>
      </c>
      <c r="G259" s="1" t="str">
        <f>"100.00"</f>
        <v>100.00</v>
      </c>
      <c r="H259" s="1" t="str">
        <f t="shared" ref="H259:H266" si="359">"A850418317"</f>
        <v>A850418317</v>
      </c>
      <c r="I259" s="1" t="str">
        <f>"3295.00"</f>
        <v>3295.00</v>
      </c>
      <c r="J259" s="1" t="str">
        <f t="shared" ref="J259:J276" si="360">"5.00"</f>
        <v>5.00</v>
      </c>
      <c r="K259" s="1" t="str">
        <f t="shared" ref="K259:K262" si="361">"0.00"</f>
        <v>0.00</v>
      </c>
      <c r="L259" s="1" t="str">
        <f>"0.07"</f>
        <v>0.07</v>
      </c>
      <c r="M259" s="1" t="str">
        <f t="shared" si="276"/>
        <v>0.00</v>
      </c>
      <c r="N259" s="1" t="str">
        <f t="shared" ref="N259:N262" si="362">"证券买入"</f>
        <v>证券买入</v>
      </c>
    </row>
    <row r="260" spans="1:14">
      <c r="A260" s="1" t="str">
        <f t="shared" si="358"/>
        <v>20171218</v>
      </c>
      <c r="B260" s="1" t="str">
        <f>"09:44:46"</f>
        <v>09:44:46</v>
      </c>
      <c r="C260" s="1" t="str">
        <f>"601933"</f>
        <v>601933</v>
      </c>
      <c r="D260" s="1" t="str">
        <f>"永辉超市"</f>
        <v>永辉超市</v>
      </c>
      <c r="E260" s="1" t="str">
        <f t="shared" si="356"/>
        <v>买入</v>
      </c>
      <c r="F260" s="1" t="str">
        <f>"10.750"</f>
        <v>10.750</v>
      </c>
      <c r="G260" s="1" t="str">
        <f>"100.00"</f>
        <v>100.00</v>
      </c>
      <c r="H260" s="1" t="str">
        <f t="shared" si="359"/>
        <v>A850418317</v>
      </c>
      <c r="I260" s="1" t="str">
        <f>"1075.00"</f>
        <v>1075.00</v>
      </c>
      <c r="J260" s="1" t="str">
        <f t="shared" si="360"/>
        <v>5.00</v>
      </c>
      <c r="K260" s="1" t="str">
        <f t="shared" si="361"/>
        <v>0.00</v>
      </c>
      <c r="L260" s="1" t="str">
        <f>"0.02"</f>
        <v>0.02</v>
      </c>
      <c r="M260" s="1" t="str">
        <f t="shared" ref="M260:M290" si="363">"0.00"</f>
        <v>0.00</v>
      </c>
      <c r="N260" s="1" t="str">
        <f t="shared" si="362"/>
        <v>证券买入</v>
      </c>
    </row>
    <row r="261" spans="1:14">
      <c r="A261" s="1" t="str">
        <f t="shared" si="358"/>
        <v>20171218</v>
      </c>
      <c r="B261" s="1" t="str">
        <f>"09:45:01"</f>
        <v>09:45:01</v>
      </c>
      <c r="C261" s="1" t="str">
        <f t="shared" ref="C261:C264" si="364">"600280"</f>
        <v>600280</v>
      </c>
      <c r="D261" s="1" t="str">
        <f t="shared" ref="D261:D264" si="365">"中央商场"</f>
        <v>中央商场</v>
      </c>
      <c r="E261" s="1" t="str">
        <f t="shared" ref="E261:E266" si="366">"卖出"</f>
        <v>卖出</v>
      </c>
      <c r="F261" s="1" t="str">
        <f>"9.160"</f>
        <v>9.160</v>
      </c>
      <c r="G261" s="1" t="str">
        <f>"-500.00"</f>
        <v>-500.00</v>
      </c>
      <c r="H261" s="1" t="str">
        <f t="shared" si="359"/>
        <v>A850418317</v>
      </c>
      <c r="I261" s="1" t="str">
        <f>"4580.00"</f>
        <v>4580.00</v>
      </c>
      <c r="J261" s="1" t="str">
        <f t="shared" si="360"/>
        <v>5.00</v>
      </c>
      <c r="K261" s="1" t="str">
        <f>"4.58"</f>
        <v>4.58</v>
      </c>
      <c r="L261" s="1" t="str">
        <f>"0.09"</f>
        <v>0.09</v>
      </c>
      <c r="M261" s="1" t="str">
        <f t="shared" si="363"/>
        <v>0.00</v>
      </c>
      <c r="N261" s="1" t="str">
        <f t="shared" ref="N261:N266" si="367">"证券卖出"</f>
        <v>证券卖出</v>
      </c>
    </row>
    <row r="262" spans="1:14">
      <c r="A262" s="1" t="str">
        <f t="shared" si="358"/>
        <v>20171218</v>
      </c>
      <c r="B262" s="1" t="str">
        <f>"09:45:29"</f>
        <v>09:45:29</v>
      </c>
      <c r="C262" s="1" t="str">
        <f>"601933"</f>
        <v>601933</v>
      </c>
      <c r="D262" s="1" t="str">
        <f>"永辉超市"</f>
        <v>永辉超市</v>
      </c>
      <c r="E262" s="1" t="str">
        <f>"买入"</f>
        <v>买入</v>
      </c>
      <c r="F262" s="1" t="str">
        <f>"10.760"</f>
        <v>10.760</v>
      </c>
      <c r="G262" s="1" t="str">
        <f>"500.00"</f>
        <v>500.00</v>
      </c>
      <c r="H262" s="1" t="str">
        <f t="shared" si="359"/>
        <v>A850418317</v>
      </c>
      <c r="I262" s="1" t="str">
        <f>"5380.00"</f>
        <v>5380.00</v>
      </c>
      <c r="J262" s="1" t="str">
        <f t="shared" si="360"/>
        <v>5.00</v>
      </c>
      <c r="K262" s="1" t="str">
        <f t="shared" si="361"/>
        <v>0.00</v>
      </c>
      <c r="L262" s="1" t="str">
        <f>"0.11"</f>
        <v>0.11</v>
      </c>
      <c r="M262" s="1" t="str">
        <f t="shared" si="363"/>
        <v>0.00</v>
      </c>
      <c r="N262" s="1" t="str">
        <f t="shared" si="362"/>
        <v>证券买入</v>
      </c>
    </row>
    <row r="263" spans="1:14">
      <c r="A263" s="1" t="str">
        <f t="shared" si="358"/>
        <v>20171218</v>
      </c>
      <c r="B263" s="1" t="str">
        <f>"09:46:36"</f>
        <v>09:46:36</v>
      </c>
      <c r="C263" s="1" t="str">
        <f t="shared" si="364"/>
        <v>600280</v>
      </c>
      <c r="D263" s="1" t="str">
        <f t="shared" si="365"/>
        <v>中央商场</v>
      </c>
      <c r="E263" s="1" t="str">
        <f t="shared" si="366"/>
        <v>卖出</v>
      </c>
      <c r="F263" s="1" t="str">
        <f>"9.120"</f>
        <v>9.120</v>
      </c>
      <c r="G263" s="1" t="str">
        <f>"-300.00"</f>
        <v>-300.00</v>
      </c>
      <c r="H263" s="1" t="str">
        <f t="shared" si="359"/>
        <v>A850418317</v>
      </c>
      <c r="I263" s="1" t="str">
        <f>"2736.00"</f>
        <v>2736.00</v>
      </c>
      <c r="J263" s="1" t="str">
        <f t="shared" si="360"/>
        <v>5.00</v>
      </c>
      <c r="K263" s="1" t="str">
        <f>"2.74"</f>
        <v>2.74</v>
      </c>
      <c r="L263" s="1" t="str">
        <f>"0.05"</f>
        <v>0.05</v>
      </c>
      <c r="M263" s="1" t="str">
        <f t="shared" si="363"/>
        <v>0.00</v>
      </c>
      <c r="N263" s="1" t="str">
        <f t="shared" si="367"/>
        <v>证券卖出</v>
      </c>
    </row>
    <row r="264" spans="1:14">
      <c r="A264" s="1" t="str">
        <f t="shared" si="358"/>
        <v>20171218</v>
      </c>
      <c r="B264" s="1" t="str">
        <f>"13:30:26"</f>
        <v>13:30:26</v>
      </c>
      <c r="C264" s="1" t="str">
        <f t="shared" si="364"/>
        <v>600280</v>
      </c>
      <c r="D264" s="1" t="str">
        <f t="shared" si="365"/>
        <v>中央商场</v>
      </c>
      <c r="E264" s="1" t="str">
        <f t="shared" si="366"/>
        <v>卖出</v>
      </c>
      <c r="F264" s="1" t="str">
        <f>"8.740"</f>
        <v>8.740</v>
      </c>
      <c r="G264" s="1" t="str">
        <f>"-500.00"</f>
        <v>-500.00</v>
      </c>
      <c r="H264" s="1" t="str">
        <f t="shared" si="359"/>
        <v>A850418317</v>
      </c>
      <c r="I264" s="1" t="str">
        <f>"4370.00"</f>
        <v>4370.00</v>
      </c>
      <c r="J264" s="1" t="str">
        <f t="shared" si="360"/>
        <v>5.00</v>
      </c>
      <c r="K264" s="1" t="str">
        <f>"4.37"</f>
        <v>4.37</v>
      </c>
      <c r="L264" s="1" t="str">
        <f>"0.09"</f>
        <v>0.09</v>
      </c>
      <c r="M264" s="1" t="str">
        <f t="shared" si="363"/>
        <v>0.00</v>
      </c>
      <c r="N264" s="1" t="str">
        <f t="shared" si="367"/>
        <v>证券卖出</v>
      </c>
    </row>
    <row r="265" spans="1:14">
      <c r="A265" s="1" t="str">
        <f t="shared" si="358"/>
        <v>20171218</v>
      </c>
      <c r="B265" s="1" t="str">
        <f>"13:32:00"</f>
        <v>13:32:00</v>
      </c>
      <c r="C265" s="1" t="str">
        <f>"600171"</f>
        <v>600171</v>
      </c>
      <c r="D265" s="1" t="str">
        <f>"上海贝岭"</f>
        <v>上海贝岭</v>
      </c>
      <c r="E265" s="1" t="str">
        <f t="shared" si="366"/>
        <v>卖出</v>
      </c>
      <c r="F265" s="1" t="str">
        <f>"17.670"</f>
        <v>17.670</v>
      </c>
      <c r="G265" s="1" t="str">
        <f>"-200.00"</f>
        <v>-200.00</v>
      </c>
      <c r="H265" s="1" t="str">
        <f t="shared" si="359"/>
        <v>A850418317</v>
      </c>
      <c r="I265" s="1" t="str">
        <f>"3534.00"</f>
        <v>3534.00</v>
      </c>
      <c r="J265" s="1" t="str">
        <f t="shared" si="360"/>
        <v>5.00</v>
      </c>
      <c r="K265" s="1" t="str">
        <f>"3.53"</f>
        <v>3.53</v>
      </c>
      <c r="L265" s="1" t="str">
        <f>"0.07"</f>
        <v>0.07</v>
      </c>
      <c r="M265" s="1" t="str">
        <f t="shared" si="363"/>
        <v>0.00</v>
      </c>
      <c r="N265" s="1" t="str">
        <f t="shared" si="367"/>
        <v>证券卖出</v>
      </c>
    </row>
    <row r="266" spans="1:14">
      <c r="A266" s="1" t="str">
        <f t="shared" si="358"/>
        <v>20171218</v>
      </c>
      <c r="B266" s="1" t="str">
        <f>"13:32:28"</f>
        <v>13:32:28</v>
      </c>
      <c r="C266" s="1" t="str">
        <f>"600171"</f>
        <v>600171</v>
      </c>
      <c r="D266" s="1" t="str">
        <f>"上海贝岭"</f>
        <v>上海贝岭</v>
      </c>
      <c r="E266" s="1" t="str">
        <f t="shared" si="366"/>
        <v>卖出</v>
      </c>
      <c r="F266" s="1" t="str">
        <f>"17.640"</f>
        <v>17.640</v>
      </c>
      <c r="G266" s="1" t="str">
        <f t="shared" ref="G266:G270" si="368">"-100.00"</f>
        <v>-100.00</v>
      </c>
      <c r="H266" s="1" t="str">
        <f t="shared" si="359"/>
        <v>A850418317</v>
      </c>
      <c r="I266" s="1" t="str">
        <f>"1764.00"</f>
        <v>1764.00</v>
      </c>
      <c r="J266" s="1" t="str">
        <f t="shared" si="360"/>
        <v>5.00</v>
      </c>
      <c r="K266" s="1" t="str">
        <f>"1.76"</f>
        <v>1.76</v>
      </c>
      <c r="L266" s="1" t="str">
        <f>"0.04"</f>
        <v>0.04</v>
      </c>
      <c r="M266" s="1" t="str">
        <f t="shared" si="363"/>
        <v>0.00</v>
      </c>
      <c r="N266" s="1" t="str">
        <f t="shared" si="367"/>
        <v>证券卖出</v>
      </c>
    </row>
    <row r="267" spans="1:14">
      <c r="A267" s="1" t="str">
        <f t="shared" si="358"/>
        <v>20171218</v>
      </c>
      <c r="B267" s="1" t="str">
        <f>"09:31:34"</f>
        <v>09:31:34</v>
      </c>
      <c r="C267" s="1" t="str">
        <f>"002264"</f>
        <v>002264</v>
      </c>
      <c r="D267" s="1" t="str">
        <f>"新 华 都"</f>
        <v>新 华 都</v>
      </c>
      <c r="E267" s="1" t="str">
        <f>"买入"</f>
        <v>买入</v>
      </c>
      <c r="F267" s="1" t="str">
        <f>"12.780"</f>
        <v>12.780</v>
      </c>
      <c r="G267" s="1" t="str">
        <f>"300.00"</f>
        <v>300.00</v>
      </c>
      <c r="H267" s="1" t="str">
        <f t="shared" ref="H267:H269" si="369">"0104152129"</f>
        <v>0104152129</v>
      </c>
      <c r="I267" s="1" t="str">
        <f>"3834.00"</f>
        <v>3834.00</v>
      </c>
      <c r="J267" s="1" t="str">
        <f t="shared" si="360"/>
        <v>5.00</v>
      </c>
      <c r="K267" s="1" t="str">
        <f>"0.00"</f>
        <v>0.00</v>
      </c>
      <c r="L267" s="1" t="str">
        <f>"0.08"</f>
        <v>0.08</v>
      </c>
      <c r="M267" s="1" t="str">
        <f t="shared" si="363"/>
        <v>0.00</v>
      </c>
      <c r="N267" s="1" t="str">
        <f>"证券买入"</f>
        <v>证券买入</v>
      </c>
    </row>
    <row r="268" spans="1:14">
      <c r="A268" s="1" t="str">
        <f t="shared" si="358"/>
        <v>20171218</v>
      </c>
      <c r="B268" s="1" t="str">
        <f>"09:43:52"</f>
        <v>09:43:52</v>
      </c>
      <c r="C268" s="1" t="str">
        <f>"000759"</f>
        <v>000759</v>
      </c>
      <c r="D268" s="1" t="str">
        <f>"中百集团"</f>
        <v>中百集团</v>
      </c>
      <c r="E268" s="1" t="str">
        <f t="shared" ref="E268:E276" si="370">"卖出"</f>
        <v>卖出</v>
      </c>
      <c r="F268" s="1" t="str">
        <f>"10.550"</f>
        <v>10.550</v>
      </c>
      <c r="G268" s="1" t="str">
        <f t="shared" si="368"/>
        <v>-100.00</v>
      </c>
      <c r="H268" s="1" t="str">
        <f t="shared" si="369"/>
        <v>0104152129</v>
      </c>
      <c r="I268" s="1" t="str">
        <f>"1055.00"</f>
        <v>1055.00</v>
      </c>
      <c r="J268" s="1" t="str">
        <f t="shared" si="360"/>
        <v>5.00</v>
      </c>
      <c r="K268" s="1" t="str">
        <f>"1.06"</f>
        <v>1.06</v>
      </c>
      <c r="L268" s="1" t="str">
        <f t="shared" ref="L268:L272" si="371">"0.02"</f>
        <v>0.02</v>
      </c>
      <c r="M268" s="1" t="str">
        <f t="shared" si="363"/>
        <v>0.00</v>
      </c>
      <c r="N268" s="1" t="str">
        <f t="shared" ref="N268:N276" si="372">"证券卖出"</f>
        <v>证券卖出</v>
      </c>
    </row>
    <row r="269" spans="1:14">
      <c r="A269" s="1" t="str">
        <f t="shared" si="358"/>
        <v>20171218</v>
      </c>
      <c r="B269" s="1" t="str">
        <f>"10:02:41"</f>
        <v>10:02:41</v>
      </c>
      <c r="C269" s="1" t="str">
        <f>"000759"</f>
        <v>000759</v>
      </c>
      <c r="D269" s="1" t="str">
        <f>"中百集团"</f>
        <v>中百集团</v>
      </c>
      <c r="E269" s="1" t="str">
        <f t="shared" si="370"/>
        <v>卖出</v>
      </c>
      <c r="F269" s="1" t="str">
        <f>"10.560"</f>
        <v>10.560</v>
      </c>
      <c r="G269" s="1" t="str">
        <f t="shared" si="368"/>
        <v>-100.00</v>
      </c>
      <c r="H269" s="1" t="str">
        <f t="shared" si="369"/>
        <v>0104152129</v>
      </c>
      <c r="I269" s="1" t="str">
        <f>"1056.00"</f>
        <v>1056.00</v>
      </c>
      <c r="J269" s="1" t="str">
        <f t="shared" si="360"/>
        <v>5.00</v>
      </c>
      <c r="K269" s="1" t="str">
        <f>"1.06"</f>
        <v>1.06</v>
      </c>
      <c r="L269" s="1" t="str">
        <f t="shared" si="371"/>
        <v>0.02</v>
      </c>
      <c r="M269" s="1" t="str">
        <f t="shared" si="363"/>
        <v>0.00</v>
      </c>
      <c r="N269" s="1" t="str">
        <f t="shared" si="372"/>
        <v>证券卖出</v>
      </c>
    </row>
    <row r="270" spans="1:14">
      <c r="A270" s="1" t="str">
        <f t="shared" ref="A270:A277" si="373">"20171219"</f>
        <v>20171219</v>
      </c>
      <c r="B270" s="1" t="str">
        <f>"09:25:02"</f>
        <v>09:25:02</v>
      </c>
      <c r="C270" s="1" t="str">
        <f>"603010"</f>
        <v>603010</v>
      </c>
      <c r="D270" s="1" t="str">
        <f>"万盛股份"</f>
        <v>万盛股份</v>
      </c>
      <c r="E270" s="1" t="str">
        <f t="shared" si="370"/>
        <v>卖出</v>
      </c>
      <c r="F270" s="1" t="str">
        <f>"31.220"</f>
        <v>31.220</v>
      </c>
      <c r="G270" s="1" t="str">
        <f t="shared" si="368"/>
        <v>-100.00</v>
      </c>
      <c r="H270" s="1" t="str">
        <f t="shared" ref="H270:H275" si="374">"A850418317"</f>
        <v>A850418317</v>
      </c>
      <c r="I270" s="1" t="str">
        <f>"3122.00"</f>
        <v>3122.00</v>
      </c>
      <c r="J270" s="1" t="str">
        <f t="shared" si="360"/>
        <v>5.00</v>
      </c>
      <c r="K270" s="1" t="str">
        <f>"3.12"</f>
        <v>3.12</v>
      </c>
      <c r="L270" s="1" t="str">
        <f>"0.06"</f>
        <v>0.06</v>
      </c>
      <c r="M270" s="1" t="str">
        <f t="shared" si="363"/>
        <v>0.00</v>
      </c>
      <c r="N270" s="1" t="str">
        <f t="shared" si="372"/>
        <v>证券卖出</v>
      </c>
    </row>
    <row r="271" spans="1:14">
      <c r="A271" s="1" t="str">
        <f t="shared" si="373"/>
        <v>20171219</v>
      </c>
      <c r="B271" s="1" t="str">
        <f>"09:30:00"</f>
        <v>09:30:00</v>
      </c>
      <c r="C271" s="1" t="str">
        <f>"600280"</f>
        <v>600280</v>
      </c>
      <c r="D271" s="1" t="str">
        <f>"中央商场"</f>
        <v>中央商场</v>
      </c>
      <c r="E271" s="1" t="str">
        <f t="shared" si="370"/>
        <v>卖出</v>
      </c>
      <c r="F271" s="1" t="str">
        <f>"8.480"</f>
        <v>8.480</v>
      </c>
      <c r="G271" s="1" t="str">
        <f t="shared" ref="G271:G275" si="375">"-200.00"</f>
        <v>-200.00</v>
      </c>
      <c r="H271" s="1" t="str">
        <f t="shared" si="374"/>
        <v>A850418317</v>
      </c>
      <c r="I271" s="1" t="str">
        <f>"1696.00"</f>
        <v>1696.00</v>
      </c>
      <c r="J271" s="1" t="str">
        <f t="shared" si="360"/>
        <v>5.00</v>
      </c>
      <c r="K271" s="1" t="str">
        <f>"1.70"</f>
        <v>1.70</v>
      </c>
      <c r="L271" s="1" t="str">
        <f>"0.03"</f>
        <v>0.03</v>
      </c>
      <c r="M271" s="1" t="str">
        <f t="shared" si="363"/>
        <v>0.00</v>
      </c>
      <c r="N271" s="1" t="str">
        <f t="shared" si="372"/>
        <v>证券卖出</v>
      </c>
    </row>
    <row r="272" spans="1:14">
      <c r="A272" s="1" t="str">
        <f t="shared" si="373"/>
        <v>20171219</v>
      </c>
      <c r="B272" s="1" t="str">
        <f>"10:07:50"</f>
        <v>10:07:50</v>
      </c>
      <c r="C272" s="1" t="str">
        <f t="shared" ref="C272:C275" si="376">"601933"</f>
        <v>601933</v>
      </c>
      <c r="D272" s="1" t="str">
        <f t="shared" ref="D272:D275" si="377">"永辉超市"</f>
        <v>永辉超市</v>
      </c>
      <c r="E272" s="1" t="str">
        <f t="shared" si="370"/>
        <v>卖出</v>
      </c>
      <c r="F272" s="1" t="str">
        <f>"10.320"</f>
        <v>10.320</v>
      </c>
      <c r="G272" s="1" t="str">
        <f>"-100.00"</f>
        <v>-100.00</v>
      </c>
      <c r="H272" s="1" t="str">
        <f t="shared" si="374"/>
        <v>A850418317</v>
      </c>
      <c r="I272" s="1" t="str">
        <f>"1032.00"</f>
        <v>1032.00</v>
      </c>
      <c r="J272" s="1" t="str">
        <f t="shared" si="360"/>
        <v>5.00</v>
      </c>
      <c r="K272" s="1" t="str">
        <f>"1.03"</f>
        <v>1.03</v>
      </c>
      <c r="L272" s="1" t="str">
        <f t="shared" si="371"/>
        <v>0.02</v>
      </c>
      <c r="M272" s="1" t="str">
        <f t="shared" si="363"/>
        <v>0.00</v>
      </c>
      <c r="N272" s="1" t="str">
        <f t="shared" si="372"/>
        <v>证券卖出</v>
      </c>
    </row>
    <row r="273" spans="1:14">
      <c r="A273" s="1" t="str">
        <f t="shared" si="373"/>
        <v>20171219</v>
      </c>
      <c r="B273" s="1" t="str">
        <f>"10:08:09"</f>
        <v>10:08:09</v>
      </c>
      <c r="C273" s="1" t="str">
        <f t="shared" si="376"/>
        <v>601933</v>
      </c>
      <c r="D273" s="1" t="str">
        <f t="shared" si="377"/>
        <v>永辉超市</v>
      </c>
      <c r="E273" s="1" t="str">
        <f t="shared" si="370"/>
        <v>卖出</v>
      </c>
      <c r="F273" s="1" t="str">
        <f>"10.320"</f>
        <v>10.320</v>
      </c>
      <c r="G273" s="1" t="str">
        <f t="shared" si="375"/>
        <v>-200.00</v>
      </c>
      <c r="H273" s="1" t="str">
        <f t="shared" si="374"/>
        <v>A850418317</v>
      </c>
      <c r="I273" s="1" t="str">
        <f>"2064.00"</f>
        <v>2064.00</v>
      </c>
      <c r="J273" s="1" t="str">
        <f t="shared" si="360"/>
        <v>5.00</v>
      </c>
      <c r="K273" s="1" t="str">
        <f>"2.06"</f>
        <v>2.06</v>
      </c>
      <c r="L273" s="1" t="str">
        <f t="shared" ref="L273:L279" si="378">"0.04"</f>
        <v>0.04</v>
      </c>
      <c r="M273" s="1" t="str">
        <f t="shared" si="363"/>
        <v>0.00</v>
      </c>
      <c r="N273" s="1" t="str">
        <f t="shared" si="372"/>
        <v>证券卖出</v>
      </c>
    </row>
    <row r="274" spans="1:14">
      <c r="A274" s="1" t="str">
        <f t="shared" si="373"/>
        <v>20171219</v>
      </c>
      <c r="B274" s="1" t="str">
        <f>"10:09:24"</f>
        <v>10:09:24</v>
      </c>
      <c r="C274" s="1" t="str">
        <f t="shared" si="376"/>
        <v>601933</v>
      </c>
      <c r="D274" s="1" t="str">
        <f t="shared" si="377"/>
        <v>永辉超市</v>
      </c>
      <c r="E274" s="1" t="str">
        <f t="shared" si="370"/>
        <v>卖出</v>
      </c>
      <c r="F274" s="1" t="str">
        <f>"10.310"</f>
        <v>10.310</v>
      </c>
      <c r="G274" s="1" t="str">
        <f>"-100.00"</f>
        <v>-100.00</v>
      </c>
      <c r="H274" s="1" t="str">
        <f t="shared" si="374"/>
        <v>A850418317</v>
      </c>
      <c r="I274" s="1" t="str">
        <f>"1031.00"</f>
        <v>1031.00</v>
      </c>
      <c r="J274" s="1" t="str">
        <f t="shared" si="360"/>
        <v>5.00</v>
      </c>
      <c r="K274" s="1" t="str">
        <f>"1.03"</f>
        <v>1.03</v>
      </c>
      <c r="L274" s="1" t="str">
        <f>"0.02"</f>
        <v>0.02</v>
      </c>
      <c r="M274" s="1" t="str">
        <f t="shared" si="363"/>
        <v>0.00</v>
      </c>
      <c r="N274" s="1" t="str">
        <f t="shared" si="372"/>
        <v>证券卖出</v>
      </c>
    </row>
    <row r="275" spans="1:14">
      <c r="A275" s="1" t="str">
        <f t="shared" si="373"/>
        <v>20171219</v>
      </c>
      <c r="B275" s="1" t="str">
        <f>"10:55:08"</f>
        <v>10:55:08</v>
      </c>
      <c r="C275" s="1" t="str">
        <f t="shared" si="376"/>
        <v>601933</v>
      </c>
      <c r="D275" s="1" t="str">
        <f t="shared" si="377"/>
        <v>永辉超市</v>
      </c>
      <c r="E275" s="1" t="str">
        <f t="shared" si="370"/>
        <v>卖出</v>
      </c>
      <c r="F275" s="1" t="str">
        <f>"10.250"</f>
        <v>10.250</v>
      </c>
      <c r="G275" s="1" t="str">
        <f t="shared" si="375"/>
        <v>-200.00</v>
      </c>
      <c r="H275" s="1" t="str">
        <f t="shared" si="374"/>
        <v>A850418317</v>
      </c>
      <c r="I275" s="1" t="str">
        <f>"2050.00"</f>
        <v>2050.00</v>
      </c>
      <c r="J275" s="1" t="str">
        <f t="shared" si="360"/>
        <v>5.00</v>
      </c>
      <c r="K275" s="1" t="str">
        <f>"2.05"</f>
        <v>2.05</v>
      </c>
      <c r="L275" s="1" t="str">
        <f t="shared" si="378"/>
        <v>0.04</v>
      </c>
      <c r="M275" s="1" t="str">
        <f t="shared" si="363"/>
        <v>0.00</v>
      </c>
      <c r="N275" s="1" t="str">
        <f t="shared" si="372"/>
        <v>证券卖出</v>
      </c>
    </row>
    <row r="276" spans="1:14">
      <c r="A276" s="1" t="str">
        <f t="shared" si="373"/>
        <v>20171219</v>
      </c>
      <c r="B276" s="1" t="str">
        <f>"09:30:01"</f>
        <v>09:30:01</v>
      </c>
      <c r="C276" s="1" t="str">
        <f>"002264"</f>
        <v>002264</v>
      </c>
      <c r="D276" s="1" t="str">
        <f>"新 华 都"</f>
        <v>新 华 都</v>
      </c>
      <c r="E276" s="1" t="str">
        <f t="shared" si="370"/>
        <v>卖出</v>
      </c>
      <c r="F276" s="1" t="str">
        <f>"11.250"</f>
        <v>11.250</v>
      </c>
      <c r="G276" s="1" t="str">
        <f>"-300.00"</f>
        <v>-300.00</v>
      </c>
      <c r="H276" s="1" t="str">
        <f>"0104152129"</f>
        <v>0104152129</v>
      </c>
      <c r="I276" s="1" t="str">
        <f>"3375.00"</f>
        <v>3375.00</v>
      </c>
      <c r="J276" s="1" t="str">
        <f t="shared" si="360"/>
        <v>5.00</v>
      </c>
      <c r="K276" s="1" t="str">
        <f>"3.38"</f>
        <v>3.38</v>
      </c>
      <c r="L276" s="1" t="str">
        <f>"0.07"</f>
        <v>0.07</v>
      </c>
      <c r="M276" s="1" t="str">
        <f t="shared" si="363"/>
        <v>0.00</v>
      </c>
      <c r="N276" s="1" t="str">
        <f t="shared" si="372"/>
        <v>证券卖出</v>
      </c>
    </row>
    <row r="277" spans="1:14">
      <c r="A277" s="1" t="str">
        <f t="shared" si="373"/>
        <v>20171219</v>
      </c>
      <c r="B277" s="1" t="str">
        <f>"21:47:05"</f>
        <v>21:47:05</v>
      </c>
      <c r="C277" s="1" t="str">
        <f>"300735"</f>
        <v>300735</v>
      </c>
      <c r="D277" s="1" t="str">
        <f>"光弘科技"</f>
        <v>光弘科技</v>
      </c>
      <c r="E277" s="1" t="str">
        <f t="shared" ref="E277:E284" si="379">"买入"</f>
        <v>买入</v>
      </c>
      <c r="F277" s="1" t="str">
        <f>"0.000"</f>
        <v>0.000</v>
      </c>
      <c r="G277" s="1" t="str">
        <f>"2.00"</f>
        <v>2.00</v>
      </c>
      <c r="H277" s="1" t="str">
        <f>"0104152129"</f>
        <v>0104152129</v>
      </c>
      <c r="I277" s="1" t="str">
        <f t="shared" ref="I277:L277" si="380">"0.00"</f>
        <v>0.00</v>
      </c>
      <c r="J277" s="1" t="str">
        <f t="shared" si="380"/>
        <v>0.00</v>
      </c>
      <c r="K277" s="1" t="str">
        <f t="shared" si="380"/>
        <v>0.00</v>
      </c>
      <c r="L277" s="1" t="str">
        <f t="shared" si="380"/>
        <v>0.00</v>
      </c>
      <c r="M277" s="1" t="str">
        <f t="shared" si="363"/>
        <v>0.00</v>
      </c>
      <c r="N277" s="1" t="str">
        <f>"起始配号:23187531"</f>
        <v>起始配号:23187531</v>
      </c>
    </row>
    <row r="278" spans="1:14">
      <c r="A278" s="1" t="str">
        <f t="shared" ref="A278:A284" si="381">"20171220"</f>
        <v>20171220</v>
      </c>
      <c r="B278" s="1" t="str">
        <f>"09:45:43"</f>
        <v>09:45:43</v>
      </c>
      <c r="C278" s="1" t="str">
        <f>"601933"</f>
        <v>601933</v>
      </c>
      <c r="D278" s="1" t="str">
        <f>"永辉超市"</f>
        <v>永辉超市</v>
      </c>
      <c r="E278" s="1" t="str">
        <f t="shared" si="379"/>
        <v>买入</v>
      </c>
      <c r="F278" s="1" t="str">
        <f>"10.630"</f>
        <v>10.630</v>
      </c>
      <c r="G278" s="1" t="str">
        <f t="shared" ref="G278:G280" si="382">"200.00"</f>
        <v>200.00</v>
      </c>
      <c r="H278" s="1" t="str">
        <f t="shared" ref="H278:H282" si="383">"A850418317"</f>
        <v>A850418317</v>
      </c>
      <c r="I278" s="1" t="str">
        <f>"2126.00"</f>
        <v>2126.00</v>
      </c>
      <c r="J278" s="1" t="str">
        <f t="shared" ref="J278:J283" si="384">"5.00"</f>
        <v>5.00</v>
      </c>
      <c r="K278" s="1" t="str">
        <f t="shared" ref="K278:K284" si="385">"0.00"</f>
        <v>0.00</v>
      </c>
      <c r="L278" s="1" t="str">
        <f t="shared" si="378"/>
        <v>0.04</v>
      </c>
      <c r="M278" s="1" t="str">
        <f t="shared" si="363"/>
        <v>0.00</v>
      </c>
      <c r="N278" s="1" t="str">
        <f t="shared" ref="N278:N283" si="386">"证券买入"</f>
        <v>证券买入</v>
      </c>
    </row>
    <row r="279" spans="1:14">
      <c r="A279" s="1" t="str">
        <f t="shared" si="381"/>
        <v>20171220</v>
      </c>
      <c r="B279" s="1" t="str">
        <f>"09:45:48"</f>
        <v>09:45:48</v>
      </c>
      <c r="C279" s="1" t="str">
        <f>"601933"</f>
        <v>601933</v>
      </c>
      <c r="D279" s="1" t="str">
        <f>"永辉超市"</f>
        <v>永辉超市</v>
      </c>
      <c r="E279" s="1" t="str">
        <f t="shared" si="379"/>
        <v>买入</v>
      </c>
      <c r="F279" s="1" t="str">
        <f>"10.640"</f>
        <v>10.640</v>
      </c>
      <c r="G279" s="1" t="str">
        <f t="shared" si="382"/>
        <v>200.00</v>
      </c>
      <c r="H279" s="1" t="str">
        <f t="shared" si="383"/>
        <v>A850418317</v>
      </c>
      <c r="I279" s="1" t="str">
        <f>"2128.00"</f>
        <v>2128.00</v>
      </c>
      <c r="J279" s="1" t="str">
        <f t="shared" si="384"/>
        <v>5.00</v>
      </c>
      <c r="K279" s="1" t="str">
        <f t="shared" si="385"/>
        <v>0.00</v>
      </c>
      <c r="L279" s="1" t="str">
        <f t="shared" si="378"/>
        <v>0.04</v>
      </c>
      <c r="M279" s="1" t="str">
        <f t="shared" si="363"/>
        <v>0.00</v>
      </c>
      <c r="N279" s="1" t="str">
        <f t="shared" si="386"/>
        <v>证券买入</v>
      </c>
    </row>
    <row r="280" spans="1:14">
      <c r="A280" s="1" t="str">
        <f t="shared" si="381"/>
        <v>20171220</v>
      </c>
      <c r="B280" s="1" t="str">
        <f>"09:56:39"</f>
        <v>09:56:39</v>
      </c>
      <c r="C280" s="1" t="str">
        <f>"600835"</f>
        <v>600835</v>
      </c>
      <c r="D280" s="1" t="str">
        <f>"上海机电"</f>
        <v>上海机电</v>
      </c>
      <c r="E280" s="1" t="str">
        <f t="shared" si="379"/>
        <v>买入</v>
      </c>
      <c r="F280" s="1" t="str">
        <f>"27.090"</f>
        <v>27.090</v>
      </c>
      <c r="G280" s="1" t="str">
        <f t="shared" si="382"/>
        <v>200.00</v>
      </c>
      <c r="H280" s="1" t="str">
        <f t="shared" si="383"/>
        <v>A850418317</v>
      </c>
      <c r="I280" s="1" t="str">
        <f>"5418.00"</f>
        <v>5418.00</v>
      </c>
      <c r="J280" s="1" t="str">
        <f t="shared" si="384"/>
        <v>5.00</v>
      </c>
      <c r="K280" s="1" t="str">
        <f t="shared" si="385"/>
        <v>0.00</v>
      </c>
      <c r="L280" s="1" t="str">
        <f>"0.11"</f>
        <v>0.11</v>
      </c>
      <c r="M280" s="1" t="str">
        <f t="shared" si="363"/>
        <v>0.00</v>
      </c>
      <c r="N280" s="1" t="str">
        <f t="shared" si="386"/>
        <v>证券买入</v>
      </c>
    </row>
    <row r="281" spans="1:14">
      <c r="A281" s="1" t="str">
        <f t="shared" si="381"/>
        <v>20171220</v>
      </c>
      <c r="B281" s="1" t="str">
        <f>"10:05:01"</f>
        <v>10:05:01</v>
      </c>
      <c r="C281" s="1" t="str">
        <f>"601318"</f>
        <v>601318</v>
      </c>
      <c r="D281" s="1" t="str">
        <f>"中国平安"</f>
        <v>中国平安</v>
      </c>
      <c r="E281" s="1" t="str">
        <f t="shared" si="379"/>
        <v>买入</v>
      </c>
      <c r="F281" s="1" t="str">
        <f>"73.810"</f>
        <v>73.810</v>
      </c>
      <c r="G281" s="1" t="str">
        <f>"100.00"</f>
        <v>100.00</v>
      </c>
      <c r="H281" s="1" t="str">
        <f t="shared" si="383"/>
        <v>A850418317</v>
      </c>
      <c r="I281" s="1" t="str">
        <f>"7381.00"</f>
        <v>7381.00</v>
      </c>
      <c r="J281" s="1" t="str">
        <f t="shared" si="384"/>
        <v>5.00</v>
      </c>
      <c r="K281" s="1" t="str">
        <f t="shared" si="385"/>
        <v>0.00</v>
      </c>
      <c r="L281" s="1" t="str">
        <f>"0.15"</f>
        <v>0.15</v>
      </c>
      <c r="M281" s="1" t="str">
        <f t="shared" si="363"/>
        <v>0.00</v>
      </c>
      <c r="N281" s="1" t="str">
        <f t="shared" si="386"/>
        <v>证券买入</v>
      </c>
    </row>
    <row r="282" spans="1:14">
      <c r="A282" s="1" t="str">
        <f t="shared" si="381"/>
        <v>20171220</v>
      </c>
      <c r="B282" s="1" t="str">
        <f>"14:50:26"</f>
        <v>14:50:26</v>
      </c>
      <c r="C282" s="1" t="str">
        <f>"600198"</f>
        <v>600198</v>
      </c>
      <c r="D282" s="1" t="str">
        <f>"大唐电信"</f>
        <v>大唐电信</v>
      </c>
      <c r="E282" s="1" t="str">
        <f t="shared" si="379"/>
        <v>买入</v>
      </c>
      <c r="F282" s="1" t="str">
        <f>"11.840"</f>
        <v>11.840</v>
      </c>
      <c r="G282" s="1" t="str">
        <f>"200.00"</f>
        <v>200.00</v>
      </c>
      <c r="H282" s="1" t="str">
        <f t="shared" si="383"/>
        <v>A850418317</v>
      </c>
      <c r="I282" s="1" t="str">
        <f>"2368.00"</f>
        <v>2368.00</v>
      </c>
      <c r="J282" s="1" t="str">
        <f t="shared" si="384"/>
        <v>5.00</v>
      </c>
      <c r="K282" s="1" t="str">
        <f t="shared" si="385"/>
        <v>0.00</v>
      </c>
      <c r="L282" s="1" t="str">
        <f>"0.05"</f>
        <v>0.05</v>
      </c>
      <c r="M282" s="1" t="str">
        <f t="shared" si="363"/>
        <v>0.00</v>
      </c>
      <c r="N282" s="1" t="str">
        <f t="shared" si="386"/>
        <v>证券买入</v>
      </c>
    </row>
    <row r="283" spans="1:14">
      <c r="A283" s="1" t="str">
        <f t="shared" si="381"/>
        <v>20171220</v>
      </c>
      <c r="B283" s="1" t="str">
        <f>"10:05:55"</f>
        <v>10:05:55</v>
      </c>
      <c r="C283" s="1" t="str">
        <f>"000858"</f>
        <v>000858</v>
      </c>
      <c r="D283" s="1" t="str">
        <f>"五 粮 液"</f>
        <v>五 粮 液</v>
      </c>
      <c r="E283" s="1" t="str">
        <f t="shared" si="379"/>
        <v>买入</v>
      </c>
      <c r="F283" s="1" t="str">
        <f>"80.600"</f>
        <v>80.600</v>
      </c>
      <c r="G283" s="1" t="str">
        <f>"100.00"</f>
        <v>100.00</v>
      </c>
      <c r="H283" s="1" t="str">
        <f t="shared" ref="H283:H287" si="387">"0104152129"</f>
        <v>0104152129</v>
      </c>
      <c r="I283" s="1" t="str">
        <f>"8060.00"</f>
        <v>8060.00</v>
      </c>
      <c r="J283" s="1" t="str">
        <f t="shared" si="384"/>
        <v>5.00</v>
      </c>
      <c r="K283" s="1" t="str">
        <f t="shared" si="385"/>
        <v>0.00</v>
      </c>
      <c r="L283" s="1" t="str">
        <f>"0.16"</f>
        <v>0.16</v>
      </c>
      <c r="M283" s="1" t="str">
        <f t="shared" si="363"/>
        <v>0.00</v>
      </c>
      <c r="N283" s="1" t="str">
        <f t="shared" si="386"/>
        <v>证券买入</v>
      </c>
    </row>
    <row r="284" spans="1:14">
      <c r="A284" s="1" t="str">
        <f t="shared" si="381"/>
        <v>20171220</v>
      </c>
      <c r="B284" s="1" t="str">
        <f>"22:10:33"</f>
        <v>22:10:33</v>
      </c>
      <c r="C284" s="1" t="str">
        <f>"002922"</f>
        <v>002922</v>
      </c>
      <c r="D284" s="1" t="str">
        <f>"伊戈尔"</f>
        <v>伊戈尔</v>
      </c>
      <c r="E284" s="1" t="str">
        <f t="shared" si="379"/>
        <v>买入</v>
      </c>
      <c r="F284" s="1" t="str">
        <f t="shared" ref="F284:F290" si="388">"0.000"</f>
        <v>0.000</v>
      </c>
      <c r="G284" s="1" t="str">
        <f>"2.00"</f>
        <v>2.00</v>
      </c>
      <c r="H284" s="1" t="str">
        <f t="shared" si="387"/>
        <v>0104152129</v>
      </c>
      <c r="I284" s="1" t="str">
        <f t="shared" ref="I284:L284" si="389">"0.00"</f>
        <v>0.00</v>
      </c>
      <c r="J284" s="1" t="str">
        <f t="shared" si="389"/>
        <v>0.00</v>
      </c>
      <c r="K284" s="1" t="str">
        <f t="shared" si="385"/>
        <v>0.00</v>
      </c>
      <c r="L284" s="1" t="str">
        <f t="shared" si="389"/>
        <v>0.00</v>
      </c>
      <c r="M284" s="1" t="str">
        <f t="shared" si="363"/>
        <v>0.00</v>
      </c>
      <c r="N284" s="1" t="str">
        <f>"起始配号:9386208"</f>
        <v>起始配号:9386208</v>
      </c>
    </row>
    <row r="285" spans="1:14">
      <c r="A285" s="1" t="str">
        <f t="shared" ref="A285:A287" si="390">"20171221"</f>
        <v>20171221</v>
      </c>
      <c r="B285" s="1" t="str">
        <f>"09:53:30"</f>
        <v>09:53:30</v>
      </c>
      <c r="C285" s="1" t="str">
        <f>"600198"</f>
        <v>600198</v>
      </c>
      <c r="D285" s="1" t="str">
        <f>"大唐电信"</f>
        <v>大唐电信</v>
      </c>
      <c r="E285" s="1" t="str">
        <f>"卖出"</f>
        <v>卖出</v>
      </c>
      <c r="F285" s="1" t="str">
        <f>"11.530"</f>
        <v>11.530</v>
      </c>
      <c r="G285" s="1" t="str">
        <f>"-200.00"</f>
        <v>-200.00</v>
      </c>
      <c r="H285" s="1" t="str">
        <f t="shared" ref="H285:H288" si="391">"A850418317"</f>
        <v>A850418317</v>
      </c>
      <c r="I285" s="1" t="str">
        <f>"2306.00"</f>
        <v>2306.00</v>
      </c>
      <c r="J285" s="1" t="str">
        <f>"5.00"</f>
        <v>5.00</v>
      </c>
      <c r="K285" s="1" t="str">
        <f>"2.31"</f>
        <v>2.31</v>
      </c>
      <c r="L285" s="1" t="str">
        <f>"0.05"</f>
        <v>0.05</v>
      </c>
      <c r="M285" s="1" t="str">
        <f t="shared" si="363"/>
        <v>0.00</v>
      </c>
      <c r="N285" s="1" t="str">
        <f>"证券卖出"</f>
        <v>证券卖出</v>
      </c>
    </row>
    <row r="286" spans="1:14">
      <c r="A286" s="1" t="str">
        <f t="shared" si="390"/>
        <v>20171221</v>
      </c>
      <c r="B286" s="1" t="str">
        <f>"09:53:40"</f>
        <v>09:53:40</v>
      </c>
      <c r="C286" s="1" t="str">
        <f>"601933"</f>
        <v>601933</v>
      </c>
      <c r="D286" s="1" t="str">
        <f>"永辉超市"</f>
        <v>永辉超市</v>
      </c>
      <c r="E286" s="1" t="str">
        <f t="shared" ref="E286:E290" si="392">"买入"</f>
        <v>买入</v>
      </c>
      <c r="F286" s="1" t="str">
        <f>"10.590"</f>
        <v>10.590</v>
      </c>
      <c r="G286" s="1" t="str">
        <f>"200.00"</f>
        <v>200.00</v>
      </c>
      <c r="H286" s="1" t="str">
        <f t="shared" si="391"/>
        <v>A850418317</v>
      </c>
      <c r="I286" s="1" t="str">
        <f>"2118.00"</f>
        <v>2118.00</v>
      </c>
      <c r="J286" s="1" t="str">
        <f>"5.00"</f>
        <v>5.00</v>
      </c>
      <c r="K286" s="1" t="str">
        <f>"0.00"</f>
        <v>0.00</v>
      </c>
      <c r="L286" s="1" t="str">
        <f>"0.04"</f>
        <v>0.04</v>
      </c>
      <c r="M286" s="1" t="str">
        <f t="shared" si="363"/>
        <v>0.00</v>
      </c>
      <c r="N286" s="1" t="str">
        <f>"证券买入"</f>
        <v>证券买入</v>
      </c>
    </row>
    <row r="287" spans="1:14">
      <c r="A287" s="1" t="str">
        <f t="shared" si="390"/>
        <v>20171221</v>
      </c>
      <c r="B287" s="1" t="str">
        <f>"22:02:14"</f>
        <v>22:02:14</v>
      </c>
      <c r="C287" s="1" t="str">
        <f>"072460"</f>
        <v>072460</v>
      </c>
      <c r="D287" s="1" t="str">
        <f>"赣锋发债"</f>
        <v>赣锋发债</v>
      </c>
      <c r="E287" s="1" t="str">
        <f t="shared" si="392"/>
        <v>买入</v>
      </c>
      <c r="F287" s="1" t="str">
        <f t="shared" si="388"/>
        <v>0.000</v>
      </c>
      <c r="G287" s="1" t="str">
        <f t="shared" ref="G287:G290" si="393">"1000.00"</f>
        <v>1000.00</v>
      </c>
      <c r="H287" s="1" t="str">
        <f t="shared" si="387"/>
        <v>0104152129</v>
      </c>
      <c r="I287" s="1" t="str">
        <f t="shared" ref="I287:L287" si="394">"0.00"</f>
        <v>0.00</v>
      </c>
      <c r="J287" s="1" t="str">
        <f t="shared" si="394"/>
        <v>0.00</v>
      </c>
      <c r="K287" s="1" t="str">
        <f t="shared" si="394"/>
        <v>0.00</v>
      </c>
      <c r="L287" s="1" t="str">
        <f t="shared" si="394"/>
        <v>0.00</v>
      </c>
      <c r="M287" s="1" t="str">
        <f t="shared" si="363"/>
        <v>0.00</v>
      </c>
      <c r="N287" s="1" t="str">
        <f>"起始配号:152494379"</f>
        <v>起始配号:152494379</v>
      </c>
    </row>
    <row r="288" spans="1:14">
      <c r="A288" s="1" t="str">
        <f t="shared" ref="A288:A290" si="395">"20171222"</f>
        <v>20171222</v>
      </c>
      <c r="B288" s="1" t="str">
        <f>"21:49:40"</f>
        <v>21:49:40</v>
      </c>
      <c r="C288" s="1" t="str">
        <f>"744863"</f>
        <v>744863</v>
      </c>
      <c r="D288" s="1" t="str">
        <f>"内蒙配号"</f>
        <v>内蒙配号</v>
      </c>
      <c r="E288" s="1" t="str">
        <f t="shared" si="392"/>
        <v>买入</v>
      </c>
      <c r="F288" s="1" t="str">
        <f t="shared" si="388"/>
        <v>0.000</v>
      </c>
      <c r="G288" s="1" t="str">
        <f t="shared" si="393"/>
        <v>1000.00</v>
      </c>
      <c r="H288" s="1" t="str">
        <f t="shared" si="391"/>
        <v>A850418317</v>
      </c>
      <c r="I288" s="1" t="str">
        <f t="shared" ref="I288:L288" si="396">"0.00"</f>
        <v>0.00</v>
      </c>
      <c r="J288" s="1" t="str">
        <f t="shared" si="396"/>
        <v>0.00</v>
      </c>
      <c r="K288" s="1" t="str">
        <f t="shared" si="396"/>
        <v>0.00</v>
      </c>
      <c r="L288" s="1" t="str">
        <f t="shared" si="396"/>
        <v>0.00</v>
      </c>
      <c r="M288" s="1" t="str">
        <f t="shared" si="363"/>
        <v>0.00</v>
      </c>
      <c r="N288" s="1" t="str">
        <f>"起始配号:100613763020"</f>
        <v>起始配号:100613763020</v>
      </c>
    </row>
    <row r="289" spans="1:14">
      <c r="A289" s="1" t="str">
        <f t="shared" si="395"/>
        <v>20171222</v>
      </c>
      <c r="B289" s="1" t="str">
        <f>"21:49:30"</f>
        <v>21:49:30</v>
      </c>
      <c r="C289" s="1" t="str">
        <f>"072078"</f>
        <v>072078</v>
      </c>
      <c r="D289" s="1" t="str">
        <f>"太阳发债"</f>
        <v>太阳发债</v>
      </c>
      <c r="E289" s="1" t="str">
        <f t="shared" si="392"/>
        <v>买入</v>
      </c>
      <c r="F289" s="1" t="str">
        <f t="shared" si="388"/>
        <v>0.000</v>
      </c>
      <c r="G289" s="1" t="str">
        <f t="shared" si="393"/>
        <v>1000.00</v>
      </c>
      <c r="H289" s="1" t="str">
        <f>"0104152129"</f>
        <v>0104152129</v>
      </c>
      <c r="I289" s="1" t="str">
        <f t="shared" ref="I289:L289" si="397">"0.00"</f>
        <v>0.00</v>
      </c>
      <c r="J289" s="1" t="str">
        <f t="shared" si="397"/>
        <v>0.00</v>
      </c>
      <c r="K289" s="1" t="str">
        <f t="shared" si="397"/>
        <v>0.00</v>
      </c>
      <c r="L289" s="1" t="str">
        <f t="shared" si="397"/>
        <v>0.00</v>
      </c>
      <c r="M289" s="1" t="str">
        <f t="shared" si="363"/>
        <v>0.00</v>
      </c>
      <c r="N289" s="1" t="str">
        <f>"起始配号:701848300"</f>
        <v>起始配号:701848300</v>
      </c>
    </row>
    <row r="290" spans="1:14">
      <c r="A290" s="1" t="str">
        <f t="shared" si="395"/>
        <v>20171222</v>
      </c>
      <c r="B290" s="1" t="str">
        <f>"21:49:30"</f>
        <v>21:49:30</v>
      </c>
      <c r="C290" s="1" t="str">
        <f>"072100"</f>
        <v>072100</v>
      </c>
      <c r="D290" s="1" t="str">
        <f>"天康发债"</f>
        <v>天康发债</v>
      </c>
      <c r="E290" s="1" t="str">
        <f t="shared" si="392"/>
        <v>买入</v>
      </c>
      <c r="F290" s="1" t="str">
        <f t="shared" si="388"/>
        <v>0.000</v>
      </c>
      <c r="G290" s="1" t="str">
        <f t="shared" si="393"/>
        <v>1000.00</v>
      </c>
      <c r="H290" s="1" t="str">
        <f>"0104152129"</f>
        <v>0104152129</v>
      </c>
      <c r="I290" s="1" t="str">
        <f t="shared" ref="I290:L290" si="398">"0.00"</f>
        <v>0.00</v>
      </c>
      <c r="J290" s="1" t="str">
        <f t="shared" si="398"/>
        <v>0.00</v>
      </c>
      <c r="K290" s="1" t="str">
        <f t="shared" si="398"/>
        <v>0.00</v>
      </c>
      <c r="L290" s="1" t="str">
        <f t="shared" si="398"/>
        <v>0.00</v>
      </c>
      <c r="M290" s="1" t="str">
        <f t="shared" si="363"/>
        <v>0.00</v>
      </c>
      <c r="N290" s="1" t="str">
        <f>"起始配号:653894856"</f>
        <v>起始配号:653894856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3"/>
  <sheetViews>
    <sheetView topLeftCell="A211" workbookViewId="0">
      <selection activeCell="A2" sqref="A2:N233"/>
    </sheetView>
  </sheetViews>
  <sheetFormatPr defaultColWidth="9" defaultRowHeight="13.5"/>
  <cols>
    <col min="1" max="16384" width="9" style="1"/>
  </cols>
  <sheetData>
    <row r="1" spans="1:14">
      <c r="A1" s="1" t="str">
        <f>"成交日期"</f>
        <v>成交日期</v>
      </c>
      <c r="B1" s="1" t="str">
        <f>"成交时间"</f>
        <v>成交时间</v>
      </c>
      <c r="C1" s="1" t="str">
        <f>"证券代码"</f>
        <v>证券代码</v>
      </c>
      <c r="D1" s="1" t="str">
        <f>"证券名称"</f>
        <v>证券名称</v>
      </c>
      <c r="E1" s="1" t="str">
        <f>"买卖标志"</f>
        <v>买卖标志</v>
      </c>
      <c r="F1" s="1" t="str">
        <f>"成交价格"</f>
        <v>成交价格</v>
      </c>
      <c r="G1" s="1" t="str">
        <f>"成交数量"</f>
        <v>成交数量</v>
      </c>
      <c r="H1" s="1" t="str">
        <f>"股东代码"</f>
        <v>股东代码</v>
      </c>
      <c r="I1" s="1" t="str">
        <f>"成交金额"</f>
        <v>成交金额</v>
      </c>
      <c r="J1" s="1" t="str">
        <f>"佣金"</f>
        <v>佣金</v>
      </c>
      <c r="K1" s="1" t="str">
        <f>"印花税"</f>
        <v>印花税</v>
      </c>
      <c r="L1" s="1" t="str">
        <f>"过户费"</f>
        <v>过户费</v>
      </c>
      <c r="M1" s="1" t="str">
        <f>"其他费"</f>
        <v>其他费</v>
      </c>
      <c r="N1" s="1" t="str">
        <f>"备注"</f>
        <v>备注</v>
      </c>
    </row>
    <row r="2" spans="1:14">
      <c r="A2" s="1" t="str">
        <f>"20171222"</f>
        <v>20171222</v>
      </c>
      <c r="B2" s="1" t="str">
        <f>"21:49:40"</f>
        <v>21:49:40</v>
      </c>
      <c r="C2" s="1" t="str">
        <f>"744863"</f>
        <v>744863</v>
      </c>
      <c r="D2" s="1" t="str">
        <f>"内蒙配号"</f>
        <v>内蒙配号</v>
      </c>
      <c r="E2" s="1" t="str">
        <f t="shared" ref="E2:E8" si="0">"买入"</f>
        <v>买入</v>
      </c>
      <c r="F2" s="1" t="str">
        <f>"0.000"</f>
        <v>0.000</v>
      </c>
      <c r="G2" s="1" t="str">
        <f>"1000.00"</f>
        <v>1000.00</v>
      </c>
      <c r="H2" s="1" t="str">
        <f t="shared" ref="H2:H7" si="1">"A850418317"</f>
        <v>A850418317</v>
      </c>
      <c r="I2" s="1" t="str">
        <f t="shared" ref="I2:M2" si="2">"0.00"</f>
        <v>0.00</v>
      </c>
      <c r="J2" s="1" t="str">
        <f t="shared" si="2"/>
        <v>0.00</v>
      </c>
      <c r="K2" s="1" t="str">
        <f t="shared" si="2"/>
        <v>0.00</v>
      </c>
      <c r="L2" s="1" t="str">
        <f t="shared" si="2"/>
        <v>0.00</v>
      </c>
      <c r="M2" s="1" t="str">
        <f t="shared" si="2"/>
        <v>0.00</v>
      </c>
      <c r="N2" s="1" t="str">
        <f>"起始配号:100613763020"</f>
        <v>起始配号:100613763020</v>
      </c>
    </row>
    <row r="3" spans="1:14">
      <c r="A3" s="1" t="str">
        <f>"20171222"</f>
        <v>20171222</v>
      </c>
      <c r="B3" s="1" t="str">
        <f>"21:49:30"</f>
        <v>21:49:30</v>
      </c>
      <c r="C3" s="1" t="str">
        <f>"072078"</f>
        <v>072078</v>
      </c>
      <c r="D3" s="1" t="str">
        <f>"太阳发债"</f>
        <v>太阳发债</v>
      </c>
      <c r="E3" s="1" t="str">
        <f t="shared" si="0"/>
        <v>买入</v>
      </c>
      <c r="F3" s="1" t="str">
        <f>"0.000"</f>
        <v>0.000</v>
      </c>
      <c r="G3" s="1" t="str">
        <f>"1000.00"</f>
        <v>1000.00</v>
      </c>
      <c r="H3" s="1" t="str">
        <f t="shared" ref="H3:H6" si="3">"0104152129"</f>
        <v>0104152129</v>
      </c>
      <c r="I3" s="1" t="str">
        <f t="shared" ref="I3:M3" si="4">"0.00"</f>
        <v>0.00</v>
      </c>
      <c r="J3" s="1" t="str">
        <f t="shared" si="4"/>
        <v>0.00</v>
      </c>
      <c r="K3" s="1" t="str">
        <f t="shared" si="4"/>
        <v>0.00</v>
      </c>
      <c r="L3" s="1" t="str">
        <f t="shared" si="4"/>
        <v>0.00</v>
      </c>
      <c r="M3" s="1" t="str">
        <f t="shared" si="4"/>
        <v>0.00</v>
      </c>
      <c r="N3" s="1" t="str">
        <f>"起始配号:701848300"</f>
        <v>起始配号:701848300</v>
      </c>
    </row>
    <row r="4" spans="1:14">
      <c r="A4" s="1" t="str">
        <f>"20171222"</f>
        <v>20171222</v>
      </c>
      <c r="B4" s="1" t="str">
        <f>"21:49:30"</f>
        <v>21:49:30</v>
      </c>
      <c r="C4" s="1" t="str">
        <f t="shared" ref="C4:C8" si="5">"072100"</f>
        <v>072100</v>
      </c>
      <c r="D4" s="1" t="str">
        <f t="shared" ref="D4:D8" si="6">"天康发债"</f>
        <v>天康发债</v>
      </c>
      <c r="E4" s="1" t="str">
        <f t="shared" si="0"/>
        <v>买入</v>
      </c>
      <c r="F4" s="1" t="str">
        <f>"0.000"</f>
        <v>0.000</v>
      </c>
      <c r="G4" s="1" t="str">
        <f>"1000.00"</f>
        <v>1000.00</v>
      </c>
      <c r="H4" s="1" t="str">
        <f t="shared" si="3"/>
        <v>0104152129</v>
      </c>
      <c r="I4" s="1" t="str">
        <f t="shared" ref="I4:M4" si="7">"0.00"</f>
        <v>0.00</v>
      </c>
      <c r="J4" s="1" t="str">
        <f t="shared" si="7"/>
        <v>0.00</v>
      </c>
      <c r="K4" s="1" t="str">
        <f t="shared" si="7"/>
        <v>0.00</v>
      </c>
      <c r="L4" s="1" t="str">
        <f t="shared" si="7"/>
        <v>0.00</v>
      </c>
      <c r="M4" s="1" t="str">
        <f t="shared" si="7"/>
        <v>0.00</v>
      </c>
      <c r="N4" s="1" t="str">
        <f>"起始配号:653894856"</f>
        <v>起始配号:653894856</v>
      </c>
    </row>
    <row r="5" spans="1:14">
      <c r="A5" s="1" t="str">
        <f t="shared" ref="A5:A8" si="8">"20171225"</f>
        <v>20171225</v>
      </c>
      <c r="B5" s="1" t="str">
        <f>"16:00:00"</f>
        <v>16:00:00</v>
      </c>
      <c r="C5" s="1" t="str">
        <f>"733863"</f>
        <v>733863</v>
      </c>
      <c r="D5" s="1" t="str">
        <f>"内蒙发债"</f>
        <v>内蒙发债</v>
      </c>
      <c r="E5" s="1" t="str">
        <f t="shared" si="0"/>
        <v>买入</v>
      </c>
      <c r="F5" s="1" t="str">
        <f t="shared" ref="F5:F8" si="9">"100.000"</f>
        <v>100.000</v>
      </c>
      <c r="G5" s="1" t="str">
        <f>"20.00"</f>
        <v>20.00</v>
      </c>
      <c r="H5" s="1" t="str">
        <f t="shared" si="1"/>
        <v>A850418317</v>
      </c>
      <c r="I5" s="1" t="str">
        <f t="shared" ref="I5:M5" si="10">"0.00"</f>
        <v>0.00</v>
      </c>
      <c r="J5" s="1" t="str">
        <f t="shared" si="10"/>
        <v>0.00</v>
      </c>
      <c r="K5" s="1" t="str">
        <f t="shared" si="10"/>
        <v>0.00</v>
      </c>
      <c r="L5" s="1" t="str">
        <f t="shared" si="10"/>
        <v>0.00</v>
      </c>
      <c r="M5" s="1" t="str">
        <f t="shared" si="10"/>
        <v>0.00</v>
      </c>
      <c r="N5" s="1" t="str">
        <f>"债券信用申购中签"</f>
        <v>债券信用申购中签</v>
      </c>
    </row>
    <row r="6" spans="1:14">
      <c r="A6" s="1" t="str">
        <f t="shared" si="8"/>
        <v>20171225</v>
      </c>
      <c r="B6" s="1" t="str">
        <f>"16:00:00"</f>
        <v>16:00:00</v>
      </c>
      <c r="C6" s="1" t="str">
        <f t="shared" si="5"/>
        <v>072100</v>
      </c>
      <c r="D6" s="1" t="str">
        <f t="shared" si="6"/>
        <v>天康发债</v>
      </c>
      <c r="E6" s="1" t="str">
        <f t="shared" si="0"/>
        <v>买入</v>
      </c>
      <c r="F6" s="1" t="str">
        <f t="shared" si="9"/>
        <v>100.000</v>
      </c>
      <c r="G6" s="1" t="str">
        <f>"10.00"</f>
        <v>10.00</v>
      </c>
      <c r="H6" s="1" t="str">
        <f t="shared" si="3"/>
        <v>0104152129</v>
      </c>
      <c r="I6" s="1" t="str">
        <f t="shared" ref="I6:M6" si="11">"0.00"</f>
        <v>0.00</v>
      </c>
      <c r="J6" s="1" t="str">
        <f t="shared" si="11"/>
        <v>0.00</v>
      </c>
      <c r="K6" s="1" t="str">
        <f t="shared" si="11"/>
        <v>0.00</v>
      </c>
      <c r="L6" s="1" t="str">
        <f t="shared" si="11"/>
        <v>0.00</v>
      </c>
      <c r="M6" s="1" t="str">
        <f t="shared" si="11"/>
        <v>0.00</v>
      </c>
      <c r="N6" s="1" t="str">
        <f>"债券信用申购中签"</f>
        <v>债券信用申购中签</v>
      </c>
    </row>
    <row r="7" spans="1:14">
      <c r="A7" s="1" t="str">
        <f t="shared" si="8"/>
        <v>20171225</v>
      </c>
      <c r="B7" s="1" t="str">
        <f>"17:00:00"</f>
        <v>17:00:00</v>
      </c>
      <c r="C7" s="1" t="str">
        <f>"733863"</f>
        <v>733863</v>
      </c>
      <c r="D7" s="1" t="str">
        <f>"内蒙发债"</f>
        <v>内蒙发债</v>
      </c>
      <c r="E7" s="1" t="str">
        <f t="shared" si="0"/>
        <v>买入</v>
      </c>
      <c r="F7" s="1" t="str">
        <f t="shared" si="9"/>
        <v>100.000</v>
      </c>
      <c r="G7" s="1" t="str">
        <f t="shared" ref="G7:M7" si="12">"0.00"</f>
        <v>0.00</v>
      </c>
      <c r="H7" s="1" t="str">
        <f t="shared" si="1"/>
        <v>A850418317</v>
      </c>
      <c r="I7" s="1" t="str">
        <f>"2000.00"</f>
        <v>2000.00</v>
      </c>
      <c r="J7" s="1" t="str">
        <f t="shared" si="12"/>
        <v>0.00</v>
      </c>
      <c r="K7" s="1" t="str">
        <f t="shared" si="12"/>
        <v>0.00</v>
      </c>
      <c r="L7" s="1" t="str">
        <f t="shared" si="12"/>
        <v>0.00</v>
      </c>
      <c r="M7" s="1" t="str">
        <f t="shared" si="12"/>
        <v>0.00</v>
      </c>
      <c r="N7" s="1" t="str">
        <f>"债券信用申购中签, 请确保T+2日可用于缴款的资金余额不低于：2000元"</f>
        <v>债券信用申购中签, 请确保T+2日可用于缴款的资金余额不低于：2000元</v>
      </c>
    </row>
    <row r="8" spans="1:14">
      <c r="A8" s="1" t="str">
        <f t="shared" si="8"/>
        <v>20171225</v>
      </c>
      <c r="B8" s="1" t="str">
        <f>"17:00:00"</f>
        <v>17:00:00</v>
      </c>
      <c r="C8" s="1" t="str">
        <f t="shared" si="5"/>
        <v>072100</v>
      </c>
      <c r="D8" s="1" t="str">
        <f t="shared" si="6"/>
        <v>天康发债</v>
      </c>
      <c r="E8" s="1" t="str">
        <f t="shared" si="0"/>
        <v>买入</v>
      </c>
      <c r="F8" s="1" t="str">
        <f t="shared" si="9"/>
        <v>100.000</v>
      </c>
      <c r="G8" s="1" t="str">
        <f t="shared" ref="G8:M8" si="13">"0.00"</f>
        <v>0.00</v>
      </c>
      <c r="H8" s="1" t="str">
        <f>"0104152129"</f>
        <v>0104152129</v>
      </c>
      <c r="I8" s="1" t="str">
        <f>"1000.00"</f>
        <v>1000.00</v>
      </c>
      <c r="J8" s="1" t="str">
        <f t="shared" si="13"/>
        <v>0.00</v>
      </c>
      <c r="K8" s="1" t="str">
        <f t="shared" si="13"/>
        <v>0.00</v>
      </c>
      <c r="L8" s="1" t="str">
        <f t="shared" si="13"/>
        <v>0.00</v>
      </c>
      <c r="M8" s="1" t="str">
        <f t="shared" si="13"/>
        <v>0.00</v>
      </c>
      <c r="N8" s="1" t="str">
        <f>"债券信用申购中签, 请确保T+2日可用于缴款的资金余额不低于：1000元"</f>
        <v>债券信用申购中签, 请确保T+2日可用于缴款的资金余额不低于：1000元</v>
      </c>
    </row>
    <row r="9" spans="1:14">
      <c r="A9" s="1" t="str">
        <f t="shared" ref="A9:A21" si="14">"20171226"</f>
        <v>20171226</v>
      </c>
      <c r="B9" s="1" t="str">
        <f>"09:39:40"</f>
        <v>09:39:40</v>
      </c>
      <c r="C9" s="1" t="str">
        <f>"600835"</f>
        <v>600835</v>
      </c>
      <c r="D9" s="1" t="str">
        <f>"上海机电"</f>
        <v>上海机电</v>
      </c>
      <c r="E9" s="1" t="str">
        <f t="shared" ref="E9:E16" si="15">"卖出"</f>
        <v>卖出</v>
      </c>
      <c r="F9" s="1" t="str">
        <f>"26.470"</f>
        <v>26.470</v>
      </c>
      <c r="G9" s="1" t="str">
        <f t="shared" ref="G9:G14" si="16">"-100.00"</f>
        <v>-100.00</v>
      </c>
      <c r="H9" s="1" t="str">
        <f t="shared" ref="H9:H13" si="17">"A850418317"</f>
        <v>A850418317</v>
      </c>
      <c r="I9" s="1" t="str">
        <f>"2647.00"</f>
        <v>2647.00</v>
      </c>
      <c r="J9" s="1" t="str">
        <f t="shared" ref="J9:J14" si="18">"5.00"</f>
        <v>5.00</v>
      </c>
      <c r="K9" s="1" t="str">
        <f>"2.65"</f>
        <v>2.65</v>
      </c>
      <c r="L9" s="1" t="str">
        <f>"0.05"</f>
        <v>0.05</v>
      </c>
      <c r="M9" s="1" t="str">
        <f t="shared" ref="M9:M72" si="19">"0.00"</f>
        <v>0.00</v>
      </c>
      <c r="N9" s="1" t="str">
        <f t="shared" ref="N9:N14" si="20">"证券卖出"</f>
        <v>证券卖出</v>
      </c>
    </row>
    <row r="10" spans="1:14">
      <c r="A10" s="1" t="str">
        <f t="shared" si="14"/>
        <v>20171226</v>
      </c>
      <c r="B10" s="1" t="str">
        <f>"09:42:39"</f>
        <v>09:42:39</v>
      </c>
      <c r="C10" s="1" t="str">
        <f>"600171"</f>
        <v>600171</v>
      </c>
      <c r="D10" s="1" t="str">
        <f>"上海贝岭"</f>
        <v>上海贝岭</v>
      </c>
      <c r="E10" s="1" t="str">
        <f t="shared" si="15"/>
        <v>卖出</v>
      </c>
      <c r="F10" s="1" t="str">
        <f>"16.050"</f>
        <v>16.050</v>
      </c>
      <c r="G10" s="1" t="str">
        <f>"-200.00"</f>
        <v>-200.00</v>
      </c>
      <c r="H10" s="1" t="str">
        <f t="shared" si="17"/>
        <v>A850418317</v>
      </c>
      <c r="I10" s="1" t="str">
        <f>"3210.00"</f>
        <v>3210.00</v>
      </c>
      <c r="J10" s="1" t="str">
        <f t="shared" si="18"/>
        <v>5.00</v>
      </c>
      <c r="K10" s="1" t="str">
        <f>"3.21"</f>
        <v>3.21</v>
      </c>
      <c r="L10" s="1" t="str">
        <f>"0.06"</f>
        <v>0.06</v>
      </c>
      <c r="M10" s="1" t="str">
        <f t="shared" si="19"/>
        <v>0.00</v>
      </c>
      <c r="N10" s="1" t="str">
        <f t="shared" si="20"/>
        <v>证券卖出</v>
      </c>
    </row>
    <row r="11" spans="1:14">
      <c r="A11" s="1" t="str">
        <f t="shared" si="14"/>
        <v>20171226</v>
      </c>
      <c r="B11" s="1" t="str">
        <f>"09:43:06"</f>
        <v>09:43:06</v>
      </c>
      <c r="C11" s="1" t="str">
        <f>"601318"</f>
        <v>601318</v>
      </c>
      <c r="D11" s="1" t="str">
        <f>"中国平安"</f>
        <v>中国平安</v>
      </c>
      <c r="E11" s="1" t="str">
        <f t="shared" si="15"/>
        <v>卖出</v>
      </c>
      <c r="F11" s="1" t="str">
        <f>"73.680"</f>
        <v>73.680</v>
      </c>
      <c r="G11" s="1" t="str">
        <f t="shared" si="16"/>
        <v>-100.00</v>
      </c>
      <c r="H11" s="1" t="str">
        <f t="shared" si="17"/>
        <v>A850418317</v>
      </c>
      <c r="I11" s="1" t="str">
        <f>"7368.00"</f>
        <v>7368.00</v>
      </c>
      <c r="J11" s="1" t="str">
        <f t="shared" si="18"/>
        <v>5.00</v>
      </c>
      <c r="K11" s="1" t="str">
        <f>"7.37"</f>
        <v>7.37</v>
      </c>
      <c r="L11" s="1" t="str">
        <f>"0.15"</f>
        <v>0.15</v>
      </c>
      <c r="M11" s="1" t="str">
        <f t="shared" si="19"/>
        <v>0.00</v>
      </c>
      <c r="N11" s="1" t="str">
        <f t="shared" si="20"/>
        <v>证券卖出</v>
      </c>
    </row>
    <row r="12" spans="1:14">
      <c r="A12" s="1" t="str">
        <f t="shared" si="14"/>
        <v>20171226</v>
      </c>
      <c r="B12" s="1" t="str">
        <f>"09:44:19"</f>
        <v>09:44:19</v>
      </c>
      <c r="C12" s="1" t="str">
        <f>"601933"</f>
        <v>601933</v>
      </c>
      <c r="D12" s="1" t="str">
        <f>"永辉超市"</f>
        <v>永辉超市</v>
      </c>
      <c r="E12" s="1" t="str">
        <f t="shared" si="15"/>
        <v>卖出</v>
      </c>
      <c r="F12" s="1" t="str">
        <f>"10.350"</f>
        <v>10.350</v>
      </c>
      <c r="G12" s="1" t="str">
        <f>"-200.00"</f>
        <v>-200.00</v>
      </c>
      <c r="H12" s="1" t="str">
        <f t="shared" si="17"/>
        <v>A850418317</v>
      </c>
      <c r="I12" s="1" t="str">
        <f>"2070.00"</f>
        <v>2070.00</v>
      </c>
      <c r="J12" s="1" t="str">
        <f t="shared" si="18"/>
        <v>5.00</v>
      </c>
      <c r="K12" s="1" t="str">
        <f>"2.07"</f>
        <v>2.07</v>
      </c>
      <c r="L12" s="1" t="str">
        <f>"0.04"</f>
        <v>0.04</v>
      </c>
      <c r="M12" s="1" t="str">
        <f t="shared" si="19"/>
        <v>0.00</v>
      </c>
      <c r="N12" s="1" t="str">
        <f t="shared" si="20"/>
        <v>证券卖出</v>
      </c>
    </row>
    <row r="13" spans="1:14">
      <c r="A13" s="1" t="str">
        <f t="shared" si="14"/>
        <v>20171226</v>
      </c>
      <c r="B13" s="1" t="str">
        <f>"09:45:23"</f>
        <v>09:45:23</v>
      </c>
      <c r="C13" s="1" t="str">
        <f>"600835"</f>
        <v>600835</v>
      </c>
      <c r="D13" s="1" t="str">
        <f>"上海机电"</f>
        <v>上海机电</v>
      </c>
      <c r="E13" s="1" t="str">
        <f t="shared" si="15"/>
        <v>卖出</v>
      </c>
      <c r="F13" s="1" t="str">
        <f>"26.520"</f>
        <v>26.520</v>
      </c>
      <c r="G13" s="1" t="str">
        <f t="shared" si="16"/>
        <v>-100.00</v>
      </c>
      <c r="H13" s="1" t="str">
        <f t="shared" si="17"/>
        <v>A850418317</v>
      </c>
      <c r="I13" s="1" t="str">
        <f>"2652.00"</f>
        <v>2652.00</v>
      </c>
      <c r="J13" s="1" t="str">
        <f t="shared" si="18"/>
        <v>5.00</v>
      </c>
      <c r="K13" s="1" t="str">
        <f>"2.65"</f>
        <v>2.65</v>
      </c>
      <c r="L13" s="1" t="str">
        <f>"0.05"</f>
        <v>0.05</v>
      </c>
      <c r="M13" s="1" t="str">
        <f t="shared" si="19"/>
        <v>0.00</v>
      </c>
      <c r="N13" s="1" t="str">
        <f t="shared" si="20"/>
        <v>证券卖出</v>
      </c>
    </row>
    <row r="14" spans="1:14">
      <c r="A14" s="1" t="str">
        <f t="shared" si="14"/>
        <v>20171226</v>
      </c>
      <c r="B14" s="1" t="str">
        <f>"09:43:56"</f>
        <v>09:43:56</v>
      </c>
      <c r="C14" s="1" t="str">
        <f>"000858"</f>
        <v>000858</v>
      </c>
      <c r="D14" s="1" t="str">
        <f>"五 粮 液"</f>
        <v>五 粮 液</v>
      </c>
      <c r="E14" s="1" t="str">
        <f t="shared" si="15"/>
        <v>卖出</v>
      </c>
      <c r="F14" s="1" t="str">
        <f>"79.330"</f>
        <v>79.330</v>
      </c>
      <c r="G14" s="1" t="str">
        <f t="shared" si="16"/>
        <v>-100.00</v>
      </c>
      <c r="H14" s="1" t="str">
        <f t="shared" ref="H14:H18" si="21">"0104152129"</f>
        <v>0104152129</v>
      </c>
      <c r="I14" s="1" t="str">
        <f>"7933.00"</f>
        <v>7933.00</v>
      </c>
      <c r="J14" s="1" t="str">
        <f t="shared" si="18"/>
        <v>5.00</v>
      </c>
      <c r="K14" s="1" t="str">
        <f>"7.93"</f>
        <v>7.93</v>
      </c>
      <c r="L14" s="1" t="str">
        <f>"0.16"</f>
        <v>0.16</v>
      </c>
      <c r="M14" s="1" t="str">
        <f t="shared" si="19"/>
        <v>0.00</v>
      </c>
      <c r="N14" s="1" t="str">
        <f t="shared" si="20"/>
        <v>证券卖出</v>
      </c>
    </row>
    <row r="15" spans="1:14">
      <c r="A15" s="1" t="str">
        <f t="shared" si="14"/>
        <v>20171226</v>
      </c>
      <c r="B15" s="1" t="str">
        <f>"16:57:00"</f>
        <v>16:57:00</v>
      </c>
      <c r="C15" s="1" t="str">
        <f>"733863"</f>
        <v>733863</v>
      </c>
      <c r="D15" s="1" t="str">
        <f>"内蒙发债"</f>
        <v>内蒙发债</v>
      </c>
      <c r="E15" s="1" t="str">
        <f t="shared" si="15"/>
        <v>卖出</v>
      </c>
      <c r="F15" s="1" t="str">
        <f t="shared" ref="F15:F18" si="22">"100.000"</f>
        <v>100.000</v>
      </c>
      <c r="G15" s="1" t="str">
        <f t="shared" ref="G15:L15" si="23">"0.00"</f>
        <v>0.00</v>
      </c>
      <c r="H15" s="1" t="str">
        <f t="shared" ref="H15:H19" si="24">"A850418317"</f>
        <v>A850418317</v>
      </c>
      <c r="I15" s="1" t="str">
        <f>"2000.00"</f>
        <v>2000.00</v>
      </c>
      <c r="J15" s="1" t="str">
        <f t="shared" si="23"/>
        <v>0.00</v>
      </c>
      <c r="K15" s="1" t="str">
        <f t="shared" si="23"/>
        <v>0.00</v>
      </c>
      <c r="L15" s="1" t="str">
        <f t="shared" si="23"/>
        <v>0.00</v>
      </c>
      <c r="M15" s="1" t="str">
        <f t="shared" si="19"/>
        <v>0.00</v>
      </c>
      <c r="N15" s="1" t="str">
        <f>"债券信用发行T+2日解冻"</f>
        <v>债券信用发行T+2日解冻</v>
      </c>
    </row>
    <row r="16" spans="1:14">
      <c r="A16" s="1" t="str">
        <f t="shared" si="14"/>
        <v>20171226</v>
      </c>
      <c r="B16" s="1" t="str">
        <f>"16:57:00"</f>
        <v>16:57:00</v>
      </c>
      <c r="C16" s="1" t="str">
        <f>"072100"</f>
        <v>072100</v>
      </c>
      <c r="D16" s="1" t="str">
        <f>"天康发债"</f>
        <v>天康发债</v>
      </c>
      <c r="E16" s="1" t="str">
        <f t="shared" si="15"/>
        <v>卖出</v>
      </c>
      <c r="F16" s="1" t="str">
        <f t="shared" si="22"/>
        <v>100.000</v>
      </c>
      <c r="G16" s="1" t="str">
        <f t="shared" ref="G16:L16" si="25">"0.00"</f>
        <v>0.00</v>
      </c>
      <c r="H16" s="1" t="str">
        <f t="shared" si="21"/>
        <v>0104152129</v>
      </c>
      <c r="I16" s="1" t="str">
        <f>"1000.00"</f>
        <v>1000.00</v>
      </c>
      <c r="J16" s="1" t="str">
        <f t="shared" si="25"/>
        <v>0.00</v>
      </c>
      <c r="K16" s="1" t="str">
        <f t="shared" si="25"/>
        <v>0.00</v>
      </c>
      <c r="L16" s="1" t="str">
        <f t="shared" si="25"/>
        <v>0.00</v>
      </c>
      <c r="M16" s="1" t="str">
        <f t="shared" si="19"/>
        <v>0.00</v>
      </c>
      <c r="N16" s="1" t="str">
        <f>"债券信用发行T+2日解冻"</f>
        <v>债券信用发行T+2日解冻</v>
      </c>
    </row>
    <row r="17" spans="1:14">
      <c r="A17" s="1" t="str">
        <f t="shared" si="14"/>
        <v>20171226</v>
      </c>
      <c r="B17" s="1" t="str">
        <f>"16:59:00"</f>
        <v>16:59:00</v>
      </c>
      <c r="C17" s="1" t="str">
        <f>"733863"</f>
        <v>733863</v>
      </c>
      <c r="D17" s="1" t="str">
        <f>"内蒙发债"</f>
        <v>内蒙发债</v>
      </c>
      <c r="E17" s="1" t="str">
        <f t="shared" ref="E17:E22" si="26">"买入"</f>
        <v>买入</v>
      </c>
      <c r="F17" s="1" t="str">
        <f t="shared" si="22"/>
        <v>100.000</v>
      </c>
      <c r="G17" s="1" t="str">
        <f t="shared" ref="G17:L17" si="27">"0.00"</f>
        <v>0.00</v>
      </c>
      <c r="H17" s="1" t="str">
        <f t="shared" si="24"/>
        <v>A850418317</v>
      </c>
      <c r="I17" s="1" t="str">
        <f>"2000.00"</f>
        <v>2000.00</v>
      </c>
      <c r="J17" s="1" t="str">
        <f t="shared" si="27"/>
        <v>0.00</v>
      </c>
      <c r="K17" s="1" t="str">
        <f t="shared" si="27"/>
        <v>0.00</v>
      </c>
      <c r="L17" s="1" t="str">
        <f t="shared" si="27"/>
        <v>0.00</v>
      </c>
      <c r="M17" s="1" t="str">
        <f t="shared" si="19"/>
        <v>0.00</v>
      </c>
      <c r="N17" s="1" t="str">
        <f>"债券信用发行T+2日缴款"</f>
        <v>债券信用发行T+2日缴款</v>
      </c>
    </row>
    <row r="18" spans="1:14">
      <c r="A18" s="1" t="str">
        <f t="shared" si="14"/>
        <v>20171226</v>
      </c>
      <c r="B18" s="1" t="str">
        <f>"16:59:00"</f>
        <v>16:59:00</v>
      </c>
      <c r="C18" s="1" t="str">
        <f>"072100"</f>
        <v>072100</v>
      </c>
      <c r="D18" s="1" t="str">
        <f>"天康发债"</f>
        <v>天康发债</v>
      </c>
      <c r="E18" s="1" t="str">
        <f t="shared" si="26"/>
        <v>买入</v>
      </c>
      <c r="F18" s="1" t="str">
        <f t="shared" si="22"/>
        <v>100.000</v>
      </c>
      <c r="G18" s="1" t="str">
        <f t="shared" ref="G18:L18" si="28">"0.00"</f>
        <v>0.00</v>
      </c>
      <c r="H18" s="1" t="str">
        <f t="shared" si="21"/>
        <v>0104152129</v>
      </c>
      <c r="I18" s="1" t="str">
        <f>"1000.00"</f>
        <v>1000.00</v>
      </c>
      <c r="J18" s="1" t="str">
        <f t="shared" si="28"/>
        <v>0.00</v>
      </c>
      <c r="K18" s="1" t="str">
        <f t="shared" si="28"/>
        <v>0.00</v>
      </c>
      <c r="L18" s="1" t="str">
        <f t="shared" si="28"/>
        <v>0.00</v>
      </c>
      <c r="M18" s="1" t="str">
        <f t="shared" si="19"/>
        <v>0.00</v>
      </c>
      <c r="N18" s="1" t="str">
        <f>"债券信用发行T+2日缴款"</f>
        <v>债券信用发行T+2日缴款</v>
      </c>
    </row>
    <row r="19" spans="1:14">
      <c r="A19" s="1" t="str">
        <f t="shared" si="14"/>
        <v>20171226</v>
      </c>
      <c r="B19" s="1" t="str">
        <f>"22:26:02"</f>
        <v>22:26:02</v>
      </c>
      <c r="C19" s="1" t="str">
        <f>"736161"</f>
        <v>736161</v>
      </c>
      <c r="D19" s="1" t="str">
        <f>"科华配号"</f>
        <v>科华配号</v>
      </c>
      <c r="E19" s="1" t="str">
        <f t="shared" si="26"/>
        <v>买入</v>
      </c>
      <c r="F19" s="1" t="str">
        <f t="shared" ref="F19:F21" si="29">"0.000"</f>
        <v>0.000</v>
      </c>
      <c r="G19" s="1" t="str">
        <f>"1.00"</f>
        <v>1.00</v>
      </c>
      <c r="H19" s="1" t="str">
        <f t="shared" si="24"/>
        <v>A850418317</v>
      </c>
      <c r="I19" s="1" t="str">
        <f t="shared" ref="I19:L19" si="30">"0.00"</f>
        <v>0.00</v>
      </c>
      <c r="J19" s="1" t="str">
        <f t="shared" si="30"/>
        <v>0.00</v>
      </c>
      <c r="K19" s="1" t="str">
        <f t="shared" si="30"/>
        <v>0.00</v>
      </c>
      <c r="L19" s="1" t="str">
        <f t="shared" si="30"/>
        <v>0.00</v>
      </c>
      <c r="M19" s="1" t="str">
        <f t="shared" si="19"/>
        <v>0.00</v>
      </c>
      <c r="N19" s="1" t="str">
        <f>"起始配号:100017164820"</f>
        <v>起始配号:100017164820</v>
      </c>
    </row>
    <row r="20" spans="1:14">
      <c r="A20" s="1" t="str">
        <f t="shared" si="14"/>
        <v>20171226</v>
      </c>
      <c r="B20" s="1" t="str">
        <f>"22:23:41"</f>
        <v>22:23:41</v>
      </c>
      <c r="C20" s="1" t="str">
        <f>"300664"</f>
        <v>300664</v>
      </c>
      <c r="D20" s="1" t="str">
        <f>"鹏鹞环保"</f>
        <v>鹏鹞环保</v>
      </c>
      <c r="E20" s="1" t="str">
        <f t="shared" si="26"/>
        <v>买入</v>
      </c>
      <c r="F20" s="1" t="str">
        <f t="shared" si="29"/>
        <v>0.000</v>
      </c>
      <c r="G20" s="1" t="str">
        <f>"2.00"</f>
        <v>2.00</v>
      </c>
      <c r="H20" s="1" t="str">
        <f t="shared" ref="H20:H28" si="31">"0104152129"</f>
        <v>0104152129</v>
      </c>
      <c r="I20" s="1" t="str">
        <f t="shared" ref="I20:L20" si="32">"0.00"</f>
        <v>0.00</v>
      </c>
      <c r="J20" s="1" t="str">
        <f t="shared" si="32"/>
        <v>0.00</v>
      </c>
      <c r="K20" s="1" t="str">
        <f t="shared" si="32"/>
        <v>0.00</v>
      </c>
      <c r="L20" s="1" t="str">
        <f t="shared" si="32"/>
        <v>0.00</v>
      </c>
      <c r="M20" s="1" t="str">
        <f t="shared" si="19"/>
        <v>0.00</v>
      </c>
      <c r="N20" s="1" t="str">
        <f>"起始配号:48347474"</f>
        <v>起始配号:48347474</v>
      </c>
    </row>
    <row r="21" spans="1:14">
      <c r="A21" s="1" t="str">
        <f t="shared" si="14"/>
        <v>20171226</v>
      </c>
      <c r="B21" s="1" t="str">
        <f>"22:24:21"</f>
        <v>22:24:21</v>
      </c>
      <c r="C21" s="1" t="str">
        <f>"002923"</f>
        <v>002923</v>
      </c>
      <c r="D21" s="1" t="str">
        <f>"润都股份"</f>
        <v>润都股份</v>
      </c>
      <c r="E21" s="1" t="str">
        <f t="shared" si="26"/>
        <v>买入</v>
      </c>
      <c r="F21" s="1" t="str">
        <f t="shared" si="29"/>
        <v>0.000</v>
      </c>
      <c r="G21" s="1" t="str">
        <f>"2.00"</f>
        <v>2.00</v>
      </c>
      <c r="H21" s="1" t="str">
        <f t="shared" si="31"/>
        <v>0104152129</v>
      </c>
      <c r="I21" s="1" t="str">
        <f t="shared" ref="I21:L21" si="33">"0.00"</f>
        <v>0.00</v>
      </c>
      <c r="J21" s="1" t="str">
        <f t="shared" si="33"/>
        <v>0.00</v>
      </c>
      <c r="K21" s="1" t="str">
        <f t="shared" si="33"/>
        <v>0.00</v>
      </c>
      <c r="L21" s="1" t="str">
        <f t="shared" si="33"/>
        <v>0.00</v>
      </c>
      <c r="M21" s="1" t="str">
        <f t="shared" si="19"/>
        <v>0.00</v>
      </c>
      <c r="N21" s="1" t="str">
        <f>"起始配号:34298881"</f>
        <v>起始配号:34298881</v>
      </c>
    </row>
    <row r="22" spans="1:14">
      <c r="A22" s="1" t="str">
        <f t="shared" ref="A22:A34" si="34">"20171227"</f>
        <v>20171227</v>
      </c>
      <c r="B22" s="1" t="str">
        <f>"09:25:00"</f>
        <v>09:25:00</v>
      </c>
      <c r="C22" s="1" t="str">
        <f>"600291"</f>
        <v>600291</v>
      </c>
      <c r="D22" s="1" t="str">
        <f>"西水股份"</f>
        <v>西水股份</v>
      </c>
      <c r="E22" s="1" t="str">
        <f t="shared" si="26"/>
        <v>买入</v>
      </c>
      <c r="F22" s="1" t="str">
        <f>"23.860"</f>
        <v>23.860</v>
      </c>
      <c r="G22" s="1" t="str">
        <f>"200.00"</f>
        <v>200.00</v>
      </c>
      <c r="H22" s="1" t="str">
        <f>"A850418317"</f>
        <v>A850418317</v>
      </c>
      <c r="I22" s="1" t="str">
        <f>"4772.00"</f>
        <v>4772.00</v>
      </c>
      <c r="J22" s="1" t="str">
        <f t="shared" ref="J22:J28" si="35">"5.00"</f>
        <v>5.00</v>
      </c>
      <c r="K22" s="1" t="str">
        <f t="shared" ref="K22:K34" si="36">"0.00"</f>
        <v>0.00</v>
      </c>
      <c r="L22" s="1" t="str">
        <f>"0.10"</f>
        <v>0.10</v>
      </c>
      <c r="M22" s="1" t="str">
        <f t="shared" si="19"/>
        <v>0.00</v>
      </c>
      <c r="N22" s="1" t="str">
        <f t="shared" ref="N22:N28" si="37">"证券买入"</f>
        <v>证券买入</v>
      </c>
    </row>
    <row r="23" spans="1:14">
      <c r="A23" s="1" t="str">
        <f t="shared" si="34"/>
        <v>20171227</v>
      </c>
      <c r="B23" s="1" t="str">
        <f>"09:35:56"</f>
        <v>09:35:56</v>
      </c>
      <c r="C23" s="1" t="str">
        <f>"601933"</f>
        <v>601933</v>
      </c>
      <c r="D23" s="1" t="str">
        <f>"永辉超市"</f>
        <v>永辉超市</v>
      </c>
      <c r="E23" s="1" t="str">
        <f>"卖出"</f>
        <v>卖出</v>
      </c>
      <c r="F23" s="1" t="str">
        <f>"10.120"</f>
        <v>10.120</v>
      </c>
      <c r="G23" s="1" t="str">
        <f>"-400.00"</f>
        <v>-400.00</v>
      </c>
      <c r="H23" s="1" t="str">
        <f>"A850418317"</f>
        <v>A850418317</v>
      </c>
      <c r="I23" s="1" t="str">
        <f>"4048.00"</f>
        <v>4048.00</v>
      </c>
      <c r="J23" s="1" t="str">
        <f t="shared" si="35"/>
        <v>5.00</v>
      </c>
      <c r="K23" s="1" t="str">
        <f>"4.05"</f>
        <v>4.05</v>
      </c>
      <c r="L23" s="1" t="str">
        <f t="shared" ref="L23:L27" si="38">"0.08"</f>
        <v>0.08</v>
      </c>
      <c r="M23" s="1" t="str">
        <f t="shared" si="19"/>
        <v>0.00</v>
      </c>
      <c r="N23" s="1" t="str">
        <f>"证券卖出"</f>
        <v>证券卖出</v>
      </c>
    </row>
    <row r="24" spans="1:14">
      <c r="A24" s="1" t="str">
        <f t="shared" si="34"/>
        <v>20171227</v>
      </c>
      <c r="B24" s="1" t="str">
        <f>"09:30:02"</f>
        <v>09:30:02</v>
      </c>
      <c r="C24" s="1" t="str">
        <f>"000608"</f>
        <v>000608</v>
      </c>
      <c r="D24" s="1" t="str">
        <f>"阳光股份"</f>
        <v>阳光股份</v>
      </c>
      <c r="E24" s="1" t="str">
        <f t="shared" ref="E24:E28" si="39">"买入"</f>
        <v>买入</v>
      </c>
      <c r="F24" s="1" t="str">
        <f>"6.420"</f>
        <v>6.420</v>
      </c>
      <c r="G24" s="1" t="str">
        <f>"500.00"</f>
        <v>500.00</v>
      </c>
      <c r="H24" s="1" t="str">
        <f t="shared" si="31"/>
        <v>0104152129</v>
      </c>
      <c r="I24" s="1" t="str">
        <f>"3210.00"</f>
        <v>3210.00</v>
      </c>
      <c r="J24" s="1" t="str">
        <f t="shared" si="35"/>
        <v>5.00</v>
      </c>
      <c r="K24" s="1" t="str">
        <f t="shared" si="36"/>
        <v>0.00</v>
      </c>
      <c r="L24" s="1" t="str">
        <f>"0.06"</f>
        <v>0.06</v>
      </c>
      <c r="M24" s="1" t="str">
        <f t="shared" si="19"/>
        <v>0.00</v>
      </c>
      <c r="N24" s="1" t="str">
        <f t="shared" si="37"/>
        <v>证券买入</v>
      </c>
    </row>
    <row r="25" spans="1:14">
      <c r="A25" s="1" t="str">
        <f t="shared" si="34"/>
        <v>20171227</v>
      </c>
      <c r="B25" s="1" t="str">
        <f>"09:30:10"</f>
        <v>09:30:10</v>
      </c>
      <c r="C25" s="1" t="str">
        <f>"300072"</f>
        <v>300072</v>
      </c>
      <c r="D25" s="1" t="str">
        <f>"三聚环保"</f>
        <v>三聚环保</v>
      </c>
      <c r="E25" s="1" t="str">
        <f t="shared" si="39"/>
        <v>买入</v>
      </c>
      <c r="F25" s="1" t="str">
        <f>"37.110"</f>
        <v>37.110</v>
      </c>
      <c r="G25" s="1" t="str">
        <f t="shared" ref="G25:G28" si="40">"100.00"</f>
        <v>100.00</v>
      </c>
      <c r="H25" s="1" t="str">
        <f t="shared" si="31"/>
        <v>0104152129</v>
      </c>
      <c r="I25" s="1" t="str">
        <f>"3711.00"</f>
        <v>3711.00</v>
      </c>
      <c r="J25" s="1" t="str">
        <f t="shared" si="35"/>
        <v>5.00</v>
      </c>
      <c r="K25" s="1" t="str">
        <f t="shared" si="36"/>
        <v>0.00</v>
      </c>
      <c r="L25" s="1" t="str">
        <f>"0.07"</f>
        <v>0.07</v>
      </c>
      <c r="M25" s="1" t="str">
        <f t="shared" si="19"/>
        <v>0.00</v>
      </c>
      <c r="N25" s="1" t="str">
        <f t="shared" si="37"/>
        <v>证券买入</v>
      </c>
    </row>
    <row r="26" spans="1:14">
      <c r="A26" s="1" t="str">
        <f t="shared" si="34"/>
        <v>20171227</v>
      </c>
      <c r="B26" s="1" t="str">
        <f>"10:14:11"</f>
        <v>10:14:11</v>
      </c>
      <c r="C26" s="1" t="str">
        <f>"300349"</f>
        <v>300349</v>
      </c>
      <c r="D26" s="1" t="str">
        <f>"金卡智能"</f>
        <v>金卡智能</v>
      </c>
      <c r="E26" s="1" t="str">
        <f t="shared" si="39"/>
        <v>买入</v>
      </c>
      <c r="F26" s="1" t="str">
        <f>"39.950"</f>
        <v>39.950</v>
      </c>
      <c r="G26" s="1" t="str">
        <f t="shared" si="40"/>
        <v>100.00</v>
      </c>
      <c r="H26" s="1" t="str">
        <f t="shared" si="31"/>
        <v>0104152129</v>
      </c>
      <c r="I26" s="1" t="str">
        <f>"3995.00"</f>
        <v>3995.00</v>
      </c>
      <c r="J26" s="1" t="str">
        <f t="shared" si="35"/>
        <v>5.00</v>
      </c>
      <c r="K26" s="1" t="str">
        <f t="shared" si="36"/>
        <v>0.00</v>
      </c>
      <c r="L26" s="1" t="str">
        <f t="shared" si="38"/>
        <v>0.08</v>
      </c>
      <c r="M26" s="1" t="str">
        <f t="shared" si="19"/>
        <v>0.00</v>
      </c>
      <c r="N26" s="1" t="str">
        <f t="shared" si="37"/>
        <v>证券买入</v>
      </c>
    </row>
    <row r="27" spans="1:14">
      <c r="A27" s="1" t="str">
        <f t="shared" si="34"/>
        <v>20171227</v>
      </c>
      <c r="B27" s="1" t="str">
        <f>"10:16:17"</f>
        <v>10:16:17</v>
      </c>
      <c r="C27" s="1" t="str">
        <f>"300349"</f>
        <v>300349</v>
      </c>
      <c r="D27" s="1" t="str">
        <f>"金卡智能"</f>
        <v>金卡智能</v>
      </c>
      <c r="E27" s="1" t="str">
        <f t="shared" si="39"/>
        <v>买入</v>
      </c>
      <c r="F27" s="1" t="str">
        <f>"39.750"</f>
        <v>39.750</v>
      </c>
      <c r="G27" s="1" t="str">
        <f t="shared" si="40"/>
        <v>100.00</v>
      </c>
      <c r="H27" s="1" t="str">
        <f t="shared" si="31"/>
        <v>0104152129</v>
      </c>
      <c r="I27" s="1" t="str">
        <f>"3975.00"</f>
        <v>3975.00</v>
      </c>
      <c r="J27" s="1" t="str">
        <f t="shared" si="35"/>
        <v>5.00</v>
      </c>
      <c r="K27" s="1" t="str">
        <f t="shared" si="36"/>
        <v>0.00</v>
      </c>
      <c r="L27" s="1" t="str">
        <f t="shared" si="38"/>
        <v>0.08</v>
      </c>
      <c r="M27" s="1" t="str">
        <f t="shared" si="19"/>
        <v>0.00</v>
      </c>
      <c r="N27" s="1" t="str">
        <f t="shared" si="37"/>
        <v>证券买入</v>
      </c>
    </row>
    <row r="28" spans="1:14">
      <c r="A28" s="1" t="str">
        <f t="shared" si="34"/>
        <v>20171227</v>
      </c>
      <c r="B28" s="1" t="str">
        <f>"14:08:37"</f>
        <v>14:08:37</v>
      </c>
      <c r="C28" s="1" t="str">
        <f>"002594"</f>
        <v>002594</v>
      </c>
      <c r="D28" s="1" t="str">
        <f>"比亚迪"</f>
        <v>比亚迪</v>
      </c>
      <c r="E28" s="1" t="str">
        <f t="shared" si="39"/>
        <v>买入</v>
      </c>
      <c r="F28" s="1" t="str">
        <f>"69.000"</f>
        <v>69.000</v>
      </c>
      <c r="G28" s="1" t="str">
        <f t="shared" si="40"/>
        <v>100.00</v>
      </c>
      <c r="H28" s="1" t="str">
        <f t="shared" si="31"/>
        <v>0104152129</v>
      </c>
      <c r="I28" s="1" t="str">
        <f>"6900.00"</f>
        <v>6900.00</v>
      </c>
      <c r="J28" s="1" t="str">
        <f t="shared" si="35"/>
        <v>5.00</v>
      </c>
      <c r="K28" s="1" t="str">
        <f t="shared" si="36"/>
        <v>0.00</v>
      </c>
      <c r="L28" s="1" t="str">
        <f>"0.14"</f>
        <v>0.14</v>
      </c>
      <c r="M28" s="1" t="str">
        <f t="shared" si="19"/>
        <v>0.00</v>
      </c>
      <c r="N28" s="1" t="str">
        <f t="shared" si="37"/>
        <v>证券买入</v>
      </c>
    </row>
    <row r="29" spans="1:14">
      <c r="A29" s="1" t="str">
        <f t="shared" si="34"/>
        <v>20171227</v>
      </c>
      <c r="B29" s="1" t="str">
        <f>"00:00:01"</f>
        <v>00:00:01</v>
      </c>
      <c r="C29" s="1" t="str">
        <f t="shared" ref="C29:C31" si="41">"733863"</f>
        <v>733863</v>
      </c>
      <c r="D29" s="1" t="str">
        <f t="shared" ref="D29:D31" si="42">"内蒙发债"</f>
        <v>内蒙发债</v>
      </c>
      <c r="E29" s="1" t="str">
        <f t="shared" ref="E29:E33" si="43">"卖出"</f>
        <v>卖出</v>
      </c>
      <c r="F29" s="1" t="str">
        <f t="shared" ref="F29:F34" si="44">"100.000"</f>
        <v>100.000</v>
      </c>
      <c r="G29" s="1" t="str">
        <f>"-20.00"</f>
        <v>-20.00</v>
      </c>
      <c r="H29" s="1" t="str">
        <f t="shared" ref="H29:H31" si="45">"A850418317"</f>
        <v>A850418317</v>
      </c>
      <c r="I29" s="1" t="str">
        <f t="shared" ref="I29:L29" si="46">"0.00"</f>
        <v>0.00</v>
      </c>
      <c r="J29" s="1" t="str">
        <f t="shared" si="46"/>
        <v>0.00</v>
      </c>
      <c r="K29" s="1" t="str">
        <f t="shared" si="36"/>
        <v>0.00</v>
      </c>
      <c r="L29" s="1" t="str">
        <f t="shared" si="46"/>
        <v>0.00</v>
      </c>
      <c r="M29" s="1" t="str">
        <f t="shared" si="19"/>
        <v>0.00</v>
      </c>
      <c r="N29" s="1" t="str">
        <f>"债券信用配售确认股份回冲"</f>
        <v>债券信用配售确认股份回冲</v>
      </c>
    </row>
    <row r="30" spans="1:14">
      <c r="A30" s="1" t="str">
        <f t="shared" si="34"/>
        <v>20171227</v>
      </c>
      <c r="B30" s="1" t="str">
        <f>"15:59:00"</f>
        <v>15:59:00</v>
      </c>
      <c r="C30" s="1" t="str">
        <f t="shared" si="41"/>
        <v>733863</v>
      </c>
      <c r="D30" s="1" t="str">
        <f t="shared" si="42"/>
        <v>内蒙发债</v>
      </c>
      <c r="E30" s="1" t="str">
        <f t="shared" si="43"/>
        <v>卖出</v>
      </c>
      <c r="F30" s="1" t="str">
        <f t="shared" si="44"/>
        <v>100.000</v>
      </c>
      <c r="G30" s="1" t="str">
        <f t="shared" ref="G30:L30" si="47">"0.00"</f>
        <v>0.00</v>
      </c>
      <c r="H30" s="1" t="str">
        <f t="shared" si="45"/>
        <v>A850418317</v>
      </c>
      <c r="I30" s="1" t="str">
        <f>"2000.00"</f>
        <v>2000.00</v>
      </c>
      <c r="J30" s="1" t="str">
        <f t="shared" si="47"/>
        <v>0.00</v>
      </c>
      <c r="K30" s="1" t="str">
        <f t="shared" si="36"/>
        <v>0.00</v>
      </c>
      <c r="L30" s="1" t="str">
        <f t="shared" si="47"/>
        <v>0.00</v>
      </c>
      <c r="M30" s="1" t="str">
        <f t="shared" si="19"/>
        <v>0.00</v>
      </c>
      <c r="N30" s="1" t="str">
        <f>"债券信用发行T+2日缴款回冲"</f>
        <v>债券信用发行T+2日缴款回冲</v>
      </c>
    </row>
    <row r="31" spans="1:14">
      <c r="A31" s="1" t="str">
        <f t="shared" si="34"/>
        <v>20171227</v>
      </c>
      <c r="B31" s="1" t="str">
        <f>"16:00:00"</f>
        <v>16:00:00</v>
      </c>
      <c r="C31" s="1" t="str">
        <f t="shared" si="41"/>
        <v>733863</v>
      </c>
      <c r="D31" s="1" t="str">
        <f t="shared" si="42"/>
        <v>内蒙发债</v>
      </c>
      <c r="E31" s="1" t="str">
        <f>"买入"</f>
        <v>买入</v>
      </c>
      <c r="F31" s="1" t="str">
        <f t="shared" si="44"/>
        <v>100.000</v>
      </c>
      <c r="G31" s="1" t="str">
        <f>"20.00"</f>
        <v>20.00</v>
      </c>
      <c r="H31" s="1" t="str">
        <f t="shared" si="45"/>
        <v>A850418317</v>
      </c>
      <c r="I31" s="1" t="str">
        <f>"2000.00"</f>
        <v>2000.00</v>
      </c>
      <c r="J31" s="1" t="str">
        <f>"0.00"</f>
        <v>0.00</v>
      </c>
      <c r="K31" s="1" t="str">
        <f t="shared" si="36"/>
        <v>0.00</v>
      </c>
      <c r="L31" s="1" t="str">
        <f>"0.00"</f>
        <v>0.00</v>
      </c>
      <c r="M31" s="1" t="str">
        <f t="shared" si="19"/>
        <v>0.00</v>
      </c>
      <c r="N31" s="1" t="str">
        <f>"债券信用配售确认"</f>
        <v>债券信用配售确认</v>
      </c>
    </row>
    <row r="32" spans="1:14">
      <c r="A32" s="1" t="str">
        <f t="shared" si="34"/>
        <v>20171227</v>
      </c>
      <c r="B32" s="1" t="str">
        <f>"00:00:01"</f>
        <v>00:00:01</v>
      </c>
      <c r="C32" s="1" t="str">
        <f t="shared" ref="C32:C34" si="48">"072100"</f>
        <v>072100</v>
      </c>
      <c r="D32" s="1" t="str">
        <f t="shared" ref="D32:D34" si="49">"天康发债"</f>
        <v>天康发债</v>
      </c>
      <c r="E32" s="1" t="str">
        <f t="shared" si="43"/>
        <v>卖出</v>
      </c>
      <c r="F32" s="1" t="str">
        <f t="shared" si="44"/>
        <v>100.000</v>
      </c>
      <c r="G32" s="1" t="str">
        <f>"-10.00"</f>
        <v>-10.00</v>
      </c>
      <c r="H32" s="1" t="str">
        <f t="shared" ref="H32:H38" si="50">"0104152129"</f>
        <v>0104152129</v>
      </c>
      <c r="I32" s="1" t="str">
        <f t="shared" ref="I32:L32" si="51">"0.00"</f>
        <v>0.00</v>
      </c>
      <c r="J32" s="1" t="str">
        <f t="shared" si="51"/>
        <v>0.00</v>
      </c>
      <c r="K32" s="1" t="str">
        <f t="shared" si="36"/>
        <v>0.00</v>
      </c>
      <c r="L32" s="1" t="str">
        <f t="shared" si="51"/>
        <v>0.00</v>
      </c>
      <c r="M32" s="1" t="str">
        <f t="shared" si="19"/>
        <v>0.00</v>
      </c>
      <c r="N32" s="1" t="str">
        <f>"债券信用配售确认股份回冲"</f>
        <v>债券信用配售确认股份回冲</v>
      </c>
    </row>
    <row r="33" spans="1:14">
      <c r="A33" s="1" t="str">
        <f t="shared" si="34"/>
        <v>20171227</v>
      </c>
      <c r="B33" s="1" t="str">
        <f>"15:59:00"</f>
        <v>15:59:00</v>
      </c>
      <c r="C33" s="1" t="str">
        <f t="shared" si="48"/>
        <v>072100</v>
      </c>
      <c r="D33" s="1" t="str">
        <f t="shared" si="49"/>
        <v>天康发债</v>
      </c>
      <c r="E33" s="1" t="str">
        <f t="shared" si="43"/>
        <v>卖出</v>
      </c>
      <c r="F33" s="1" t="str">
        <f t="shared" si="44"/>
        <v>100.000</v>
      </c>
      <c r="G33" s="1" t="str">
        <f t="shared" ref="G33:L33" si="52">"0.00"</f>
        <v>0.00</v>
      </c>
      <c r="H33" s="1" t="str">
        <f t="shared" si="50"/>
        <v>0104152129</v>
      </c>
      <c r="I33" s="1" t="str">
        <f>"1000.00"</f>
        <v>1000.00</v>
      </c>
      <c r="J33" s="1" t="str">
        <f t="shared" si="52"/>
        <v>0.00</v>
      </c>
      <c r="K33" s="1" t="str">
        <f t="shared" si="36"/>
        <v>0.00</v>
      </c>
      <c r="L33" s="1" t="str">
        <f t="shared" si="52"/>
        <v>0.00</v>
      </c>
      <c r="M33" s="1" t="str">
        <f t="shared" si="19"/>
        <v>0.00</v>
      </c>
      <c r="N33" s="1" t="str">
        <f>"债券信用发行T+2日缴款回冲"</f>
        <v>债券信用发行T+2日缴款回冲</v>
      </c>
    </row>
    <row r="34" spans="1:14">
      <c r="A34" s="1" t="str">
        <f t="shared" si="34"/>
        <v>20171227</v>
      </c>
      <c r="B34" s="1" t="str">
        <f>"16:00:00"</f>
        <v>16:00:00</v>
      </c>
      <c r="C34" s="1" t="str">
        <f t="shared" si="48"/>
        <v>072100</v>
      </c>
      <c r="D34" s="1" t="str">
        <f t="shared" si="49"/>
        <v>天康发债</v>
      </c>
      <c r="E34" s="1" t="str">
        <f t="shared" ref="E34:E41" si="53">"买入"</f>
        <v>买入</v>
      </c>
      <c r="F34" s="1" t="str">
        <f t="shared" si="44"/>
        <v>100.000</v>
      </c>
      <c r="G34" s="1" t="str">
        <f>"10.00"</f>
        <v>10.00</v>
      </c>
      <c r="H34" s="1" t="str">
        <f t="shared" si="50"/>
        <v>0104152129</v>
      </c>
      <c r="I34" s="1" t="str">
        <f>"1000.00"</f>
        <v>1000.00</v>
      </c>
      <c r="J34" s="1" t="str">
        <f>"0.00"</f>
        <v>0.00</v>
      </c>
      <c r="K34" s="1" t="str">
        <f t="shared" si="36"/>
        <v>0.00</v>
      </c>
      <c r="L34" s="1" t="str">
        <f>"0.00"</f>
        <v>0.00</v>
      </c>
      <c r="M34" s="1" t="str">
        <f t="shared" si="19"/>
        <v>0.00</v>
      </c>
      <c r="N34" s="1" t="str">
        <f>"债券信用配售确认"</f>
        <v>债券信用配售确认</v>
      </c>
    </row>
    <row r="35" spans="1:14">
      <c r="A35" s="1" t="str">
        <f t="shared" ref="A35:A37" si="54">"20171228"</f>
        <v>20171228</v>
      </c>
      <c r="B35" s="1" t="str">
        <f>"10:02:51"</f>
        <v>10:02:51</v>
      </c>
      <c r="C35" s="1" t="str">
        <f>"300072"</f>
        <v>300072</v>
      </c>
      <c r="D35" s="1" t="str">
        <f>"三聚环保"</f>
        <v>三聚环保</v>
      </c>
      <c r="E35" s="1" t="str">
        <f t="shared" ref="E35:E38" si="55">"卖出"</f>
        <v>卖出</v>
      </c>
      <c r="F35" s="1" t="str">
        <f>"36.000"</f>
        <v>36.000</v>
      </c>
      <c r="G35" s="1" t="str">
        <f>"-100.00"</f>
        <v>-100.00</v>
      </c>
      <c r="H35" s="1" t="str">
        <f t="shared" si="50"/>
        <v>0104152129</v>
      </c>
      <c r="I35" s="1" t="str">
        <f>"3600.00"</f>
        <v>3600.00</v>
      </c>
      <c r="J35" s="1" t="str">
        <f t="shared" ref="J35:J39" si="56">"5.00"</f>
        <v>5.00</v>
      </c>
      <c r="K35" s="1" t="str">
        <f>"3.60"</f>
        <v>3.60</v>
      </c>
      <c r="L35" s="1" t="str">
        <f>"0.07"</f>
        <v>0.07</v>
      </c>
      <c r="M35" s="1" t="str">
        <f t="shared" si="19"/>
        <v>0.00</v>
      </c>
      <c r="N35" s="1" t="str">
        <f t="shared" ref="N35:N38" si="57">"证券卖出"</f>
        <v>证券卖出</v>
      </c>
    </row>
    <row r="36" spans="1:14">
      <c r="A36" s="1" t="str">
        <f t="shared" si="54"/>
        <v>20171228</v>
      </c>
      <c r="B36" s="1" t="str">
        <f>"13:36:42"</f>
        <v>13:36:42</v>
      </c>
      <c r="C36" s="1" t="str">
        <f>"300349"</f>
        <v>300349</v>
      </c>
      <c r="D36" s="1" t="str">
        <f>"金卡智能"</f>
        <v>金卡智能</v>
      </c>
      <c r="E36" s="1" t="str">
        <f t="shared" si="55"/>
        <v>卖出</v>
      </c>
      <c r="F36" s="1" t="str">
        <f>"38.350"</f>
        <v>38.350</v>
      </c>
      <c r="G36" s="1" t="str">
        <f>"-200.00"</f>
        <v>-200.00</v>
      </c>
      <c r="H36" s="1" t="str">
        <f t="shared" si="50"/>
        <v>0104152129</v>
      </c>
      <c r="I36" s="1" t="str">
        <f>"7670.00"</f>
        <v>7670.00</v>
      </c>
      <c r="J36" s="1" t="str">
        <f t="shared" si="56"/>
        <v>5.00</v>
      </c>
      <c r="K36" s="1" t="str">
        <f>"7.67"</f>
        <v>7.67</v>
      </c>
      <c r="L36" s="1" t="str">
        <f>"0.15"</f>
        <v>0.15</v>
      </c>
      <c r="M36" s="1" t="str">
        <f t="shared" si="19"/>
        <v>0.00</v>
      </c>
      <c r="N36" s="1" t="str">
        <f t="shared" si="57"/>
        <v>证券卖出</v>
      </c>
    </row>
    <row r="37" spans="1:14">
      <c r="A37" s="1" t="str">
        <f t="shared" si="54"/>
        <v>20171228</v>
      </c>
      <c r="B37" s="1" t="str">
        <f>"21:33:34"</f>
        <v>21:33:34</v>
      </c>
      <c r="C37" s="1" t="str">
        <f>"300736"</f>
        <v>300736</v>
      </c>
      <c r="D37" s="1" t="str">
        <f>"百华悦邦"</f>
        <v>百华悦邦</v>
      </c>
      <c r="E37" s="1" t="str">
        <f t="shared" si="53"/>
        <v>买入</v>
      </c>
      <c r="F37" s="1" t="str">
        <f>"0.000"</f>
        <v>0.000</v>
      </c>
      <c r="G37" s="1" t="str">
        <f>"2.00"</f>
        <v>2.00</v>
      </c>
      <c r="H37" s="1" t="str">
        <f t="shared" si="50"/>
        <v>0104152129</v>
      </c>
      <c r="I37" s="1" t="str">
        <f t="shared" ref="I37:L37" si="58">"0.00"</f>
        <v>0.00</v>
      </c>
      <c r="J37" s="1" t="str">
        <f t="shared" si="58"/>
        <v>0.00</v>
      </c>
      <c r="K37" s="1" t="str">
        <f t="shared" si="58"/>
        <v>0.00</v>
      </c>
      <c r="L37" s="1" t="str">
        <f t="shared" si="58"/>
        <v>0.00</v>
      </c>
      <c r="M37" s="1" t="str">
        <f t="shared" si="19"/>
        <v>0.00</v>
      </c>
      <c r="N37" s="1" t="str">
        <f>"起始配号:12860451"</f>
        <v>起始配号:12860451</v>
      </c>
    </row>
    <row r="38" spans="1:14">
      <c r="A38" s="1" t="str">
        <f>"20171229"</f>
        <v>20171229</v>
      </c>
      <c r="B38" s="1" t="str">
        <f>"11:03:19"</f>
        <v>11:03:19</v>
      </c>
      <c r="C38" s="1" t="str">
        <f>"000608"</f>
        <v>000608</v>
      </c>
      <c r="D38" s="1" t="str">
        <f>"阳光股份"</f>
        <v>阳光股份</v>
      </c>
      <c r="E38" s="1" t="str">
        <f t="shared" si="55"/>
        <v>卖出</v>
      </c>
      <c r="F38" s="1" t="str">
        <f>"6.300"</f>
        <v>6.300</v>
      </c>
      <c r="G38" s="1" t="str">
        <f>"-500.00"</f>
        <v>-500.00</v>
      </c>
      <c r="H38" s="1" t="str">
        <f t="shared" si="50"/>
        <v>0104152129</v>
      </c>
      <c r="I38" s="1" t="str">
        <f>"3150.00"</f>
        <v>3150.00</v>
      </c>
      <c r="J38" s="1" t="str">
        <f t="shared" si="56"/>
        <v>5.00</v>
      </c>
      <c r="K38" s="1" t="str">
        <f>"3.15"</f>
        <v>3.15</v>
      </c>
      <c r="L38" s="1" t="str">
        <f>"0.06"</f>
        <v>0.06</v>
      </c>
      <c r="M38" s="1" t="str">
        <f t="shared" si="19"/>
        <v>0.00</v>
      </c>
      <c r="N38" s="1" t="str">
        <f t="shared" si="57"/>
        <v>证券卖出</v>
      </c>
    </row>
    <row r="39" spans="1:14">
      <c r="A39" s="1" t="str">
        <f>"20180102"</f>
        <v>20180102</v>
      </c>
      <c r="B39" s="1" t="str">
        <f>"09:47:20"</f>
        <v>09:47:20</v>
      </c>
      <c r="C39" s="1" t="str">
        <f>"600372"</f>
        <v>600372</v>
      </c>
      <c r="D39" s="1" t="str">
        <f>"中航电子"</f>
        <v>中航电子</v>
      </c>
      <c r="E39" s="1" t="str">
        <f t="shared" si="53"/>
        <v>买入</v>
      </c>
      <c r="F39" s="1" t="str">
        <f>"13.810"</f>
        <v>13.810</v>
      </c>
      <c r="G39" s="1" t="str">
        <f>"200.00"</f>
        <v>200.00</v>
      </c>
      <c r="H39" s="1" t="str">
        <f t="shared" ref="H39:H41" si="59">"A850418317"</f>
        <v>A850418317</v>
      </c>
      <c r="I39" s="1" t="str">
        <f>"2762.00"</f>
        <v>2762.00</v>
      </c>
      <c r="J39" s="1" t="str">
        <f t="shared" si="56"/>
        <v>5.00</v>
      </c>
      <c r="K39" s="1" t="str">
        <f t="shared" ref="K39:K54" si="60">"0.00"</f>
        <v>0.00</v>
      </c>
      <c r="L39" s="1" t="str">
        <f>"0.06"</f>
        <v>0.06</v>
      </c>
      <c r="M39" s="1" t="str">
        <f t="shared" si="19"/>
        <v>0.00</v>
      </c>
      <c r="N39" s="1" t="str">
        <f t="shared" ref="N39:N43" si="61">"证券买入"</f>
        <v>证券买入</v>
      </c>
    </row>
    <row r="40" spans="1:14">
      <c r="A40" s="1" t="str">
        <f>"20180103"</f>
        <v>20180103</v>
      </c>
      <c r="B40" s="1" t="str">
        <f>"22:37:59"</f>
        <v>22:37:59</v>
      </c>
      <c r="C40" s="1" t="str">
        <f>"791828"</f>
        <v>791828</v>
      </c>
      <c r="D40" s="1" t="str">
        <f>"美凯配号"</f>
        <v>美凯配号</v>
      </c>
      <c r="E40" s="1" t="str">
        <f t="shared" si="53"/>
        <v>买入</v>
      </c>
      <c r="F40" s="1" t="str">
        <f t="shared" ref="F40:F47" si="62">"0.000"</f>
        <v>0.000</v>
      </c>
      <c r="G40" s="1" t="str">
        <f>"1.00"</f>
        <v>1.00</v>
      </c>
      <c r="H40" s="1" t="str">
        <f t="shared" si="59"/>
        <v>A850418317</v>
      </c>
      <c r="I40" s="1" t="str">
        <f t="shared" ref="I40:L40" si="63">"0.00"</f>
        <v>0.00</v>
      </c>
      <c r="J40" s="1" t="str">
        <f t="shared" si="63"/>
        <v>0.00</v>
      </c>
      <c r="K40" s="1" t="str">
        <f t="shared" si="63"/>
        <v>0.00</v>
      </c>
      <c r="L40" s="1" t="str">
        <f t="shared" si="63"/>
        <v>0.00</v>
      </c>
      <c r="M40" s="1" t="str">
        <f t="shared" si="19"/>
        <v>0.00</v>
      </c>
      <c r="N40" s="1" t="str">
        <f>"起始配号:100026462734"</f>
        <v>起始配号:100026462734</v>
      </c>
    </row>
    <row r="41" spans="1:14">
      <c r="A41" s="1" t="str">
        <f t="shared" ref="A41:A46" si="64">"20180104"</f>
        <v>20180104</v>
      </c>
      <c r="B41" s="1" t="str">
        <f>"09:30:25"</f>
        <v>09:30:25</v>
      </c>
      <c r="C41" s="1" t="str">
        <f>"601128"</f>
        <v>601128</v>
      </c>
      <c r="D41" s="1" t="str">
        <f>"常熟银行"</f>
        <v>常熟银行</v>
      </c>
      <c r="E41" s="1" t="str">
        <f t="shared" si="53"/>
        <v>买入</v>
      </c>
      <c r="F41" s="1" t="str">
        <f>"7.540"</f>
        <v>7.540</v>
      </c>
      <c r="G41" s="1" t="str">
        <f>"100.00"</f>
        <v>100.00</v>
      </c>
      <c r="H41" s="1" t="str">
        <f t="shared" si="59"/>
        <v>A850418317</v>
      </c>
      <c r="I41" s="1" t="str">
        <f>"754.00"</f>
        <v>754.00</v>
      </c>
      <c r="J41" s="1" t="str">
        <f t="shared" ref="J41:J43" si="65">"5.00"</f>
        <v>5.00</v>
      </c>
      <c r="K41" s="1" t="str">
        <f t="shared" si="60"/>
        <v>0.00</v>
      </c>
      <c r="L41" s="1" t="str">
        <f>"0.02"</f>
        <v>0.02</v>
      </c>
      <c r="M41" s="1" t="str">
        <f t="shared" si="19"/>
        <v>0.00</v>
      </c>
      <c r="N41" s="1" t="str">
        <f t="shared" si="61"/>
        <v>证券买入</v>
      </c>
    </row>
    <row r="42" spans="1:14">
      <c r="A42" s="1" t="str">
        <f t="shared" si="64"/>
        <v>20180104</v>
      </c>
      <c r="B42" s="1" t="str">
        <f>"09:25:00"</f>
        <v>09:25:00</v>
      </c>
      <c r="C42" s="1" t="str">
        <f>"002594"</f>
        <v>002594</v>
      </c>
      <c r="D42" s="1" t="str">
        <f>"比亚迪"</f>
        <v>比亚迪</v>
      </c>
      <c r="E42" s="1" t="str">
        <f>"卖出"</f>
        <v>卖出</v>
      </c>
      <c r="F42" s="1" t="str">
        <f>"66.000"</f>
        <v>66.000</v>
      </c>
      <c r="G42" s="1" t="str">
        <f>"-100.00"</f>
        <v>-100.00</v>
      </c>
      <c r="H42" s="1" t="str">
        <f t="shared" ref="H42:H47" si="66">"0104152129"</f>
        <v>0104152129</v>
      </c>
      <c r="I42" s="1" t="str">
        <f>"6600.00"</f>
        <v>6600.00</v>
      </c>
      <c r="J42" s="1" t="str">
        <f t="shared" si="65"/>
        <v>5.00</v>
      </c>
      <c r="K42" s="1" t="str">
        <f>"6.60"</f>
        <v>6.60</v>
      </c>
      <c r="L42" s="1" t="str">
        <f>"0.13"</f>
        <v>0.13</v>
      </c>
      <c r="M42" s="1" t="str">
        <f t="shared" si="19"/>
        <v>0.00</v>
      </c>
      <c r="N42" s="1" t="str">
        <f>"证券卖出"</f>
        <v>证券卖出</v>
      </c>
    </row>
    <row r="43" spans="1:14">
      <c r="A43" s="1" t="str">
        <f t="shared" si="64"/>
        <v>20180104</v>
      </c>
      <c r="B43" s="1" t="str">
        <f>"09:30:01"</f>
        <v>09:30:01</v>
      </c>
      <c r="C43" s="1" t="str">
        <f>"002373"</f>
        <v>002373</v>
      </c>
      <c r="D43" s="1" t="str">
        <f>"千方科技"</f>
        <v>千方科技</v>
      </c>
      <c r="E43" s="1" t="str">
        <f t="shared" ref="E43:E49" si="67">"买入"</f>
        <v>买入</v>
      </c>
      <c r="F43" s="1" t="str">
        <f>"14.900"</f>
        <v>14.900</v>
      </c>
      <c r="G43" s="1" t="str">
        <f>"400.00"</f>
        <v>400.00</v>
      </c>
      <c r="H43" s="1" t="str">
        <f t="shared" si="66"/>
        <v>0104152129</v>
      </c>
      <c r="I43" s="1" t="str">
        <f>"5960.00"</f>
        <v>5960.00</v>
      </c>
      <c r="J43" s="1" t="str">
        <f t="shared" si="65"/>
        <v>5.00</v>
      </c>
      <c r="K43" s="1" t="str">
        <f t="shared" si="60"/>
        <v>0.00</v>
      </c>
      <c r="L43" s="1" t="str">
        <f>"0.12"</f>
        <v>0.12</v>
      </c>
      <c r="M43" s="1" t="str">
        <f t="shared" si="19"/>
        <v>0.00</v>
      </c>
      <c r="N43" s="1" t="str">
        <f t="shared" si="61"/>
        <v>证券买入</v>
      </c>
    </row>
    <row r="44" spans="1:14">
      <c r="A44" s="1" t="str">
        <f t="shared" si="64"/>
        <v>20180104</v>
      </c>
      <c r="B44" s="1" t="str">
        <f>"22:05:06"</f>
        <v>22:05:06</v>
      </c>
      <c r="C44" s="1" t="str">
        <f>"736056"</f>
        <v>736056</v>
      </c>
      <c r="D44" s="1" t="str">
        <f>"德邦配号"</f>
        <v>德邦配号</v>
      </c>
      <c r="E44" s="1" t="str">
        <f t="shared" si="67"/>
        <v>买入</v>
      </c>
      <c r="F44" s="1" t="str">
        <f t="shared" si="62"/>
        <v>0.000</v>
      </c>
      <c r="G44" s="1" t="str">
        <f>"1.00"</f>
        <v>1.00</v>
      </c>
      <c r="H44" s="1" t="str">
        <f>"A850418317"</f>
        <v>A850418317</v>
      </c>
      <c r="I44" s="1" t="str">
        <f t="shared" ref="I44:L44" si="68">"0.00"</f>
        <v>0.00</v>
      </c>
      <c r="J44" s="1" t="str">
        <f t="shared" si="68"/>
        <v>0.00</v>
      </c>
      <c r="K44" s="1" t="str">
        <f t="shared" si="60"/>
        <v>0.00</v>
      </c>
      <c r="L44" s="1" t="str">
        <f t="shared" si="68"/>
        <v>0.00</v>
      </c>
      <c r="M44" s="1" t="str">
        <f t="shared" si="19"/>
        <v>0.00</v>
      </c>
      <c r="N44" s="1" t="str">
        <f>"起始配号:100037256229"</f>
        <v>起始配号:100037256229</v>
      </c>
    </row>
    <row r="45" spans="1:14">
      <c r="A45" s="1" t="str">
        <f t="shared" si="64"/>
        <v>20180104</v>
      </c>
      <c r="B45" s="1" t="str">
        <f>"22:04:01"</f>
        <v>22:04:01</v>
      </c>
      <c r="C45" s="1" t="str">
        <f>"002925"</f>
        <v>002925</v>
      </c>
      <c r="D45" s="1" t="str">
        <f>"盈趣科技"</f>
        <v>盈趣科技</v>
      </c>
      <c r="E45" s="1" t="str">
        <f t="shared" si="67"/>
        <v>买入</v>
      </c>
      <c r="F45" s="1" t="str">
        <f t="shared" si="62"/>
        <v>0.000</v>
      </c>
      <c r="G45" s="1" t="str">
        <f t="shared" ref="G45:G47" si="69">"2.00"</f>
        <v>2.00</v>
      </c>
      <c r="H45" s="1" t="str">
        <f t="shared" si="66"/>
        <v>0104152129</v>
      </c>
      <c r="I45" s="1" t="str">
        <f t="shared" ref="I45:L45" si="70">"0.00"</f>
        <v>0.00</v>
      </c>
      <c r="J45" s="1" t="str">
        <f t="shared" si="70"/>
        <v>0.00</v>
      </c>
      <c r="K45" s="1" t="str">
        <f t="shared" si="60"/>
        <v>0.00</v>
      </c>
      <c r="L45" s="1" t="str">
        <f t="shared" si="70"/>
        <v>0.00</v>
      </c>
      <c r="M45" s="1" t="str">
        <f t="shared" si="19"/>
        <v>0.00</v>
      </c>
      <c r="N45" s="1" t="str">
        <f>"起始配号:76228592"</f>
        <v>起始配号:76228592</v>
      </c>
    </row>
    <row r="46" spans="1:14">
      <c r="A46" s="1" t="str">
        <f t="shared" si="64"/>
        <v>20180104</v>
      </c>
      <c r="B46" s="1" t="str">
        <f>"22:04:35"</f>
        <v>22:04:35</v>
      </c>
      <c r="C46" s="1" t="str">
        <f>"300733"</f>
        <v>300733</v>
      </c>
      <c r="D46" s="1" t="str">
        <f>"西菱动力"</f>
        <v>西菱动力</v>
      </c>
      <c r="E46" s="1" t="str">
        <f t="shared" si="67"/>
        <v>买入</v>
      </c>
      <c r="F46" s="1" t="str">
        <f t="shared" si="62"/>
        <v>0.000</v>
      </c>
      <c r="G46" s="1" t="str">
        <f t="shared" si="69"/>
        <v>2.00</v>
      </c>
      <c r="H46" s="1" t="str">
        <f t="shared" si="66"/>
        <v>0104152129</v>
      </c>
      <c r="I46" s="1" t="str">
        <f t="shared" ref="I46:L46" si="71">"0.00"</f>
        <v>0.00</v>
      </c>
      <c r="J46" s="1" t="str">
        <f t="shared" si="71"/>
        <v>0.00</v>
      </c>
      <c r="K46" s="1" t="str">
        <f t="shared" si="60"/>
        <v>0.00</v>
      </c>
      <c r="L46" s="1" t="str">
        <f t="shared" si="71"/>
        <v>0.00</v>
      </c>
      <c r="M46" s="1" t="str">
        <f t="shared" si="19"/>
        <v>0.00</v>
      </c>
      <c r="N46" s="1" t="str">
        <f>"起始配号:57249605"</f>
        <v>起始配号:57249605</v>
      </c>
    </row>
    <row r="47" spans="1:14">
      <c r="A47" s="1" t="str">
        <f>"20180105"</f>
        <v>20180105</v>
      </c>
      <c r="B47" s="1" t="str">
        <f>"22:25:28"</f>
        <v>22:25:28</v>
      </c>
      <c r="C47" s="1" t="str">
        <f>"300624"</f>
        <v>300624</v>
      </c>
      <c r="D47" s="1" t="str">
        <f>"万兴科技"</f>
        <v>万兴科技</v>
      </c>
      <c r="E47" s="1" t="str">
        <f t="shared" si="67"/>
        <v>买入</v>
      </c>
      <c r="F47" s="1" t="str">
        <f t="shared" si="62"/>
        <v>0.000</v>
      </c>
      <c r="G47" s="1" t="str">
        <f t="shared" si="69"/>
        <v>2.00</v>
      </c>
      <c r="H47" s="1" t="str">
        <f t="shared" si="66"/>
        <v>0104152129</v>
      </c>
      <c r="I47" s="1" t="str">
        <f t="shared" ref="I47:L47" si="72">"0.00"</f>
        <v>0.00</v>
      </c>
      <c r="J47" s="1" t="str">
        <f t="shared" si="72"/>
        <v>0.00</v>
      </c>
      <c r="K47" s="1" t="str">
        <f t="shared" si="60"/>
        <v>0.00</v>
      </c>
      <c r="L47" s="1" t="str">
        <f t="shared" si="72"/>
        <v>0.00</v>
      </c>
      <c r="M47" s="1" t="str">
        <f t="shared" si="19"/>
        <v>0.00</v>
      </c>
      <c r="N47" s="1" t="str">
        <f>"起始配号:48919104"</f>
        <v>起始配号:48919104</v>
      </c>
    </row>
    <row r="48" spans="1:14">
      <c r="A48" s="1" t="str">
        <f>"20180108"</f>
        <v>20180108</v>
      </c>
      <c r="B48" s="1" t="str">
        <f>"16:00:00"</f>
        <v>16:00:00</v>
      </c>
      <c r="C48" s="1" t="str">
        <f>"110041"</f>
        <v>110041</v>
      </c>
      <c r="D48" s="1" t="str">
        <f>"蒙电转债"</f>
        <v>蒙电转债</v>
      </c>
      <c r="E48" s="1" t="str">
        <f t="shared" si="67"/>
        <v>买入</v>
      </c>
      <c r="F48" s="1" t="str">
        <f>"100.000"</f>
        <v>100.000</v>
      </c>
      <c r="G48" s="1" t="str">
        <f>"20.00"</f>
        <v>20.00</v>
      </c>
      <c r="H48" s="1" t="str">
        <f t="shared" ref="H48:H56" si="73">"A850418317"</f>
        <v>A850418317</v>
      </c>
      <c r="I48" s="1" t="str">
        <f t="shared" ref="I48:L48" si="74">"0.00"</f>
        <v>0.00</v>
      </c>
      <c r="J48" s="1" t="str">
        <f t="shared" si="74"/>
        <v>0.00</v>
      </c>
      <c r="K48" s="1" t="str">
        <f t="shared" si="60"/>
        <v>0.00</v>
      </c>
      <c r="L48" s="1" t="str">
        <f t="shared" si="74"/>
        <v>0.00</v>
      </c>
      <c r="M48" s="1" t="str">
        <f t="shared" si="19"/>
        <v>0.00</v>
      </c>
      <c r="N48" s="1" t="str">
        <f>"新股入账"</f>
        <v>新股入账</v>
      </c>
    </row>
    <row r="49" spans="1:14">
      <c r="A49" s="1" t="str">
        <f>"20180108"</f>
        <v>20180108</v>
      </c>
      <c r="B49" s="1" t="str">
        <f>"17:00:01"</f>
        <v>17:00:01</v>
      </c>
      <c r="C49" s="1" t="str">
        <f>"128030"</f>
        <v>128030</v>
      </c>
      <c r="D49" s="1" t="str">
        <f>"128030"</f>
        <v>128030</v>
      </c>
      <c r="E49" s="1" t="str">
        <f t="shared" si="67"/>
        <v>买入</v>
      </c>
      <c r="F49" s="1" t="str">
        <f>"100.000"</f>
        <v>100.000</v>
      </c>
      <c r="G49" s="1" t="str">
        <f>"10.00"</f>
        <v>10.00</v>
      </c>
      <c r="H49" s="1" t="str">
        <f>"0104152129"</f>
        <v>0104152129</v>
      </c>
      <c r="I49" s="1" t="str">
        <f t="shared" ref="I49:L49" si="75">"0.00"</f>
        <v>0.00</v>
      </c>
      <c r="J49" s="1" t="str">
        <f t="shared" si="75"/>
        <v>0.00</v>
      </c>
      <c r="K49" s="1" t="str">
        <f t="shared" si="60"/>
        <v>0.00</v>
      </c>
      <c r="L49" s="1" t="str">
        <f t="shared" si="75"/>
        <v>0.00</v>
      </c>
      <c r="M49" s="1" t="str">
        <f t="shared" si="19"/>
        <v>0.00</v>
      </c>
      <c r="N49" s="1" t="str">
        <f>"新股入账"</f>
        <v>新股入账</v>
      </c>
    </row>
    <row r="50" spans="1:14">
      <c r="A50" s="1" t="str">
        <f>"20180109"</f>
        <v>20180109</v>
      </c>
      <c r="B50" s="1" t="str">
        <f>"09:32:53"</f>
        <v>09:32:53</v>
      </c>
      <c r="C50" s="1" t="str">
        <f>"110041"</f>
        <v>110041</v>
      </c>
      <c r="D50" s="1" t="str">
        <f>"N蒙电转"</f>
        <v>N蒙电转</v>
      </c>
      <c r="E50" s="1" t="str">
        <f>"卖出"</f>
        <v>卖出</v>
      </c>
      <c r="F50" s="1" t="str">
        <f>"103.810"</f>
        <v>103.810</v>
      </c>
      <c r="G50" s="1" t="str">
        <f>"-20.00"</f>
        <v>-20.00</v>
      </c>
      <c r="H50" s="1" t="str">
        <f t="shared" si="73"/>
        <v>A850418317</v>
      </c>
      <c r="I50" s="1" t="str">
        <f>"2076.20"</f>
        <v>2076.20</v>
      </c>
      <c r="J50" s="1" t="str">
        <f>"1.00"</f>
        <v>1.00</v>
      </c>
      <c r="K50" s="1" t="str">
        <f t="shared" si="60"/>
        <v>0.00</v>
      </c>
      <c r="L50" s="1" t="str">
        <f>"0.00"</f>
        <v>0.00</v>
      </c>
      <c r="M50" s="1" t="str">
        <f t="shared" si="19"/>
        <v>0.00</v>
      </c>
      <c r="N50" s="1" t="str">
        <f>"证券卖出"</f>
        <v>证券卖出</v>
      </c>
    </row>
    <row r="51" spans="1:14">
      <c r="A51" s="1" t="str">
        <f>"20180109"</f>
        <v>20180109</v>
      </c>
      <c r="B51" s="1" t="str">
        <f>"09:35:04"</f>
        <v>09:35:04</v>
      </c>
      <c r="C51" s="1" t="str">
        <f>"000012"</f>
        <v>000012</v>
      </c>
      <c r="D51" s="1" t="str">
        <f>"南 玻Ａ"</f>
        <v>南 玻Ａ</v>
      </c>
      <c r="E51" s="1" t="str">
        <f t="shared" ref="E51:E54" si="76">"买入"</f>
        <v>买入</v>
      </c>
      <c r="F51" s="1" t="str">
        <f>"9.030"</f>
        <v>9.030</v>
      </c>
      <c r="G51" s="1" t="str">
        <f>"200.00"</f>
        <v>200.00</v>
      </c>
      <c r="H51" s="1" t="str">
        <f>"0104152129"</f>
        <v>0104152129</v>
      </c>
      <c r="I51" s="1" t="str">
        <f>"1806.00"</f>
        <v>1806.00</v>
      </c>
      <c r="J51" s="1" t="str">
        <f t="shared" ref="J51:J57" si="77">"5.00"</f>
        <v>5.00</v>
      </c>
      <c r="K51" s="1" t="str">
        <f t="shared" si="60"/>
        <v>0.00</v>
      </c>
      <c r="L51" s="1" t="str">
        <f>"0.04"</f>
        <v>0.04</v>
      </c>
      <c r="M51" s="1" t="str">
        <f t="shared" si="19"/>
        <v>0.00</v>
      </c>
      <c r="N51" s="1" t="str">
        <f t="shared" ref="N51:N54" si="78">"证券买入"</f>
        <v>证券买入</v>
      </c>
    </row>
    <row r="52" spans="1:14">
      <c r="A52" s="1" t="str">
        <f t="shared" ref="A52:A59" si="79">"20180110"</f>
        <v>20180110</v>
      </c>
      <c r="B52" s="1" t="str">
        <f>"09:30:01"</f>
        <v>09:30:01</v>
      </c>
      <c r="C52" s="1" t="str">
        <f>"603866"</f>
        <v>603866</v>
      </c>
      <c r="D52" s="1" t="str">
        <f>"桃李面包"</f>
        <v>桃李面包</v>
      </c>
      <c r="E52" s="1" t="str">
        <f t="shared" si="76"/>
        <v>买入</v>
      </c>
      <c r="F52" s="1" t="str">
        <f>"42.480"</f>
        <v>42.480</v>
      </c>
      <c r="G52" s="1" t="str">
        <f t="shared" ref="G52:G54" si="80">"100.00"</f>
        <v>100.00</v>
      </c>
      <c r="H52" s="1" t="str">
        <f t="shared" si="73"/>
        <v>A850418317</v>
      </c>
      <c r="I52" s="1" t="str">
        <f>"4248.00"</f>
        <v>4248.00</v>
      </c>
      <c r="J52" s="1" t="str">
        <f t="shared" si="77"/>
        <v>5.00</v>
      </c>
      <c r="K52" s="1" t="str">
        <f t="shared" si="60"/>
        <v>0.00</v>
      </c>
      <c r="L52" s="1" t="str">
        <f>"0.08"</f>
        <v>0.08</v>
      </c>
      <c r="M52" s="1" t="str">
        <f t="shared" si="19"/>
        <v>0.00</v>
      </c>
      <c r="N52" s="1" t="str">
        <f t="shared" si="78"/>
        <v>证券买入</v>
      </c>
    </row>
    <row r="53" spans="1:14">
      <c r="A53" s="1" t="str">
        <f t="shared" si="79"/>
        <v>20180110</v>
      </c>
      <c r="B53" s="1" t="str">
        <f>"09:30:01"</f>
        <v>09:30:01</v>
      </c>
      <c r="C53" s="1" t="str">
        <f>"600426"</f>
        <v>600426</v>
      </c>
      <c r="D53" s="1" t="str">
        <f>"华鲁恒升"</f>
        <v>华鲁恒升</v>
      </c>
      <c r="E53" s="1" t="str">
        <f t="shared" si="76"/>
        <v>买入</v>
      </c>
      <c r="F53" s="1" t="str">
        <f>"18.330"</f>
        <v>18.330</v>
      </c>
      <c r="G53" s="1" t="str">
        <f t="shared" si="80"/>
        <v>100.00</v>
      </c>
      <c r="H53" s="1" t="str">
        <f t="shared" si="73"/>
        <v>A850418317</v>
      </c>
      <c r="I53" s="1" t="str">
        <f>"1833.00"</f>
        <v>1833.00</v>
      </c>
      <c r="J53" s="1" t="str">
        <f t="shared" si="77"/>
        <v>5.00</v>
      </c>
      <c r="K53" s="1" t="str">
        <f t="shared" si="60"/>
        <v>0.00</v>
      </c>
      <c r="L53" s="1" t="str">
        <f>"0.04"</f>
        <v>0.04</v>
      </c>
      <c r="M53" s="1" t="str">
        <f t="shared" si="19"/>
        <v>0.00</v>
      </c>
      <c r="N53" s="1" t="str">
        <f t="shared" si="78"/>
        <v>证券买入</v>
      </c>
    </row>
    <row r="54" spans="1:14">
      <c r="A54" s="1" t="str">
        <f t="shared" si="79"/>
        <v>20180110</v>
      </c>
      <c r="B54" s="1" t="str">
        <f>"09:31:08"</f>
        <v>09:31:08</v>
      </c>
      <c r="C54" s="1" t="str">
        <f>"603866"</f>
        <v>603866</v>
      </c>
      <c r="D54" s="1" t="str">
        <f>"桃李面包"</f>
        <v>桃李面包</v>
      </c>
      <c r="E54" s="1" t="str">
        <f t="shared" si="76"/>
        <v>买入</v>
      </c>
      <c r="F54" s="1" t="str">
        <f>"42.680"</f>
        <v>42.680</v>
      </c>
      <c r="G54" s="1" t="str">
        <f t="shared" si="80"/>
        <v>100.00</v>
      </c>
      <c r="H54" s="1" t="str">
        <f t="shared" si="73"/>
        <v>A850418317</v>
      </c>
      <c r="I54" s="1" t="str">
        <f>"4268.00"</f>
        <v>4268.00</v>
      </c>
      <c r="J54" s="1" t="str">
        <f t="shared" si="77"/>
        <v>5.00</v>
      </c>
      <c r="K54" s="1" t="str">
        <f t="shared" si="60"/>
        <v>0.00</v>
      </c>
      <c r="L54" s="1" t="str">
        <f>"0.09"</f>
        <v>0.09</v>
      </c>
      <c r="M54" s="1" t="str">
        <f t="shared" si="19"/>
        <v>0.00</v>
      </c>
      <c r="N54" s="1" t="str">
        <f t="shared" si="78"/>
        <v>证券买入</v>
      </c>
    </row>
    <row r="55" spans="1:14">
      <c r="A55" s="1" t="str">
        <f t="shared" si="79"/>
        <v>20180110</v>
      </c>
      <c r="B55" s="1" t="str">
        <f>"11:07:51"</f>
        <v>11:07:51</v>
      </c>
      <c r="C55" s="1" t="str">
        <f>"600372"</f>
        <v>600372</v>
      </c>
      <c r="D55" s="1" t="str">
        <f>"中航电子"</f>
        <v>中航电子</v>
      </c>
      <c r="E55" s="1" t="str">
        <f>"卖出"</f>
        <v>卖出</v>
      </c>
      <c r="F55" s="1" t="str">
        <f>"14.080"</f>
        <v>14.080</v>
      </c>
      <c r="G55" s="1" t="str">
        <f>"-200.00"</f>
        <v>-200.00</v>
      </c>
      <c r="H55" s="1" t="str">
        <f t="shared" si="73"/>
        <v>A850418317</v>
      </c>
      <c r="I55" s="1" t="str">
        <f>"2816.00"</f>
        <v>2816.00</v>
      </c>
      <c r="J55" s="1" t="str">
        <f t="shared" si="77"/>
        <v>5.00</v>
      </c>
      <c r="K55" s="1" t="str">
        <f>"2.82"</f>
        <v>2.82</v>
      </c>
      <c r="L55" s="1" t="str">
        <f>"0.06"</f>
        <v>0.06</v>
      </c>
      <c r="M55" s="1" t="str">
        <f t="shared" si="19"/>
        <v>0.00</v>
      </c>
      <c r="N55" s="1" t="str">
        <f>"证券卖出"</f>
        <v>证券卖出</v>
      </c>
    </row>
    <row r="56" spans="1:14">
      <c r="A56" s="1" t="str">
        <f t="shared" si="79"/>
        <v>20180110</v>
      </c>
      <c r="B56" s="1" t="str">
        <f>"14:02:00"</f>
        <v>14:02:00</v>
      </c>
      <c r="C56" s="1" t="str">
        <f>"601128"</f>
        <v>601128</v>
      </c>
      <c r="D56" s="1" t="str">
        <f>"常熟银行"</f>
        <v>常熟银行</v>
      </c>
      <c r="E56" s="1" t="str">
        <f>"卖出"</f>
        <v>卖出</v>
      </c>
      <c r="F56" s="1" t="str">
        <f>"7.860"</f>
        <v>7.860</v>
      </c>
      <c r="G56" s="1" t="str">
        <f>"-100.00"</f>
        <v>-100.00</v>
      </c>
      <c r="H56" s="1" t="str">
        <f t="shared" si="73"/>
        <v>A850418317</v>
      </c>
      <c r="I56" s="1" t="str">
        <f>"786.00"</f>
        <v>786.00</v>
      </c>
      <c r="J56" s="1" t="str">
        <f t="shared" si="77"/>
        <v>5.00</v>
      </c>
      <c r="K56" s="1" t="str">
        <f>"0.79"</f>
        <v>0.79</v>
      </c>
      <c r="L56" s="1" t="str">
        <f>"0.02"</f>
        <v>0.02</v>
      </c>
      <c r="M56" s="1" t="str">
        <f t="shared" si="19"/>
        <v>0.00</v>
      </c>
      <c r="N56" s="1" t="str">
        <f>"证券卖出"</f>
        <v>证券卖出</v>
      </c>
    </row>
    <row r="57" spans="1:14">
      <c r="A57" s="1" t="str">
        <f t="shared" si="79"/>
        <v>20180110</v>
      </c>
      <c r="B57" s="1" t="str">
        <f>"10:00:29"</f>
        <v>10:00:29</v>
      </c>
      <c r="C57" s="1" t="str">
        <f>"000926"</f>
        <v>000926</v>
      </c>
      <c r="D57" s="1" t="str">
        <f>"福星股份"</f>
        <v>福星股份</v>
      </c>
      <c r="E57" s="1" t="str">
        <f t="shared" ref="E57:E63" si="81">"买入"</f>
        <v>买入</v>
      </c>
      <c r="F57" s="1" t="str">
        <f>"11.980"</f>
        <v>11.980</v>
      </c>
      <c r="G57" s="1" t="str">
        <f>"200.00"</f>
        <v>200.00</v>
      </c>
      <c r="H57" s="1" t="str">
        <f>"0104152129"</f>
        <v>0104152129</v>
      </c>
      <c r="I57" s="1" t="str">
        <f>"2396.00"</f>
        <v>2396.00</v>
      </c>
      <c r="J57" s="1" t="str">
        <f t="shared" si="77"/>
        <v>5.00</v>
      </c>
      <c r="K57" s="1" t="str">
        <f t="shared" ref="K57:K63" si="82">"0.00"</f>
        <v>0.00</v>
      </c>
      <c r="L57" s="1" t="str">
        <f>"0.05"</f>
        <v>0.05</v>
      </c>
      <c r="M57" s="1" t="str">
        <f t="shared" si="19"/>
        <v>0.00</v>
      </c>
      <c r="N57" s="1" t="str">
        <f t="shared" ref="N57:N63" si="83">"证券买入"</f>
        <v>证券买入</v>
      </c>
    </row>
    <row r="58" spans="1:14">
      <c r="A58" s="1" t="str">
        <f t="shared" si="79"/>
        <v>20180110</v>
      </c>
      <c r="B58" s="1" t="str">
        <f>"21:59:55"</f>
        <v>21:59:55</v>
      </c>
      <c r="C58" s="1" t="str">
        <f>"736895"</f>
        <v>736895</v>
      </c>
      <c r="D58" s="1" t="str">
        <f>"天永配号"</f>
        <v>天永配号</v>
      </c>
      <c r="E58" s="1" t="str">
        <f t="shared" si="81"/>
        <v>买入</v>
      </c>
      <c r="F58" s="1" t="str">
        <f>"0.000"</f>
        <v>0.000</v>
      </c>
      <c r="G58" s="1" t="str">
        <f>"1.00"</f>
        <v>1.00</v>
      </c>
      <c r="H58" s="1" t="str">
        <f t="shared" ref="H58:H63" si="84">"A850418317"</f>
        <v>A850418317</v>
      </c>
      <c r="I58" s="1" t="str">
        <f t="shared" ref="I58:L58" si="85">"0.00"</f>
        <v>0.00</v>
      </c>
      <c r="J58" s="1" t="str">
        <f t="shared" si="85"/>
        <v>0.00</v>
      </c>
      <c r="K58" s="1" t="str">
        <f t="shared" si="85"/>
        <v>0.00</v>
      </c>
      <c r="L58" s="1" t="str">
        <f t="shared" si="85"/>
        <v>0.00</v>
      </c>
      <c r="M58" s="1" t="str">
        <f t="shared" si="19"/>
        <v>0.00</v>
      </c>
      <c r="N58" s="1" t="str">
        <f>"起始配号:100018110576"</f>
        <v>起始配号:100018110576</v>
      </c>
    </row>
    <row r="59" spans="1:14">
      <c r="A59" s="1" t="str">
        <f t="shared" si="79"/>
        <v>20180110</v>
      </c>
      <c r="B59" s="1" t="str">
        <f>"22:01:29"</f>
        <v>22:01:29</v>
      </c>
      <c r="C59" s="1" t="str">
        <f>"300738"</f>
        <v>300738</v>
      </c>
      <c r="D59" s="1" t="str">
        <f>"奥飞数据"</f>
        <v>奥飞数据</v>
      </c>
      <c r="E59" s="1" t="str">
        <f t="shared" si="81"/>
        <v>买入</v>
      </c>
      <c r="F59" s="1" t="str">
        <f>"0.000"</f>
        <v>0.000</v>
      </c>
      <c r="G59" s="1" t="str">
        <f>"2.00"</f>
        <v>2.00</v>
      </c>
      <c r="H59" s="1" t="str">
        <f>"0104152129"</f>
        <v>0104152129</v>
      </c>
      <c r="I59" s="1" t="str">
        <f t="shared" ref="I59:L59" si="86">"0.00"</f>
        <v>0.00</v>
      </c>
      <c r="J59" s="1" t="str">
        <f t="shared" si="86"/>
        <v>0.00</v>
      </c>
      <c r="K59" s="1" t="str">
        <f t="shared" si="86"/>
        <v>0.00</v>
      </c>
      <c r="L59" s="1" t="str">
        <f t="shared" si="86"/>
        <v>0.00</v>
      </c>
      <c r="M59" s="1" t="str">
        <f t="shared" si="19"/>
        <v>0.00</v>
      </c>
      <c r="N59" s="1" t="str">
        <f>"起始配号:34375553"</f>
        <v>起始配号:34375553</v>
      </c>
    </row>
    <row r="60" spans="1:14">
      <c r="A60" s="1" t="str">
        <f t="shared" ref="A60:A69" si="87">"20180111"</f>
        <v>20180111</v>
      </c>
      <c r="B60" s="1" t="str">
        <f>"09:25:01"</f>
        <v>09:25:01</v>
      </c>
      <c r="C60" s="1" t="str">
        <f>"601139"</f>
        <v>601139</v>
      </c>
      <c r="D60" s="1" t="str">
        <f>"深圳燃气"</f>
        <v>深圳燃气</v>
      </c>
      <c r="E60" s="1" t="str">
        <f t="shared" si="81"/>
        <v>买入</v>
      </c>
      <c r="F60" s="1" t="str">
        <f>"8.500"</f>
        <v>8.500</v>
      </c>
      <c r="G60" s="1" t="str">
        <f>"400.00"</f>
        <v>400.00</v>
      </c>
      <c r="H60" s="1" t="str">
        <f t="shared" si="84"/>
        <v>A850418317</v>
      </c>
      <c r="I60" s="1" t="str">
        <f>"3400.00"</f>
        <v>3400.00</v>
      </c>
      <c r="J60" s="1" t="str">
        <f t="shared" ref="J60:J68" si="88">"5.00"</f>
        <v>5.00</v>
      </c>
      <c r="K60" s="1" t="str">
        <f t="shared" si="82"/>
        <v>0.00</v>
      </c>
      <c r="L60" s="1" t="str">
        <f>"0.07"</f>
        <v>0.07</v>
      </c>
      <c r="M60" s="1" t="str">
        <f t="shared" si="19"/>
        <v>0.00</v>
      </c>
      <c r="N60" s="1" t="str">
        <f t="shared" si="83"/>
        <v>证券买入</v>
      </c>
    </row>
    <row r="61" spans="1:14">
      <c r="A61" s="1" t="str">
        <f t="shared" si="87"/>
        <v>20180111</v>
      </c>
      <c r="B61" s="1" t="str">
        <f>"09:30:35"</f>
        <v>09:30:35</v>
      </c>
      <c r="C61" s="1" t="str">
        <f>"603993"</f>
        <v>603993</v>
      </c>
      <c r="D61" s="1" t="str">
        <f>"洛阳钼业"</f>
        <v>洛阳钼业</v>
      </c>
      <c r="E61" s="1" t="str">
        <f t="shared" si="81"/>
        <v>买入</v>
      </c>
      <c r="F61" s="1" t="str">
        <f>"7.620"</f>
        <v>7.620</v>
      </c>
      <c r="G61" s="1" t="str">
        <f>"200.00"</f>
        <v>200.00</v>
      </c>
      <c r="H61" s="1" t="str">
        <f t="shared" si="84"/>
        <v>A850418317</v>
      </c>
      <c r="I61" s="1" t="str">
        <f>"1524.00"</f>
        <v>1524.00</v>
      </c>
      <c r="J61" s="1" t="str">
        <f t="shared" si="88"/>
        <v>5.00</v>
      </c>
      <c r="K61" s="1" t="str">
        <f t="shared" si="82"/>
        <v>0.00</v>
      </c>
      <c r="L61" s="1" t="str">
        <f>"0.03"</f>
        <v>0.03</v>
      </c>
      <c r="M61" s="1" t="str">
        <f t="shared" si="19"/>
        <v>0.00</v>
      </c>
      <c r="N61" s="1" t="str">
        <f t="shared" si="83"/>
        <v>证券买入</v>
      </c>
    </row>
    <row r="62" spans="1:14">
      <c r="A62" s="1" t="str">
        <f t="shared" si="87"/>
        <v>20180111</v>
      </c>
      <c r="B62" s="1" t="str">
        <f>"09:35:56"</f>
        <v>09:35:56</v>
      </c>
      <c r="C62" s="1" t="str">
        <f>"603993"</f>
        <v>603993</v>
      </c>
      <c r="D62" s="1" t="str">
        <f>"洛阳钼业"</f>
        <v>洛阳钼业</v>
      </c>
      <c r="E62" s="1" t="str">
        <f t="shared" si="81"/>
        <v>买入</v>
      </c>
      <c r="F62" s="1" t="str">
        <f>"7.670"</f>
        <v>7.670</v>
      </c>
      <c r="G62" s="1" t="str">
        <f>"100.00"</f>
        <v>100.00</v>
      </c>
      <c r="H62" s="1" t="str">
        <f t="shared" si="84"/>
        <v>A850418317</v>
      </c>
      <c r="I62" s="1" t="str">
        <f>"767.00"</f>
        <v>767.00</v>
      </c>
      <c r="J62" s="1" t="str">
        <f t="shared" si="88"/>
        <v>5.00</v>
      </c>
      <c r="K62" s="1" t="str">
        <f t="shared" si="82"/>
        <v>0.00</v>
      </c>
      <c r="L62" s="1" t="str">
        <f>"0.02"</f>
        <v>0.02</v>
      </c>
      <c r="M62" s="1" t="str">
        <f t="shared" si="19"/>
        <v>0.00</v>
      </c>
      <c r="N62" s="1" t="str">
        <f t="shared" si="83"/>
        <v>证券买入</v>
      </c>
    </row>
    <row r="63" spans="1:14">
      <c r="A63" s="1" t="str">
        <f t="shared" si="87"/>
        <v>20180111</v>
      </c>
      <c r="B63" s="1" t="str">
        <f>"09:51:17"</f>
        <v>09:51:17</v>
      </c>
      <c r="C63" s="1" t="str">
        <f>"601139"</f>
        <v>601139</v>
      </c>
      <c r="D63" s="1" t="str">
        <f>"深圳燃气"</f>
        <v>深圳燃气</v>
      </c>
      <c r="E63" s="1" t="str">
        <f t="shared" si="81"/>
        <v>买入</v>
      </c>
      <c r="F63" s="1" t="str">
        <f>"8.430"</f>
        <v>8.430</v>
      </c>
      <c r="G63" s="1" t="str">
        <f>"100.00"</f>
        <v>100.00</v>
      </c>
      <c r="H63" s="1" t="str">
        <f t="shared" si="84"/>
        <v>A850418317</v>
      </c>
      <c r="I63" s="1" t="str">
        <f>"843.00"</f>
        <v>843.00</v>
      </c>
      <c r="J63" s="1" t="str">
        <f t="shared" si="88"/>
        <v>5.00</v>
      </c>
      <c r="K63" s="1" t="str">
        <f t="shared" si="82"/>
        <v>0.00</v>
      </c>
      <c r="L63" s="1" t="str">
        <f>"0.02"</f>
        <v>0.02</v>
      </c>
      <c r="M63" s="1" t="str">
        <f t="shared" si="19"/>
        <v>0.00</v>
      </c>
      <c r="N63" s="1" t="str">
        <f t="shared" si="83"/>
        <v>证券买入</v>
      </c>
    </row>
    <row r="64" spans="1:14">
      <c r="A64" s="1" t="str">
        <f t="shared" si="87"/>
        <v>20180111</v>
      </c>
      <c r="B64" s="1" t="str">
        <f>"09:25:00"</f>
        <v>09:25:00</v>
      </c>
      <c r="C64" s="1" t="str">
        <f>"002373"</f>
        <v>002373</v>
      </c>
      <c r="D64" s="1" t="str">
        <f>"千方科技"</f>
        <v>千方科技</v>
      </c>
      <c r="E64" s="1" t="str">
        <f t="shared" ref="E64:E66" si="89">"卖出"</f>
        <v>卖出</v>
      </c>
      <c r="F64" s="1" t="str">
        <f>"14.570"</f>
        <v>14.570</v>
      </c>
      <c r="G64" s="1" t="str">
        <f>"-400.00"</f>
        <v>-400.00</v>
      </c>
      <c r="H64" s="1" t="str">
        <f t="shared" ref="H64:H68" si="90">"0104152129"</f>
        <v>0104152129</v>
      </c>
      <c r="I64" s="1" t="str">
        <f>"5828.00"</f>
        <v>5828.00</v>
      </c>
      <c r="J64" s="1" t="str">
        <f t="shared" si="88"/>
        <v>5.00</v>
      </c>
      <c r="K64" s="1" t="str">
        <f>"5.83"</f>
        <v>5.83</v>
      </c>
      <c r="L64" s="1" t="str">
        <f>"0.12"</f>
        <v>0.12</v>
      </c>
      <c r="M64" s="1" t="str">
        <f t="shared" si="19"/>
        <v>0.00</v>
      </c>
      <c r="N64" s="1" t="str">
        <f t="shared" ref="N64:N66" si="91">"证券卖出"</f>
        <v>证券卖出</v>
      </c>
    </row>
    <row r="65" spans="1:14">
      <c r="A65" s="1" t="str">
        <f t="shared" si="87"/>
        <v>20180111</v>
      </c>
      <c r="B65" s="1" t="str">
        <f>"09:25:00"</f>
        <v>09:25:00</v>
      </c>
      <c r="C65" s="1" t="str">
        <f>"000012"</f>
        <v>000012</v>
      </c>
      <c r="D65" s="1" t="str">
        <f>"南 玻Ａ"</f>
        <v>南 玻Ａ</v>
      </c>
      <c r="E65" s="1" t="str">
        <f t="shared" si="89"/>
        <v>卖出</v>
      </c>
      <c r="F65" s="1" t="str">
        <f>"8.800"</f>
        <v>8.800</v>
      </c>
      <c r="G65" s="1" t="str">
        <f>"-200.00"</f>
        <v>-200.00</v>
      </c>
      <c r="H65" s="1" t="str">
        <f t="shared" si="90"/>
        <v>0104152129</v>
      </c>
      <c r="I65" s="1" t="str">
        <f>"1760.00"</f>
        <v>1760.00</v>
      </c>
      <c r="J65" s="1" t="str">
        <f t="shared" si="88"/>
        <v>5.00</v>
      </c>
      <c r="K65" s="1" t="str">
        <f>"1.76"</f>
        <v>1.76</v>
      </c>
      <c r="L65" s="1" t="str">
        <f>"0.04"</f>
        <v>0.04</v>
      </c>
      <c r="M65" s="1" t="str">
        <f t="shared" si="19"/>
        <v>0.00</v>
      </c>
      <c r="N65" s="1" t="str">
        <f t="shared" si="91"/>
        <v>证券卖出</v>
      </c>
    </row>
    <row r="66" spans="1:14">
      <c r="A66" s="1" t="str">
        <f t="shared" si="87"/>
        <v>20180111</v>
      </c>
      <c r="B66" s="1" t="str">
        <f>"09:42:59"</f>
        <v>09:42:59</v>
      </c>
      <c r="C66" s="1" t="str">
        <f>"000926"</f>
        <v>000926</v>
      </c>
      <c r="D66" s="1" t="str">
        <f>"福星股份"</f>
        <v>福星股份</v>
      </c>
      <c r="E66" s="1" t="str">
        <f t="shared" si="89"/>
        <v>卖出</v>
      </c>
      <c r="F66" s="1" t="str">
        <f>"12.130"</f>
        <v>12.130</v>
      </c>
      <c r="G66" s="1" t="str">
        <f>"-200.00"</f>
        <v>-200.00</v>
      </c>
      <c r="H66" s="1" t="str">
        <f t="shared" si="90"/>
        <v>0104152129</v>
      </c>
      <c r="I66" s="1" t="str">
        <f>"2426.00"</f>
        <v>2426.00</v>
      </c>
      <c r="J66" s="1" t="str">
        <f t="shared" si="88"/>
        <v>5.00</v>
      </c>
      <c r="K66" s="1" t="str">
        <f>"2.43"</f>
        <v>2.43</v>
      </c>
      <c r="L66" s="1" t="str">
        <f t="shared" ref="L66:L70" si="92">"0.05"</f>
        <v>0.05</v>
      </c>
      <c r="M66" s="1" t="str">
        <f t="shared" si="19"/>
        <v>0.00</v>
      </c>
      <c r="N66" s="1" t="str">
        <f t="shared" si="91"/>
        <v>证券卖出</v>
      </c>
    </row>
    <row r="67" spans="1:14">
      <c r="A67" s="1" t="str">
        <f t="shared" si="87"/>
        <v>20180111</v>
      </c>
      <c r="B67" s="1" t="str">
        <f>"09:43:18"</f>
        <v>09:43:18</v>
      </c>
      <c r="C67" s="1" t="str">
        <f>"002195"</f>
        <v>002195</v>
      </c>
      <c r="D67" s="1" t="str">
        <f>"二三四五"</f>
        <v>二三四五</v>
      </c>
      <c r="E67" s="1" t="str">
        <f t="shared" ref="E67:E69" si="93">"买入"</f>
        <v>买入</v>
      </c>
      <c r="F67" s="1" t="str">
        <f>"6.500"</f>
        <v>6.500</v>
      </c>
      <c r="G67" s="1" t="str">
        <f>"400.00"</f>
        <v>400.00</v>
      </c>
      <c r="H67" s="1" t="str">
        <f t="shared" si="90"/>
        <v>0104152129</v>
      </c>
      <c r="I67" s="1" t="str">
        <f>"2600.00"</f>
        <v>2600.00</v>
      </c>
      <c r="J67" s="1" t="str">
        <f t="shared" si="88"/>
        <v>5.00</v>
      </c>
      <c r="K67" s="1" t="str">
        <f t="shared" ref="K67:K69" si="94">"0.00"</f>
        <v>0.00</v>
      </c>
      <c r="L67" s="1" t="str">
        <f t="shared" si="92"/>
        <v>0.05</v>
      </c>
      <c r="M67" s="1" t="str">
        <f t="shared" si="19"/>
        <v>0.00</v>
      </c>
      <c r="N67" s="1" t="str">
        <f t="shared" ref="N67:N71" si="95">"证券买入"</f>
        <v>证券买入</v>
      </c>
    </row>
    <row r="68" spans="1:14">
      <c r="A68" s="1" t="str">
        <f t="shared" si="87"/>
        <v>20180111</v>
      </c>
      <c r="B68" s="1" t="str">
        <f>"10:09:41"</f>
        <v>10:09:41</v>
      </c>
      <c r="C68" s="1" t="str">
        <f>"000016"</f>
        <v>000016</v>
      </c>
      <c r="D68" s="1" t="str">
        <f>"深康佳Ａ"</f>
        <v>深康佳Ａ</v>
      </c>
      <c r="E68" s="1" t="str">
        <f t="shared" si="93"/>
        <v>买入</v>
      </c>
      <c r="F68" s="1" t="str">
        <f>"6.590"</f>
        <v>6.590</v>
      </c>
      <c r="G68" s="1" t="str">
        <f>"100.00"</f>
        <v>100.00</v>
      </c>
      <c r="H68" s="1" t="str">
        <f t="shared" si="90"/>
        <v>0104152129</v>
      </c>
      <c r="I68" s="1" t="str">
        <f>"659.00"</f>
        <v>659.00</v>
      </c>
      <c r="J68" s="1" t="str">
        <f t="shared" si="88"/>
        <v>5.00</v>
      </c>
      <c r="K68" s="1" t="str">
        <f t="shared" si="94"/>
        <v>0.00</v>
      </c>
      <c r="L68" s="1" t="str">
        <f>"0.01"</f>
        <v>0.01</v>
      </c>
      <c r="M68" s="1" t="str">
        <f t="shared" si="19"/>
        <v>0.00</v>
      </c>
      <c r="N68" s="1" t="str">
        <f t="shared" si="95"/>
        <v>证券买入</v>
      </c>
    </row>
    <row r="69" spans="1:14">
      <c r="A69" s="1" t="str">
        <f t="shared" si="87"/>
        <v>20180111</v>
      </c>
      <c r="B69" s="1" t="str">
        <f>"21:59:17"</f>
        <v>21:59:17</v>
      </c>
      <c r="C69" s="1" t="str">
        <f>"736356"</f>
        <v>736356</v>
      </c>
      <c r="D69" s="1" t="str">
        <f>"华菱配号"</f>
        <v>华菱配号</v>
      </c>
      <c r="E69" s="1" t="str">
        <f t="shared" si="93"/>
        <v>买入</v>
      </c>
      <c r="F69" s="1" t="str">
        <f>"0.000"</f>
        <v>0.000</v>
      </c>
      <c r="G69" s="1" t="str">
        <f>"1.00"</f>
        <v>1.00</v>
      </c>
      <c r="H69" s="1" t="str">
        <f t="shared" ref="H69:H76" si="96">"A850418317"</f>
        <v>A850418317</v>
      </c>
      <c r="I69" s="1" t="str">
        <f t="shared" ref="I69:L69" si="97">"0.00"</f>
        <v>0.00</v>
      </c>
      <c r="J69" s="1" t="str">
        <f t="shared" si="97"/>
        <v>0.00</v>
      </c>
      <c r="K69" s="1" t="str">
        <f t="shared" si="94"/>
        <v>0.00</v>
      </c>
      <c r="L69" s="1" t="str">
        <f t="shared" si="97"/>
        <v>0.00</v>
      </c>
      <c r="M69" s="1" t="str">
        <f t="shared" si="19"/>
        <v>0.00</v>
      </c>
      <c r="N69" s="1" t="str">
        <f>"起始配号:100006740999"</f>
        <v>起始配号:100006740999</v>
      </c>
    </row>
    <row r="70" spans="1:14">
      <c r="A70" s="1" t="str">
        <f>"20180112"</f>
        <v>20180112</v>
      </c>
      <c r="B70" s="1" t="str">
        <f>"09:39:47"</f>
        <v>09:39:47</v>
      </c>
      <c r="C70" s="1" t="str">
        <f>"002195"</f>
        <v>002195</v>
      </c>
      <c r="D70" s="1" t="str">
        <f>"二三四五"</f>
        <v>二三四五</v>
      </c>
      <c r="E70" s="1" t="str">
        <f t="shared" ref="E70:E76" si="98">"卖出"</f>
        <v>卖出</v>
      </c>
      <c r="F70" s="1" t="str">
        <f>"6.570"</f>
        <v>6.570</v>
      </c>
      <c r="G70" s="1" t="str">
        <f>"-400.00"</f>
        <v>-400.00</v>
      </c>
      <c r="H70" s="1" t="str">
        <f>"0104152129"</f>
        <v>0104152129</v>
      </c>
      <c r="I70" s="1" t="str">
        <f>"2628.00"</f>
        <v>2628.00</v>
      </c>
      <c r="J70" s="1" t="str">
        <f t="shared" ref="J70:J89" si="99">"5.00"</f>
        <v>5.00</v>
      </c>
      <c r="K70" s="1" t="str">
        <f>"2.63"</f>
        <v>2.63</v>
      </c>
      <c r="L70" s="1" t="str">
        <f t="shared" si="92"/>
        <v>0.05</v>
      </c>
      <c r="M70" s="1" t="str">
        <f t="shared" si="19"/>
        <v>0.00</v>
      </c>
      <c r="N70" s="1" t="str">
        <f t="shared" ref="N70:N76" si="100">"证券卖出"</f>
        <v>证券卖出</v>
      </c>
    </row>
    <row r="71" spans="1:14">
      <c r="A71" s="1" t="str">
        <f>"20180112"</f>
        <v>20180112</v>
      </c>
      <c r="B71" s="1" t="str">
        <f>"09:46:33"</f>
        <v>09:46:33</v>
      </c>
      <c r="C71" s="1" t="str">
        <f>"300418"</f>
        <v>300418</v>
      </c>
      <c r="D71" s="1" t="str">
        <f>"昆仑万维"</f>
        <v>昆仑万维</v>
      </c>
      <c r="E71" s="1" t="str">
        <f>"买入"</f>
        <v>买入</v>
      </c>
      <c r="F71" s="1" t="str">
        <f>"21.940"</f>
        <v>21.940</v>
      </c>
      <c r="G71" s="1" t="str">
        <f>"100.00"</f>
        <v>100.00</v>
      </c>
      <c r="H71" s="1" t="str">
        <f>"0104152129"</f>
        <v>0104152129</v>
      </c>
      <c r="I71" s="1" t="str">
        <f>"2194.00"</f>
        <v>2194.00</v>
      </c>
      <c r="J71" s="1" t="str">
        <f t="shared" si="99"/>
        <v>5.00</v>
      </c>
      <c r="K71" s="1" t="str">
        <f>"0.00"</f>
        <v>0.00</v>
      </c>
      <c r="L71" s="1" t="str">
        <f>"0.04"</f>
        <v>0.04</v>
      </c>
      <c r="M71" s="1" t="str">
        <f t="shared" si="19"/>
        <v>0.00</v>
      </c>
      <c r="N71" s="1" t="str">
        <f t="shared" si="95"/>
        <v>证券买入</v>
      </c>
    </row>
    <row r="72" spans="1:14">
      <c r="A72" s="1" t="str">
        <f t="shared" ref="A72:A82" si="101">"20180115"</f>
        <v>20180115</v>
      </c>
      <c r="B72" s="1" t="str">
        <f>"09:31:17"</f>
        <v>09:31:17</v>
      </c>
      <c r="C72" s="1" t="str">
        <f>"603866"</f>
        <v>603866</v>
      </c>
      <c r="D72" s="1" t="str">
        <f>"桃李面包"</f>
        <v>桃李面包</v>
      </c>
      <c r="E72" s="1" t="str">
        <f t="shared" si="98"/>
        <v>卖出</v>
      </c>
      <c r="F72" s="1" t="str">
        <f>"42.660"</f>
        <v>42.660</v>
      </c>
      <c r="G72" s="1" t="str">
        <f>"-100.00"</f>
        <v>-100.00</v>
      </c>
      <c r="H72" s="1" t="str">
        <f t="shared" si="96"/>
        <v>A850418317</v>
      </c>
      <c r="I72" s="1" t="str">
        <f>"4266.00"</f>
        <v>4266.00</v>
      </c>
      <c r="J72" s="1" t="str">
        <f t="shared" si="99"/>
        <v>5.00</v>
      </c>
      <c r="K72" s="1" t="str">
        <f>"4.27"</f>
        <v>4.27</v>
      </c>
      <c r="L72" s="1" t="str">
        <f>"0.09"</f>
        <v>0.09</v>
      </c>
      <c r="M72" s="1" t="str">
        <f t="shared" si="19"/>
        <v>0.00</v>
      </c>
      <c r="N72" s="1" t="str">
        <f t="shared" si="100"/>
        <v>证券卖出</v>
      </c>
    </row>
    <row r="73" spans="1:14">
      <c r="A73" s="1" t="str">
        <f t="shared" si="101"/>
        <v>20180115</v>
      </c>
      <c r="B73" s="1" t="str">
        <f>"09:37:37"</f>
        <v>09:37:37</v>
      </c>
      <c r="C73" s="1" t="str">
        <f>"603866"</f>
        <v>603866</v>
      </c>
      <c r="D73" s="1" t="str">
        <f>"桃李面包"</f>
        <v>桃李面包</v>
      </c>
      <c r="E73" s="1" t="str">
        <f t="shared" si="98"/>
        <v>卖出</v>
      </c>
      <c r="F73" s="1" t="str">
        <f>"42.810"</f>
        <v>42.810</v>
      </c>
      <c r="G73" s="1" t="str">
        <f>"-100.00"</f>
        <v>-100.00</v>
      </c>
      <c r="H73" s="1" t="str">
        <f t="shared" si="96"/>
        <v>A850418317</v>
      </c>
      <c r="I73" s="1" t="str">
        <f>"4281.00"</f>
        <v>4281.00</v>
      </c>
      <c r="J73" s="1" t="str">
        <f t="shared" si="99"/>
        <v>5.00</v>
      </c>
      <c r="K73" s="1" t="str">
        <f>"4.28"</f>
        <v>4.28</v>
      </c>
      <c r="L73" s="1" t="str">
        <f>"0.09"</f>
        <v>0.09</v>
      </c>
      <c r="M73" s="1" t="str">
        <f t="shared" ref="M73:M136" si="102">"0.00"</f>
        <v>0.00</v>
      </c>
      <c r="N73" s="1" t="str">
        <f t="shared" si="100"/>
        <v>证券卖出</v>
      </c>
    </row>
    <row r="74" spans="1:14">
      <c r="A74" s="1" t="str">
        <f t="shared" si="101"/>
        <v>20180115</v>
      </c>
      <c r="B74" s="1" t="str">
        <f>"09:39:14"</f>
        <v>09:39:14</v>
      </c>
      <c r="C74" s="1" t="str">
        <f>"600291"</f>
        <v>600291</v>
      </c>
      <c r="D74" s="1" t="str">
        <f>"西水股份"</f>
        <v>西水股份</v>
      </c>
      <c r="E74" s="1" t="str">
        <f t="shared" si="98"/>
        <v>卖出</v>
      </c>
      <c r="F74" s="1" t="str">
        <f>"24.360"</f>
        <v>24.360</v>
      </c>
      <c r="G74" s="1" t="str">
        <f>"-200.00"</f>
        <v>-200.00</v>
      </c>
      <c r="H74" s="1" t="str">
        <f t="shared" si="96"/>
        <v>A850418317</v>
      </c>
      <c r="I74" s="1" t="str">
        <f>"4872.00"</f>
        <v>4872.00</v>
      </c>
      <c r="J74" s="1" t="str">
        <f t="shared" si="99"/>
        <v>5.00</v>
      </c>
      <c r="K74" s="1" t="str">
        <f>"4.87"</f>
        <v>4.87</v>
      </c>
      <c r="L74" s="1" t="str">
        <f>"0.10"</f>
        <v>0.10</v>
      </c>
      <c r="M74" s="1" t="str">
        <f t="shared" si="102"/>
        <v>0.00</v>
      </c>
      <c r="N74" s="1" t="str">
        <f t="shared" si="100"/>
        <v>证券卖出</v>
      </c>
    </row>
    <row r="75" spans="1:14">
      <c r="A75" s="1" t="str">
        <f t="shared" si="101"/>
        <v>20180115</v>
      </c>
      <c r="B75" s="1" t="str">
        <f>"13:00:58"</f>
        <v>13:00:58</v>
      </c>
      <c r="C75" s="1" t="str">
        <f>"603993"</f>
        <v>603993</v>
      </c>
      <c r="D75" s="1" t="str">
        <f>"洛阳钼业"</f>
        <v>洛阳钼业</v>
      </c>
      <c r="E75" s="1" t="str">
        <f t="shared" si="98"/>
        <v>卖出</v>
      </c>
      <c r="F75" s="1" t="str">
        <f>"7.690"</f>
        <v>7.690</v>
      </c>
      <c r="G75" s="1" t="str">
        <f>"-300.00"</f>
        <v>-300.00</v>
      </c>
      <c r="H75" s="1" t="str">
        <f t="shared" si="96"/>
        <v>A850418317</v>
      </c>
      <c r="I75" s="1" t="str">
        <f>"2307.00"</f>
        <v>2307.00</v>
      </c>
      <c r="J75" s="1" t="str">
        <f t="shared" si="99"/>
        <v>5.00</v>
      </c>
      <c r="K75" s="1" t="str">
        <f>"2.31"</f>
        <v>2.31</v>
      </c>
      <c r="L75" s="1" t="str">
        <f>"0.05"</f>
        <v>0.05</v>
      </c>
      <c r="M75" s="1" t="str">
        <f t="shared" si="102"/>
        <v>0.00</v>
      </c>
      <c r="N75" s="1" t="str">
        <f t="shared" si="100"/>
        <v>证券卖出</v>
      </c>
    </row>
    <row r="76" spans="1:14">
      <c r="A76" s="1" t="str">
        <f t="shared" si="101"/>
        <v>20180115</v>
      </c>
      <c r="B76" s="1" t="str">
        <f>"13:11:48"</f>
        <v>13:11:48</v>
      </c>
      <c r="C76" s="1" t="str">
        <f>"601139"</f>
        <v>601139</v>
      </c>
      <c r="D76" s="1" t="str">
        <f>"深圳燃气"</f>
        <v>深圳燃气</v>
      </c>
      <c r="E76" s="1" t="str">
        <f t="shared" si="98"/>
        <v>卖出</v>
      </c>
      <c r="F76" s="1" t="str">
        <f>"8.190"</f>
        <v>8.190</v>
      </c>
      <c r="G76" s="1" t="str">
        <f>"-500.00"</f>
        <v>-500.00</v>
      </c>
      <c r="H76" s="1" t="str">
        <f t="shared" si="96"/>
        <v>A850418317</v>
      </c>
      <c r="I76" s="1" t="str">
        <f>"4095.00"</f>
        <v>4095.00</v>
      </c>
      <c r="J76" s="1" t="str">
        <f t="shared" si="99"/>
        <v>5.00</v>
      </c>
      <c r="K76" s="1" t="str">
        <f>"4.10"</f>
        <v>4.10</v>
      </c>
      <c r="L76" s="1" t="str">
        <f>"0.08"</f>
        <v>0.08</v>
      </c>
      <c r="M76" s="1" t="str">
        <f t="shared" si="102"/>
        <v>0.00</v>
      </c>
      <c r="N76" s="1" t="str">
        <f t="shared" si="100"/>
        <v>证券卖出</v>
      </c>
    </row>
    <row r="77" spans="1:14">
      <c r="A77" s="1" t="str">
        <f t="shared" si="101"/>
        <v>20180115</v>
      </c>
      <c r="B77" s="1" t="str">
        <f>"09:32:37"</f>
        <v>09:32:37</v>
      </c>
      <c r="C77" s="1" t="str">
        <f>"002907"</f>
        <v>002907</v>
      </c>
      <c r="D77" s="1" t="str">
        <f>"华森制药"</f>
        <v>华森制药</v>
      </c>
      <c r="E77" s="1" t="str">
        <f t="shared" ref="E77:E84" si="103">"买入"</f>
        <v>买入</v>
      </c>
      <c r="F77" s="1" t="str">
        <f>"34.300"</f>
        <v>34.300</v>
      </c>
      <c r="G77" s="1" t="str">
        <f t="shared" ref="G77:G82" si="104">"100.00"</f>
        <v>100.00</v>
      </c>
      <c r="H77" s="1" t="str">
        <f t="shared" ref="H77:H82" si="105">"0104152129"</f>
        <v>0104152129</v>
      </c>
      <c r="I77" s="1" t="str">
        <f>"3430.00"</f>
        <v>3430.00</v>
      </c>
      <c r="J77" s="1" t="str">
        <f t="shared" si="99"/>
        <v>5.00</v>
      </c>
      <c r="K77" s="1" t="str">
        <f t="shared" ref="K77:K84" si="106">"0.00"</f>
        <v>0.00</v>
      </c>
      <c r="L77" s="1" t="str">
        <f>"0.07"</f>
        <v>0.07</v>
      </c>
      <c r="M77" s="1" t="str">
        <f t="shared" si="102"/>
        <v>0.00</v>
      </c>
      <c r="N77" s="1" t="str">
        <f t="shared" ref="N77:N84" si="107">"证券买入"</f>
        <v>证券买入</v>
      </c>
    </row>
    <row r="78" spans="1:14">
      <c r="A78" s="1" t="str">
        <f t="shared" si="101"/>
        <v>20180115</v>
      </c>
      <c r="B78" s="1" t="str">
        <f>"11:24:41"</f>
        <v>11:24:41</v>
      </c>
      <c r="C78" s="1" t="str">
        <f>"300418"</f>
        <v>300418</v>
      </c>
      <c r="D78" s="1" t="str">
        <f>"昆仑万维"</f>
        <v>昆仑万维</v>
      </c>
      <c r="E78" s="1" t="str">
        <f>"卖出"</f>
        <v>卖出</v>
      </c>
      <c r="F78" s="1" t="str">
        <f>"22.190"</f>
        <v>22.190</v>
      </c>
      <c r="G78" s="1" t="str">
        <f>"-100.00"</f>
        <v>-100.00</v>
      </c>
      <c r="H78" s="1" t="str">
        <f t="shared" si="105"/>
        <v>0104152129</v>
      </c>
      <c r="I78" s="1" t="str">
        <f>"2219.00"</f>
        <v>2219.00</v>
      </c>
      <c r="J78" s="1" t="str">
        <f t="shared" si="99"/>
        <v>5.00</v>
      </c>
      <c r="K78" s="1" t="str">
        <f>"2.22"</f>
        <v>2.22</v>
      </c>
      <c r="L78" s="1" t="str">
        <f>"0.04"</f>
        <v>0.04</v>
      </c>
      <c r="M78" s="1" t="str">
        <f t="shared" si="102"/>
        <v>0.00</v>
      </c>
      <c r="N78" s="1" t="str">
        <f>"证券卖出"</f>
        <v>证券卖出</v>
      </c>
    </row>
    <row r="79" spans="1:14">
      <c r="A79" s="1" t="str">
        <f t="shared" si="101"/>
        <v>20180115</v>
      </c>
      <c r="B79" s="1" t="str">
        <f>"11:26:55"</f>
        <v>11:26:55</v>
      </c>
      <c r="C79" s="1" t="str">
        <f>"000016"</f>
        <v>000016</v>
      </c>
      <c r="D79" s="1" t="str">
        <f>"深康佳Ａ"</f>
        <v>深康佳Ａ</v>
      </c>
      <c r="E79" s="1" t="str">
        <f>"卖出"</f>
        <v>卖出</v>
      </c>
      <c r="F79" s="1" t="str">
        <f>"6.530"</f>
        <v>6.530</v>
      </c>
      <c r="G79" s="1" t="str">
        <f>"-100.00"</f>
        <v>-100.00</v>
      </c>
      <c r="H79" s="1" t="str">
        <f t="shared" si="105"/>
        <v>0104152129</v>
      </c>
      <c r="I79" s="1" t="str">
        <f>"653.00"</f>
        <v>653.00</v>
      </c>
      <c r="J79" s="1" t="str">
        <f t="shared" si="99"/>
        <v>5.00</v>
      </c>
      <c r="K79" s="1" t="str">
        <f>"0.65"</f>
        <v>0.65</v>
      </c>
      <c r="L79" s="1" t="str">
        <f>"0.01"</f>
        <v>0.01</v>
      </c>
      <c r="M79" s="1" t="str">
        <f t="shared" si="102"/>
        <v>0.00</v>
      </c>
      <c r="N79" s="1" t="str">
        <f>"证券卖出"</f>
        <v>证券卖出</v>
      </c>
    </row>
    <row r="80" spans="1:14">
      <c r="A80" s="1" t="str">
        <f t="shared" si="101"/>
        <v>20180115</v>
      </c>
      <c r="B80" s="1" t="str">
        <f>"13:12:03"</f>
        <v>13:12:03</v>
      </c>
      <c r="C80" s="1" t="str">
        <f>"002873"</f>
        <v>002873</v>
      </c>
      <c r="D80" s="1" t="str">
        <f>"新天药业"</f>
        <v>新天药业</v>
      </c>
      <c r="E80" s="1" t="str">
        <f t="shared" si="103"/>
        <v>买入</v>
      </c>
      <c r="F80" s="1" t="str">
        <f>"46.790"</f>
        <v>46.790</v>
      </c>
      <c r="G80" s="1" t="str">
        <f t="shared" si="104"/>
        <v>100.00</v>
      </c>
      <c r="H80" s="1" t="str">
        <f t="shared" si="105"/>
        <v>0104152129</v>
      </c>
      <c r="I80" s="1" t="str">
        <f>"4679.00"</f>
        <v>4679.00</v>
      </c>
      <c r="J80" s="1" t="str">
        <f t="shared" si="99"/>
        <v>5.00</v>
      </c>
      <c r="K80" s="1" t="str">
        <f t="shared" si="106"/>
        <v>0.00</v>
      </c>
      <c r="L80" s="1" t="str">
        <f>"0.09"</f>
        <v>0.09</v>
      </c>
      <c r="M80" s="1" t="str">
        <f t="shared" si="102"/>
        <v>0.00</v>
      </c>
      <c r="N80" s="1" t="str">
        <f t="shared" si="107"/>
        <v>证券买入</v>
      </c>
    </row>
    <row r="81" spans="1:14">
      <c r="A81" s="1" t="str">
        <f t="shared" si="101"/>
        <v>20180115</v>
      </c>
      <c r="B81" s="1" t="str">
        <f>"14:41:28"</f>
        <v>14:41:28</v>
      </c>
      <c r="C81" s="1" t="str">
        <f t="shared" ref="C81:C85" si="108">"002908"</f>
        <v>002908</v>
      </c>
      <c r="D81" s="1" t="str">
        <f t="shared" ref="D81:D85" si="109">"德生科技"</f>
        <v>德生科技</v>
      </c>
      <c r="E81" s="1" t="str">
        <f t="shared" si="103"/>
        <v>买入</v>
      </c>
      <c r="F81" s="1" t="str">
        <f>"40.600"</f>
        <v>40.600</v>
      </c>
      <c r="G81" s="1" t="str">
        <f t="shared" si="104"/>
        <v>100.00</v>
      </c>
      <c r="H81" s="1" t="str">
        <f t="shared" si="105"/>
        <v>0104152129</v>
      </c>
      <c r="I81" s="1" t="str">
        <f>"4060.00"</f>
        <v>4060.00</v>
      </c>
      <c r="J81" s="1" t="str">
        <f t="shared" si="99"/>
        <v>5.00</v>
      </c>
      <c r="K81" s="1" t="str">
        <f t="shared" si="106"/>
        <v>0.00</v>
      </c>
      <c r="L81" s="1" t="str">
        <f>"0.08"</f>
        <v>0.08</v>
      </c>
      <c r="M81" s="1" t="str">
        <f t="shared" si="102"/>
        <v>0.00</v>
      </c>
      <c r="N81" s="1" t="str">
        <f t="shared" si="107"/>
        <v>证券买入</v>
      </c>
    </row>
    <row r="82" spans="1:14">
      <c r="A82" s="1" t="str">
        <f t="shared" si="101"/>
        <v>20180115</v>
      </c>
      <c r="B82" s="1" t="str">
        <f>"14:52:34"</f>
        <v>14:52:34</v>
      </c>
      <c r="C82" s="1" t="str">
        <f t="shared" si="108"/>
        <v>002908</v>
      </c>
      <c r="D82" s="1" t="str">
        <f t="shared" si="109"/>
        <v>德生科技</v>
      </c>
      <c r="E82" s="1" t="str">
        <f t="shared" si="103"/>
        <v>买入</v>
      </c>
      <c r="F82" s="1" t="str">
        <f>"38.800"</f>
        <v>38.800</v>
      </c>
      <c r="G82" s="1" t="str">
        <f t="shared" si="104"/>
        <v>100.00</v>
      </c>
      <c r="H82" s="1" t="str">
        <f t="shared" si="105"/>
        <v>0104152129</v>
      </c>
      <c r="I82" s="1" t="str">
        <f>"3880.00"</f>
        <v>3880.00</v>
      </c>
      <c r="J82" s="1" t="str">
        <f t="shared" si="99"/>
        <v>5.00</v>
      </c>
      <c r="K82" s="1" t="str">
        <f t="shared" si="106"/>
        <v>0.00</v>
      </c>
      <c r="L82" s="1" t="str">
        <f>"0.08"</f>
        <v>0.08</v>
      </c>
      <c r="M82" s="1" t="str">
        <f t="shared" si="102"/>
        <v>0.00</v>
      </c>
      <c r="N82" s="1" t="str">
        <f t="shared" si="107"/>
        <v>证券买入</v>
      </c>
    </row>
    <row r="83" spans="1:14">
      <c r="A83" s="1" t="str">
        <f t="shared" ref="A83:A88" si="110">"20180116"</f>
        <v>20180116</v>
      </c>
      <c r="B83" s="1" t="str">
        <f>"10:01:21"</f>
        <v>10:01:21</v>
      </c>
      <c r="C83" s="1" t="str">
        <f>"600426"</f>
        <v>600426</v>
      </c>
      <c r="D83" s="1" t="str">
        <f>"华鲁恒升"</f>
        <v>华鲁恒升</v>
      </c>
      <c r="E83" s="1" t="str">
        <f t="shared" si="103"/>
        <v>买入</v>
      </c>
      <c r="F83" s="1" t="str">
        <f>"18.570"</f>
        <v>18.570</v>
      </c>
      <c r="G83" s="1" t="str">
        <f>"300.00"</f>
        <v>300.00</v>
      </c>
      <c r="H83" s="1" t="str">
        <f>"A850418317"</f>
        <v>A850418317</v>
      </c>
      <c r="I83" s="1" t="str">
        <f>"5571.00"</f>
        <v>5571.00</v>
      </c>
      <c r="J83" s="1" t="str">
        <f t="shared" si="99"/>
        <v>5.00</v>
      </c>
      <c r="K83" s="1" t="str">
        <f t="shared" si="106"/>
        <v>0.00</v>
      </c>
      <c r="L83" s="1" t="str">
        <f>"0.11"</f>
        <v>0.11</v>
      </c>
      <c r="M83" s="1" t="str">
        <f t="shared" si="102"/>
        <v>0.00</v>
      </c>
      <c r="N83" s="1" t="str">
        <f t="shared" si="107"/>
        <v>证券买入</v>
      </c>
    </row>
    <row r="84" spans="1:14">
      <c r="A84" s="1" t="str">
        <f t="shared" si="110"/>
        <v>20180116</v>
      </c>
      <c r="B84" s="1" t="str">
        <f>"10:43:32"</f>
        <v>10:43:32</v>
      </c>
      <c r="C84" s="1" t="str">
        <f>"600789"</f>
        <v>600789</v>
      </c>
      <c r="D84" s="1" t="str">
        <f>"鲁抗医药"</f>
        <v>鲁抗医药</v>
      </c>
      <c r="E84" s="1" t="str">
        <f t="shared" si="103"/>
        <v>买入</v>
      </c>
      <c r="F84" s="1" t="str">
        <f>"8.720"</f>
        <v>8.720</v>
      </c>
      <c r="G84" s="1" t="str">
        <f>"100.00"</f>
        <v>100.00</v>
      </c>
      <c r="H84" s="1" t="str">
        <f>"A850418317"</f>
        <v>A850418317</v>
      </c>
      <c r="I84" s="1" t="str">
        <f>"872.00"</f>
        <v>872.00</v>
      </c>
      <c r="J84" s="1" t="str">
        <f t="shared" si="99"/>
        <v>5.00</v>
      </c>
      <c r="K84" s="1" t="str">
        <f t="shared" si="106"/>
        <v>0.00</v>
      </c>
      <c r="L84" s="1" t="str">
        <f>"0.02"</f>
        <v>0.02</v>
      </c>
      <c r="M84" s="1" t="str">
        <f t="shared" si="102"/>
        <v>0.00</v>
      </c>
      <c r="N84" s="1" t="str">
        <f t="shared" si="107"/>
        <v>证券买入</v>
      </c>
    </row>
    <row r="85" spans="1:14">
      <c r="A85" s="1" t="str">
        <f t="shared" si="110"/>
        <v>20180116</v>
      </c>
      <c r="B85" s="1" t="str">
        <f>"09:37:00"</f>
        <v>09:37:00</v>
      </c>
      <c r="C85" s="1" t="str">
        <f t="shared" si="108"/>
        <v>002908</v>
      </c>
      <c r="D85" s="1" t="str">
        <f t="shared" si="109"/>
        <v>德生科技</v>
      </c>
      <c r="E85" s="1" t="str">
        <f t="shared" ref="E85:E89" si="111">"卖出"</f>
        <v>卖出</v>
      </c>
      <c r="F85" s="1" t="str">
        <f>"40.650"</f>
        <v>40.650</v>
      </c>
      <c r="G85" s="1" t="str">
        <f>"-200.00"</f>
        <v>-200.00</v>
      </c>
      <c r="H85" s="1" t="str">
        <f t="shared" ref="H85:H89" si="112">"0104152129"</f>
        <v>0104152129</v>
      </c>
      <c r="I85" s="1" t="str">
        <f>"8130.00"</f>
        <v>8130.00</v>
      </c>
      <c r="J85" s="1" t="str">
        <f t="shared" si="99"/>
        <v>5.00</v>
      </c>
      <c r="K85" s="1" t="str">
        <f>"8.13"</f>
        <v>8.13</v>
      </c>
      <c r="L85" s="1" t="str">
        <f>"0.16"</f>
        <v>0.16</v>
      </c>
      <c r="M85" s="1" t="str">
        <f t="shared" si="102"/>
        <v>0.00</v>
      </c>
      <c r="N85" s="1" t="str">
        <f t="shared" ref="N85:N89" si="113">"证券卖出"</f>
        <v>证券卖出</v>
      </c>
    </row>
    <row r="86" spans="1:14">
      <c r="A86" s="1" t="str">
        <f t="shared" si="110"/>
        <v>20180116</v>
      </c>
      <c r="B86" s="1" t="str">
        <f>"09:42:39"</f>
        <v>09:42:39</v>
      </c>
      <c r="C86" s="1" t="str">
        <f>"002873"</f>
        <v>002873</v>
      </c>
      <c r="D86" s="1" t="str">
        <f>"新天药业"</f>
        <v>新天药业</v>
      </c>
      <c r="E86" s="1" t="str">
        <f t="shared" si="111"/>
        <v>卖出</v>
      </c>
      <c r="F86" s="1" t="str">
        <f>"43.460"</f>
        <v>43.460</v>
      </c>
      <c r="G86" s="1" t="str">
        <f>"-100.00"</f>
        <v>-100.00</v>
      </c>
      <c r="H86" s="1" t="str">
        <f t="shared" si="112"/>
        <v>0104152129</v>
      </c>
      <c r="I86" s="1" t="str">
        <f>"4346.00"</f>
        <v>4346.00</v>
      </c>
      <c r="J86" s="1" t="str">
        <f t="shared" si="99"/>
        <v>5.00</v>
      </c>
      <c r="K86" s="1" t="str">
        <f>"4.35"</f>
        <v>4.35</v>
      </c>
      <c r="L86" s="1" t="str">
        <f>"0.09"</f>
        <v>0.09</v>
      </c>
      <c r="M86" s="1" t="str">
        <f t="shared" si="102"/>
        <v>0.00</v>
      </c>
      <c r="N86" s="1" t="str">
        <f t="shared" si="113"/>
        <v>证券卖出</v>
      </c>
    </row>
    <row r="87" spans="1:14">
      <c r="A87" s="1" t="str">
        <f t="shared" si="110"/>
        <v>20180116</v>
      </c>
      <c r="B87" s="1" t="str">
        <f>"09:42:50"</f>
        <v>09:42:50</v>
      </c>
      <c r="C87" s="1" t="str">
        <f>"002908"</f>
        <v>002908</v>
      </c>
      <c r="D87" s="1" t="str">
        <f>"德生科技"</f>
        <v>德生科技</v>
      </c>
      <c r="E87" s="1" t="str">
        <f t="shared" ref="E87:E93" si="114">"买入"</f>
        <v>买入</v>
      </c>
      <c r="F87" s="1" t="str">
        <f>"41.970"</f>
        <v>41.970</v>
      </c>
      <c r="G87" s="1" t="str">
        <f>"200.00"</f>
        <v>200.00</v>
      </c>
      <c r="H87" s="1" t="str">
        <f t="shared" si="112"/>
        <v>0104152129</v>
      </c>
      <c r="I87" s="1" t="str">
        <f>"8394.00"</f>
        <v>8394.00</v>
      </c>
      <c r="J87" s="1" t="str">
        <f t="shared" si="99"/>
        <v>5.00</v>
      </c>
      <c r="K87" s="1" t="str">
        <f t="shared" ref="K87:K93" si="115">"0.00"</f>
        <v>0.00</v>
      </c>
      <c r="L87" s="1" t="str">
        <f>"0.17"</f>
        <v>0.17</v>
      </c>
      <c r="M87" s="1" t="str">
        <f t="shared" si="102"/>
        <v>0.00</v>
      </c>
      <c r="N87" s="1" t="str">
        <f t="shared" ref="N87:N93" si="116">"证券买入"</f>
        <v>证券买入</v>
      </c>
    </row>
    <row r="88" spans="1:14">
      <c r="A88" s="1" t="str">
        <f t="shared" si="110"/>
        <v>20180116</v>
      </c>
      <c r="B88" s="1" t="str">
        <f>"10:06:22"</f>
        <v>10:06:22</v>
      </c>
      <c r="C88" s="1" t="str">
        <f>"300612"</f>
        <v>300612</v>
      </c>
      <c r="D88" s="1" t="str">
        <f>"宣亚国际"</f>
        <v>宣亚国际</v>
      </c>
      <c r="E88" s="1" t="str">
        <f t="shared" si="114"/>
        <v>买入</v>
      </c>
      <c r="F88" s="1" t="str">
        <f>"42.000"</f>
        <v>42.000</v>
      </c>
      <c r="G88" s="1" t="str">
        <f t="shared" ref="G88:G93" si="117">"100.00"</f>
        <v>100.00</v>
      </c>
      <c r="H88" s="1" t="str">
        <f t="shared" si="112"/>
        <v>0104152129</v>
      </c>
      <c r="I88" s="1" t="str">
        <f>"4200.00"</f>
        <v>4200.00</v>
      </c>
      <c r="J88" s="1" t="str">
        <f t="shared" si="99"/>
        <v>5.00</v>
      </c>
      <c r="K88" s="1" t="str">
        <f t="shared" si="115"/>
        <v>0.00</v>
      </c>
      <c r="L88" s="1" t="str">
        <f>"0.08"</f>
        <v>0.08</v>
      </c>
      <c r="M88" s="1" t="str">
        <f t="shared" si="102"/>
        <v>0.00</v>
      </c>
      <c r="N88" s="1" t="str">
        <f t="shared" si="116"/>
        <v>证券买入</v>
      </c>
    </row>
    <row r="89" spans="1:14">
      <c r="A89" s="1" t="str">
        <f>"20180117"</f>
        <v>20180117</v>
      </c>
      <c r="B89" s="1" t="str">
        <f>"14:55:30"</f>
        <v>14:55:30</v>
      </c>
      <c r="C89" s="1" t="str">
        <f>"002908"</f>
        <v>002908</v>
      </c>
      <c r="D89" s="1" t="str">
        <f>"德生科技"</f>
        <v>德生科技</v>
      </c>
      <c r="E89" s="1" t="str">
        <f t="shared" si="111"/>
        <v>卖出</v>
      </c>
      <c r="F89" s="1" t="str">
        <f>"39.480"</f>
        <v>39.480</v>
      </c>
      <c r="G89" s="1" t="str">
        <f>"-100.00"</f>
        <v>-100.00</v>
      </c>
      <c r="H89" s="1" t="str">
        <f t="shared" si="112"/>
        <v>0104152129</v>
      </c>
      <c r="I89" s="1" t="str">
        <f>"3948.00"</f>
        <v>3948.00</v>
      </c>
      <c r="J89" s="1" t="str">
        <f t="shared" si="99"/>
        <v>5.00</v>
      </c>
      <c r="K89" s="1" t="str">
        <f>"3.95"</f>
        <v>3.95</v>
      </c>
      <c r="L89" s="1" t="str">
        <f>"0.08"</f>
        <v>0.08</v>
      </c>
      <c r="M89" s="1" t="str">
        <f t="shared" si="102"/>
        <v>0.00</v>
      </c>
      <c r="N89" s="1" t="str">
        <f t="shared" si="113"/>
        <v>证券卖出</v>
      </c>
    </row>
    <row r="90" spans="1:14">
      <c r="A90" s="1" t="str">
        <f>"20180117"</f>
        <v>20180117</v>
      </c>
      <c r="B90" s="1" t="str">
        <f>"22:19:10"</f>
        <v>22:19:10</v>
      </c>
      <c r="C90" s="1" t="str">
        <f>"791838"</f>
        <v>791838</v>
      </c>
      <c r="D90" s="1" t="str">
        <f>"成银配号"</f>
        <v>成银配号</v>
      </c>
      <c r="E90" s="1" t="str">
        <f t="shared" si="114"/>
        <v>买入</v>
      </c>
      <c r="F90" s="1" t="str">
        <f>"0.000"</f>
        <v>0.000</v>
      </c>
      <c r="G90" s="1" t="str">
        <f>"1.00"</f>
        <v>1.00</v>
      </c>
      <c r="H90" s="1" t="str">
        <f t="shared" ref="H90:H93" si="118">"A850418317"</f>
        <v>A850418317</v>
      </c>
      <c r="I90" s="1" t="str">
        <f t="shared" ref="I90:L90" si="119">"0.00"</f>
        <v>0.00</v>
      </c>
      <c r="J90" s="1" t="str">
        <f t="shared" si="119"/>
        <v>0.00</v>
      </c>
      <c r="K90" s="1" t="str">
        <f t="shared" si="115"/>
        <v>0.00</v>
      </c>
      <c r="L90" s="1" t="str">
        <f t="shared" si="119"/>
        <v>0.00</v>
      </c>
      <c r="M90" s="1" t="str">
        <f t="shared" si="102"/>
        <v>0.00</v>
      </c>
      <c r="N90" s="1" t="str">
        <f>"起始配号:100010822800"</f>
        <v>起始配号:100010822800</v>
      </c>
    </row>
    <row r="91" spans="1:14">
      <c r="A91" s="1" t="str">
        <f t="shared" ref="A91:A98" si="120">"20180118"</f>
        <v>20180118</v>
      </c>
      <c r="B91" s="1" t="str">
        <f>"09:30:01"</f>
        <v>09:30:01</v>
      </c>
      <c r="C91" s="1" t="str">
        <f>"600789"</f>
        <v>600789</v>
      </c>
      <c r="D91" s="1" t="str">
        <f>"鲁抗医药"</f>
        <v>鲁抗医药</v>
      </c>
      <c r="E91" s="1" t="str">
        <f t="shared" si="114"/>
        <v>买入</v>
      </c>
      <c r="F91" s="1" t="str">
        <f>"8.720"</f>
        <v>8.720</v>
      </c>
      <c r="G91" s="1" t="str">
        <f t="shared" si="117"/>
        <v>100.00</v>
      </c>
      <c r="H91" s="1" t="str">
        <f t="shared" si="118"/>
        <v>A850418317</v>
      </c>
      <c r="I91" s="1" t="str">
        <f>"872.00"</f>
        <v>872.00</v>
      </c>
      <c r="J91" s="1" t="str">
        <f t="shared" ref="J91:J135" si="121">"5.00"</f>
        <v>5.00</v>
      </c>
      <c r="K91" s="1" t="str">
        <f t="shared" si="115"/>
        <v>0.00</v>
      </c>
      <c r="L91" s="1" t="str">
        <f>"0.02"</f>
        <v>0.02</v>
      </c>
      <c r="M91" s="1" t="str">
        <f t="shared" si="102"/>
        <v>0.00</v>
      </c>
      <c r="N91" s="1" t="str">
        <f t="shared" si="116"/>
        <v>证券买入</v>
      </c>
    </row>
    <row r="92" spans="1:14">
      <c r="A92" s="1" t="str">
        <f t="shared" si="120"/>
        <v>20180118</v>
      </c>
      <c r="B92" s="1" t="str">
        <f>"09:38:19"</f>
        <v>09:38:19</v>
      </c>
      <c r="C92" s="1" t="str">
        <f>"600985"</f>
        <v>600985</v>
      </c>
      <c r="D92" s="1" t="str">
        <f>"雷鸣科化"</f>
        <v>雷鸣科化</v>
      </c>
      <c r="E92" s="1" t="str">
        <f t="shared" si="114"/>
        <v>买入</v>
      </c>
      <c r="F92" s="1" t="str">
        <f>"16.160"</f>
        <v>16.160</v>
      </c>
      <c r="G92" s="1" t="str">
        <f>"200.00"</f>
        <v>200.00</v>
      </c>
      <c r="H92" s="1" t="str">
        <f t="shared" si="118"/>
        <v>A850418317</v>
      </c>
      <c r="I92" s="1" t="str">
        <f>"3232.00"</f>
        <v>3232.00</v>
      </c>
      <c r="J92" s="1" t="str">
        <f t="shared" si="121"/>
        <v>5.00</v>
      </c>
      <c r="K92" s="1" t="str">
        <f t="shared" si="115"/>
        <v>0.00</v>
      </c>
      <c r="L92" s="1" t="str">
        <f>"0.06"</f>
        <v>0.06</v>
      </c>
      <c r="M92" s="1" t="str">
        <f t="shared" si="102"/>
        <v>0.00</v>
      </c>
      <c r="N92" s="1" t="str">
        <f t="shared" si="116"/>
        <v>证券买入</v>
      </c>
    </row>
    <row r="93" spans="1:14">
      <c r="A93" s="1" t="str">
        <f t="shared" si="120"/>
        <v>20180118</v>
      </c>
      <c r="B93" s="1" t="str">
        <f>"10:18:35"</f>
        <v>10:18:35</v>
      </c>
      <c r="C93" s="1" t="str">
        <f>"600789"</f>
        <v>600789</v>
      </c>
      <c r="D93" s="1" t="str">
        <f>"鲁抗医药"</f>
        <v>鲁抗医药</v>
      </c>
      <c r="E93" s="1" t="str">
        <f t="shared" si="114"/>
        <v>买入</v>
      </c>
      <c r="F93" s="1" t="str">
        <f>"8.660"</f>
        <v>8.660</v>
      </c>
      <c r="G93" s="1" t="str">
        <f t="shared" si="117"/>
        <v>100.00</v>
      </c>
      <c r="H93" s="1" t="str">
        <f t="shared" si="118"/>
        <v>A850418317</v>
      </c>
      <c r="I93" s="1" t="str">
        <f>"866.00"</f>
        <v>866.00</v>
      </c>
      <c r="J93" s="1" t="str">
        <f t="shared" si="121"/>
        <v>5.00</v>
      </c>
      <c r="K93" s="1" t="str">
        <f t="shared" si="115"/>
        <v>0.00</v>
      </c>
      <c r="L93" s="1" t="str">
        <f>"0.02"</f>
        <v>0.02</v>
      </c>
      <c r="M93" s="1" t="str">
        <f t="shared" si="102"/>
        <v>0.00</v>
      </c>
      <c r="N93" s="1" t="str">
        <f t="shared" si="116"/>
        <v>证券买入</v>
      </c>
    </row>
    <row r="94" spans="1:14">
      <c r="A94" s="1" t="str">
        <f t="shared" si="120"/>
        <v>20180118</v>
      </c>
      <c r="B94" s="1" t="str">
        <f>"09:25:00"</f>
        <v>09:25:00</v>
      </c>
      <c r="C94" s="1" t="str">
        <f>"002907"</f>
        <v>002907</v>
      </c>
      <c r="D94" s="1" t="str">
        <f>"华森制药"</f>
        <v>华森制药</v>
      </c>
      <c r="E94" s="1" t="str">
        <f t="shared" ref="E94:E98" si="122">"卖出"</f>
        <v>卖出</v>
      </c>
      <c r="F94" s="1" t="str">
        <f>"39.000"</f>
        <v>39.000</v>
      </c>
      <c r="G94" s="1" t="str">
        <f t="shared" ref="G94:G98" si="123">"-100.00"</f>
        <v>-100.00</v>
      </c>
      <c r="H94" s="1" t="str">
        <f t="shared" ref="H94:H98" si="124">"0104152129"</f>
        <v>0104152129</v>
      </c>
      <c r="I94" s="1" t="str">
        <f>"3900.00"</f>
        <v>3900.00</v>
      </c>
      <c r="J94" s="1" t="str">
        <f t="shared" si="121"/>
        <v>5.00</v>
      </c>
      <c r="K94" s="1" t="str">
        <f>"3.90"</f>
        <v>3.90</v>
      </c>
      <c r="L94" s="1" t="str">
        <f>"0.08"</f>
        <v>0.08</v>
      </c>
      <c r="M94" s="1" t="str">
        <f t="shared" si="102"/>
        <v>0.00</v>
      </c>
      <c r="N94" s="1" t="str">
        <f t="shared" ref="N94:N98" si="125">"证券卖出"</f>
        <v>证券卖出</v>
      </c>
    </row>
    <row r="95" spans="1:14">
      <c r="A95" s="1" t="str">
        <f t="shared" si="120"/>
        <v>20180118</v>
      </c>
      <c r="B95" s="1" t="str">
        <f>"09:30:01"</f>
        <v>09:30:01</v>
      </c>
      <c r="C95" s="1" t="str">
        <f>"000732"</f>
        <v>000732</v>
      </c>
      <c r="D95" s="1" t="str">
        <f>"泰禾集团"</f>
        <v>泰禾集团</v>
      </c>
      <c r="E95" s="1" t="str">
        <f t="shared" ref="E95:E100" si="126">"买入"</f>
        <v>买入</v>
      </c>
      <c r="F95" s="1" t="str">
        <f>"36.800"</f>
        <v>36.800</v>
      </c>
      <c r="G95" s="1" t="str">
        <f t="shared" ref="G95:G99" si="127">"100.00"</f>
        <v>100.00</v>
      </c>
      <c r="H95" s="1" t="str">
        <f t="shared" si="124"/>
        <v>0104152129</v>
      </c>
      <c r="I95" s="1" t="str">
        <f>"3680.00"</f>
        <v>3680.00</v>
      </c>
      <c r="J95" s="1" t="str">
        <f t="shared" si="121"/>
        <v>5.00</v>
      </c>
      <c r="K95" s="1" t="str">
        <f t="shared" ref="K95:K100" si="128">"0.00"</f>
        <v>0.00</v>
      </c>
      <c r="L95" s="1" t="str">
        <f>"0.07"</f>
        <v>0.07</v>
      </c>
      <c r="M95" s="1" t="str">
        <f t="shared" si="102"/>
        <v>0.00</v>
      </c>
      <c r="N95" s="1" t="str">
        <f t="shared" ref="N95:N100" si="129">"证券买入"</f>
        <v>证券买入</v>
      </c>
    </row>
    <row r="96" spans="1:14">
      <c r="A96" s="1" t="str">
        <f t="shared" si="120"/>
        <v>20180118</v>
      </c>
      <c r="B96" s="1" t="str">
        <f>"10:15:09"</f>
        <v>10:15:09</v>
      </c>
      <c r="C96" s="1" t="str">
        <f>"300612"</f>
        <v>300612</v>
      </c>
      <c r="D96" s="1" t="str">
        <f>"宣亚国际"</f>
        <v>宣亚国际</v>
      </c>
      <c r="E96" s="1" t="str">
        <f t="shared" si="122"/>
        <v>卖出</v>
      </c>
      <c r="F96" s="1" t="str">
        <f>"46.150"</f>
        <v>46.150</v>
      </c>
      <c r="G96" s="1" t="str">
        <f t="shared" si="123"/>
        <v>-100.00</v>
      </c>
      <c r="H96" s="1" t="str">
        <f t="shared" si="124"/>
        <v>0104152129</v>
      </c>
      <c r="I96" s="1" t="str">
        <f>"4615.00"</f>
        <v>4615.00</v>
      </c>
      <c r="J96" s="1" t="str">
        <f t="shared" si="121"/>
        <v>5.00</v>
      </c>
      <c r="K96" s="1" t="str">
        <f>"4.62"</f>
        <v>4.62</v>
      </c>
      <c r="L96" s="1" t="str">
        <f>"0.09"</f>
        <v>0.09</v>
      </c>
      <c r="M96" s="1" t="str">
        <f t="shared" si="102"/>
        <v>0.00</v>
      </c>
      <c r="N96" s="1" t="str">
        <f t="shared" si="125"/>
        <v>证券卖出</v>
      </c>
    </row>
    <row r="97" spans="1:14">
      <c r="A97" s="1" t="str">
        <f t="shared" si="120"/>
        <v>20180118</v>
      </c>
      <c r="B97" s="1" t="str">
        <f>"10:18:12"</f>
        <v>10:18:12</v>
      </c>
      <c r="C97" s="1" t="str">
        <f t="shared" ref="C97:C102" si="130">"000732"</f>
        <v>000732</v>
      </c>
      <c r="D97" s="1" t="str">
        <f t="shared" ref="D97:D102" si="131">"泰禾集团"</f>
        <v>泰禾集团</v>
      </c>
      <c r="E97" s="1" t="str">
        <f t="shared" si="126"/>
        <v>买入</v>
      </c>
      <c r="F97" s="1" t="str">
        <f>"37.330"</f>
        <v>37.330</v>
      </c>
      <c r="G97" s="1" t="str">
        <f t="shared" si="127"/>
        <v>100.00</v>
      </c>
      <c r="H97" s="1" t="str">
        <f t="shared" si="124"/>
        <v>0104152129</v>
      </c>
      <c r="I97" s="1" t="str">
        <f>"3733.00"</f>
        <v>3733.00</v>
      </c>
      <c r="J97" s="1" t="str">
        <f t="shared" si="121"/>
        <v>5.00</v>
      </c>
      <c r="K97" s="1" t="str">
        <f t="shared" si="128"/>
        <v>0.00</v>
      </c>
      <c r="L97" s="1" t="str">
        <f t="shared" ref="L97:L102" si="132">"0.07"</f>
        <v>0.07</v>
      </c>
      <c r="M97" s="1" t="str">
        <f t="shared" si="102"/>
        <v>0.00</v>
      </c>
      <c r="N97" s="1" t="str">
        <f t="shared" si="129"/>
        <v>证券买入</v>
      </c>
    </row>
    <row r="98" spans="1:14">
      <c r="A98" s="1" t="str">
        <f t="shared" si="120"/>
        <v>20180118</v>
      </c>
      <c r="B98" s="1" t="str">
        <f>"14:30:50"</f>
        <v>14:30:50</v>
      </c>
      <c r="C98" s="1" t="str">
        <f>"002908"</f>
        <v>002908</v>
      </c>
      <c r="D98" s="1" t="str">
        <f>"德生科技"</f>
        <v>德生科技</v>
      </c>
      <c r="E98" s="1" t="str">
        <f t="shared" si="122"/>
        <v>卖出</v>
      </c>
      <c r="F98" s="1" t="str">
        <f>"37.580"</f>
        <v>37.580</v>
      </c>
      <c r="G98" s="1" t="str">
        <f t="shared" si="123"/>
        <v>-100.00</v>
      </c>
      <c r="H98" s="1" t="str">
        <f t="shared" si="124"/>
        <v>0104152129</v>
      </c>
      <c r="I98" s="1" t="str">
        <f>"3758.00"</f>
        <v>3758.00</v>
      </c>
      <c r="J98" s="1" t="str">
        <f t="shared" si="121"/>
        <v>5.00</v>
      </c>
      <c r="K98" s="1" t="str">
        <f>"3.76"</f>
        <v>3.76</v>
      </c>
      <c r="L98" s="1" t="str">
        <f>"0.08"</f>
        <v>0.08</v>
      </c>
      <c r="M98" s="1" t="str">
        <f t="shared" si="102"/>
        <v>0.00</v>
      </c>
      <c r="N98" s="1" t="str">
        <f t="shared" si="125"/>
        <v>证券卖出</v>
      </c>
    </row>
    <row r="99" spans="1:14">
      <c r="A99" s="1" t="str">
        <f t="shared" ref="A99:A103" si="133">"20180119"</f>
        <v>20180119</v>
      </c>
      <c r="B99" s="1" t="str">
        <f>"09:37:40"</f>
        <v>09:37:40</v>
      </c>
      <c r="C99" s="1" t="str">
        <f>"600426"</f>
        <v>600426</v>
      </c>
      <c r="D99" s="1" t="str">
        <f>"华鲁恒升"</f>
        <v>华鲁恒升</v>
      </c>
      <c r="E99" s="1" t="str">
        <f t="shared" si="126"/>
        <v>买入</v>
      </c>
      <c r="F99" s="1" t="str">
        <f>"18.190"</f>
        <v>18.190</v>
      </c>
      <c r="G99" s="1" t="str">
        <f t="shared" si="127"/>
        <v>100.00</v>
      </c>
      <c r="H99" s="1" t="str">
        <f t="shared" ref="H99:H111" si="134">"A850418317"</f>
        <v>A850418317</v>
      </c>
      <c r="I99" s="1" t="str">
        <f>"1819.00"</f>
        <v>1819.00</v>
      </c>
      <c r="J99" s="1" t="str">
        <f t="shared" si="121"/>
        <v>5.00</v>
      </c>
      <c r="K99" s="1" t="str">
        <f t="shared" si="128"/>
        <v>0.00</v>
      </c>
      <c r="L99" s="1" t="str">
        <f>"0.04"</f>
        <v>0.04</v>
      </c>
      <c r="M99" s="1" t="str">
        <f t="shared" si="102"/>
        <v>0.00</v>
      </c>
      <c r="N99" s="1" t="str">
        <f t="shared" si="129"/>
        <v>证券买入</v>
      </c>
    </row>
    <row r="100" spans="1:14">
      <c r="A100" s="1" t="str">
        <f t="shared" si="133"/>
        <v>20180119</v>
      </c>
      <c r="B100" s="1" t="str">
        <f>"09:44:12"</f>
        <v>09:44:12</v>
      </c>
      <c r="C100" s="1" t="str">
        <f>"603676"</f>
        <v>603676</v>
      </c>
      <c r="D100" s="1" t="str">
        <f>"卫信康"</f>
        <v>卫信康</v>
      </c>
      <c r="E100" s="1" t="str">
        <f t="shared" si="126"/>
        <v>买入</v>
      </c>
      <c r="F100" s="1" t="str">
        <f>"19.200"</f>
        <v>19.200</v>
      </c>
      <c r="G100" s="1" t="str">
        <f t="shared" ref="G100:G104" si="135">"200.00"</f>
        <v>200.00</v>
      </c>
      <c r="H100" s="1" t="str">
        <f t="shared" si="134"/>
        <v>A850418317</v>
      </c>
      <c r="I100" s="1" t="str">
        <f>"3840.00"</f>
        <v>3840.00</v>
      </c>
      <c r="J100" s="1" t="str">
        <f t="shared" si="121"/>
        <v>5.00</v>
      </c>
      <c r="K100" s="1" t="str">
        <f t="shared" si="128"/>
        <v>0.00</v>
      </c>
      <c r="L100" s="1" t="str">
        <f>"0.08"</f>
        <v>0.08</v>
      </c>
      <c r="M100" s="1" t="str">
        <f t="shared" si="102"/>
        <v>0.00</v>
      </c>
      <c r="N100" s="1" t="str">
        <f t="shared" si="129"/>
        <v>证券买入</v>
      </c>
    </row>
    <row r="101" spans="1:14">
      <c r="A101" s="1" t="str">
        <f t="shared" si="133"/>
        <v>20180119</v>
      </c>
      <c r="B101" s="1" t="str">
        <f>"09:30:00"</f>
        <v>09:30:00</v>
      </c>
      <c r="C101" s="1" t="str">
        <f t="shared" si="130"/>
        <v>000732</v>
      </c>
      <c r="D101" s="1" t="str">
        <f t="shared" si="131"/>
        <v>泰禾集团</v>
      </c>
      <c r="E101" s="1" t="str">
        <f t="shared" ref="E101:E105" si="136">"卖出"</f>
        <v>卖出</v>
      </c>
      <c r="F101" s="1" t="str">
        <f>"36.680"</f>
        <v>36.680</v>
      </c>
      <c r="G101" s="1" t="str">
        <f>"-100.00"</f>
        <v>-100.00</v>
      </c>
      <c r="H101" s="1" t="str">
        <f t="shared" ref="H101:H103" si="137">"0104152129"</f>
        <v>0104152129</v>
      </c>
      <c r="I101" s="1" t="str">
        <f>"3668.00"</f>
        <v>3668.00</v>
      </c>
      <c r="J101" s="1" t="str">
        <f t="shared" si="121"/>
        <v>5.00</v>
      </c>
      <c r="K101" s="1" t="str">
        <f>"3.67"</f>
        <v>3.67</v>
      </c>
      <c r="L101" s="1" t="str">
        <f t="shared" si="132"/>
        <v>0.07</v>
      </c>
      <c r="M101" s="1" t="str">
        <f t="shared" si="102"/>
        <v>0.00</v>
      </c>
      <c r="N101" s="1" t="str">
        <f t="shared" ref="N101:N105" si="138">"证券卖出"</f>
        <v>证券卖出</v>
      </c>
    </row>
    <row r="102" spans="1:14">
      <c r="A102" s="1" t="str">
        <f t="shared" si="133"/>
        <v>20180119</v>
      </c>
      <c r="B102" s="1" t="str">
        <f>"09:32:27"</f>
        <v>09:32:27</v>
      </c>
      <c r="C102" s="1" t="str">
        <f t="shared" si="130"/>
        <v>000732</v>
      </c>
      <c r="D102" s="1" t="str">
        <f t="shared" si="131"/>
        <v>泰禾集团</v>
      </c>
      <c r="E102" s="1" t="str">
        <f t="shared" si="136"/>
        <v>卖出</v>
      </c>
      <c r="F102" s="1" t="str">
        <f>"36.970"</f>
        <v>36.970</v>
      </c>
      <c r="G102" s="1" t="str">
        <f>"-100.00"</f>
        <v>-100.00</v>
      </c>
      <c r="H102" s="1" t="str">
        <f t="shared" si="137"/>
        <v>0104152129</v>
      </c>
      <c r="I102" s="1" t="str">
        <f>"3697.00"</f>
        <v>3697.00</v>
      </c>
      <c r="J102" s="1" t="str">
        <f t="shared" si="121"/>
        <v>5.00</v>
      </c>
      <c r="K102" s="1" t="str">
        <f>"3.70"</f>
        <v>3.70</v>
      </c>
      <c r="L102" s="1" t="str">
        <f t="shared" si="132"/>
        <v>0.07</v>
      </c>
      <c r="M102" s="1" t="str">
        <f t="shared" si="102"/>
        <v>0.00</v>
      </c>
      <c r="N102" s="1" t="str">
        <f t="shared" si="138"/>
        <v>证券卖出</v>
      </c>
    </row>
    <row r="103" spans="1:14">
      <c r="A103" s="1" t="str">
        <f t="shared" si="133"/>
        <v>20180119</v>
      </c>
      <c r="B103" s="1" t="str">
        <f>"09:36:11"</f>
        <v>09:36:11</v>
      </c>
      <c r="C103" s="1" t="str">
        <f>"300556"</f>
        <v>300556</v>
      </c>
      <c r="D103" s="1" t="str">
        <f>"丝路视觉"</f>
        <v>丝路视觉</v>
      </c>
      <c r="E103" s="1" t="str">
        <f t="shared" ref="E103:E106" si="139">"买入"</f>
        <v>买入</v>
      </c>
      <c r="F103" s="1" t="str">
        <f>"24.850"</f>
        <v>24.850</v>
      </c>
      <c r="G103" s="1" t="str">
        <f t="shared" si="135"/>
        <v>200.00</v>
      </c>
      <c r="H103" s="1" t="str">
        <f t="shared" si="137"/>
        <v>0104152129</v>
      </c>
      <c r="I103" s="1" t="str">
        <f>"4970.00"</f>
        <v>4970.00</v>
      </c>
      <c r="J103" s="1" t="str">
        <f t="shared" si="121"/>
        <v>5.00</v>
      </c>
      <c r="K103" s="1" t="str">
        <f t="shared" ref="K103:K106" si="140">"0.00"</f>
        <v>0.00</v>
      </c>
      <c r="L103" s="1" t="str">
        <f>"0.10"</f>
        <v>0.10</v>
      </c>
      <c r="M103" s="1" t="str">
        <f t="shared" si="102"/>
        <v>0.00</v>
      </c>
      <c r="N103" s="1" t="str">
        <f t="shared" ref="N103:N106" si="141">"证券买入"</f>
        <v>证券买入</v>
      </c>
    </row>
    <row r="104" spans="1:14">
      <c r="A104" s="1" t="str">
        <f t="shared" ref="A104:A116" si="142">"20180122"</f>
        <v>20180122</v>
      </c>
      <c r="B104" s="1" t="str">
        <f>"09:25:00"</f>
        <v>09:25:00</v>
      </c>
      <c r="C104" s="1" t="str">
        <f>"600381"</f>
        <v>600381</v>
      </c>
      <c r="D104" s="1" t="str">
        <f>"青海春天"</f>
        <v>青海春天</v>
      </c>
      <c r="E104" s="1" t="str">
        <f t="shared" si="139"/>
        <v>买入</v>
      </c>
      <c r="F104" s="1" t="str">
        <f>"12.000"</f>
        <v>12.000</v>
      </c>
      <c r="G104" s="1" t="str">
        <f t="shared" si="135"/>
        <v>200.00</v>
      </c>
      <c r="H104" s="1" t="str">
        <f t="shared" si="134"/>
        <v>A850418317</v>
      </c>
      <c r="I104" s="1" t="str">
        <f>"2400.00"</f>
        <v>2400.00</v>
      </c>
      <c r="J104" s="1" t="str">
        <f t="shared" si="121"/>
        <v>5.00</v>
      </c>
      <c r="K104" s="1" t="str">
        <f t="shared" si="140"/>
        <v>0.00</v>
      </c>
      <c r="L104" s="1" t="str">
        <f>"0.05"</f>
        <v>0.05</v>
      </c>
      <c r="M104" s="1" t="str">
        <f t="shared" si="102"/>
        <v>0.00</v>
      </c>
      <c r="N104" s="1" t="str">
        <f t="shared" si="141"/>
        <v>证券买入</v>
      </c>
    </row>
    <row r="105" spans="1:14">
      <c r="A105" s="1" t="str">
        <f t="shared" si="142"/>
        <v>20180122</v>
      </c>
      <c r="B105" s="1" t="str">
        <f>"09:25:01"</f>
        <v>09:25:01</v>
      </c>
      <c r="C105" s="1" t="str">
        <f>"600789"</f>
        <v>600789</v>
      </c>
      <c r="D105" s="1" t="str">
        <f>"鲁抗医药"</f>
        <v>鲁抗医药</v>
      </c>
      <c r="E105" s="1" t="str">
        <f t="shared" si="136"/>
        <v>卖出</v>
      </c>
      <c r="F105" s="1" t="str">
        <f>"8.240"</f>
        <v>8.240</v>
      </c>
      <c r="G105" s="1" t="str">
        <f>"-300.00"</f>
        <v>-300.00</v>
      </c>
      <c r="H105" s="1" t="str">
        <f t="shared" si="134"/>
        <v>A850418317</v>
      </c>
      <c r="I105" s="1" t="str">
        <f>"2472.00"</f>
        <v>2472.00</v>
      </c>
      <c r="J105" s="1" t="str">
        <f t="shared" si="121"/>
        <v>5.00</v>
      </c>
      <c r="K105" s="1" t="str">
        <f>"2.47"</f>
        <v>2.47</v>
      </c>
      <c r="L105" s="1" t="str">
        <f>"0.05"</f>
        <v>0.05</v>
      </c>
      <c r="M105" s="1" t="str">
        <f t="shared" si="102"/>
        <v>0.00</v>
      </c>
      <c r="N105" s="1" t="str">
        <f t="shared" si="138"/>
        <v>证券卖出</v>
      </c>
    </row>
    <row r="106" spans="1:14">
      <c r="A106" s="1" t="str">
        <f t="shared" si="142"/>
        <v>20180122</v>
      </c>
      <c r="B106" s="1" t="str">
        <f>"09:35:42"</f>
        <v>09:35:42</v>
      </c>
      <c r="C106" s="1" t="str">
        <f>"600381"</f>
        <v>600381</v>
      </c>
      <c r="D106" s="1" t="str">
        <f>"青海春天"</f>
        <v>青海春天</v>
      </c>
      <c r="E106" s="1" t="str">
        <f t="shared" si="139"/>
        <v>买入</v>
      </c>
      <c r="F106" s="1" t="str">
        <f>"12.800"</f>
        <v>12.800</v>
      </c>
      <c r="G106" s="1" t="str">
        <f>"100.00"</f>
        <v>100.00</v>
      </c>
      <c r="H106" s="1" t="str">
        <f t="shared" si="134"/>
        <v>A850418317</v>
      </c>
      <c r="I106" s="1" t="str">
        <f>"1280.00"</f>
        <v>1280.00</v>
      </c>
      <c r="J106" s="1" t="str">
        <f t="shared" si="121"/>
        <v>5.00</v>
      </c>
      <c r="K106" s="1" t="str">
        <f t="shared" si="140"/>
        <v>0.00</v>
      </c>
      <c r="L106" s="1" t="str">
        <f>"0.03"</f>
        <v>0.03</v>
      </c>
      <c r="M106" s="1" t="str">
        <f t="shared" si="102"/>
        <v>0.00</v>
      </c>
      <c r="N106" s="1" t="str">
        <f t="shared" si="141"/>
        <v>证券买入</v>
      </c>
    </row>
    <row r="107" spans="1:14">
      <c r="A107" s="1" t="str">
        <f t="shared" si="142"/>
        <v>20180122</v>
      </c>
      <c r="B107" s="1" t="str">
        <f>"10:44:20"</f>
        <v>10:44:20</v>
      </c>
      <c r="C107" s="1" t="str">
        <f>"600985"</f>
        <v>600985</v>
      </c>
      <c r="D107" s="1" t="str">
        <f>"雷鸣科化"</f>
        <v>雷鸣科化</v>
      </c>
      <c r="E107" s="1" t="str">
        <f t="shared" ref="E107:E111" si="143">"卖出"</f>
        <v>卖出</v>
      </c>
      <c r="F107" s="1" t="str">
        <f>"15.130"</f>
        <v>15.130</v>
      </c>
      <c r="G107" s="1" t="str">
        <f>"-200.00"</f>
        <v>-200.00</v>
      </c>
      <c r="H107" s="1" t="str">
        <f t="shared" si="134"/>
        <v>A850418317</v>
      </c>
      <c r="I107" s="1" t="str">
        <f>"3026.00"</f>
        <v>3026.00</v>
      </c>
      <c r="J107" s="1" t="str">
        <f t="shared" si="121"/>
        <v>5.00</v>
      </c>
      <c r="K107" s="1" t="str">
        <f>"3.03"</f>
        <v>3.03</v>
      </c>
      <c r="L107" s="1" t="str">
        <f t="shared" ref="L107:L109" si="144">"0.06"</f>
        <v>0.06</v>
      </c>
      <c r="M107" s="1" t="str">
        <f t="shared" si="102"/>
        <v>0.00</v>
      </c>
      <c r="N107" s="1" t="str">
        <f t="shared" ref="N107:N111" si="145">"证券卖出"</f>
        <v>证券卖出</v>
      </c>
    </row>
    <row r="108" spans="1:14">
      <c r="A108" s="1" t="str">
        <f t="shared" si="142"/>
        <v>20180122</v>
      </c>
      <c r="B108" s="1" t="str">
        <f>"11:28:29"</f>
        <v>11:28:29</v>
      </c>
      <c r="C108" s="1" t="str">
        <f>"603676"</f>
        <v>603676</v>
      </c>
      <c r="D108" s="1" t="str">
        <f>"卫信康"</f>
        <v>卫信康</v>
      </c>
      <c r="E108" s="1" t="str">
        <f t="shared" si="143"/>
        <v>卖出</v>
      </c>
      <c r="F108" s="1" t="str">
        <f>"16.230"</f>
        <v>16.230</v>
      </c>
      <c r="G108" s="1" t="str">
        <f>"-200.00"</f>
        <v>-200.00</v>
      </c>
      <c r="H108" s="1" t="str">
        <f t="shared" si="134"/>
        <v>A850418317</v>
      </c>
      <c r="I108" s="1" t="str">
        <f>"3246.00"</f>
        <v>3246.00</v>
      </c>
      <c r="J108" s="1" t="str">
        <f t="shared" si="121"/>
        <v>5.00</v>
      </c>
      <c r="K108" s="1" t="str">
        <f>"3.25"</f>
        <v>3.25</v>
      </c>
      <c r="L108" s="1" t="str">
        <f t="shared" si="144"/>
        <v>0.06</v>
      </c>
      <c r="M108" s="1" t="str">
        <f t="shared" si="102"/>
        <v>0.00</v>
      </c>
      <c r="N108" s="1" t="str">
        <f t="shared" si="145"/>
        <v>证券卖出</v>
      </c>
    </row>
    <row r="109" spans="1:14">
      <c r="A109" s="1" t="str">
        <f t="shared" si="142"/>
        <v>20180122</v>
      </c>
      <c r="B109" s="1" t="str">
        <f>"11:28:40"</f>
        <v>11:28:40</v>
      </c>
      <c r="C109" s="1" t="str">
        <f>"600846"</f>
        <v>600846</v>
      </c>
      <c r="D109" s="1" t="str">
        <f>"同济科技"</f>
        <v>同济科技</v>
      </c>
      <c r="E109" s="1" t="str">
        <f t="shared" ref="E109:E117" si="146">"买入"</f>
        <v>买入</v>
      </c>
      <c r="F109" s="1" t="str">
        <f>"10.560"</f>
        <v>10.560</v>
      </c>
      <c r="G109" s="1" t="str">
        <f>"300.00"</f>
        <v>300.00</v>
      </c>
      <c r="H109" s="1" t="str">
        <f t="shared" si="134"/>
        <v>A850418317</v>
      </c>
      <c r="I109" s="1" t="str">
        <f>"3168.00"</f>
        <v>3168.00</v>
      </c>
      <c r="J109" s="1" t="str">
        <f t="shared" si="121"/>
        <v>5.00</v>
      </c>
      <c r="K109" s="1" t="str">
        <f t="shared" ref="K109:K117" si="147">"0.00"</f>
        <v>0.00</v>
      </c>
      <c r="L109" s="1" t="str">
        <f t="shared" si="144"/>
        <v>0.06</v>
      </c>
      <c r="M109" s="1" t="str">
        <f t="shared" si="102"/>
        <v>0.00</v>
      </c>
      <c r="N109" s="1" t="str">
        <f t="shared" ref="N109:N117" si="148">"证券买入"</f>
        <v>证券买入</v>
      </c>
    </row>
    <row r="110" spans="1:14">
      <c r="A110" s="1" t="str">
        <f t="shared" si="142"/>
        <v>20180122</v>
      </c>
      <c r="B110" s="1" t="str">
        <f>"14:43:21"</f>
        <v>14:43:21</v>
      </c>
      <c r="C110" s="1" t="str">
        <f>"600426"</f>
        <v>600426</v>
      </c>
      <c r="D110" s="1" t="str">
        <f>"华鲁恒升"</f>
        <v>华鲁恒升</v>
      </c>
      <c r="E110" s="1" t="str">
        <f t="shared" si="143"/>
        <v>卖出</v>
      </c>
      <c r="F110" s="1" t="str">
        <f>"19.200"</f>
        <v>19.200</v>
      </c>
      <c r="G110" s="1" t="str">
        <f>"-100.00"</f>
        <v>-100.00</v>
      </c>
      <c r="H110" s="1" t="str">
        <f t="shared" si="134"/>
        <v>A850418317</v>
      </c>
      <c r="I110" s="1" t="str">
        <f>"1920.00"</f>
        <v>1920.00</v>
      </c>
      <c r="J110" s="1" t="str">
        <f t="shared" si="121"/>
        <v>5.00</v>
      </c>
      <c r="K110" s="1" t="str">
        <f>"1.92"</f>
        <v>1.92</v>
      </c>
      <c r="L110" s="1" t="str">
        <f>"0.04"</f>
        <v>0.04</v>
      </c>
      <c r="M110" s="1" t="str">
        <f t="shared" si="102"/>
        <v>0.00</v>
      </c>
      <c r="N110" s="1" t="str">
        <f t="shared" si="145"/>
        <v>证券卖出</v>
      </c>
    </row>
    <row r="111" spans="1:14">
      <c r="A111" s="1" t="str">
        <f t="shared" si="142"/>
        <v>20180122</v>
      </c>
      <c r="B111" s="1" t="str">
        <f>"14:43:25"</f>
        <v>14:43:25</v>
      </c>
      <c r="C111" s="1" t="str">
        <f>"600426"</f>
        <v>600426</v>
      </c>
      <c r="D111" s="1" t="str">
        <f>"华鲁恒升"</f>
        <v>华鲁恒升</v>
      </c>
      <c r="E111" s="1" t="str">
        <f t="shared" si="143"/>
        <v>卖出</v>
      </c>
      <c r="F111" s="1" t="str">
        <f>"19.220"</f>
        <v>19.220</v>
      </c>
      <c r="G111" s="1" t="str">
        <f>"-100.00"</f>
        <v>-100.00</v>
      </c>
      <c r="H111" s="1" t="str">
        <f t="shared" si="134"/>
        <v>A850418317</v>
      </c>
      <c r="I111" s="1" t="str">
        <f>"1922.00"</f>
        <v>1922.00</v>
      </c>
      <c r="J111" s="1" t="str">
        <f t="shared" si="121"/>
        <v>5.00</v>
      </c>
      <c r="K111" s="1" t="str">
        <f>"1.92"</f>
        <v>1.92</v>
      </c>
      <c r="L111" s="1" t="str">
        <f>"0.04"</f>
        <v>0.04</v>
      </c>
      <c r="M111" s="1" t="str">
        <f t="shared" si="102"/>
        <v>0.00</v>
      </c>
      <c r="N111" s="1" t="str">
        <f t="shared" si="145"/>
        <v>证券卖出</v>
      </c>
    </row>
    <row r="112" spans="1:14">
      <c r="A112" s="1" t="str">
        <f t="shared" si="142"/>
        <v>20180122</v>
      </c>
      <c r="B112" s="1" t="str">
        <f>"09:25:00"</f>
        <v>09:25:00</v>
      </c>
      <c r="C112" s="1" t="str">
        <f>"002917"</f>
        <v>002917</v>
      </c>
      <c r="D112" s="1" t="str">
        <f>"金奥博"</f>
        <v>金奥博</v>
      </c>
      <c r="E112" s="1" t="str">
        <f t="shared" si="146"/>
        <v>买入</v>
      </c>
      <c r="F112" s="1" t="str">
        <f>"33.800"</f>
        <v>33.800</v>
      </c>
      <c r="G112" s="1" t="str">
        <f>"200.00"</f>
        <v>200.00</v>
      </c>
      <c r="H112" s="1" t="str">
        <f t="shared" ref="H112:H116" si="149">"0104152129"</f>
        <v>0104152129</v>
      </c>
      <c r="I112" s="1" t="str">
        <f>"6760.00"</f>
        <v>6760.00</v>
      </c>
      <c r="J112" s="1" t="str">
        <f t="shared" si="121"/>
        <v>5.00</v>
      </c>
      <c r="K112" s="1" t="str">
        <f t="shared" si="147"/>
        <v>0.00</v>
      </c>
      <c r="L112" s="1" t="str">
        <f>"0.14"</f>
        <v>0.14</v>
      </c>
      <c r="M112" s="1" t="str">
        <f t="shared" si="102"/>
        <v>0.00</v>
      </c>
      <c r="N112" s="1" t="str">
        <f t="shared" si="148"/>
        <v>证券买入</v>
      </c>
    </row>
    <row r="113" spans="1:14">
      <c r="A113" s="1" t="str">
        <f t="shared" si="142"/>
        <v>20180122</v>
      </c>
      <c r="B113" s="1" t="str">
        <f>"09:33:47"</f>
        <v>09:33:47</v>
      </c>
      <c r="C113" s="1" t="str">
        <f>"300556"</f>
        <v>300556</v>
      </c>
      <c r="D113" s="1" t="str">
        <f>"丝路视觉"</f>
        <v>丝路视觉</v>
      </c>
      <c r="E113" s="1" t="str">
        <f t="shared" si="146"/>
        <v>买入</v>
      </c>
      <c r="F113" s="1" t="str">
        <f>"24.110"</f>
        <v>24.110</v>
      </c>
      <c r="G113" s="1" t="str">
        <f t="shared" ref="G113:G116" si="150">"100.00"</f>
        <v>100.00</v>
      </c>
      <c r="H113" s="1" t="str">
        <f t="shared" si="149"/>
        <v>0104152129</v>
      </c>
      <c r="I113" s="1" t="str">
        <f>"2411.00"</f>
        <v>2411.00</v>
      </c>
      <c r="J113" s="1" t="str">
        <f t="shared" si="121"/>
        <v>5.00</v>
      </c>
      <c r="K113" s="1" t="str">
        <f t="shared" si="147"/>
        <v>0.00</v>
      </c>
      <c r="L113" s="1" t="str">
        <f>"0.05"</f>
        <v>0.05</v>
      </c>
      <c r="M113" s="1" t="str">
        <f t="shared" si="102"/>
        <v>0.00</v>
      </c>
      <c r="N113" s="1" t="str">
        <f t="shared" si="148"/>
        <v>证券买入</v>
      </c>
    </row>
    <row r="114" spans="1:14">
      <c r="A114" s="1" t="str">
        <f t="shared" si="142"/>
        <v>20180122</v>
      </c>
      <c r="B114" s="1" t="str">
        <f>"10:47:03"</f>
        <v>10:47:03</v>
      </c>
      <c r="C114" s="1" t="str">
        <f>"300085"</f>
        <v>300085</v>
      </c>
      <c r="D114" s="1" t="str">
        <f>"银之杰"</f>
        <v>银之杰</v>
      </c>
      <c r="E114" s="1" t="str">
        <f t="shared" si="146"/>
        <v>买入</v>
      </c>
      <c r="F114" s="1" t="str">
        <f>"14.320"</f>
        <v>14.320</v>
      </c>
      <c r="G114" s="1" t="str">
        <f t="shared" si="150"/>
        <v>100.00</v>
      </c>
      <c r="H114" s="1" t="str">
        <f t="shared" si="149"/>
        <v>0104152129</v>
      </c>
      <c r="I114" s="1" t="str">
        <f>"1432.00"</f>
        <v>1432.00</v>
      </c>
      <c r="J114" s="1" t="str">
        <f t="shared" si="121"/>
        <v>5.00</v>
      </c>
      <c r="K114" s="1" t="str">
        <f t="shared" si="147"/>
        <v>0.00</v>
      </c>
      <c r="L114" s="1" t="str">
        <f>"0.03"</f>
        <v>0.03</v>
      </c>
      <c r="M114" s="1" t="str">
        <f t="shared" si="102"/>
        <v>0.00</v>
      </c>
      <c r="N114" s="1" t="str">
        <f t="shared" si="148"/>
        <v>证券买入</v>
      </c>
    </row>
    <row r="115" spans="1:14">
      <c r="A115" s="1" t="str">
        <f t="shared" si="142"/>
        <v>20180122</v>
      </c>
      <c r="B115" s="1" t="str">
        <f>"10:47:36"</f>
        <v>10:47:36</v>
      </c>
      <c r="C115" s="1" t="str">
        <f>"300085"</f>
        <v>300085</v>
      </c>
      <c r="D115" s="1" t="str">
        <f>"银之杰"</f>
        <v>银之杰</v>
      </c>
      <c r="E115" s="1" t="str">
        <f t="shared" si="146"/>
        <v>买入</v>
      </c>
      <c r="F115" s="1" t="str">
        <f>"14.350"</f>
        <v>14.350</v>
      </c>
      <c r="G115" s="1" t="str">
        <f t="shared" si="150"/>
        <v>100.00</v>
      </c>
      <c r="H115" s="1" t="str">
        <f t="shared" si="149"/>
        <v>0104152129</v>
      </c>
      <c r="I115" s="1" t="str">
        <f>"1435.00"</f>
        <v>1435.00</v>
      </c>
      <c r="J115" s="1" t="str">
        <f t="shared" si="121"/>
        <v>5.00</v>
      </c>
      <c r="K115" s="1" t="str">
        <f t="shared" si="147"/>
        <v>0.00</v>
      </c>
      <c r="L115" s="1" t="str">
        <f>"0.03"</f>
        <v>0.03</v>
      </c>
      <c r="M115" s="1" t="str">
        <f t="shared" si="102"/>
        <v>0.00</v>
      </c>
      <c r="N115" s="1" t="str">
        <f t="shared" si="148"/>
        <v>证券买入</v>
      </c>
    </row>
    <row r="116" spans="1:14">
      <c r="A116" s="1" t="str">
        <f t="shared" si="142"/>
        <v>20180122</v>
      </c>
      <c r="B116" s="1" t="str">
        <f>"13:02:26"</f>
        <v>13:02:26</v>
      </c>
      <c r="C116" s="1" t="str">
        <f>"000833"</f>
        <v>000833</v>
      </c>
      <c r="D116" s="1" t="str">
        <f>"贵糖股份"</f>
        <v>贵糖股份</v>
      </c>
      <c r="E116" s="1" t="str">
        <f t="shared" si="146"/>
        <v>买入</v>
      </c>
      <c r="F116" s="1" t="str">
        <f>"7.080"</f>
        <v>7.080</v>
      </c>
      <c r="G116" s="1" t="str">
        <f t="shared" si="150"/>
        <v>100.00</v>
      </c>
      <c r="H116" s="1" t="str">
        <f t="shared" si="149"/>
        <v>0104152129</v>
      </c>
      <c r="I116" s="1" t="str">
        <f>"708.00"</f>
        <v>708.00</v>
      </c>
      <c r="J116" s="1" t="str">
        <f t="shared" si="121"/>
        <v>5.00</v>
      </c>
      <c r="K116" s="1" t="str">
        <f t="shared" si="147"/>
        <v>0.00</v>
      </c>
      <c r="L116" s="1" t="str">
        <f>"0.01"</f>
        <v>0.01</v>
      </c>
      <c r="M116" s="1" t="str">
        <f t="shared" si="102"/>
        <v>0.00</v>
      </c>
      <c r="N116" s="1" t="str">
        <f t="shared" si="148"/>
        <v>证券买入</v>
      </c>
    </row>
    <row r="117" spans="1:14">
      <c r="A117" s="1" t="str">
        <f t="shared" ref="A117:A137" si="151">"20180123"</f>
        <v>20180123</v>
      </c>
      <c r="B117" s="1" t="str">
        <f>"09:30:25"</f>
        <v>09:30:25</v>
      </c>
      <c r="C117" s="1" t="str">
        <f>"600180"</f>
        <v>600180</v>
      </c>
      <c r="D117" s="1" t="str">
        <f>"瑞茂通"</f>
        <v>瑞茂通</v>
      </c>
      <c r="E117" s="1" t="str">
        <f t="shared" si="146"/>
        <v>买入</v>
      </c>
      <c r="F117" s="1" t="str">
        <f>"11.840"</f>
        <v>11.840</v>
      </c>
      <c r="G117" s="1" t="str">
        <f>"300.00"</f>
        <v>300.00</v>
      </c>
      <c r="H117" s="1" t="str">
        <f t="shared" ref="H117:H129" si="152">"A850418317"</f>
        <v>A850418317</v>
      </c>
      <c r="I117" s="1" t="str">
        <f>"3552.00"</f>
        <v>3552.00</v>
      </c>
      <c r="J117" s="1" t="str">
        <f t="shared" si="121"/>
        <v>5.00</v>
      </c>
      <c r="K117" s="1" t="str">
        <f t="shared" si="147"/>
        <v>0.00</v>
      </c>
      <c r="L117" s="1" t="str">
        <f>"0.07"</f>
        <v>0.07</v>
      </c>
      <c r="M117" s="1" t="str">
        <f t="shared" si="102"/>
        <v>0.00</v>
      </c>
      <c r="N117" s="1" t="str">
        <f t="shared" si="148"/>
        <v>证券买入</v>
      </c>
    </row>
    <row r="118" spans="1:14">
      <c r="A118" s="1" t="str">
        <f t="shared" si="151"/>
        <v>20180123</v>
      </c>
      <c r="B118" s="1" t="str">
        <f>"09:32:10"</f>
        <v>09:32:10</v>
      </c>
      <c r="C118" s="1" t="str">
        <f>"600381"</f>
        <v>600381</v>
      </c>
      <c r="D118" s="1" t="str">
        <f>"青海春天"</f>
        <v>青海春天</v>
      </c>
      <c r="E118" s="1" t="str">
        <f>"卖出"</f>
        <v>卖出</v>
      </c>
      <c r="F118" s="1" t="str">
        <f>"12.060"</f>
        <v>12.060</v>
      </c>
      <c r="G118" s="1" t="str">
        <f>"-300.00"</f>
        <v>-300.00</v>
      </c>
      <c r="H118" s="1" t="str">
        <f t="shared" si="152"/>
        <v>A850418317</v>
      </c>
      <c r="I118" s="1" t="str">
        <f>"3618.00"</f>
        <v>3618.00</v>
      </c>
      <c r="J118" s="1" t="str">
        <f t="shared" si="121"/>
        <v>5.00</v>
      </c>
      <c r="K118" s="1" t="str">
        <f>"3.62"</f>
        <v>3.62</v>
      </c>
      <c r="L118" s="1" t="str">
        <f>"0.07"</f>
        <v>0.07</v>
      </c>
      <c r="M118" s="1" t="str">
        <f t="shared" si="102"/>
        <v>0.00</v>
      </c>
      <c r="N118" s="1" t="str">
        <f>"证券卖出"</f>
        <v>证券卖出</v>
      </c>
    </row>
    <row r="119" spans="1:14">
      <c r="A119" s="1" t="str">
        <f t="shared" si="151"/>
        <v>20180123</v>
      </c>
      <c r="B119" s="1" t="str">
        <f>"09:32:33"</f>
        <v>09:32:33</v>
      </c>
      <c r="C119" s="1" t="str">
        <f>"600180"</f>
        <v>600180</v>
      </c>
      <c r="D119" s="1" t="str">
        <f>"瑞茂通"</f>
        <v>瑞茂通</v>
      </c>
      <c r="E119" s="1" t="str">
        <f t="shared" ref="E119:E124" si="153">"买入"</f>
        <v>买入</v>
      </c>
      <c r="F119" s="1" t="str">
        <f>"11.920"</f>
        <v>11.920</v>
      </c>
      <c r="G119" s="1" t="str">
        <f t="shared" ref="G119:G121" si="154">"200.00"</f>
        <v>200.00</v>
      </c>
      <c r="H119" s="1" t="str">
        <f t="shared" si="152"/>
        <v>A850418317</v>
      </c>
      <c r="I119" s="1" t="str">
        <f>"2384.00"</f>
        <v>2384.00</v>
      </c>
      <c r="J119" s="1" t="str">
        <f t="shared" si="121"/>
        <v>5.00</v>
      </c>
      <c r="K119" s="1" t="str">
        <f t="shared" ref="K119:K124" si="155">"0.00"</f>
        <v>0.00</v>
      </c>
      <c r="L119" s="1" t="str">
        <f>"0.05"</f>
        <v>0.05</v>
      </c>
      <c r="M119" s="1" t="str">
        <f t="shared" si="102"/>
        <v>0.00</v>
      </c>
      <c r="N119" s="1" t="str">
        <f t="shared" ref="N119:N124" si="156">"证券买入"</f>
        <v>证券买入</v>
      </c>
    </row>
    <row r="120" spans="1:14">
      <c r="A120" s="1" t="str">
        <f t="shared" si="151"/>
        <v>20180123</v>
      </c>
      <c r="B120" s="1" t="str">
        <f>"09:57:28"</f>
        <v>09:57:28</v>
      </c>
      <c r="C120" s="1" t="str">
        <f>"600846"</f>
        <v>600846</v>
      </c>
      <c r="D120" s="1" t="str">
        <f>"同济科技"</f>
        <v>同济科技</v>
      </c>
      <c r="E120" s="1" t="str">
        <f t="shared" si="153"/>
        <v>买入</v>
      </c>
      <c r="F120" s="1" t="str">
        <f>"10.390"</f>
        <v>10.390</v>
      </c>
      <c r="G120" s="1" t="str">
        <f t="shared" si="154"/>
        <v>200.00</v>
      </c>
      <c r="H120" s="1" t="str">
        <f t="shared" si="152"/>
        <v>A850418317</v>
      </c>
      <c r="I120" s="1" t="str">
        <f>"2078.00"</f>
        <v>2078.00</v>
      </c>
      <c r="J120" s="1" t="str">
        <f t="shared" si="121"/>
        <v>5.00</v>
      </c>
      <c r="K120" s="1" t="str">
        <f t="shared" si="155"/>
        <v>0.00</v>
      </c>
      <c r="L120" s="1" t="str">
        <f t="shared" ref="L120:L124" si="157">"0.04"</f>
        <v>0.04</v>
      </c>
      <c r="M120" s="1" t="str">
        <f t="shared" si="102"/>
        <v>0.00</v>
      </c>
      <c r="N120" s="1" t="str">
        <f t="shared" si="156"/>
        <v>证券买入</v>
      </c>
    </row>
    <row r="121" spans="1:14">
      <c r="A121" s="1" t="str">
        <f t="shared" si="151"/>
        <v>20180123</v>
      </c>
      <c r="B121" s="1" t="str">
        <f>"09:58:38"</f>
        <v>09:58:38</v>
      </c>
      <c r="C121" s="1" t="str">
        <f t="shared" ref="C121:C129" si="158">"600426"</f>
        <v>600426</v>
      </c>
      <c r="D121" s="1" t="str">
        <f t="shared" ref="D121:D129" si="159">"华鲁恒升"</f>
        <v>华鲁恒升</v>
      </c>
      <c r="E121" s="1" t="str">
        <f t="shared" si="153"/>
        <v>买入</v>
      </c>
      <c r="F121" s="1" t="str">
        <f>"19.300"</f>
        <v>19.300</v>
      </c>
      <c r="G121" s="1" t="str">
        <f t="shared" si="154"/>
        <v>200.00</v>
      </c>
      <c r="H121" s="1" t="str">
        <f t="shared" si="152"/>
        <v>A850418317</v>
      </c>
      <c r="I121" s="1" t="str">
        <f>"3860.00"</f>
        <v>3860.00</v>
      </c>
      <c r="J121" s="1" t="str">
        <f t="shared" si="121"/>
        <v>5.00</v>
      </c>
      <c r="K121" s="1" t="str">
        <f t="shared" si="155"/>
        <v>0.00</v>
      </c>
      <c r="L121" s="1" t="str">
        <f>"0.08"</f>
        <v>0.08</v>
      </c>
      <c r="M121" s="1" t="str">
        <f t="shared" si="102"/>
        <v>0.00</v>
      </c>
      <c r="N121" s="1" t="str">
        <f t="shared" si="156"/>
        <v>证券买入</v>
      </c>
    </row>
    <row r="122" spans="1:14">
      <c r="A122" s="1" t="str">
        <f t="shared" si="151"/>
        <v>20180123</v>
      </c>
      <c r="B122" s="1" t="str">
        <f>"09:59:06"</f>
        <v>09:59:06</v>
      </c>
      <c r="C122" s="1" t="str">
        <f t="shared" si="158"/>
        <v>600426</v>
      </c>
      <c r="D122" s="1" t="str">
        <f t="shared" si="159"/>
        <v>华鲁恒升</v>
      </c>
      <c r="E122" s="1" t="str">
        <f t="shared" si="153"/>
        <v>买入</v>
      </c>
      <c r="F122" s="1" t="str">
        <f>"19.340"</f>
        <v>19.340</v>
      </c>
      <c r="G122" s="1" t="str">
        <f t="shared" ref="G122:G124" si="160">"100.00"</f>
        <v>100.00</v>
      </c>
      <c r="H122" s="1" t="str">
        <f t="shared" si="152"/>
        <v>A850418317</v>
      </c>
      <c r="I122" s="1" t="str">
        <f>"1934.00"</f>
        <v>1934.00</v>
      </c>
      <c r="J122" s="1" t="str">
        <f t="shared" si="121"/>
        <v>5.00</v>
      </c>
      <c r="K122" s="1" t="str">
        <f t="shared" si="155"/>
        <v>0.00</v>
      </c>
      <c r="L122" s="1" t="str">
        <f t="shared" si="157"/>
        <v>0.04</v>
      </c>
      <c r="M122" s="1" t="str">
        <f t="shared" si="102"/>
        <v>0.00</v>
      </c>
      <c r="N122" s="1" t="str">
        <f t="shared" si="156"/>
        <v>证券买入</v>
      </c>
    </row>
    <row r="123" spans="1:14">
      <c r="A123" s="1" t="str">
        <f t="shared" si="151"/>
        <v>20180123</v>
      </c>
      <c r="B123" s="1" t="str">
        <f>"10:03:20"</f>
        <v>10:03:20</v>
      </c>
      <c r="C123" s="1" t="str">
        <f>"600291"</f>
        <v>600291</v>
      </c>
      <c r="D123" s="1" t="str">
        <f>"西水股份"</f>
        <v>西水股份</v>
      </c>
      <c r="E123" s="1" t="str">
        <f t="shared" si="153"/>
        <v>买入</v>
      </c>
      <c r="F123" s="1" t="str">
        <f>"26.780"</f>
        <v>26.780</v>
      </c>
      <c r="G123" s="1" t="str">
        <f t="shared" si="160"/>
        <v>100.00</v>
      </c>
      <c r="H123" s="1" t="str">
        <f t="shared" si="152"/>
        <v>A850418317</v>
      </c>
      <c r="I123" s="1" t="str">
        <f>"2678.00"</f>
        <v>2678.00</v>
      </c>
      <c r="J123" s="1" t="str">
        <f t="shared" si="121"/>
        <v>5.00</v>
      </c>
      <c r="K123" s="1" t="str">
        <f t="shared" si="155"/>
        <v>0.00</v>
      </c>
      <c r="L123" s="1" t="str">
        <f>"0.05"</f>
        <v>0.05</v>
      </c>
      <c r="M123" s="1" t="str">
        <f t="shared" si="102"/>
        <v>0.00</v>
      </c>
      <c r="N123" s="1" t="str">
        <f t="shared" si="156"/>
        <v>证券买入</v>
      </c>
    </row>
    <row r="124" spans="1:14">
      <c r="A124" s="1" t="str">
        <f t="shared" si="151"/>
        <v>20180123</v>
      </c>
      <c r="B124" s="1" t="str">
        <f>"10:05:03"</f>
        <v>10:05:03</v>
      </c>
      <c r="C124" s="1" t="str">
        <f t="shared" si="158"/>
        <v>600426</v>
      </c>
      <c r="D124" s="1" t="str">
        <f t="shared" si="159"/>
        <v>华鲁恒升</v>
      </c>
      <c r="E124" s="1" t="str">
        <f t="shared" si="153"/>
        <v>买入</v>
      </c>
      <c r="F124" s="1" t="str">
        <f>"19.250"</f>
        <v>19.250</v>
      </c>
      <c r="G124" s="1" t="str">
        <f t="shared" si="160"/>
        <v>100.00</v>
      </c>
      <c r="H124" s="1" t="str">
        <f t="shared" si="152"/>
        <v>A850418317</v>
      </c>
      <c r="I124" s="1" t="str">
        <f>"1925.00"</f>
        <v>1925.00</v>
      </c>
      <c r="J124" s="1" t="str">
        <f t="shared" si="121"/>
        <v>5.00</v>
      </c>
      <c r="K124" s="1" t="str">
        <f t="shared" si="155"/>
        <v>0.00</v>
      </c>
      <c r="L124" s="1" t="str">
        <f t="shared" si="157"/>
        <v>0.04</v>
      </c>
      <c r="M124" s="1" t="str">
        <f t="shared" si="102"/>
        <v>0.00</v>
      </c>
      <c r="N124" s="1" t="str">
        <f t="shared" si="156"/>
        <v>证券买入</v>
      </c>
    </row>
    <row r="125" spans="1:14">
      <c r="A125" s="1" t="str">
        <f t="shared" si="151"/>
        <v>20180123</v>
      </c>
      <c r="B125" s="1" t="str">
        <f>"11:15:46"</f>
        <v>11:15:46</v>
      </c>
      <c r="C125" s="1" t="str">
        <f t="shared" si="158"/>
        <v>600426</v>
      </c>
      <c r="D125" s="1" t="str">
        <f t="shared" si="159"/>
        <v>华鲁恒升</v>
      </c>
      <c r="E125" s="1" t="str">
        <f>"卖出"</f>
        <v>卖出</v>
      </c>
      <c r="F125" s="1" t="str">
        <f>"19.500"</f>
        <v>19.500</v>
      </c>
      <c r="G125" s="1" t="str">
        <f>"-300.00"</f>
        <v>-300.00</v>
      </c>
      <c r="H125" s="1" t="str">
        <f t="shared" si="152"/>
        <v>A850418317</v>
      </c>
      <c r="I125" s="1" t="str">
        <f>"5850.00"</f>
        <v>5850.00</v>
      </c>
      <c r="J125" s="1" t="str">
        <f t="shared" si="121"/>
        <v>5.00</v>
      </c>
      <c r="K125" s="1" t="str">
        <f>"5.85"</f>
        <v>5.85</v>
      </c>
      <c r="L125" s="1" t="str">
        <f>"0.12"</f>
        <v>0.12</v>
      </c>
      <c r="M125" s="1" t="str">
        <f t="shared" si="102"/>
        <v>0.00</v>
      </c>
      <c r="N125" s="1" t="str">
        <f>"证券卖出"</f>
        <v>证券卖出</v>
      </c>
    </row>
    <row r="126" spans="1:14">
      <c r="A126" s="1" t="str">
        <f t="shared" si="151"/>
        <v>20180123</v>
      </c>
      <c r="B126" s="1" t="str">
        <f>"13:50:53"</f>
        <v>13:50:53</v>
      </c>
      <c r="C126" s="1" t="str">
        <f t="shared" si="158"/>
        <v>600426</v>
      </c>
      <c r="D126" s="1" t="str">
        <f t="shared" si="159"/>
        <v>华鲁恒升</v>
      </c>
      <c r="E126" s="1" t="str">
        <f t="shared" ref="E126:E129" si="161">"买入"</f>
        <v>买入</v>
      </c>
      <c r="F126" s="1" t="str">
        <f>"19.300"</f>
        <v>19.300</v>
      </c>
      <c r="G126" s="1" t="str">
        <f t="shared" ref="G126:G129" si="162">"100.00"</f>
        <v>100.00</v>
      </c>
      <c r="H126" s="1" t="str">
        <f t="shared" si="152"/>
        <v>A850418317</v>
      </c>
      <c r="I126" s="1" t="str">
        <f>"1930.00"</f>
        <v>1930.00</v>
      </c>
      <c r="J126" s="1" t="str">
        <f t="shared" si="121"/>
        <v>5.00</v>
      </c>
      <c r="K126" s="1" t="str">
        <f t="shared" ref="K126:K129" si="163">"0.00"</f>
        <v>0.00</v>
      </c>
      <c r="L126" s="1" t="str">
        <f t="shared" ref="L126:L129" si="164">"0.04"</f>
        <v>0.04</v>
      </c>
      <c r="M126" s="1" t="str">
        <f t="shared" si="102"/>
        <v>0.00</v>
      </c>
      <c r="N126" s="1" t="str">
        <f t="shared" ref="N126:N129" si="165">"证券买入"</f>
        <v>证券买入</v>
      </c>
    </row>
    <row r="127" spans="1:14">
      <c r="A127" s="1" t="str">
        <f t="shared" si="151"/>
        <v>20180123</v>
      </c>
      <c r="B127" s="1" t="str">
        <f>"13:55:26"</f>
        <v>13:55:26</v>
      </c>
      <c r="C127" s="1" t="str">
        <f t="shared" si="158"/>
        <v>600426</v>
      </c>
      <c r="D127" s="1" t="str">
        <f t="shared" si="159"/>
        <v>华鲁恒升</v>
      </c>
      <c r="E127" s="1" t="str">
        <f t="shared" si="161"/>
        <v>买入</v>
      </c>
      <c r="F127" s="1" t="str">
        <f>"19.240"</f>
        <v>19.240</v>
      </c>
      <c r="G127" s="1" t="str">
        <f t="shared" si="162"/>
        <v>100.00</v>
      </c>
      <c r="H127" s="1" t="str">
        <f t="shared" si="152"/>
        <v>A850418317</v>
      </c>
      <c r="I127" s="1" t="str">
        <f>"1924.00"</f>
        <v>1924.00</v>
      </c>
      <c r="J127" s="1" t="str">
        <f t="shared" si="121"/>
        <v>5.00</v>
      </c>
      <c r="K127" s="1" t="str">
        <f t="shared" si="163"/>
        <v>0.00</v>
      </c>
      <c r="L127" s="1" t="str">
        <f t="shared" si="164"/>
        <v>0.04</v>
      </c>
      <c r="M127" s="1" t="str">
        <f t="shared" si="102"/>
        <v>0.00</v>
      </c>
      <c r="N127" s="1" t="str">
        <f t="shared" si="165"/>
        <v>证券买入</v>
      </c>
    </row>
    <row r="128" spans="1:14">
      <c r="A128" s="1" t="str">
        <f t="shared" si="151"/>
        <v>20180123</v>
      </c>
      <c r="B128" s="1" t="str">
        <f>"14:06:42"</f>
        <v>14:06:42</v>
      </c>
      <c r="C128" s="1" t="str">
        <f t="shared" si="158"/>
        <v>600426</v>
      </c>
      <c r="D128" s="1" t="str">
        <f t="shared" si="159"/>
        <v>华鲁恒升</v>
      </c>
      <c r="E128" s="1" t="str">
        <f t="shared" si="161"/>
        <v>买入</v>
      </c>
      <c r="F128" s="1" t="str">
        <f>"19.240"</f>
        <v>19.240</v>
      </c>
      <c r="G128" s="1" t="str">
        <f t="shared" si="162"/>
        <v>100.00</v>
      </c>
      <c r="H128" s="1" t="str">
        <f t="shared" si="152"/>
        <v>A850418317</v>
      </c>
      <c r="I128" s="1" t="str">
        <f>"1924.00"</f>
        <v>1924.00</v>
      </c>
      <c r="J128" s="1" t="str">
        <f t="shared" si="121"/>
        <v>5.00</v>
      </c>
      <c r="K128" s="1" t="str">
        <f t="shared" si="163"/>
        <v>0.00</v>
      </c>
      <c r="L128" s="1" t="str">
        <f t="shared" si="164"/>
        <v>0.04</v>
      </c>
      <c r="M128" s="1" t="str">
        <f t="shared" si="102"/>
        <v>0.00</v>
      </c>
      <c r="N128" s="1" t="str">
        <f t="shared" si="165"/>
        <v>证券买入</v>
      </c>
    </row>
    <row r="129" spans="1:14">
      <c r="A129" s="1" t="str">
        <f t="shared" si="151"/>
        <v>20180123</v>
      </c>
      <c r="B129" s="1" t="str">
        <f>"14:14:08"</f>
        <v>14:14:08</v>
      </c>
      <c r="C129" s="1" t="str">
        <f t="shared" si="158"/>
        <v>600426</v>
      </c>
      <c r="D129" s="1" t="str">
        <f t="shared" si="159"/>
        <v>华鲁恒升</v>
      </c>
      <c r="E129" s="1" t="str">
        <f t="shared" si="161"/>
        <v>买入</v>
      </c>
      <c r="F129" s="1" t="str">
        <f>"19.230"</f>
        <v>19.230</v>
      </c>
      <c r="G129" s="1" t="str">
        <f t="shared" si="162"/>
        <v>100.00</v>
      </c>
      <c r="H129" s="1" t="str">
        <f t="shared" si="152"/>
        <v>A850418317</v>
      </c>
      <c r="I129" s="1" t="str">
        <f>"1923.00"</f>
        <v>1923.00</v>
      </c>
      <c r="J129" s="1" t="str">
        <f t="shared" si="121"/>
        <v>5.00</v>
      </c>
      <c r="K129" s="1" t="str">
        <f t="shared" si="163"/>
        <v>0.00</v>
      </c>
      <c r="L129" s="1" t="str">
        <f t="shared" si="164"/>
        <v>0.04</v>
      </c>
      <c r="M129" s="1" t="str">
        <f t="shared" si="102"/>
        <v>0.00</v>
      </c>
      <c r="N129" s="1" t="str">
        <f t="shared" si="165"/>
        <v>证券买入</v>
      </c>
    </row>
    <row r="130" spans="1:14">
      <c r="A130" s="1" t="str">
        <f t="shared" si="151"/>
        <v>20180123</v>
      </c>
      <c r="B130" s="1" t="str">
        <f>"09:25:00"</f>
        <v>09:25:00</v>
      </c>
      <c r="C130" s="1" t="str">
        <f>"002917"</f>
        <v>002917</v>
      </c>
      <c r="D130" s="1" t="str">
        <f>"金奥博"</f>
        <v>金奥博</v>
      </c>
      <c r="E130" s="1" t="str">
        <f t="shared" ref="E130:E135" si="166">"卖出"</f>
        <v>卖出</v>
      </c>
      <c r="F130" s="1" t="str">
        <f>"29.800"</f>
        <v>29.800</v>
      </c>
      <c r="G130" s="1" t="str">
        <f t="shared" ref="G130:G133" si="167">"-100.00"</f>
        <v>-100.00</v>
      </c>
      <c r="H130" s="1" t="str">
        <f t="shared" ref="H130:H135" si="168">"0104152129"</f>
        <v>0104152129</v>
      </c>
      <c r="I130" s="1" t="str">
        <f>"2980.00"</f>
        <v>2980.00</v>
      </c>
      <c r="J130" s="1" t="str">
        <f t="shared" si="121"/>
        <v>5.00</v>
      </c>
      <c r="K130" s="1" t="str">
        <f>"2.98"</f>
        <v>2.98</v>
      </c>
      <c r="L130" s="1" t="str">
        <f t="shared" ref="L130:L134" si="169">"0.06"</f>
        <v>0.06</v>
      </c>
      <c r="M130" s="1" t="str">
        <f t="shared" si="102"/>
        <v>0.00</v>
      </c>
      <c r="N130" s="1" t="str">
        <f t="shared" ref="N130:N135" si="170">"证券卖出"</f>
        <v>证券卖出</v>
      </c>
    </row>
    <row r="131" spans="1:14">
      <c r="A131" s="1" t="str">
        <f t="shared" si="151"/>
        <v>20180123</v>
      </c>
      <c r="B131" s="1" t="str">
        <f>"09:31:33"</f>
        <v>09:31:33</v>
      </c>
      <c r="C131" s="1" t="str">
        <f>"002917"</f>
        <v>002917</v>
      </c>
      <c r="D131" s="1" t="str">
        <f>"金奥博"</f>
        <v>金奥博</v>
      </c>
      <c r="E131" s="1" t="str">
        <f t="shared" si="166"/>
        <v>卖出</v>
      </c>
      <c r="F131" s="1" t="str">
        <f>"29.730"</f>
        <v>29.730</v>
      </c>
      <c r="G131" s="1" t="str">
        <f t="shared" si="167"/>
        <v>-100.00</v>
      </c>
      <c r="H131" s="1" t="str">
        <f t="shared" si="168"/>
        <v>0104152129</v>
      </c>
      <c r="I131" s="1" t="str">
        <f>"2973.00"</f>
        <v>2973.00</v>
      </c>
      <c r="J131" s="1" t="str">
        <f t="shared" si="121"/>
        <v>5.00</v>
      </c>
      <c r="K131" s="1" t="str">
        <f>"2.97"</f>
        <v>2.97</v>
      </c>
      <c r="L131" s="1" t="str">
        <f t="shared" si="169"/>
        <v>0.06</v>
      </c>
      <c r="M131" s="1" t="str">
        <f t="shared" si="102"/>
        <v>0.00</v>
      </c>
      <c r="N131" s="1" t="str">
        <f t="shared" si="170"/>
        <v>证券卖出</v>
      </c>
    </row>
    <row r="132" spans="1:14">
      <c r="A132" s="1" t="str">
        <f t="shared" si="151"/>
        <v>20180123</v>
      </c>
      <c r="B132" s="1" t="str">
        <f>"09:32:51"</f>
        <v>09:32:51</v>
      </c>
      <c r="C132" s="1" t="str">
        <f>"300556"</f>
        <v>300556</v>
      </c>
      <c r="D132" s="1" t="str">
        <f>"丝路视觉"</f>
        <v>丝路视觉</v>
      </c>
      <c r="E132" s="1" t="str">
        <f t="shared" si="166"/>
        <v>卖出</v>
      </c>
      <c r="F132" s="1" t="str">
        <f>"24.680"</f>
        <v>24.680</v>
      </c>
      <c r="G132" s="1" t="str">
        <f>"-200.00"</f>
        <v>-200.00</v>
      </c>
      <c r="H132" s="1" t="str">
        <f t="shared" si="168"/>
        <v>0104152129</v>
      </c>
      <c r="I132" s="1" t="str">
        <f>"4936.00"</f>
        <v>4936.00</v>
      </c>
      <c r="J132" s="1" t="str">
        <f t="shared" si="121"/>
        <v>5.00</v>
      </c>
      <c r="K132" s="1" t="str">
        <f>"4.94"</f>
        <v>4.94</v>
      </c>
      <c r="L132" s="1" t="str">
        <f>"0.10"</f>
        <v>0.10</v>
      </c>
      <c r="M132" s="1" t="str">
        <f t="shared" si="102"/>
        <v>0.00</v>
      </c>
      <c r="N132" s="1" t="str">
        <f t="shared" si="170"/>
        <v>证券卖出</v>
      </c>
    </row>
    <row r="133" spans="1:14">
      <c r="A133" s="1" t="str">
        <f t="shared" si="151"/>
        <v>20180123</v>
      </c>
      <c r="B133" s="1" t="str">
        <f>"09:35:51"</f>
        <v>09:35:51</v>
      </c>
      <c r="C133" s="1" t="str">
        <f>"300556"</f>
        <v>300556</v>
      </c>
      <c r="D133" s="1" t="str">
        <f>"丝路视觉"</f>
        <v>丝路视觉</v>
      </c>
      <c r="E133" s="1" t="str">
        <f t="shared" si="166"/>
        <v>卖出</v>
      </c>
      <c r="F133" s="1" t="str">
        <f>"24.080"</f>
        <v>24.080</v>
      </c>
      <c r="G133" s="1" t="str">
        <f t="shared" si="167"/>
        <v>-100.00</v>
      </c>
      <c r="H133" s="1" t="str">
        <f t="shared" si="168"/>
        <v>0104152129</v>
      </c>
      <c r="I133" s="1" t="str">
        <f>"2408.00"</f>
        <v>2408.00</v>
      </c>
      <c r="J133" s="1" t="str">
        <f t="shared" si="121"/>
        <v>5.00</v>
      </c>
      <c r="K133" s="1" t="str">
        <f>"2.41"</f>
        <v>2.41</v>
      </c>
      <c r="L133" s="1" t="str">
        <f>"0.05"</f>
        <v>0.05</v>
      </c>
      <c r="M133" s="1" t="str">
        <f t="shared" si="102"/>
        <v>0.00</v>
      </c>
      <c r="N133" s="1" t="str">
        <f t="shared" si="170"/>
        <v>证券卖出</v>
      </c>
    </row>
    <row r="134" spans="1:14">
      <c r="A134" s="1" t="str">
        <f t="shared" si="151"/>
        <v>20180123</v>
      </c>
      <c r="B134" s="1" t="str">
        <f>"11:29:44"</f>
        <v>11:29:44</v>
      </c>
      <c r="C134" s="1" t="str">
        <f>"300085"</f>
        <v>300085</v>
      </c>
      <c r="D134" s="1" t="str">
        <f>"银之杰"</f>
        <v>银之杰</v>
      </c>
      <c r="E134" s="1" t="str">
        <f t="shared" si="166"/>
        <v>卖出</v>
      </c>
      <c r="F134" s="1" t="str">
        <f>"14.200"</f>
        <v>14.200</v>
      </c>
      <c r="G134" s="1" t="str">
        <f>"-200.00"</f>
        <v>-200.00</v>
      </c>
      <c r="H134" s="1" t="str">
        <f t="shared" si="168"/>
        <v>0104152129</v>
      </c>
      <c r="I134" s="1" t="str">
        <f>"2840.00"</f>
        <v>2840.00</v>
      </c>
      <c r="J134" s="1" t="str">
        <f t="shared" si="121"/>
        <v>5.00</v>
      </c>
      <c r="K134" s="1" t="str">
        <f>"2.84"</f>
        <v>2.84</v>
      </c>
      <c r="L134" s="1" t="str">
        <f t="shared" si="169"/>
        <v>0.06</v>
      </c>
      <c r="M134" s="1" t="str">
        <f t="shared" si="102"/>
        <v>0.00</v>
      </c>
      <c r="N134" s="1" t="str">
        <f t="shared" si="170"/>
        <v>证券卖出</v>
      </c>
    </row>
    <row r="135" spans="1:14">
      <c r="A135" s="1" t="str">
        <f t="shared" si="151"/>
        <v>20180123</v>
      </c>
      <c r="B135" s="1" t="str">
        <f>"14:17:14"</f>
        <v>14:17:14</v>
      </c>
      <c r="C135" s="1" t="str">
        <f>"000833"</f>
        <v>000833</v>
      </c>
      <c r="D135" s="1" t="str">
        <f>"贵糖股份"</f>
        <v>贵糖股份</v>
      </c>
      <c r="E135" s="1" t="str">
        <f t="shared" si="166"/>
        <v>卖出</v>
      </c>
      <c r="F135" s="1" t="str">
        <f>"6.980"</f>
        <v>6.980</v>
      </c>
      <c r="G135" s="1" t="str">
        <f>"-100.00"</f>
        <v>-100.00</v>
      </c>
      <c r="H135" s="1" t="str">
        <f t="shared" si="168"/>
        <v>0104152129</v>
      </c>
      <c r="I135" s="1" t="str">
        <f>"698.00"</f>
        <v>698.00</v>
      </c>
      <c r="J135" s="1" t="str">
        <f t="shared" si="121"/>
        <v>5.00</v>
      </c>
      <c r="K135" s="1" t="str">
        <f>"0.70"</f>
        <v>0.70</v>
      </c>
      <c r="L135" s="1" t="str">
        <f>"0.01"</f>
        <v>0.01</v>
      </c>
      <c r="M135" s="1" t="str">
        <f t="shared" si="102"/>
        <v>0.00</v>
      </c>
      <c r="N135" s="1" t="str">
        <f t="shared" si="170"/>
        <v>证券卖出</v>
      </c>
    </row>
    <row r="136" spans="1:14">
      <c r="A136" s="1" t="str">
        <f t="shared" si="151"/>
        <v>20180123</v>
      </c>
      <c r="B136" s="1" t="str">
        <f>"23:46:22"</f>
        <v>23:46:22</v>
      </c>
      <c r="C136" s="1" t="str">
        <f>"736516"</f>
        <v>736516</v>
      </c>
      <c r="D136" s="1" t="str">
        <f>"淳中配号"</f>
        <v>淳中配号</v>
      </c>
      <c r="E136" s="1" t="str">
        <f t="shared" ref="E136:E139" si="171">"买入"</f>
        <v>买入</v>
      </c>
      <c r="F136" s="1" t="str">
        <f>"0.000"</f>
        <v>0.000</v>
      </c>
      <c r="G136" s="1" t="str">
        <f>"1.00"</f>
        <v>1.00</v>
      </c>
      <c r="H136" s="1" t="str">
        <f t="shared" ref="H136:H142" si="172">"A850418317"</f>
        <v>A850418317</v>
      </c>
      <c r="I136" s="1" t="str">
        <f t="shared" ref="I136:L136" si="173">"0.00"</f>
        <v>0.00</v>
      </c>
      <c r="J136" s="1" t="str">
        <f t="shared" si="173"/>
        <v>0.00</v>
      </c>
      <c r="K136" s="1" t="str">
        <f t="shared" si="173"/>
        <v>0.00</v>
      </c>
      <c r="L136" s="1" t="str">
        <f t="shared" si="173"/>
        <v>0.00</v>
      </c>
      <c r="M136" s="1" t="str">
        <f t="shared" si="102"/>
        <v>0.00</v>
      </c>
      <c r="N136" s="1" t="str">
        <f>"起始配号:100005590484"</f>
        <v>起始配号:100005590484</v>
      </c>
    </row>
    <row r="137" spans="1:14">
      <c r="A137" s="1" t="str">
        <f t="shared" si="151"/>
        <v>20180123</v>
      </c>
      <c r="B137" s="1" t="str">
        <f>"23:46:59"</f>
        <v>23:46:59</v>
      </c>
      <c r="C137" s="1" t="str">
        <f>"736506"</f>
        <v>736506</v>
      </c>
      <c r="D137" s="1" t="str">
        <f>"南都配号"</f>
        <v>南都配号</v>
      </c>
      <c r="E137" s="1" t="str">
        <f t="shared" si="171"/>
        <v>买入</v>
      </c>
      <c r="F137" s="1" t="str">
        <f>"0.000"</f>
        <v>0.000</v>
      </c>
      <c r="G137" s="1" t="str">
        <f>"1.00"</f>
        <v>1.00</v>
      </c>
      <c r="H137" s="1" t="str">
        <f t="shared" si="172"/>
        <v>A850418317</v>
      </c>
      <c r="I137" s="1" t="str">
        <f t="shared" ref="I137:M137" si="174">"0.00"</f>
        <v>0.00</v>
      </c>
      <c r="J137" s="1" t="str">
        <f t="shared" si="174"/>
        <v>0.00</v>
      </c>
      <c r="K137" s="1" t="str">
        <f t="shared" si="174"/>
        <v>0.00</v>
      </c>
      <c r="L137" s="1" t="str">
        <f t="shared" si="174"/>
        <v>0.00</v>
      </c>
      <c r="M137" s="1" t="str">
        <f t="shared" si="174"/>
        <v>0.00</v>
      </c>
      <c r="N137" s="1" t="str">
        <f>"起始配号:100009118461"</f>
        <v>起始配号:100009118461</v>
      </c>
    </row>
    <row r="138" spans="1:14">
      <c r="A138" s="1" t="str">
        <f t="shared" ref="A138:A144" si="175">"20180124"</f>
        <v>20180124</v>
      </c>
      <c r="B138" s="1" t="str">
        <f>"09:40:38"</f>
        <v>09:40:38</v>
      </c>
      <c r="C138" s="1" t="str">
        <f>"600180"</f>
        <v>600180</v>
      </c>
      <c r="D138" s="1" t="str">
        <f>"瑞茂通"</f>
        <v>瑞茂通</v>
      </c>
      <c r="E138" s="1" t="str">
        <f>"卖出"</f>
        <v>卖出</v>
      </c>
      <c r="F138" s="1" t="str">
        <f>"11.330"</f>
        <v>11.330</v>
      </c>
      <c r="G138" s="1" t="str">
        <f>"-500.00"</f>
        <v>-500.00</v>
      </c>
      <c r="H138" s="1" t="str">
        <f t="shared" si="172"/>
        <v>A850418317</v>
      </c>
      <c r="I138" s="1" t="str">
        <f>"5665.00"</f>
        <v>5665.00</v>
      </c>
      <c r="J138" s="1" t="str">
        <f t="shared" ref="J138:J144" si="176">"5.00"</f>
        <v>5.00</v>
      </c>
      <c r="K138" s="1" t="str">
        <f>"5.67"</f>
        <v>5.67</v>
      </c>
      <c r="L138" s="1" t="str">
        <f>"0.11"</f>
        <v>0.11</v>
      </c>
      <c r="M138" s="1" t="str">
        <f t="shared" ref="M138:M201" si="177">"0.00"</f>
        <v>0.00</v>
      </c>
      <c r="N138" s="1" t="str">
        <f>"证券卖出"</f>
        <v>证券卖出</v>
      </c>
    </row>
    <row r="139" spans="1:14">
      <c r="A139" s="1" t="str">
        <f t="shared" si="175"/>
        <v>20180124</v>
      </c>
      <c r="B139" s="1" t="str">
        <f>"10:04:16"</f>
        <v>10:04:16</v>
      </c>
      <c r="C139" s="1" t="str">
        <f>"600093"</f>
        <v>600093</v>
      </c>
      <c r="D139" s="1" t="str">
        <f>"易见股份"</f>
        <v>易见股份</v>
      </c>
      <c r="E139" s="1" t="str">
        <f t="shared" si="171"/>
        <v>买入</v>
      </c>
      <c r="F139" s="1" t="str">
        <f>"14.820"</f>
        <v>14.820</v>
      </c>
      <c r="G139" s="1" t="str">
        <f t="shared" ref="G139:G143" si="178">"100.00"</f>
        <v>100.00</v>
      </c>
      <c r="H139" s="1" t="str">
        <f t="shared" si="172"/>
        <v>A850418317</v>
      </c>
      <c r="I139" s="1" t="str">
        <f>"1482.00"</f>
        <v>1482.00</v>
      </c>
      <c r="J139" s="1" t="str">
        <f t="shared" si="176"/>
        <v>5.00</v>
      </c>
      <c r="K139" s="1" t="str">
        <f t="shared" ref="K139:K146" si="179">"0.00"</f>
        <v>0.00</v>
      </c>
      <c r="L139" s="1" t="str">
        <f>"0.03"</f>
        <v>0.03</v>
      </c>
      <c r="M139" s="1" t="str">
        <f t="shared" si="177"/>
        <v>0.00</v>
      </c>
      <c r="N139" s="1" t="str">
        <f t="shared" ref="N139:N144" si="180">"证券买入"</f>
        <v>证券买入</v>
      </c>
    </row>
    <row r="140" spans="1:14">
      <c r="A140" s="1" t="str">
        <f t="shared" si="175"/>
        <v>20180124</v>
      </c>
      <c r="B140" s="1" t="str">
        <f>"14:04:39"</f>
        <v>14:04:39</v>
      </c>
      <c r="C140" s="1" t="str">
        <f>"600291"</f>
        <v>600291</v>
      </c>
      <c r="D140" s="1" t="str">
        <f>"西水股份"</f>
        <v>西水股份</v>
      </c>
      <c r="E140" s="1" t="str">
        <f>"卖出"</f>
        <v>卖出</v>
      </c>
      <c r="F140" s="1" t="str">
        <f>"26.240"</f>
        <v>26.240</v>
      </c>
      <c r="G140" s="1" t="str">
        <f>"-100.00"</f>
        <v>-100.00</v>
      </c>
      <c r="H140" s="1" t="str">
        <f t="shared" si="172"/>
        <v>A850418317</v>
      </c>
      <c r="I140" s="1" t="str">
        <f>"2624.00"</f>
        <v>2624.00</v>
      </c>
      <c r="J140" s="1" t="str">
        <f t="shared" si="176"/>
        <v>5.00</v>
      </c>
      <c r="K140" s="1" t="str">
        <f>"2.62"</f>
        <v>2.62</v>
      </c>
      <c r="L140" s="1" t="str">
        <f>"0.05"</f>
        <v>0.05</v>
      </c>
      <c r="M140" s="1" t="str">
        <f t="shared" si="177"/>
        <v>0.00</v>
      </c>
      <c r="N140" s="1" t="str">
        <f>"证券卖出"</f>
        <v>证券卖出</v>
      </c>
    </row>
    <row r="141" spans="1:14">
      <c r="A141" s="1" t="str">
        <f t="shared" si="175"/>
        <v>20180124</v>
      </c>
      <c r="B141" s="1" t="str">
        <f>"14:04:59"</f>
        <v>14:04:59</v>
      </c>
      <c r="C141" s="1" t="str">
        <f>"600093"</f>
        <v>600093</v>
      </c>
      <c r="D141" s="1" t="str">
        <f>"易见股份"</f>
        <v>易见股份</v>
      </c>
      <c r="E141" s="1" t="str">
        <f t="shared" ref="E141:E146" si="181">"买入"</f>
        <v>买入</v>
      </c>
      <c r="F141" s="1" t="str">
        <f>"15.440"</f>
        <v>15.440</v>
      </c>
      <c r="G141" s="1" t="str">
        <f t="shared" si="178"/>
        <v>100.00</v>
      </c>
      <c r="H141" s="1" t="str">
        <f t="shared" si="172"/>
        <v>A850418317</v>
      </c>
      <c r="I141" s="1" t="str">
        <f>"1544.00"</f>
        <v>1544.00</v>
      </c>
      <c r="J141" s="1" t="str">
        <f t="shared" si="176"/>
        <v>5.00</v>
      </c>
      <c r="K141" s="1" t="str">
        <f t="shared" si="179"/>
        <v>0.00</v>
      </c>
      <c r="L141" s="1" t="str">
        <f>"0.03"</f>
        <v>0.03</v>
      </c>
      <c r="M141" s="1" t="str">
        <f t="shared" si="177"/>
        <v>0.00</v>
      </c>
      <c r="N141" s="1" t="str">
        <f t="shared" si="180"/>
        <v>证券买入</v>
      </c>
    </row>
    <row r="142" spans="1:14">
      <c r="A142" s="1" t="str">
        <f t="shared" si="175"/>
        <v>20180124</v>
      </c>
      <c r="B142" s="1" t="str">
        <f>"14:05:57"</f>
        <v>14:05:57</v>
      </c>
      <c r="C142" s="1" t="str">
        <f>"600846"</f>
        <v>600846</v>
      </c>
      <c r="D142" s="1" t="str">
        <f>"同济科技"</f>
        <v>同济科技</v>
      </c>
      <c r="E142" s="1" t="str">
        <f t="shared" si="181"/>
        <v>买入</v>
      </c>
      <c r="F142" s="1" t="str">
        <f>"10.430"</f>
        <v>10.430</v>
      </c>
      <c r="G142" s="1" t="str">
        <f t="shared" si="178"/>
        <v>100.00</v>
      </c>
      <c r="H142" s="1" t="str">
        <f t="shared" si="172"/>
        <v>A850418317</v>
      </c>
      <c r="I142" s="1" t="str">
        <f>"1043.00"</f>
        <v>1043.00</v>
      </c>
      <c r="J142" s="1" t="str">
        <f t="shared" si="176"/>
        <v>5.00</v>
      </c>
      <c r="K142" s="1" t="str">
        <f t="shared" si="179"/>
        <v>0.00</v>
      </c>
      <c r="L142" s="1" t="str">
        <f>"0.02"</f>
        <v>0.02</v>
      </c>
      <c r="M142" s="1" t="str">
        <f t="shared" si="177"/>
        <v>0.00</v>
      </c>
      <c r="N142" s="1" t="str">
        <f t="shared" si="180"/>
        <v>证券买入</v>
      </c>
    </row>
    <row r="143" spans="1:14">
      <c r="A143" s="1" t="str">
        <f t="shared" si="175"/>
        <v>20180124</v>
      </c>
      <c r="B143" s="1" t="str">
        <f>"09:41:48"</f>
        <v>09:41:48</v>
      </c>
      <c r="C143" s="1" t="str">
        <f>"300612"</f>
        <v>300612</v>
      </c>
      <c r="D143" s="1" t="str">
        <f>"宣亚国际"</f>
        <v>宣亚国际</v>
      </c>
      <c r="E143" s="1" t="str">
        <f t="shared" si="181"/>
        <v>买入</v>
      </c>
      <c r="F143" s="1" t="str">
        <f>"40.350"</f>
        <v>40.350</v>
      </c>
      <c r="G143" s="1" t="str">
        <f t="shared" si="178"/>
        <v>100.00</v>
      </c>
      <c r="H143" s="1" t="str">
        <f>"0104152129"</f>
        <v>0104152129</v>
      </c>
      <c r="I143" s="1" t="str">
        <f>"4035.00"</f>
        <v>4035.00</v>
      </c>
      <c r="J143" s="1" t="str">
        <f t="shared" si="176"/>
        <v>5.00</v>
      </c>
      <c r="K143" s="1" t="str">
        <f t="shared" si="179"/>
        <v>0.00</v>
      </c>
      <c r="L143" s="1" t="str">
        <f>"0.08"</f>
        <v>0.08</v>
      </c>
      <c r="M143" s="1" t="str">
        <f t="shared" si="177"/>
        <v>0.00</v>
      </c>
      <c r="N143" s="1" t="str">
        <f t="shared" si="180"/>
        <v>证券买入</v>
      </c>
    </row>
    <row r="144" spans="1:14">
      <c r="A144" s="1" t="str">
        <f t="shared" si="175"/>
        <v>20180124</v>
      </c>
      <c r="B144" s="1" t="str">
        <f>"10:33:24"</f>
        <v>10:33:24</v>
      </c>
      <c r="C144" s="1" t="str">
        <f>"300251"</f>
        <v>300251</v>
      </c>
      <c r="D144" s="1" t="str">
        <f>"光线传媒"</f>
        <v>光线传媒</v>
      </c>
      <c r="E144" s="1" t="str">
        <f t="shared" si="181"/>
        <v>买入</v>
      </c>
      <c r="F144" s="1" t="str">
        <f>"12.680"</f>
        <v>12.680</v>
      </c>
      <c r="G144" s="1" t="str">
        <f>"300.00"</f>
        <v>300.00</v>
      </c>
      <c r="H144" s="1" t="str">
        <f>"0104152129"</f>
        <v>0104152129</v>
      </c>
      <c r="I144" s="1" t="str">
        <f>"3804.00"</f>
        <v>3804.00</v>
      </c>
      <c r="J144" s="1" t="str">
        <f t="shared" si="176"/>
        <v>5.00</v>
      </c>
      <c r="K144" s="1" t="str">
        <f t="shared" si="179"/>
        <v>0.00</v>
      </c>
      <c r="L144" s="1" t="str">
        <f>"0.08"</f>
        <v>0.08</v>
      </c>
      <c r="M144" s="1" t="str">
        <f t="shared" si="177"/>
        <v>0.00</v>
      </c>
      <c r="N144" s="1" t="str">
        <f t="shared" si="180"/>
        <v>证券买入</v>
      </c>
    </row>
    <row r="145" spans="1:14">
      <c r="A145" s="1" t="str">
        <f>"20180125"</f>
        <v>20180125</v>
      </c>
      <c r="B145" s="1" t="str">
        <f>"22:43:13"</f>
        <v>22:43:13</v>
      </c>
      <c r="C145" s="1" t="str">
        <f>"736871"</f>
        <v>736871</v>
      </c>
      <c r="D145" s="1" t="str">
        <f>"嘉友配号"</f>
        <v>嘉友配号</v>
      </c>
      <c r="E145" s="1" t="str">
        <f t="shared" si="181"/>
        <v>买入</v>
      </c>
      <c r="F145" s="1" t="str">
        <f>"0.000"</f>
        <v>0.000</v>
      </c>
      <c r="G145" s="1" t="str">
        <f>"1.00"</f>
        <v>1.00</v>
      </c>
      <c r="H145" s="1" t="str">
        <f t="shared" ref="H145:H159" si="182">"A850418317"</f>
        <v>A850418317</v>
      </c>
      <c r="I145" s="1" t="str">
        <f t="shared" ref="I145:L145" si="183">"0.00"</f>
        <v>0.00</v>
      </c>
      <c r="J145" s="1" t="str">
        <f t="shared" si="183"/>
        <v>0.00</v>
      </c>
      <c r="K145" s="1" t="str">
        <f t="shared" si="179"/>
        <v>0.00</v>
      </c>
      <c r="L145" s="1" t="str">
        <f t="shared" si="183"/>
        <v>0.00</v>
      </c>
      <c r="M145" s="1" t="str">
        <f t="shared" si="177"/>
        <v>0.00</v>
      </c>
      <c r="N145" s="1" t="str">
        <f>"起始配号:100030710862"</f>
        <v>起始配号:100030710862</v>
      </c>
    </row>
    <row r="146" spans="1:14">
      <c r="A146" s="1" t="str">
        <f t="shared" ref="A146:A166" si="184">"20180129"</f>
        <v>20180129</v>
      </c>
      <c r="B146" s="1" t="str">
        <f>"09:58:09"</f>
        <v>09:58:09</v>
      </c>
      <c r="C146" s="1" t="str">
        <f>"600093"</f>
        <v>600093</v>
      </c>
      <c r="D146" s="1" t="str">
        <f>"易见股份"</f>
        <v>易见股份</v>
      </c>
      <c r="E146" s="1" t="str">
        <f t="shared" si="181"/>
        <v>买入</v>
      </c>
      <c r="F146" s="1" t="str">
        <f>"15.050"</f>
        <v>15.050</v>
      </c>
      <c r="G146" s="1" t="str">
        <f>"100.00"</f>
        <v>100.00</v>
      </c>
      <c r="H146" s="1" t="str">
        <f t="shared" si="182"/>
        <v>A850418317</v>
      </c>
      <c r="I146" s="1" t="str">
        <f>"1505.00"</f>
        <v>1505.00</v>
      </c>
      <c r="J146" s="1" t="str">
        <f t="shared" ref="J146:J159" si="185">"5.00"</f>
        <v>5.00</v>
      </c>
      <c r="K146" s="1" t="str">
        <f t="shared" si="179"/>
        <v>0.00</v>
      </c>
      <c r="L146" s="1" t="str">
        <f>"0.03"</f>
        <v>0.03</v>
      </c>
      <c r="M146" s="1" t="str">
        <f t="shared" si="177"/>
        <v>0.00</v>
      </c>
      <c r="N146" s="1" t="str">
        <f>"证券买入"</f>
        <v>证券买入</v>
      </c>
    </row>
    <row r="147" spans="1:14">
      <c r="A147" s="1" t="str">
        <f t="shared" si="184"/>
        <v>20180129</v>
      </c>
      <c r="B147" s="1" t="str">
        <f>"13:52:16"</f>
        <v>13:52:16</v>
      </c>
      <c r="C147" s="1" t="str">
        <f t="shared" ref="C147:C149" si="186">"600846"</f>
        <v>600846</v>
      </c>
      <c r="D147" s="1" t="str">
        <f t="shared" ref="D147:D149" si="187">"同济科技"</f>
        <v>同济科技</v>
      </c>
      <c r="E147" s="1" t="str">
        <f t="shared" ref="E147:E149" si="188">"卖出"</f>
        <v>卖出</v>
      </c>
      <c r="F147" s="1" t="str">
        <f t="shared" ref="F147:F149" si="189">"9.830"</f>
        <v>9.830</v>
      </c>
      <c r="G147" s="1" t="str">
        <f>"-300.00"</f>
        <v>-300.00</v>
      </c>
      <c r="H147" s="1" t="str">
        <f t="shared" si="182"/>
        <v>A850418317</v>
      </c>
      <c r="I147" s="1" t="str">
        <f>"2949.00"</f>
        <v>2949.00</v>
      </c>
      <c r="J147" s="1" t="str">
        <f t="shared" si="185"/>
        <v>5.00</v>
      </c>
      <c r="K147" s="1" t="str">
        <f>"2.95"</f>
        <v>2.95</v>
      </c>
      <c r="L147" s="1" t="str">
        <f>"0.06"</f>
        <v>0.06</v>
      </c>
      <c r="M147" s="1" t="str">
        <f t="shared" si="177"/>
        <v>0.00</v>
      </c>
      <c r="N147" s="1" t="str">
        <f t="shared" ref="N147:N149" si="190">"证券卖出"</f>
        <v>证券卖出</v>
      </c>
    </row>
    <row r="148" spans="1:14">
      <c r="A148" s="1" t="str">
        <f t="shared" si="184"/>
        <v>20180129</v>
      </c>
      <c r="B148" s="1" t="str">
        <f>"13:53:57"</f>
        <v>13:53:57</v>
      </c>
      <c r="C148" s="1" t="str">
        <f t="shared" si="186"/>
        <v>600846</v>
      </c>
      <c r="D148" s="1" t="str">
        <f t="shared" si="187"/>
        <v>同济科技</v>
      </c>
      <c r="E148" s="1" t="str">
        <f t="shared" si="188"/>
        <v>卖出</v>
      </c>
      <c r="F148" s="1" t="str">
        <f t="shared" si="189"/>
        <v>9.830</v>
      </c>
      <c r="G148" s="1" t="str">
        <f t="shared" ref="G148:G151" si="191">"-100.00"</f>
        <v>-100.00</v>
      </c>
      <c r="H148" s="1" t="str">
        <f t="shared" si="182"/>
        <v>A850418317</v>
      </c>
      <c r="I148" s="1" t="str">
        <f>"983.00"</f>
        <v>983.00</v>
      </c>
      <c r="J148" s="1" t="str">
        <f t="shared" si="185"/>
        <v>5.00</v>
      </c>
      <c r="K148" s="1" t="str">
        <f>"0.98"</f>
        <v>0.98</v>
      </c>
      <c r="L148" s="1" t="str">
        <f t="shared" ref="L148:L151" si="192">"0.02"</f>
        <v>0.02</v>
      </c>
      <c r="M148" s="1" t="str">
        <f t="shared" si="177"/>
        <v>0.00</v>
      </c>
      <c r="N148" s="1" t="str">
        <f t="shared" si="190"/>
        <v>证券卖出</v>
      </c>
    </row>
    <row r="149" spans="1:14">
      <c r="A149" s="1" t="str">
        <f t="shared" si="184"/>
        <v>20180129</v>
      </c>
      <c r="B149" s="1" t="str">
        <f>"13:57:14"</f>
        <v>13:57:14</v>
      </c>
      <c r="C149" s="1" t="str">
        <f t="shared" si="186"/>
        <v>600846</v>
      </c>
      <c r="D149" s="1" t="str">
        <f t="shared" si="187"/>
        <v>同济科技</v>
      </c>
      <c r="E149" s="1" t="str">
        <f t="shared" si="188"/>
        <v>卖出</v>
      </c>
      <c r="F149" s="1" t="str">
        <f t="shared" si="189"/>
        <v>9.830</v>
      </c>
      <c r="G149" s="1" t="str">
        <f t="shared" si="191"/>
        <v>-100.00</v>
      </c>
      <c r="H149" s="1" t="str">
        <f t="shared" si="182"/>
        <v>A850418317</v>
      </c>
      <c r="I149" s="1" t="str">
        <f>"983.00"</f>
        <v>983.00</v>
      </c>
      <c r="J149" s="1" t="str">
        <f t="shared" si="185"/>
        <v>5.00</v>
      </c>
      <c r="K149" s="1" t="str">
        <f>"0.98"</f>
        <v>0.98</v>
      </c>
      <c r="L149" s="1" t="str">
        <f t="shared" si="192"/>
        <v>0.02</v>
      </c>
      <c r="M149" s="1" t="str">
        <f t="shared" si="177"/>
        <v>0.00</v>
      </c>
      <c r="N149" s="1" t="str">
        <f t="shared" si="190"/>
        <v>证券卖出</v>
      </c>
    </row>
    <row r="150" spans="1:14">
      <c r="A150" s="1" t="str">
        <f t="shared" si="184"/>
        <v>20180129</v>
      </c>
      <c r="B150" s="1" t="str">
        <f>"13:59:26"</f>
        <v>13:59:26</v>
      </c>
      <c r="C150" s="1" t="str">
        <f>"600426"</f>
        <v>600426</v>
      </c>
      <c r="D150" s="1" t="str">
        <f>"华鲁恒升"</f>
        <v>华鲁恒升</v>
      </c>
      <c r="E150" s="1" t="str">
        <f t="shared" ref="E150:E154" si="193">"买入"</f>
        <v>买入</v>
      </c>
      <c r="F150" s="1" t="str">
        <f>"19.150"</f>
        <v>19.150</v>
      </c>
      <c r="G150" s="1" t="str">
        <f>"100.00"</f>
        <v>100.00</v>
      </c>
      <c r="H150" s="1" t="str">
        <f t="shared" si="182"/>
        <v>A850418317</v>
      </c>
      <c r="I150" s="1" t="str">
        <f>"1915.00"</f>
        <v>1915.00</v>
      </c>
      <c r="J150" s="1" t="str">
        <f t="shared" si="185"/>
        <v>5.00</v>
      </c>
      <c r="K150" s="1" t="str">
        <f t="shared" ref="K150:K154" si="194">"0.00"</f>
        <v>0.00</v>
      </c>
      <c r="L150" s="1" t="str">
        <f>"0.04"</f>
        <v>0.04</v>
      </c>
      <c r="M150" s="1" t="str">
        <f t="shared" si="177"/>
        <v>0.00</v>
      </c>
      <c r="N150" s="1" t="str">
        <f t="shared" ref="N150:N154" si="195">"证券买入"</f>
        <v>证券买入</v>
      </c>
    </row>
    <row r="151" spans="1:14">
      <c r="A151" s="1" t="str">
        <f t="shared" si="184"/>
        <v>20180129</v>
      </c>
      <c r="B151" s="1" t="str">
        <f>"14:05:17"</f>
        <v>14:05:17</v>
      </c>
      <c r="C151" s="1" t="str">
        <f>"600846"</f>
        <v>600846</v>
      </c>
      <c r="D151" s="1" t="str">
        <f>"同济科技"</f>
        <v>同济科技</v>
      </c>
      <c r="E151" s="1" t="str">
        <f t="shared" ref="E151:E155" si="196">"卖出"</f>
        <v>卖出</v>
      </c>
      <c r="F151" s="1" t="str">
        <f>"9.860"</f>
        <v>9.860</v>
      </c>
      <c r="G151" s="1" t="str">
        <f t="shared" si="191"/>
        <v>-100.00</v>
      </c>
      <c r="H151" s="1" t="str">
        <f t="shared" si="182"/>
        <v>A850418317</v>
      </c>
      <c r="I151" s="1" t="str">
        <f>"986.00"</f>
        <v>986.00</v>
      </c>
      <c r="J151" s="1" t="str">
        <f t="shared" si="185"/>
        <v>5.00</v>
      </c>
      <c r="K151" s="1" t="str">
        <f>"0.99"</f>
        <v>0.99</v>
      </c>
      <c r="L151" s="1" t="str">
        <f t="shared" si="192"/>
        <v>0.02</v>
      </c>
      <c r="M151" s="1" t="str">
        <f t="shared" si="177"/>
        <v>0.00</v>
      </c>
      <c r="N151" s="1" t="str">
        <f t="shared" ref="N151:N155" si="197">"证券卖出"</f>
        <v>证券卖出</v>
      </c>
    </row>
    <row r="152" spans="1:14">
      <c r="A152" s="1" t="str">
        <f t="shared" si="184"/>
        <v>20180129</v>
      </c>
      <c r="B152" s="1" t="str">
        <f>"14:05:41"</f>
        <v>14:05:41</v>
      </c>
      <c r="C152" s="1" t="str">
        <f t="shared" ref="C152:C155" si="198">"600093"</f>
        <v>600093</v>
      </c>
      <c r="D152" s="1" t="str">
        <f t="shared" ref="D152:D155" si="199">"易见股份"</f>
        <v>易见股份</v>
      </c>
      <c r="E152" s="1" t="str">
        <f t="shared" si="193"/>
        <v>买入</v>
      </c>
      <c r="F152" s="1" t="str">
        <f>"16.390"</f>
        <v>16.390</v>
      </c>
      <c r="G152" s="1" t="str">
        <f>"100.00"</f>
        <v>100.00</v>
      </c>
      <c r="H152" s="1" t="str">
        <f t="shared" si="182"/>
        <v>A850418317</v>
      </c>
      <c r="I152" s="1" t="str">
        <f>"1639.00"</f>
        <v>1639.00</v>
      </c>
      <c r="J152" s="1" t="str">
        <f t="shared" si="185"/>
        <v>5.00</v>
      </c>
      <c r="K152" s="1" t="str">
        <f t="shared" si="194"/>
        <v>0.00</v>
      </c>
      <c r="L152" s="1" t="str">
        <f t="shared" ref="L152:L157" si="200">"0.03"</f>
        <v>0.03</v>
      </c>
      <c r="M152" s="1" t="str">
        <f t="shared" si="177"/>
        <v>0.00</v>
      </c>
      <c r="N152" s="1" t="str">
        <f t="shared" si="195"/>
        <v>证券买入</v>
      </c>
    </row>
    <row r="153" spans="1:14">
      <c r="A153" s="1" t="str">
        <f t="shared" si="184"/>
        <v>20180129</v>
      </c>
      <c r="B153" s="1" t="str">
        <f>"14:06:13"</f>
        <v>14:06:13</v>
      </c>
      <c r="C153" s="1" t="str">
        <f t="shared" ref="C153:C159" si="201">"600426"</f>
        <v>600426</v>
      </c>
      <c r="D153" s="1" t="str">
        <f t="shared" ref="D153:D159" si="202">"华鲁恒升"</f>
        <v>华鲁恒升</v>
      </c>
      <c r="E153" s="1" t="str">
        <f t="shared" si="196"/>
        <v>卖出</v>
      </c>
      <c r="F153" s="1" t="str">
        <f>"19.260"</f>
        <v>19.260</v>
      </c>
      <c r="G153" s="1" t="str">
        <f>"-400.00"</f>
        <v>-400.00</v>
      </c>
      <c r="H153" s="1" t="str">
        <f t="shared" si="182"/>
        <v>A850418317</v>
      </c>
      <c r="I153" s="1" t="str">
        <f>"7704.00"</f>
        <v>7704.00</v>
      </c>
      <c r="J153" s="1" t="str">
        <f t="shared" si="185"/>
        <v>5.00</v>
      </c>
      <c r="K153" s="1" t="str">
        <f>"7.71"</f>
        <v>7.71</v>
      </c>
      <c r="L153" s="1" t="str">
        <f>"0.15"</f>
        <v>0.15</v>
      </c>
      <c r="M153" s="1" t="str">
        <f t="shared" si="177"/>
        <v>0.00</v>
      </c>
      <c r="N153" s="1" t="str">
        <f t="shared" si="197"/>
        <v>证券卖出</v>
      </c>
    </row>
    <row r="154" spans="1:14">
      <c r="A154" s="1" t="str">
        <f t="shared" si="184"/>
        <v>20180129</v>
      </c>
      <c r="B154" s="1" t="str">
        <f>"14:06:31"</f>
        <v>14:06:31</v>
      </c>
      <c r="C154" s="1" t="str">
        <f t="shared" si="198"/>
        <v>600093</v>
      </c>
      <c r="D154" s="1" t="str">
        <f t="shared" si="199"/>
        <v>易见股份</v>
      </c>
      <c r="E154" s="1" t="str">
        <f t="shared" si="193"/>
        <v>买入</v>
      </c>
      <c r="F154" s="1" t="str">
        <f>"16.610"</f>
        <v>16.610</v>
      </c>
      <c r="G154" s="1" t="str">
        <f>"500.00"</f>
        <v>500.00</v>
      </c>
      <c r="H154" s="1" t="str">
        <f t="shared" si="182"/>
        <v>A850418317</v>
      </c>
      <c r="I154" s="1" t="str">
        <f>"8305.00"</f>
        <v>8305.00</v>
      </c>
      <c r="J154" s="1" t="str">
        <f t="shared" si="185"/>
        <v>5.00</v>
      </c>
      <c r="K154" s="1" t="str">
        <f t="shared" si="194"/>
        <v>0.00</v>
      </c>
      <c r="L154" s="1" t="str">
        <f>"0.17"</f>
        <v>0.17</v>
      </c>
      <c r="M154" s="1" t="str">
        <f t="shared" si="177"/>
        <v>0.00</v>
      </c>
      <c r="N154" s="1" t="str">
        <f t="shared" si="195"/>
        <v>证券买入</v>
      </c>
    </row>
    <row r="155" spans="1:14">
      <c r="A155" s="1" t="str">
        <f t="shared" si="184"/>
        <v>20180129</v>
      </c>
      <c r="B155" s="1" t="str">
        <f>"14:08:05"</f>
        <v>14:08:05</v>
      </c>
      <c r="C155" s="1" t="str">
        <f t="shared" si="198"/>
        <v>600093</v>
      </c>
      <c r="D155" s="1" t="str">
        <f t="shared" si="199"/>
        <v>易见股份</v>
      </c>
      <c r="E155" s="1" t="str">
        <f t="shared" si="196"/>
        <v>卖出</v>
      </c>
      <c r="F155" s="1" t="str">
        <f>"16.440"</f>
        <v>16.440</v>
      </c>
      <c r="G155" s="1" t="str">
        <f t="shared" ref="G155:G159" si="203">"-100.00"</f>
        <v>-100.00</v>
      </c>
      <c r="H155" s="1" t="str">
        <f t="shared" si="182"/>
        <v>A850418317</v>
      </c>
      <c r="I155" s="1" t="str">
        <f>"1644.00"</f>
        <v>1644.00</v>
      </c>
      <c r="J155" s="1" t="str">
        <f t="shared" si="185"/>
        <v>5.00</v>
      </c>
      <c r="K155" s="1" t="str">
        <f>"1.64"</f>
        <v>1.64</v>
      </c>
      <c r="L155" s="1" t="str">
        <f t="shared" si="200"/>
        <v>0.03</v>
      </c>
      <c r="M155" s="1" t="str">
        <f t="shared" si="177"/>
        <v>0.00</v>
      </c>
      <c r="N155" s="1" t="str">
        <f t="shared" si="197"/>
        <v>证券卖出</v>
      </c>
    </row>
    <row r="156" spans="1:14">
      <c r="A156" s="1" t="str">
        <f t="shared" si="184"/>
        <v>20180129</v>
      </c>
      <c r="B156" s="1" t="str">
        <f>"14:28:05"</f>
        <v>14:28:05</v>
      </c>
      <c r="C156" s="1" t="str">
        <f t="shared" si="201"/>
        <v>600426</v>
      </c>
      <c r="D156" s="1" t="str">
        <f t="shared" si="202"/>
        <v>华鲁恒升</v>
      </c>
      <c r="E156" s="1" t="str">
        <f>"买入"</f>
        <v>买入</v>
      </c>
      <c r="F156" s="1" t="str">
        <f>"18.970"</f>
        <v>18.970</v>
      </c>
      <c r="G156" s="1" t="str">
        <f>"100.00"</f>
        <v>100.00</v>
      </c>
      <c r="H156" s="1" t="str">
        <f t="shared" si="182"/>
        <v>A850418317</v>
      </c>
      <c r="I156" s="1" t="str">
        <f>"1897.00"</f>
        <v>1897.00</v>
      </c>
      <c r="J156" s="1" t="str">
        <f t="shared" si="185"/>
        <v>5.00</v>
      </c>
      <c r="K156" s="1" t="str">
        <f>"0.00"</f>
        <v>0.00</v>
      </c>
      <c r="L156" s="1" t="str">
        <f>"0.04"</f>
        <v>0.04</v>
      </c>
      <c r="M156" s="1" t="str">
        <f t="shared" si="177"/>
        <v>0.00</v>
      </c>
      <c r="N156" s="1" t="str">
        <f>"证券买入"</f>
        <v>证券买入</v>
      </c>
    </row>
    <row r="157" spans="1:14">
      <c r="A157" s="1" t="str">
        <f t="shared" si="184"/>
        <v>20180129</v>
      </c>
      <c r="B157" s="1" t="str">
        <f>"14:33:32"</f>
        <v>14:33:32</v>
      </c>
      <c r="C157" s="1" t="str">
        <f>"600093"</f>
        <v>600093</v>
      </c>
      <c r="D157" s="1" t="str">
        <f>"易见股份"</f>
        <v>易见股份</v>
      </c>
      <c r="E157" s="1" t="str">
        <f t="shared" ref="E157:E161" si="204">"卖出"</f>
        <v>卖出</v>
      </c>
      <c r="F157" s="1" t="str">
        <f>"16.820"</f>
        <v>16.820</v>
      </c>
      <c r="G157" s="1" t="str">
        <f t="shared" si="203"/>
        <v>-100.00</v>
      </c>
      <c r="H157" s="1" t="str">
        <f t="shared" si="182"/>
        <v>A850418317</v>
      </c>
      <c r="I157" s="1" t="str">
        <f>"1682.00"</f>
        <v>1682.00</v>
      </c>
      <c r="J157" s="1" t="str">
        <f t="shared" si="185"/>
        <v>5.00</v>
      </c>
      <c r="K157" s="1" t="str">
        <f>"1.68"</f>
        <v>1.68</v>
      </c>
      <c r="L157" s="1" t="str">
        <f t="shared" si="200"/>
        <v>0.03</v>
      </c>
      <c r="M157" s="1" t="str">
        <f t="shared" si="177"/>
        <v>0.00</v>
      </c>
      <c r="N157" s="1" t="str">
        <f t="shared" ref="N157:N161" si="205">"证券卖出"</f>
        <v>证券卖出</v>
      </c>
    </row>
    <row r="158" spans="1:14">
      <c r="A158" s="1" t="str">
        <f t="shared" si="184"/>
        <v>20180129</v>
      </c>
      <c r="B158" s="1" t="str">
        <f>"14:40:25"</f>
        <v>14:40:25</v>
      </c>
      <c r="C158" s="1" t="str">
        <f t="shared" si="201"/>
        <v>600426</v>
      </c>
      <c r="D158" s="1" t="str">
        <f t="shared" si="202"/>
        <v>华鲁恒升</v>
      </c>
      <c r="E158" s="1" t="str">
        <f t="shared" si="204"/>
        <v>卖出</v>
      </c>
      <c r="F158" s="1" t="str">
        <f>"19.090"</f>
        <v>19.090</v>
      </c>
      <c r="G158" s="1" t="str">
        <f>"-200.00"</f>
        <v>-200.00</v>
      </c>
      <c r="H158" s="1" t="str">
        <f t="shared" si="182"/>
        <v>A850418317</v>
      </c>
      <c r="I158" s="1" t="str">
        <f>"3818.00"</f>
        <v>3818.00</v>
      </c>
      <c r="J158" s="1" t="str">
        <f t="shared" si="185"/>
        <v>5.00</v>
      </c>
      <c r="K158" s="1" t="str">
        <f>"3.82"</f>
        <v>3.82</v>
      </c>
      <c r="L158" s="1" t="str">
        <f>"0.08"</f>
        <v>0.08</v>
      </c>
      <c r="M158" s="1" t="str">
        <f t="shared" si="177"/>
        <v>0.00</v>
      </c>
      <c r="N158" s="1" t="str">
        <f t="shared" si="205"/>
        <v>证券卖出</v>
      </c>
    </row>
    <row r="159" spans="1:14">
      <c r="A159" s="1" t="str">
        <f t="shared" si="184"/>
        <v>20180129</v>
      </c>
      <c r="B159" s="1" t="str">
        <f>"14:57:54"</f>
        <v>14:57:54</v>
      </c>
      <c r="C159" s="1" t="str">
        <f t="shared" si="201"/>
        <v>600426</v>
      </c>
      <c r="D159" s="1" t="str">
        <f t="shared" si="202"/>
        <v>华鲁恒升</v>
      </c>
      <c r="E159" s="1" t="str">
        <f t="shared" si="204"/>
        <v>卖出</v>
      </c>
      <c r="F159" s="1" t="str">
        <f>"18.920"</f>
        <v>18.920</v>
      </c>
      <c r="G159" s="1" t="str">
        <f t="shared" si="203"/>
        <v>-100.00</v>
      </c>
      <c r="H159" s="1" t="str">
        <f t="shared" si="182"/>
        <v>A850418317</v>
      </c>
      <c r="I159" s="1" t="str">
        <f>"1892.00"</f>
        <v>1892.00</v>
      </c>
      <c r="J159" s="1" t="str">
        <f t="shared" si="185"/>
        <v>5.00</v>
      </c>
      <c r="K159" s="1" t="str">
        <f>"1.89"</f>
        <v>1.89</v>
      </c>
      <c r="L159" s="1" t="str">
        <f>"0.04"</f>
        <v>0.04</v>
      </c>
      <c r="M159" s="1" t="str">
        <f t="shared" si="177"/>
        <v>0.00</v>
      </c>
      <c r="N159" s="1" t="str">
        <f t="shared" si="205"/>
        <v>证券卖出</v>
      </c>
    </row>
    <row r="160" spans="1:14">
      <c r="A160" s="1" t="str">
        <f t="shared" si="184"/>
        <v>20180129</v>
      </c>
      <c r="B160" s="1" t="str">
        <f>"09:56:06"</f>
        <v>09:56:06</v>
      </c>
      <c r="C160" s="1" t="str">
        <f>"128030"</f>
        <v>128030</v>
      </c>
      <c r="D160" s="1" t="str">
        <f>"天康转债"</f>
        <v>天康转债</v>
      </c>
      <c r="E160" s="1" t="str">
        <f t="shared" si="204"/>
        <v>卖出</v>
      </c>
      <c r="F160" s="1" t="str">
        <f>"108.690"</f>
        <v>108.690</v>
      </c>
      <c r="G160" s="1" t="str">
        <f>"-10.00"</f>
        <v>-10.00</v>
      </c>
      <c r="H160" s="1" t="str">
        <f t="shared" ref="H160:H165" si="206">"0104152129"</f>
        <v>0104152129</v>
      </c>
      <c r="I160" s="1" t="str">
        <f>"1086.90"</f>
        <v>1086.90</v>
      </c>
      <c r="J160" s="1" t="str">
        <f>"0.22"</f>
        <v>0.22</v>
      </c>
      <c r="K160" s="1" t="str">
        <f t="shared" ref="K160:K167" si="207">"0.00"</f>
        <v>0.00</v>
      </c>
      <c r="L160" s="1" t="str">
        <f>"0.00"</f>
        <v>0.00</v>
      </c>
      <c r="M160" s="1" t="str">
        <f t="shared" si="177"/>
        <v>0.00</v>
      </c>
      <c r="N160" s="1" t="str">
        <f t="shared" si="205"/>
        <v>证券卖出</v>
      </c>
    </row>
    <row r="161" spans="1:14">
      <c r="A161" s="1" t="str">
        <f t="shared" si="184"/>
        <v>20180129</v>
      </c>
      <c r="B161" s="1" t="str">
        <f>"13:53:35"</f>
        <v>13:53:35</v>
      </c>
      <c r="C161" s="1" t="str">
        <f>"300251"</f>
        <v>300251</v>
      </c>
      <c r="D161" s="1" t="str">
        <f>"光线传媒"</f>
        <v>光线传媒</v>
      </c>
      <c r="E161" s="1" t="str">
        <f t="shared" si="204"/>
        <v>卖出</v>
      </c>
      <c r="F161" s="1" t="str">
        <f>"13.200"</f>
        <v>13.200</v>
      </c>
      <c r="G161" s="1" t="str">
        <f>"-200.00"</f>
        <v>-200.00</v>
      </c>
      <c r="H161" s="1" t="str">
        <f t="shared" si="206"/>
        <v>0104152129</v>
      </c>
      <c r="I161" s="1" t="str">
        <f>"2640.00"</f>
        <v>2640.00</v>
      </c>
      <c r="J161" s="1" t="str">
        <f t="shared" ref="J161:J165" si="208">"5.00"</f>
        <v>5.00</v>
      </c>
      <c r="K161" s="1" t="str">
        <f>"2.64"</f>
        <v>2.64</v>
      </c>
      <c r="L161" s="1" t="str">
        <f>"0.05"</f>
        <v>0.05</v>
      </c>
      <c r="M161" s="1" t="str">
        <f t="shared" si="177"/>
        <v>0.00</v>
      </c>
      <c r="N161" s="1" t="str">
        <f t="shared" si="205"/>
        <v>证券卖出</v>
      </c>
    </row>
    <row r="162" spans="1:14">
      <c r="A162" s="1" t="str">
        <f t="shared" si="184"/>
        <v>20180129</v>
      </c>
      <c r="B162" s="1" t="str">
        <f>"13:57:49"</f>
        <v>13:57:49</v>
      </c>
      <c r="C162" s="1" t="str">
        <f>"300612"</f>
        <v>300612</v>
      </c>
      <c r="D162" s="1" t="str">
        <f>"宣亚国际"</f>
        <v>宣亚国际</v>
      </c>
      <c r="E162" s="1" t="str">
        <f t="shared" ref="E162:E167" si="209">"买入"</f>
        <v>买入</v>
      </c>
      <c r="F162" s="1" t="str">
        <f>"47.620"</f>
        <v>47.620</v>
      </c>
      <c r="G162" s="1" t="str">
        <f t="shared" ref="G162:G165" si="210">"100.00"</f>
        <v>100.00</v>
      </c>
      <c r="H162" s="1" t="str">
        <f t="shared" si="206"/>
        <v>0104152129</v>
      </c>
      <c r="I162" s="1" t="str">
        <f>"4762.00"</f>
        <v>4762.00</v>
      </c>
      <c r="J162" s="1" t="str">
        <f t="shared" si="208"/>
        <v>5.00</v>
      </c>
      <c r="K162" s="1" t="str">
        <f t="shared" si="207"/>
        <v>0.00</v>
      </c>
      <c r="L162" s="1" t="str">
        <f>"0.10"</f>
        <v>0.10</v>
      </c>
      <c r="M162" s="1" t="str">
        <f t="shared" si="177"/>
        <v>0.00</v>
      </c>
      <c r="N162" s="1" t="str">
        <f t="shared" ref="N162:N165" si="211">"证券买入"</f>
        <v>证券买入</v>
      </c>
    </row>
    <row r="163" spans="1:14">
      <c r="A163" s="1" t="str">
        <f t="shared" si="184"/>
        <v>20180129</v>
      </c>
      <c r="B163" s="1" t="str">
        <f>"14:05:12"</f>
        <v>14:05:12</v>
      </c>
      <c r="C163" s="1" t="str">
        <f>"300251"</f>
        <v>300251</v>
      </c>
      <c r="D163" s="1" t="str">
        <f>"光线传媒"</f>
        <v>光线传媒</v>
      </c>
      <c r="E163" s="1" t="str">
        <f>"卖出"</f>
        <v>卖出</v>
      </c>
      <c r="F163" s="1" t="str">
        <f>"13.220"</f>
        <v>13.220</v>
      </c>
      <c r="G163" s="1" t="str">
        <f>"-100.00"</f>
        <v>-100.00</v>
      </c>
      <c r="H163" s="1" t="str">
        <f t="shared" si="206"/>
        <v>0104152129</v>
      </c>
      <c r="I163" s="1" t="str">
        <f>"1322.00"</f>
        <v>1322.00</v>
      </c>
      <c r="J163" s="1" t="str">
        <f t="shared" si="208"/>
        <v>5.00</v>
      </c>
      <c r="K163" s="1" t="str">
        <f>"1.32"</f>
        <v>1.32</v>
      </c>
      <c r="L163" s="1" t="str">
        <f>"0.03"</f>
        <v>0.03</v>
      </c>
      <c r="M163" s="1" t="str">
        <f t="shared" si="177"/>
        <v>0.00</v>
      </c>
      <c r="N163" s="1" t="str">
        <f>"证券卖出"</f>
        <v>证券卖出</v>
      </c>
    </row>
    <row r="164" spans="1:14">
      <c r="A164" s="1" t="str">
        <f t="shared" si="184"/>
        <v>20180129</v>
      </c>
      <c r="B164" s="1" t="str">
        <f>"14:40:47"</f>
        <v>14:40:47</v>
      </c>
      <c r="C164" s="1" t="str">
        <f>"300612"</f>
        <v>300612</v>
      </c>
      <c r="D164" s="1" t="str">
        <f>"宣亚国际"</f>
        <v>宣亚国际</v>
      </c>
      <c r="E164" s="1" t="str">
        <f t="shared" si="209"/>
        <v>买入</v>
      </c>
      <c r="F164" s="1" t="str">
        <f>"48.500"</f>
        <v>48.500</v>
      </c>
      <c r="G164" s="1" t="str">
        <f t="shared" si="210"/>
        <v>100.00</v>
      </c>
      <c r="H164" s="1" t="str">
        <f t="shared" si="206"/>
        <v>0104152129</v>
      </c>
      <c r="I164" s="1" t="str">
        <f>"4850.00"</f>
        <v>4850.00</v>
      </c>
      <c r="J164" s="1" t="str">
        <f t="shared" si="208"/>
        <v>5.00</v>
      </c>
      <c r="K164" s="1" t="str">
        <f t="shared" si="207"/>
        <v>0.00</v>
      </c>
      <c r="L164" s="1" t="str">
        <f>"0.10"</f>
        <v>0.10</v>
      </c>
      <c r="M164" s="1" t="str">
        <f t="shared" si="177"/>
        <v>0.00</v>
      </c>
      <c r="N164" s="1" t="str">
        <f t="shared" si="211"/>
        <v>证券买入</v>
      </c>
    </row>
    <row r="165" spans="1:14">
      <c r="A165" s="1" t="str">
        <f t="shared" si="184"/>
        <v>20180129</v>
      </c>
      <c r="B165" s="1" t="str">
        <f>"14:56:08"</f>
        <v>14:56:08</v>
      </c>
      <c r="C165" s="1" t="str">
        <f>"000608"</f>
        <v>000608</v>
      </c>
      <c r="D165" s="1" t="str">
        <f>"阳光股份"</f>
        <v>阳光股份</v>
      </c>
      <c r="E165" s="1" t="str">
        <f t="shared" si="209"/>
        <v>买入</v>
      </c>
      <c r="F165" s="1" t="str">
        <f>"8.480"</f>
        <v>8.480</v>
      </c>
      <c r="G165" s="1" t="str">
        <f t="shared" si="210"/>
        <v>100.00</v>
      </c>
      <c r="H165" s="1" t="str">
        <f t="shared" si="206"/>
        <v>0104152129</v>
      </c>
      <c r="I165" s="1" t="str">
        <f>"848.00"</f>
        <v>848.00</v>
      </c>
      <c r="J165" s="1" t="str">
        <f t="shared" si="208"/>
        <v>5.00</v>
      </c>
      <c r="K165" s="1" t="str">
        <f t="shared" si="207"/>
        <v>0.00</v>
      </c>
      <c r="L165" s="1" t="str">
        <f>"0.02"</f>
        <v>0.02</v>
      </c>
      <c r="M165" s="1" t="str">
        <f t="shared" si="177"/>
        <v>0.00</v>
      </c>
      <c r="N165" s="1" t="str">
        <f t="shared" si="211"/>
        <v>证券买入</v>
      </c>
    </row>
    <row r="166" spans="1:14">
      <c r="A166" s="1" t="str">
        <f t="shared" si="184"/>
        <v>20180129</v>
      </c>
      <c r="B166" s="1" t="str">
        <f>"21:35:43"</f>
        <v>21:35:43</v>
      </c>
      <c r="C166" s="1" t="str">
        <f>"736709"</f>
        <v>736709</v>
      </c>
      <c r="D166" s="1" t="str">
        <f>"中源配号"</f>
        <v>中源配号</v>
      </c>
      <c r="E166" s="1" t="str">
        <f t="shared" si="209"/>
        <v>买入</v>
      </c>
      <c r="F166" s="1" t="str">
        <f>"0.000"</f>
        <v>0.000</v>
      </c>
      <c r="G166" s="1" t="str">
        <f>"1.00"</f>
        <v>1.00</v>
      </c>
      <c r="H166" s="1" t="str">
        <f t="shared" ref="H166:H173" si="212">"A850418317"</f>
        <v>A850418317</v>
      </c>
      <c r="I166" s="1" t="str">
        <f t="shared" ref="I166:L166" si="213">"0.00"</f>
        <v>0.00</v>
      </c>
      <c r="J166" s="1" t="str">
        <f t="shared" si="213"/>
        <v>0.00</v>
      </c>
      <c r="K166" s="1" t="str">
        <f t="shared" si="207"/>
        <v>0.00</v>
      </c>
      <c r="L166" s="1" t="str">
        <f t="shared" si="213"/>
        <v>0.00</v>
      </c>
      <c r="M166" s="1" t="str">
        <f t="shared" si="177"/>
        <v>0.00</v>
      </c>
      <c r="N166" s="1" t="str">
        <f>"起始配号:100030627413"</f>
        <v>起始配号:100030627413</v>
      </c>
    </row>
    <row r="167" spans="1:14">
      <c r="A167" s="1" t="str">
        <f t="shared" ref="A167:A169" si="214">"20180130"</f>
        <v>20180130</v>
      </c>
      <c r="B167" s="1" t="str">
        <f>"09:37:17"</f>
        <v>09:37:17</v>
      </c>
      <c r="C167" s="1" t="str">
        <f t="shared" ref="C167:C173" si="215">"600093"</f>
        <v>600093</v>
      </c>
      <c r="D167" s="1" t="str">
        <f t="shared" ref="D167:D173" si="216">"易见股份"</f>
        <v>易见股份</v>
      </c>
      <c r="E167" s="1" t="str">
        <f t="shared" si="209"/>
        <v>买入</v>
      </c>
      <c r="F167" s="1" t="str">
        <f>"16.350"</f>
        <v>16.350</v>
      </c>
      <c r="G167" s="1" t="str">
        <f>"100.00"</f>
        <v>100.00</v>
      </c>
      <c r="H167" s="1" t="str">
        <f t="shared" si="212"/>
        <v>A850418317</v>
      </c>
      <c r="I167" s="1" t="str">
        <f>"1635.00"</f>
        <v>1635.00</v>
      </c>
      <c r="J167" s="1" t="str">
        <f t="shared" ref="J167:J176" si="217">"5.00"</f>
        <v>5.00</v>
      </c>
      <c r="K167" s="1" t="str">
        <f t="shared" si="207"/>
        <v>0.00</v>
      </c>
      <c r="L167" s="1" t="str">
        <f>"0.03"</f>
        <v>0.03</v>
      </c>
      <c r="M167" s="1" t="str">
        <f t="shared" si="177"/>
        <v>0.00</v>
      </c>
      <c r="N167" s="1" t="str">
        <f t="shared" ref="N167:N173" si="218">"证券买入"</f>
        <v>证券买入</v>
      </c>
    </row>
    <row r="168" spans="1:14">
      <c r="A168" s="1" t="str">
        <f t="shared" si="214"/>
        <v>20180130</v>
      </c>
      <c r="B168" s="1" t="str">
        <f>"09:48:30"</f>
        <v>09:48:30</v>
      </c>
      <c r="C168" s="1" t="str">
        <f t="shared" ref="C168:C171" si="219">"600426"</f>
        <v>600426</v>
      </c>
      <c r="D168" s="1" t="str">
        <f t="shared" ref="D168:D171" si="220">"华鲁恒升"</f>
        <v>华鲁恒升</v>
      </c>
      <c r="E168" s="1" t="str">
        <f t="shared" ref="E168:E171" si="221">"卖出"</f>
        <v>卖出</v>
      </c>
      <c r="F168" s="1" t="str">
        <f>"19.270"</f>
        <v>19.270</v>
      </c>
      <c r="G168" s="1" t="str">
        <f t="shared" ref="G168:G171" si="222">"-100.00"</f>
        <v>-100.00</v>
      </c>
      <c r="H168" s="1" t="str">
        <f t="shared" si="212"/>
        <v>A850418317</v>
      </c>
      <c r="I168" s="1" t="str">
        <f>"1927.00"</f>
        <v>1927.00</v>
      </c>
      <c r="J168" s="1" t="str">
        <f t="shared" si="217"/>
        <v>5.00</v>
      </c>
      <c r="K168" s="1" t="str">
        <f>"1.93"</f>
        <v>1.93</v>
      </c>
      <c r="L168" s="1" t="str">
        <f t="shared" ref="L168:L171" si="223">"0.04"</f>
        <v>0.04</v>
      </c>
      <c r="M168" s="1" t="str">
        <f t="shared" si="177"/>
        <v>0.00</v>
      </c>
      <c r="N168" s="1" t="str">
        <f t="shared" ref="N168:N171" si="224">"证券卖出"</f>
        <v>证券卖出</v>
      </c>
    </row>
    <row r="169" spans="1:14">
      <c r="A169" s="1" t="str">
        <f t="shared" si="214"/>
        <v>20180130</v>
      </c>
      <c r="B169" s="1" t="str">
        <f>"10:08:02"</f>
        <v>10:08:02</v>
      </c>
      <c r="C169" s="1" t="str">
        <f t="shared" si="219"/>
        <v>600426</v>
      </c>
      <c r="D169" s="1" t="str">
        <f t="shared" si="220"/>
        <v>华鲁恒升</v>
      </c>
      <c r="E169" s="1" t="str">
        <f t="shared" si="221"/>
        <v>卖出</v>
      </c>
      <c r="F169" s="1" t="str">
        <f>"19.380"</f>
        <v>19.380</v>
      </c>
      <c r="G169" s="1" t="str">
        <f t="shared" si="222"/>
        <v>-100.00</v>
      </c>
      <c r="H169" s="1" t="str">
        <f t="shared" si="212"/>
        <v>A850418317</v>
      </c>
      <c r="I169" s="1" t="str">
        <f>"1938.00"</f>
        <v>1938.00</v>
      </c>
      <c r="J169" s="1" t="str">
        <f t="shared" si="217"/>
        <v>5.00</v>
      </c>
      <c r="K169" s="1" t="str">
        <f>"1.94"</f>
        <v>1.94</v>
      </c>
      <c r="L169" s="1" t="str">
        <f t="shared" si="223"/>
        <v>0.04</v>
      </c>
      <c r="M169" s="1" t="str">
        <f t="shared" si="177"/>
        <v>0.00</v>
      </c>
      <c r="N169" s="1" t="str">
        <f t="shared" si="224"/>
        <v>证券卖出</v>
      </c>
    </row>
    <row r="170" spans="1:14">
      <c r="A170" s="1" t="str">
        <f t="shared" ref="A170:A177" si="225">"20180131"</f>
        <v>20180131</v>
      </c>
      <c r="B170" s="1" t="str">
        <f>"09:30:00"</f>
        <v>09:30:00</v>
      </c>
      <c r="C170" s="1" t="str">
        <f t="shared" si="215"/>
        <v>600093</v>
      </c>
      <c r="D170" s="1" t="str">
        <f t="shared" si="216"/>
        <v>易见股份</v>
      </c>
      <c r="E170" s="1" t="str">
        <f t="shared" ref="E170:E173" si="226">"买入"</f>
        <v>买入</v>
      </c>
      <c r="F170" s="1" t="str">
        <f>"15.200"</f>
        <v>15.200</v>
      </c>
      <c r="G170" s="1" t="str">
        <f>"200.00"</f>
        <v>200.00</v>
      </c>
      <c r="H170" s="1" t="str">
        <f t="shared" si="212"/>
        <v>A850418317</v>
      </c>
      <c r="I170" s="1" t="str">
        <f>"3040.00"</f>
        <v>3040.00</v>
      </c>
      <c r="J170" s="1" t="str">
        <f t="shared" si="217"/>
        <v>5.00</v>
      </c>
      <c r="K170" s="1" t="str">
        <f t="shared" ref="K170:K173" si="227">"0.00"</f>
        <v>0.00</v>
      </c>
      <c r="L170" s="1" t="str">
        <f>"0.06"</f>
        <v>0.06</v>
      </c>
      <c r="M170" s="1" t="str">
        <f t="shared" si="177"/>
        <v>0.00</v>
      </c>
      <c r="N170" s="1" t="str">
        <f t="shared" si="218"/>
        <v>证券买入</v>
      </c>
    </row>
    <row r="171" spans="1:14">
      <c r="A171" s="1" t="str">
        <f t="shared" si="225"/>
        <v>20180131</v>
      </c>
      <c r="B171" s="1" t="str">
        <f>"09:30:50"</f>
        <v>09:30:50</v>
      </c>
      <c r="C171" s="1" t="str">
        <f t="shared" si="219"/>
        <v>600426</v>
      </c>
      <c r="D171" s="1" t="str">
        <f t="shared" si="220"/>
        <v>华鲁恒升</v>
      </c>
      <c r="E171" s="1" t="str">
        <f t="shared" si="221"/>
        <v>卖出</v>
      </c>
      <c r="F171" s="1" t="str">
        <f>"18.830"</f>
        <v>18.830</v>
      </c>
      <c r="G171" s="1" t="str">
        <f t="shared" si="222"/>
        <v>-100.00</v>
      </c>
      <c r="H171" s="1" t="str">
        <f t="shared" si="212"/>
        <v>A850418317</v>
      </c>
      <c r="I171" s="1" t="str">
        <f>"1883.00"</f>
        <v>1883.00</v>
      </c>
      <c r="J171" s="1" t="str">
        <f t="shared" si="217"/>
        <v>5.00</v>
      </c>
      <c r="K171" s="1" t="str">
        <f>"1.88"</f>
        <v>1.88</v>
      </c>
      <c r="L171" s="1" t="str">
        <f t="shared" si="223"/>
        <v>0.04</v>
      </c>
      <c r="M171" s="1" t="str">
        <f t="shared" si="177"/>
        <v>0.00</v>
      </c>
      <c r="N171" s="1" t="str">
        <f t="shared" si="224"/>
        <v>证券卖出</v>
      </c>
    </row>
    <row r="172" spans="1:14">
      <c r="A172" s="1" t="str">
        <f t="shared" si="225"/>
        <v>20180131</v>
      </c>
      <c r="B172" s="1" t="str">
        <f>"09:43:23"</f>
        <v>09:43:23</v>
      </c>
      <c r="C172" s="1" t="str">
        <f t="shared" si="215"/>
        <v>600093</v>
      </c>
      <c r="D172" s="1" t="str">
        <f t="shared" si="216"/>
        <v>易见股份</v>
      </c>
      <c r="E172" s="1" t="str">
        <f t="shared" si="226"/>
        <v>买入</v>
      </c>
      <c r="F172" s="1" t="str">
        <f>"14.520"</f>
        <v>14.520</v>
      </c>
      <c r="G172" s="1" t="str">
        <f>"100.00"</f>
        <v>100.00</v>
      </c>
      <c r="H172" s="1" t="str">
        <f t="shared" si="212"/>
        <v>A850418317</v>
      </c>
      <c r="I172" s="1" t="str">
        <f>"1452.00"</f>
        <v>1452.00</v>
      </c>
      <c r="J172" s="1" t="str">
        <f t="shared" si="217"/>
        <v>5.00</v>
      </c>
      <c r="K172" s="1" t="str">
        <f t="shared" si="227"/>
        <v>0.00</v>
      </c>
      <c r="L172" s="1" t="str">
        <f>"0.03"</f>
        <v>0.03</v>
      </c>
      <c r="M172" s="1" t="str">
        <f t="shared" si="177"/>
        <v>0.00</v>
      </c>
      <c r="N172" s="1" t="str">
        <f t="shared" si="218"/>
        <v>证券买入</v>
      </c>
    </row>
    <row r="173" spans="1:14">
      <c r="A173" s="1" t="str">
        <f t="shared" si="225"/>
        <v>20180131</v>
      </c>
      <c r="B173" s="1" t="str">
        <f>"09:43:23"</f>
        <v>09:43:23</v>
      </c>
      <c r="C173" s="1" t="str">
        <f t="shared" si="215"/>
        <v>600093</v>
      </c>
      <c r="D173" s="1" t="str">
        <f t="shared" si="216"/>
        <v>易见股份</v>
      </c>
      <c r="E173" s="1" t="str">
        <f t="shared" si="226"/>
        <v>买入</v>
      </c>
      <c r="F173" s="1" t="str">
        <f>"14.520"</f>
        <v>14.520</v>
      </c>
      <c r="G173" s="1" t="str">
        <f>"100.00"</f>
        <v>100.00</v>
      </c>
      <c r="H173" s="1" t="str">
        <f t="shared" si="212"/>
        <v>A850418317</v>
      </c>
      <c r="I173" s="1" t="str">
        <f>"1452.00"</f>
        <v>1452.00</v>
      </c>
      <c r="J173" s="1" t="str">
        <f t="shared" si="217"/>
        <v>5.00</v>
      </c>
      <c r="K173" s="1" t="str">
        <f t="shared" si="227"/>
        <v>0.00</v>
      </c>
      <c r="L173" s="1" t="str">
        <f>"0.03"</f>
        <v>0.03</v>
      </c>
      <c r="M173" s="1" t="str">
        <f t="shared" si="177"/>
        <v>0.00</v>
      </c>
      <c r="N173" s="1" t="str">
        <f t="shared" si="218"/>
        <v>证券买入</v>
      </c>
    </row>
    <row r="174" spans="1:14">
      <c r="A174" s="1" t="str">
        <f t="shared" si="225"/>
        <v>20180131</v>
      </c>
      <c r="B174" s="1" t="str">
        <f>"09:58:41"</f>
        <v>09:58:41</v>
      </c>
      <c r="C174" s="1" t="str">
        <f t="shared" ref="C174:C176" si="228">"300612"</f>
        <v>300612</v>
      </c>
      <c r="D174" s="1" t="str">
        <f t="shared" ref="D174:D176" si="229">"宣亚国际"</f>
        <v>宣亚国际</v>
      </c>
      <c r="E174" s="1" t="str">
        <f t="shared" ref="E174:E176" si="230">"卖出"</f>
        <v>卖出</v>
      </c>
      <c r="F174" s="1" t="str">
        <f>"45.980"</f>
        <v>45.980</v>
      </c>
      <c r="G174" s="1" t="str">
        <f t="shared" ref="G174:G176" si="231">"-100.00"</f>
        <v>-100.00</v>
      </c>
      <c r="H174" s="1" t="str">
        <f t="shared" ref="H174:H176" si="232">"0104152129"</f>
        <v>0104152129</v>
      </c>
      <c r="I174" s="1" t="str">
        <f>"4598.00"</f>
        <v>4598.00</v>
      </c>
      <c r="J174" s="1" t="str">
        <f t="shared" si="217"/>
        <v>5.00</v>
      </c>
      <c r="K174" s="1" t="str">
        <f>"4.60"</f>
        <v>4.60</v>
      </c>
      <c r="L174" s="1" t="str">
        <f t="shared" ref="L174:L176" si="233">"0.09"</f>
        <v>0.09</v>
      </c>
      <c r="M174" s="1" t="str">
        <f t="shared" si="177"/>
        <v>0.00</v>
      </c>
      <c r="N174" s="1" t="str">
        <f t="shared" ref="N174:N176" si="234">"证券卖出"</f>
        <v>证券卖出</v>
      </c>
    </row>
    <row r="175" spans="1:14">
      <c r="A175" s="1" t="str">
        <f t="shared" si="225"/>
        <v>20180131</v>
      </c>
      <c r="B175" s="1" t="str">
        <f>"10:08:45"</f>
        <v>10:08:45</v>
      </c>
      <c r="C175" s="1" t="str">
        <f t="shared" si="228"/>
        <v>300612</v>
      </c>
      <c r="D175" s="1" t="str">
        <f t="shared" si="229"/>
        <v>宣亚国际</v>
      </c>
      <c r="E175" s="1" t="str">
        <f t="shared" si="230"/>
        <v>卖出</v>
      </c>
      <c r="F175" s="1" t="str">
        <f>"46.520"</f>
        <v>46.520</v>
      </c>
      <c r="G175" s="1" t="str">
        <f t="shared" si="231"/>
        <v>-100.00</v>
      </c>
      <c r="H175" s="1" t="str">
        <f t="shared" si="232"/>
        <v>0104152129</v>
      </c>
      <c r="I175" s="1" t="str">
        <f>"4652.00"</f>
        <v>4652.00</v>
      </c>
      <c r="J175" s="1" t="str">
        <f t="shared" si="217"/>
        <v>5.00</v>
      </c>
      <c r="K175" s="1" t="str">
        <f>"4.65"</f>
        <v>4.65</v>
      </c>
      <c r="L175" s="1" t="str">
        <f t="shared" si="233"/>
        <v>0.09</v>
      </c>
      <c r="M175" s="1" t="str">
        <f t="shared" si="177"/>
        <v>0.00</v>
      </c>
      <c r="N175" s="1" t="str">
        <f t="shared" si="234"/>
        <v>证券卖出</v>
      </c>
    </row>
    <row r="176" spans="1:14">
      <c r="A176" s="1" t="str">
        <f t="shared" si="225"/>
        <v>20180131</v>
      </c>
      <c r="B176" s="1" t="str">
        <f>"13:34:16"</f>
        <v>13:34:16</v>
      </c>
      <c r="C176" s="1" t="str">
        <f t="shared" si="228"/>
        <v>300612</v>
      </c>
      <c r="D176" s="1" t="str">
        <f t="shared" si="229"/>
        <v>宣亚国际</v>
      </c>
      <c r="E176" s="1" t="str">
        <f t="shared" si="230"/>
        <v>卖出</v>
      </c>
      <c r="F176" s="1" t="str">
        <f>"46.250"</f>
        <v>46.250</v>
      </c>
      <c r="G176" s="1" t="str">
        <f t="shared" si="231"/>
        <v>-100.00</v>
      </c>
      <c r="H176" s="1" t="str">
        <f t="shared" si="232"/>
        <v>0104152129</v>
      </c>
      <c r="I176" s="1" t="str">
        <f>"4625.00"</f>
        <v>4625.00</v>
      </c>
      <c r="J176" s="1" t="str">
        <f t="shared" si="217"/>
        <v>5.00</v>
      </c>
      <c r="K176" s="1" t="str">
        <f>"4.63"</f>
        <v>4.63</v>
      </c>
      <c r="L176" s="1" t="str">
        <f t="shared" si="233"/>
        <v>0.09</v>
      </c>
      <c r="M176" s="1" t="str">
        <f t="shared" si="177"/>
        <v>0.00</v>
      </c>
      <c r="N176" s="1" t="str">
        <f t="shared" si="234"/>
        <v>证券卖出</v>
      </c>
    </row>
    <row r="177" spans="1:14">
      <c r="A177" s="1" t="str">
        <f t="shared" si="225"/>
        <v>20180131</v>
      </c>
      <c r="B177" s="1" t="str">
        <f>"22:16:40"</f>
        <v>22:16:40</v>
      </c>
      <c r="C177" s="1" t="str">
        <f>"736156"</f>
        <v>736156</v>
      </c>
      <c r="D177" s="1" t="str">
        <f>"养元配号"</f>
        <v>养元配号</v>
      </c>
      <c r="E177" s="1" t="str">
        <f>"买入"</f>
        <v>买入</v>
      </c>
      <c r="F177" s="1" t="str">
        <f>"0.000"</f>
        <v>0.000</v>
      </c>
      <c r="G177" s="1" t="str">
        <f>"1.00"</f>
        <v>1.00</v>
      </c>
      <c r="H177" s="1" t="str">
        <f t="shared" ref="H177:H186" si="235">"A850418317"</f>
        <v>A850418317</v>
      </c>
      <c r="I177" s="1" t="str">
        <f t="shared" ref="I177:L177" si="236">"0.00"</f>
        <v>0.00</v>
      </c>
      <c r="J177" s="1" t="str">
        <f t="shared" si="236"/>
        <v>0.00</v>
      </c>
      <c r="K177" s="1" t="str">
        <f t="shared" si="236"/>
        <v>0.00</v>
      </c>
      <c r="L177" s="1" t="str">
        <f t="shared" si="236"/>
        <v>0.00</v>
      </c>
      <c r="M177" s="1" t="str">
        <f t="shared" si="177"/>
        <v>0.00</v>
      </c>
      <c r="N177" s="1" t="str">
        <f>"起始配号:100008151797"</f>
        <v>起始配号:100008151797</v>
      </c>
    </row>
    <row r="178" spans="1:14">
      <c r="A178" s="1" t="str">
        <f t="shared" ref="A178:A187" si="237">"20180201"</f>
        <v>20180201</v>
      </c>
      <c r="B178" s="1" t="str">
        <f>"10:08:49"</f>
        <v>10:08:49</v>
      </c>
      <c r="C178" s="1" t="str">
        <f t="shared" ref="C178:C186" si="238">"600093"</f>
        <v>600093</v>
      </c>
      <c r="D178" s="1" t="str">
        <f t="shared" ref="D178:D186" si="239">"易见股份"</f>
        <v>易见股份</v>
      </c>
      <c r="E178" s="1" t="str">
        <f t="shared" ref="E178:E187" si="240">"卖出"</f>
        <v>卖出</v>
      </c>
      <c r="F178" s="1" t="str">
        <f>"14.800"</f>
        <v>14.800</v>
      </c>
      <c r="G178" s="1" t="str">
        <f>"-200.00"</f>
        <v>-200.00</v>
      </c>
      <c r="H178" s="1" t="str">
        <f t="shared" si="235"/>
        <v>A850418317</v>
      </c>
      <c r="I178" s="1" t="str">
        <f>"2960.00"</f>
        <v>2960.00</v>
      </c>
      <c r="J178" s="1" t="str">
        <f t="shared" ref="J178:J217" si="241">"5.00"</f>
        <v>5.00</v>
      </c>
      <c r="K178" s="1" t="str">
        <f>"2.96"</f>
        <v>2.96</v>
      </c>
      <c r="L178" s="1" t="str">
        <f>"0.06"</f>
        <v>0.06</v>
      </c>
      <c r="M178" s="1" t="str">
        <f t="shared" si="177"/>
        <v>0.00</v>
      </c>
      <c r="N178" s="1" t="str">
        <f t="shared" ref="N178:N187" si="242">"证券卖出"</f>
        <v>证券卖出</v>
      </c>
    </row>
    <row r="179" spans="1:14">
      <c r="A179" s="1" t="str">
        <f t="shared" si="237"/>
        <v>20180201</v>
      </c>
      <c r="B179" s="1" t="str">
        <f>"10:23:29"</f>
        <v>10:23:29</v>
      </c>
      <c r="C179" s="1" t="str">
        <f t="shared" si="238"/>
        <v>600093</v>
      </c>
      <c r="D179" s="1" t="str">
        <f t="shared" si="239"/>
        <v>易见股份</v>
      </c>
      <c r="E179" s="1" t="str">
        <f t="shared" si="240"/>
        <v>卖出</v>
      </c>
      <c r="F179" s="1" t="str">
        <f>"15.030"</f>
        <v>15.030</v>
      </c>
      <c r="G179" s="1" t="str">
        <f t="shared" ref="G179:G187" si="243">"-100.00"</f>
        <v>-100.00</v>
      </c>
      <c r="H179" s="1" t="str">
        <f t="shared" si="235"/>
        <v>A850418317</v>
      </c>
      <c r="I179" s="1" t="str">
        <f>"1503.00"</f>
        <v>1503.00</v>
      </c>
      <c r="J179" s="1" t="str">
        <f t="shared" si="241"/>
        <v>5.00</v>
      </c>
      <c r="K179" s="1" t="str">
        <f>"1.50"</f>
        <v>1.50</v>
      </c>
      <c r="L179" s="1" t="str">
        <f t="shared" ref="L179:L186" si="244">"0.03"</f>
        <v>0.03</v>
      </c>
      <c r="M179" s="1" t="str">
        <f t="shared" si="177"/>
        <v>0.00</v>
      </c>
      <c r="N179" s="1" t="str">
        <f t="shared" si="242"/>
        <v>证券卖出</v>
      </c>
    </row>
    <row r="180" spans="1:14">
      <c r="A180" s="1" t="str">
        <f t="shared" si="237"/>
        <v>20180201</v>
      </c>
      <c r="B180" s="1" t="str">
        <f>"10:28:42"</f>
        <v>10:28:42</v>
      </c>
      <c r="C180" s="1" t="str">
        <f t="shared" si="238"/>
        <v>600093</v>
      </c>
      <c r="D180" s="1" t="str">
        <f t="shared" si="239"/>
        <v>易见股份</v>
      </c>
      <c r="E180" s="1" t="str">
        <f t="shared" si="240"/>
        <v>卖出</v>
      </c>
      <c r="F180" s="1" t="str">
        <f>"14.940"</f>
        <v>14.940</v>
      </c>
      <c r="G180" s="1" t="str">
        <f t="shared" si="243"/>
        <v>-100.00</v>
      </c>
      <c r="H180" s="1" t="str">
        <f t="shared" si="235"/>
        <v>A850418317</v>
      </c>
      <c r="I180" s="1" t="str">
        <f>"1494.00"</f>
        <v>1494.00</v>
      </c>
      <c r="J180" s="1" t="str">
        <f t="shared" si="241"/>
        <v>5.00</v>
      </c>
      <c r="K180" s="1" t="str">
        <f t="shared" ref="K180:K184" si="245">"1.49"</f>
        <v>1.49</v>
      </c>
      <c r="L180" s="1" t="str">
        <f t="shared" si="244"/>
        <v>0.03</v>
      </c>
      <c r="M180" s="1" t="str">
        <f t="shared" si="177"/>
        <v>0.00</v>
      </c>
      <c r="N180" s="1" t="str">
        <f t="shared" si="242"/>
        <v>证券卖出</v>
      </c>
    </row>
    <row r="181" spans="1:14">
      <c r="A181" s="1" t="str">
        <f t="shared" si="237"/>
        <v>20180201</v>
      </c>
      <c r="B181" s="1" t="str">
        <f>"10:29:17"</f>
        <v>10:29:17</v>
      </c>
      <c r="C181" s="1" t="str">
        <f t="shared" si="238"/>
        <v>600093</v>
      </c>
      <c r="D181" s="1" t="str">
        <f t="shared" si="239"/>
        <v>易见股份</v>
      </c>
      <c r="E181" s="1" t="str">
        <f t="shared" si="240"/>
        <v>卖出</v>
      </c>
      <c r="F181" s="1" t="str">
        <f>"14.930"</f>
        <v>14.930</v>
      </c>
      <c r="G181" s="1" t="str">
        <f t="shared" si="243"/>
        <v>-100.00</v>
      </c>
      <c r="H181" s="1" t="str">
        <f t="shared" si="235"/>
        <v>A850418317</v>
      </c>
      <c r="I181" s="1" t="str">
        <f>"1493.00"</f>
        <v>1493.00</v>
      </c>
      <c r="J181" s="1" t="str">
        <f t="shared" si="241"/>
        <v>5.00</v>
      </c>
      <c r="K181" s="1" t="str">
        <f t="shared" si="245"/>
        <v>1.49</v>
      </c>
      <c r="L181" s="1" t="str">
        <f t="shared" si="244"/>
        <v>0.03</v>
      </c>
      <c r="M181" s="1" t="str">
        <f t="shared" si="177"/>
        <v>0.00</v>
      </c>
      <c r="N181" s="1" t="str">
        <f t="shared" si="242"/>
        <v>证券卖出</v>
      </c>
    </row>
    <row r="182" spans="1:14">
      <c r="A182" s="1" t="str">
        <f t="shared" si="237"/>
        <v>20180201</v>
      </c>
      <c r="B182" s="1" t="str">
        <f>"10:29:33"</f>
        <v>10:29:33</v>
      </c>
      <c r="C182" s="1" t="str">
        <f t="shared" si="238"/>
        <v>600093</v>
      </c>
      <c r="D182" s="1" t="str">
        <f t="shared" si="239"/>
        <v>易见股份</v>
      </c>
      <c r="E182" s="1" t="str">
        <f t="shared" si="240"/>
        <v>卖出</v>
      </c>
      <c r="F182" s="1" t="str">
        <f>"14.910"</f>
        <v>14.910</v>
      </c>
      <c r="G182" s="1" t="str">
        <f t="shared" si="243"/>
        <v>-100.00</v>
      </c>
      <c r="H182" s="1" t="str">
        <f t="shared" si="235"/>
        <v>A850418317</v>
      </c>
      <c r="I182" s="1" t="str">
        <f>"1491.00"</f>
        <v>1491.00</v>
      </c>
      <c r="J182" s="1" t="str">
        <f t="shared" si="241"/>
        <v>5.00</v>
      </c>
      <c r="K182" s="1" t="str">
        <f t="shared" si="245"/>
        <v>1.49</v>
      </c>
      <c r="L182" s="1" t="str">
        <f t="shared" si="244"/>
        <v>0.03</v>
      </c>
      <c r="M182" s="1" t="str">
        <f t="shared" si="177"/>
        <v>0.00</v>
      </c>
      <c r="N182" s="1" t="str">
        <f t="shared" si="242"/>
        <v>证券卖出</v>
      </c>
    </row>
    <row r="183" spans="1:14">
      <c r="A183" s="1" t="str">
        <f t="shared" si="237"/>
        <v>20180201</v>
      </c>
      <c r="B183" s="1" t="str">
        <f>"10:29:57"</f>
        <v>10:29:57</v>
      </c>
      <c r="C183" s="1" t="str">
        <f t="shared" si="238"/>
        <v>600093</v>
      </c>
      <c r="D183" s="1" t="str">
        <f t="shared" si="239"/>
        <v>易见股份</v>
      </c>
      <c r="E183" s="1" t="str">
        <f t="shared" si="240"/>
        <v>卖出</v>
      </c>
      <c r="F183" s="1" t="str">
        <f>"14.900"</f>
        <v>14.900</v>
      </c>
      <c r="G183" s="1" t="str">
        <f t="shared" si="243"/>
        <v>-100.00</v>
      </c>
      <c r="H183" s="1" t="str">
        <f t="shared" si="235"/>
        <v>A850418317</v>
      </c>
      <c r="I183" s="1" t="str">
        <f>"1490.00"</f>
        <v>1490.00</v>
      </c>
      <c r="J183" s="1" t="str">
        <f t="shared" si="241"/>
        <v>5.00</v>
      </c>
      <c r="K183" s="1" t="str">
        <f t="shared" si="245"/>
        <v>1.49</v>
      </c>
      <c r="L183" s="1" t="str">
        <f t="shared" si="244"/>
        <v>0.03</v>
      </c>
      <c r="M183" s="1" t="str">
        <f t="shared" si="177"/>
        <v>0.00</v>
      </c>
      <c r="N183" s="1" t="str">
        <f t="shared" si="242"/>
        <v>证券卖出</v>
      </c>
    </row>
    <row r="184" spans="1:14">
      <c r="A184" s="1" t="str">
        <f t="shared" si="237"/>
        <v>20180201</v>
      </c>
      <c r="B184" s="1" t="str">
        <f>"10:30:35"</f>
        <v>10:30:35</v>
      </c>
      <c r="C184" s="1" t="str">
        <f t="shared" si="238"/>
        <v>600093</v>
      </c>
      <c r="D184" s="1" t="str">
        <f t="shared" si="239"/>
        <v>易见股份</v>
      </c>
      <c r="E184" s="1" t="str">
        <f t="shared" si="240"/>
        <v>卖出</v>
      </c>
      <c r="F184" s="1" t="str">
        <f>"14.870"</f>
        <v>14.870</v>
      </c>
      <c r="G184" s="1" t="str">
        <f t="shared" si="243"/>
        <v>-100.00</v>
      </c>
      <c r="H184" s="1" t="str">
        <f t="shared" si="235"/>
        <v>A850418317</v>
      </c>
      <c r="I184" s="1" t="str">
        <f>"1487.00"</f>
        <v>1487.00</v>
      </c>
      <c r="J184" s="1" t="str">
        <f t="shared" si="241"/>
        <v>5.00</v>
      </c>
      <c r="K184" s="1" t="str">
        <f t="shared" si="245"/>
        <v>1.49</v>
      </c>
      <c r="L184" s="1" t="str">
        <f t="shared" si="244"/>
        <v>0.03</v>
      </c>
      <c r="M184" s="1" t="str">
        <f t="shared" si="177"/>
        <v>0.00</v>
      </c>
      <c r="N184" s="1" t="str">
        <f t="shared" si="242"/>
        <v>证券卖出</v>
      </c>
    </row>
    <row r="185" spans="1:14">
      <c r="A185" s="1" t="str">
        <f t="shared" si="237"/>
        <v>20180201</v>
      </c>
      <c r="B185" s="1" t="str">
        <f>"10:42:53"</f>
        <v>10:42:53</v>
      </c>
      <c r="C185" s="1" t="str">
        <f t="shared" si="238"/>
        <v>600093</v>
      </c>
      <c r="D185" s="1" t="str">
        <f t="shared" si="239"/>
        <v>易见股份</v>
      </c>
      <c r="E185" s="1" t="str">
        <f t="shared" si="240"/>
        <v>卖出</v>
      </c>
      <c r="F185" s="1" t="str">
        <f>"14.690"</f>
        <v>14.690</v>
      </c>
      <c r="G185" s="1" t="str">
        <f t="shared" si="243"/>
        <v>-100.00</v>
      </c>
      <c r="H185" s="1" t="str">
        <f t="shared" si="235"/>
        <v>A850418317</v>
      </c>
      <c r="I185" s="1" t="str">
        <f>"1469.00"</f>
        <v>1469.00</v>
      </c>
      <c r="J185" s="1" t="str">
        <f t="shared" si="241"/>
        <v>5.00</v>
      </c>
      <c r="K185" s="1" t="str">
        <f>"1.47"</f>
        <v>1.47</v>
      </c>
      <c r="L185" s="1" t="str">
        <f t="shared" si="244"/>
        <v>0.03</v>
      </c>
      <c r="M185" s="1" t="str">
        <f t="shared" si="177"/>
        <v>0.00</v>
      </c>
      <c r="N185" s="1" t="str">
        <f t="shared" si="242"/>
        <v>证券卖出</v>
      </c>
    </row>
    <row r="186" spans="1:14">
      <c r="A186" s="1" t="str">
        <f t="shared" si="237"/>
        <v>20180201</v>
      </c>
      <c r="B186" s="1" t="str">
        <f>"10:44:03"</f>
        <v>10:44:03</v>
      </c>
      <c r="C186" s="1" t="str">
        <f t="shared" si="238"/>
        <v>600093</v>
      </c>
      <c r="D186" s="1" t="str">
        <f t="shared" si="239"/>
        <v>易见股份</v>
      </c>
      <c r="E186" s="1" t="str">
        <f t="shared" si="240"/>
        <v>卖出</v>
      </c>
      <c r="F186" s="1" t="str">
        <f>"14.700"</f>
        <v>14.700</v>
      </c>
      <c r="G186" s="1" t="str">
        <f t="shared" si="243"/>
        <v>-100.00</v>
      </c>
      <c r="H186" s="1" t="str">
        <f t="shared" si="235"/>
        <v>A850418317</v>
      </c>
      <c r="I186" s="1" t="str">
        <f>"1470.00"</f>
        <v>1470.00</v>
      </c>
      <c r="J186" s="1" t="str">
        <f t="shared" si="241"/>
        <v>5.00</v>
      </c>
      <c r="K186" s="1" t="str">
        <f>"1.47"</f>
        <v>1.47</v>
      </c>
      <c r="L186" s="1" t="str">
        <f t="shared" si="244"/>
        <v>0.03</v>
      </c>
      <c r="M186" s="1" t="str">
        <f t="shared" si="177"/>
        <v>0.00</v>
      </c>
      <c r="N186" s="1" t="str">
        <f t="shared" si="242"/>
        <v>证券卖出</v>
      </c>
    </row>
    <row r="187" spans="1:14">
      <c r="A187" s="1" t="str">
        <f t="shared" si="237"/>
        <v>20180201</v>
      </c>
      <c r="B187" s="1" t="str">
        <f>"10:08:34"</f>
        <v>10:08:34</v>
      </c>
      <c r="C187" s="1" t="str">
        <f>"000608"</f>
        <v>000608</v>
      </c>
      <c r="D187" s="1" t="str">
        <f>"阳光股份"</f>
        <v>阳光股份</v>
      </c>
      <c r="E187" s="1" t="str">
        <f t="shared" si="240"/>
        <v>卖出</v>
      </c>
      <c r="F187" s="1" t="str">
        <f>"7.670"</f>
        <v>7.670</v>
      </c>
      <c r="G187" s="1" t="str">
        <f t="shared" si="243"/>
        <v>-100.00</v>
      </c>
      <c r="H187" s="1" t="str">
        <f>"0104152129"</f>
        <v>0104152129</v>
      </c>
      <c r="I187" s="1" t="str">
        <f>"767.00"</f>
        <v>767.00</v>
      </c>
      <c r="J187" s="1" t="str">
        <f t="shared" si="241"/>
        <v>5.00</v>
      </c>
      <c r="K187" s="1" t="str">
        <f>"0.77"</f>
        <v>0.77</v>
      </c>
      <c r="L187" s="1" t="str">
        <f>"0.02"</f>
        <v>0.02</v>
      </c>
      <c r="M187" s="1" t="str">
        <f t="shared" si="177"/>
        <v>0.00</v>
      </c>
      <c r="N187" s="1" t="str">
        <f t="shared" si="242"/>
        <v>证券卖出</v>
      </c>
    </row>
    <row r="188" spans="1:14">
      <c r="A188" s="1" t="str">
        <f t="shared" ref="A188:A193" si="246">"20180202"</f>
        <v>20180202</v>
      </c>
      <c r="B188" s="1" t="str">
        <f>"09:32:04"</f>
        <v>09:32:04</v>
      </c>
      <c r="C188" s="1" t="str">
        <f t="shared" ref="C188:C190" si="247">"600093"</f>
        <v>600093</v>
      </c>
      <c r="D188" s="1" t="str">
        <f t="shared" ref="D188:D190" si="248">"易见股份"</f>
        <v>易见股份</v>
      </c>
      <c r="E188" s="1" t="str">
        <f t="shared" ref="E188:E195" si="249">"买入"</f>
        <v>买入</v>
      </c>
      <c r="F188" s="1" t="str">
        <f>"13.680"</f>
        <v>13.680</v>
      </c>
      <c r="G188" s="1" t="str">
        <f>"200.00"</f>
        <v>200.00</v>
      </c>
      <c r="H188" s="1" t="str">
        <f t="shared" ref="H188:H192" si="250">"A850418317"</f>
        <v>A850418317</v>
      </c>
      <c r="I188" s="1" t="str">
        <f>"2736.00"</f>
        <v>2736.00</v>
      </c>
      <c r="J188" s="1" t="str">
        <f t="shared" si="241"/>
        <v>5.00</v>
      </c>
      <c r="K188" s="1" t="str">
        <f t="shared" ref="K188:K195" si="251">"0.00"</f>
        <v>0.00</v>
      </c>
      <c r="L188" s="1" t="str">
        <f>"0.05"</f>
        <v>0.05</v>
      </c>
      <c r="M188" s="1" t="str">
        <f t="shared" si="177"/>
        <v>0.00</v>
      </c>
      <c r="N188" s="1" t="str">
        <f t="shared" ref="N188:N195" si="252">"证券买入"</f>
        <v>证券买入</v>
      </c>
    </row>
    <row r="189" spans="1:14">
      <c r="A189" s="1" t="str">
        <f t="shared" si="246"/>
        <v>20180202</v>
      </c>
      <c r="B189" s="1" t="str">
        <f>"09:35:56"</f>
        <v>09:35:56</v>
      </c>
      <c r="C189" s="1" t="str">
        <f t="shared" si="247"/>
        <v>600093</v>
      </c>
      <c r="D189" s="1" t="str">
        <f t="shared" si="248"/>
        <v>易见股份</v>
      </c>
      <c r="E189" s="1" t="str">
        <f t="shared" si="249"/>
        <v>买入</v>
      </c>
      <c r="F189" s="1" t="str">
        <f>"13.250"</f>
        <v>13.250</v>
      </c>
      <c r="G189" s="1" t="str">
        <f>"200.00"</f>
        <v>200.00</v>
      </c>
      <c r="H189" s="1" t="str">
        <f t="shared" si="250"/>
        <v>A850418317</v>
      </c>
      <c r="I189" s="1" t="str">
        <f>"2650.00"</f>
        <v>2650.00</v>
      </c>
      <c r="J189" s="1" t="str">
        <f t="shared" si="241"/>
        <v>5.00</v>
      </c>
      <c r="K189" s="1" t="str">
        <f t="shared" si="251"/>
        <v>0.00</v>
      </c>
      <c r="L189" s="1" t="str">
        <f>"0.05"</f>
        <v>0.05</v>
      </c>
      <c r="M189" s="1" t="str">
        <f t="shared" si="177"/>
        <v>0.00</v>
      </c>
      <c r="N189" s="1" t="str">
        <f t="shared" si="252"/>
        <v>证券买入</v>
      </c>
    </row>
    <row r="190" spans="1:14">
      <c r="A190" s="1" t="str">
        <f t="shared" si="246"/>
        <v>20180202</v>
      </c>
      <c r="B190" s="1" t="str">
        <f>"10:06:39"</f>
        <v>10:06:39</v>
      </c>
      <c r="C190" s="1" t="str">
        <f t="shared" si="247"/>
        <v>600093</v>
      </c>
      <c r="D190" s="1" t="str">
        <f t="shared" si="248"/>
        <v>易见股份</v>
      </c>
      <c r="E190" s="1" t="str">
        <f>"卖出"</f>
        <v>卖出</v>
      </c>
      <c r="F190" s="1" t="str">
        <f>"13.770"</f>
        <v>13.770</v>
      </c>
      <c r="G190" s="1" t="str">
        <f>"-200.00"</f>
        <v>-200.00</v>
      </c>
      <c r="H190" s="1" t="str">
        <f t="shared" si="250"/>
        <v>A850418317</v>
      </c>
      <c r="I190" s="1" t="str">
        <f>"2754.00"</f>
        <v>2754.00</v>
      </c>
      <c r="J190" s="1" t="str">
        <f t="shared" si="241"/>
        <v>5.00</v>
      </c>
      <c r="K190" s="1" t="str">
        <f>"2.75"</f>
        <v>2.75</v>
      </c>
      <c r="L190" s="1" t="str">
        <f>"0.06"</f>
        <v>0.06</v>
      </c>
      <c r="M190" s="1" t="str">
        <f t="shared" si="177"/>
        <v>0.00</v>
      </c>
      <c r="N190" s="1" t="str">
        <f>"证券卖出"</f>
        <v>证券卖出</v>
      </c>
    </row>
    <row r="191" spans="1:14">
      <c r="A191" s="1" t="str">
        <f t="shared" si="246"/>
        <v>20180202</v>
      </c>
      <c r="B191" s="1" t="str">
        <f>"10:55:00"</f>
        <v>10:55:00</v>
      </c>
      <c r="C191" s="1" t="str">
        <f t="shared" ref="C191:C197" si="253">"601828"</f>
        <v>601828</v>
      </c>
      <c r="D191" s="1" t="str">
        <f t="shared" ref="D191:D197" si="254">"美凯龙"</f>
        <v>美凯龙</v>
      </c>
      <c r="E191" s="1" t="str">
        <f t="shared" si="249"/>
        <v>买入</v>
      </c>
      <c r="F191" s="1" t="str">
        <f>"20.320"</f>
        <v>20.320</v>
      </c>
      <c r="G191" s="1" t="str">
        <f t="shared" ref="G191:G193" si="255">"100.00"</f>
        <v>100.00</v>
      </c>
      <c r="H191" s="1" t="str">
        <f t="shared" si="250"/>
        <v>A850418317</v>
      </c>
      <c r="I191" s="1" t="str">
        <f>"2032.00"</f>
        <v>2032.00</v>
      </c>
      <c r="J191" s="1" t="str">
        <f t="shared" si="241"/>
        <v>5.00</v>
      </c>
      <c r="K191" s="1" t="str">
        <f t="shared" si="251"/>
        <v>0.00</v>
      </c>
      <c r="L191" s="1" t="str">
        <f t="shared" ref="L191:L197" si="256">"0.04"</f>
        <v>0.04</v>
      </c>
      <c r="M191" s="1" t="str">
        <f t="shared" si="177"/>
        <v>0.00</v>
      </c>
      <c r="N191" s="1" t="str">
        <f t="shared" si="252"/>
        <v>证券买入</v>
      </c>
    </row>
    <row r="192" spans="1:14">
      <c r="A192" s="1" t="str">
        <f t="shared" si="246"/>
        <v>20180202</v>
      </c>
      <c r="B192" s="1" t="str">
        <f>"14:42:11"</f>
        <v>14:42:11</v>
      </c>
      <c r="C192" s="1" t="str">
        <f t="shared" si="253"/>
        <v>601828</v>
      </c>
      <c r="D192" s="1" t="str">
        <f t="shared" si="254"/>
        <v>美凯龙</v>
      </c>
      <c r="E192" s="1" t="str">
        <f t="shared" si="249"/>
        <v>买入</v>
      </c>
      <c r="F192" s="1" t="str">
        <f>"20.290"</f>
        <v>20.290</v>
      </c>
      <c r="G192" s="1" t="str">
        <f t="shared" si="255"/>
        <v>100.00</v>
      </c>
      <c r="H192" s="1" t="str">
        <f t="shared" si="250"/>
        <v>A850418317</v>
      </c>
      <c r="I192" s="1" t="str">
        <f>"2029.00"</f>
        <v>2029.00</v>
      </c>
      <c r="J192" s="1" t="str">
        <f t="shared" si="241"/>
        <v>5.00</v>
      </c>
      <c r="K192" s="1" t="str">
        <f t="shared" si="251"/>
        <v>0.00</v>
      </c>
      <c r="L192" s="1" t="str">
        <f t="shared" si="256"/>
        <v>0.04</v>
      </c>
      <c r="M192" s="1" t="str">
        <f t="shared" si="177"/>
        <v>0.00</v>
      </c>
      <c r="N192" s="1" t="str">
        <f t="shared" si="252"/>
        <v>证券买入</v>
      </c>
    </row>
    <row r="193" spans="1:14">
      <c r="A193" s="1" t="str">
        <f t="shared" si="246"/>
        <v>20180202</v>
      </c>
      <c r="B193" s="1" t="str">
        <f>"13:45:39"</f>
        <v>13:45:39</v>
      </c>
      <c r="C193" s="1" t="str">
        <f>"002907"</f>
        <v>002907</v>
      </c>
      <c r="D193" s="1" t="str">
        <f>"华森制药"</f>
        <v>华森制药</v>
      </c>
      <c r="E193" s="1" t="str">
        <f t="shared" si="249"/>
        <v>买入</v>
      </c>
      <c r="F193" s="1" t="str">
        <f>"30.880"</f>
        <v>30.880</v>
      </c>
      <c r="G193" s="1" t="str">
        <f t="shared" si="255"/>
        <v>100.00</v>
      </c>
      <c r="H193" s="1" t="str">
        <f>"0104152129"</f>
        <v>0104152129</v>
      </c>
      <c r="I193" s="1" t="str">
        <f>"3088.00"</f>
        <v>3088.00</v>
      </c>
      <c r="J193" s="1" t="str">
        <f t="shared" si="241"/>
        <v>5.00</v>
      </c>
      <c r="K193" s="1" t="str">
        <f t="shared" si="251"/>
        <v>0.00</v>
      </c>
      <c r="L193" s="1" t="str">
        <f>"0.06"</f>
        <v>0.06</v>
      </c>
      <c r="M193" s="1" t="str">
        <f t="shared" si="177"/>
        <v>0.00</v>
      </c>
      <c r="N193" s="1" t="str">
        <f t="shared" si="252"/>
        <v>证券买入</v>
      </c>
    </row>
    <row r="194" spans="1:14">
      <c r="A194" s="1" t="str">
        <f t="shared" ref="A194:A203" si="257">"20180205"</f>
        <v>20180205</v>
      </c>
      <c r="B194" s="1" t="str">
        <f>"09:30:49"</f>
        <v>09:30:49</v>
      </c>
      <c r="C194" s="1" t="str">
        <f>"600093"</f>
        <v>600093</v>
      </c>
      <c r="D194" s="1" t="str">
        <f>"易见股份"</f>
        <v>易见股份</v>
      </c>
      <c r="E194" s="1" t="str">
        <f t="shared" si="249"/>
        <v>买入</v>
      </c>
      <c r="F194" s="1" t="str">
        <f>"13.220"</f>
        <v>13.220</v>
      </c>
      <c r="G194" s="1" t="str">
        <f>"200.00"</f>
        <v>200.00</v>
      </c>
      <c r="H194" s="1" t="str">
        <f t="shared" ref="H194:H197" si="258">"A850418317"</f>
        <v>A850418317</v>
      </c>
      <c r="I194" s="1" t="str">
        <f>"2644.00"</f>
        <v>2644.00</v>
      </c>
      <c r="J194" s="1" t="str">
        <f t="shared" si="241"/>
        <v>5.00</v>
      </c>
      <c r="K194" s="1" t="str">
        <f t="shared" si="251"/>
        <v>0.00</v>
      </c>
      <c r="L194" s="1" t="str">
        <f>"0.05"</f>
        <v>0.05</v>
      </c>
      <c r="M194" s="1" t="str">
        <f t="shared" si="177"/>
        <v>0.00</v>
      </c>
      <c r="N194" s="1" t="str">
        <f t="shared" si="252"/>
        <v>证券买入</v>
      </c>
    </row>
    <row r="195" spans="1:14">
      <c r="A195" s="1" t="str">
        <f t="shared" si="257"/>
        <v>20180205</v>
      </c>
      <c r="B195" s="1" t="str">
        <f>"09:53:03"</f>
        <v>09:53:03</v>
      </c>
      <c r="C195" s="1" t="str">
        <f>"600093"</f>
        <v>600093</v>
      </c>
      <c r="D195" s="1" t="str">
        <f>"易见股份"</f>
        <v>易见股份</v>
      </c>
      <c r="E195" s="1" t="str">
        <f t="shared" si="249"/>
        <v>买入</v>
      </c>
      <c r="F195" s="1" t="str">
        <f>"12.980"</f>
        <v>12.980</v>
      </c>
      <c r="G195" s="1" t="str">
        <f>"200.00"</f>
        <v>200.00</v>
      </c>
      <c r="H195" s="1" t="str">
        <f t="shared" si="258"/>
        <v>A850418317</v>
      </c>
      <c r="I195" s="1" t="str">
        <f>"2596.00"</f>
        <v>2596.00</v>
      </c>
      <c r="J195" s="1" t="str">
        <f t="shared" si="241"/>
        <v>5.00</v>
      </c>
      <c r="K195" s="1" t="str">
        <f t="shared" si="251"/>
        <v>0.00</v>
      </c>
      <c r="L195" s="1" t="str">
        <f>"0.05"</f>
        <v>0.05</v>
      </c>
      <c r="M195" s="1" t="str">
        <f t="shared" si="177"/>
        <v>0.00</v>
      </c>
      <c r="N195" s="1" t="str">
        <f t="shared" si="252"/>
        <v>证券买入</v>
      </c>
    </row>
    <row r="196" spans="1:14">
      <c r="A196" s="1" t="str">
        <f t="shared" si="257"/>
        <v>20180205</v>
      </c>
      <c r="B196" s="1" t="str">
        <f>"13:40:00"</f>
        <v>13:40:00</v>
      </c>
      <c r="C196" s="1" t="str">
        <f t="shared" si="253"/>
        <v>601828</v>
      </c>
      <c r="D196" s="1" t="str">
        <f t="shared" si="254"/>
        <v>美凯龙</v>
      </c>
      <c r="E196" s="1" t="str">
        <f>"卖出"</f>
        <v>卖出</v>
      </c>
      <c r="F196" s="1" t="str">
        <f>"19.320"</f>
        <v>19.320</v>
      </c>
      <c r="G196" s="1" t="str">
        <f>"-100.00"</f>
        <v>-100.00</v>
      </c>
      <c r="H196" s="1" t="str">
        <f t="shared" si="258"/>
        <v>A850418317</v>
      </c>
      <c r="I196" s="1" t="str">
        <f>"1932.00"</f>
        <v>1932.00</v>
      </c>
      <c r="J196" s="1" t="str">
        <f t="shared" si="241"/>
        <v>5.00</v>
      </c>
      <c r="K196" s="1" t="str">
        <f>"1.93"</f>
        <v>1.93</v>
      </c>
      <c r="L196" s="1" t="str">
        <f t="shared" si="256"/>
        <v>0.04</v>
      </c>
      <c r="M196" s="1" t="str">
        <f t="shared" si="177"/>
        <v>0.00</v>
      </c>
      <c r="N196" s="1" t="str">
        <f>"证券卖出"</f>
        <v>证券卖出</v>
      </c>
    </row>
    <row r="197" spans="1:14">
      <c r="A197" s="1" t="str">
        <f t="shared" si="257"/>
        <v>20180205</v>
      </c>
      <c r="B197" s="1" t="str">
        <f>"14:06:25"</f>
        <v>14:06:25</v>
      </c>
      <c r="C197" s="1" t="str">
        <f t="shared" si="253"/>
        <v>601828</v>
      </c>
      <c r="D197" s="1" t="str">
        <f t="shared" si="254"/>
        <v>美凯龙</v>
      </c>
      <c r="E197" s="1" t="str">
        <f>"卖出"</f>
        <v>卖出</v>
      </c>
      <c r="F197" s="1" t="str">
        <f>"19.100"</f>
        <v>19.100</v>
      </c>
      <c r="G197" s="1" t="str">
        <f>"-100.00"</f>
        <v>-100.00</v>
      </c>
      <c r="H197" s="1" t="str">
        <f t="shared" si="258"/>
        <v>A850418317</v>
      </c>
      <c r="I197" s="1" t="str">
        <f>"1910.00"</f>
        <v>1910.00</v>
      </c>
      <c r="J197" s="1" t="str">
        <f t="shared" si="241"/>
        <v>5.00</v>
      </c>
      <c r="K197" s="1" t="str">
        <f>"1.91"</f>
        <v>1.91</v>
      </c>
      <c r="L197" s="1" t="str">
        <f t="shared" si="256"/>
        <v>0.04</v>
      </c>
      <c r="M197" s="1" t="str">
        <f t="shared" si="177"/>
        <v>0.00</v>
      </c>
      <c r="N197" s="1" t="str">
        <f>"证券卖出"</f>
        <v>证券卖出</v>
      </c>
    </row>
    <row r="198" spans="1:14">
      <c r="A198" s="1" t="str">
        <f t="shared" si="257"/>
        <v>20180205</v>
      </c>
      <c r="B198" s="1" t="str">
        <f>"09:25:00"</f>
        <v>09:25:00</v>
      </c>
      <c r="C198" s="1" t="str">
        <f>"300176"</f>
        <v>300176</v>
      </c>
      <c r="D198" s="1" t="str">
        <f>"鸿特精密"</f>
        <v>鸿特精密</v>
      </c>
      <c r="E198" s="1" t="str">
        <f t="shared" ref="E198:E204" si="259">"买入"</f>
        <v>买入</v>
      </c>
      <c r="F198" s="1" t="str">
        <f>"118.000"</f>
        <v>118.000</v>
      </c>
      <c r="G198" s="1" t="str">
        <f t="shared" ref="G198:G200" si="260">"100.00"</f>
        <v>100.00</v>
      </c>
      <c r="H198" s="1" t="str">
        <f t="shared" ref="H198:H203" si="261">"0104152129"</f>
        <v>0104152129</v>
      </c>
      <c r="I198" s="1" t="str">
        <f>"11800.00"</f>
        <v>11800.00</v>
      </c>
      <c r="J198" s="1" t="str">
        <f t="shared" si="241"/>
        <v>5.00</v>
      </c>
      <c r="K198" s="1" t="str">
        <f t="shared" ref="K198:K204" si="262">"0.00"</f>
        <v>0.00</v>
      </c>
      <c r="L198" s="1" t="str">
        <f>"0.24"</f>
        <v>0.24</v>
      </c>
      <c r="M198" s="1" t="str">
        <f t="shared" si="177"/>
        <v>0.00</v>
      </c>
      <c r="N198" s="1" t="str">
        <f t="shared" ref="N198:N204" si="263">"证券买入"</f>
        <v>证券买入</v>
      </c>
    </row>
    <row r="199" spans="1:14">
      <c r="A199" s="1" t="str">
        <f t="shared" si="257"/>
        <v>20180205</v>
      </c>
      <c r="B199" s="1" t="str">
        <f>"09:32:04"</f>
        <v>09:32:04</v>
      </c>
      <c r="C199" s="1" t="str">
        <f>"300184"</f>
        <v>300184</v>
      </c>
      <c r="D199" s="1" t="str">
        <f>"力源信息"</f>
        <v>力源信息</v>
      </c>
      <c r="E199" s="1" t="str">
        <f t="shared" si="259"/>
        <v>买入</v>
      </c>
      <c r="F199" s="1" t="str">
        <f>"10.550"</f>
        <v>10.550</v>
      </c>
      <c r="G199" s="1" t="str">
        <f t="shared" si="260"/>
        <v>100.00</v>
      </c>
      <c r="H199" s="1" t="str">
        <f t="shared" si="261"/>
        <v>0104152129</v>
      </c>
      <c r="I199" s="1" t="str">
        <f>"1055.00"</f>
        <v>1055.00</v>
      </c>
      <c r="J199" s="1" t="str">
        <f t="shared" si="241"/>
        <v>5.00</v>
      </c>
      <c r="K199" s="1" t="str">
        <f t="shared" si="262"/>
        <v>0.00</v>
      </c>
      <c r="L199" s="1" t="str">
        <f>"0.02"</f>
        <v>0.02</v>
      </c>
      <c r="M199" s="1" t="str">
        <f t="shared" si="177"/>
        <v>0.00</v>
      </c>
      <c r="N199" s="1" t="str">
        <f t="shared" si="263"/>
        <v>证券买入</v>
      </c>
    </row>
    <row r="200" spans="1:14">
      <c r="A200" s="1" t="str">
        <f t="shared" si="257"/>
        <v>20180205</v>
      </c>
      <c r="B200" s="1" t="str">
        <f>"09:32:29"</f>
        <v>09:32:29</v>
      </c>
      <c r="C200" s="1" t="str">
        <f>"300184"</f>
        <v>300184</v>
      </c>
      <c r="D200" s="1" t="str">
        <f>"力源信息"</f>
        <v>力源信息</v>
      </c>
      <c r="E200" s="1" t="str">
        <f t="shared" si="259"/>
        <v>买入</v>
      </c>
      <c r="F200" s="1" t="str">
        <f>"10.550"</f>
        <v>10.550</v>
      </c>
      <c r="G200" s="1" t="str">
        <f t="shared" si="260"/>
        <v>100.00</v>
      </c>
      <c r="H200" s="1" t="str">
        <f t="shared" si="261"/>
        <v>0104152129</v>
      </c>
      <c r="I200" s="1" t="str">
        <f>"1055.00"</f>
        <v>1055.00</v>
      </c>
      <c r="J200" s="1" t="str">
        <f t="shared" si="241"/>
        <v>5.00</v>
      </c>
      <c r="K200" s="1" t="str">
        <f t="shared" si="262"/>
        <v>0.00</v>
      </c>
      <c r="L200" s="1" t="str">
        <f>"0.02"</f>
        <v>0.02</v>
      </c>
      <c r="M200" s="1" t="str">
        <f t="shared" si="177"/>
        <v>0.00</v>
      </c>
      <c r="N200" s="1" t="str">
        <f t="shared" si="263"/>
        <v>证券买入</v>
      </c>
    </row>
    <row r="201" spans="1:14">
      <c r="A201" s="1" t="str">
        <f t="shared" si="257"/>
        <v>20180205</v>
      </c>
      <c r="B201" s="1" t="str">
        <f>"13:40:23"</f>
        <v>13:40:23</v>
      </c>
      <c r="C201" s="1" t="str">
        <f>"002235"</f>
        <v>002235</v>
      </c>
      <c r="D201" s="1" t="str">
        <f>"安妮股份"</f>
        <v>安妮股份</v>
      </c>
      <c r="E201" s="1" t="str">
        <f t="shared" si="259"/>
        <v>买入</v>
      </c>
      <c r="F201" s="1" t="str">
        <f>"10.050"</f>
        <v>10.050</v>
      </c>
      <c r="G201" s="1" t="str">
        <f t="shared" ref="G201:G204" si="264">"200.00"</f>
        <v>200.00</v>
      </c>
      <c r="H201" s="1" t="str">
        <f t="shared" si="261"/>
        <v>0104152129</v>
      </c>
      <c r="I201" s="1" t="str">
        <f>"2010.00"</f>
        <v>2010.00</v>
      </c>
      <c r="J201" s="1" t="str">
        <f t="shared" si="241"/>
        <v>5.00</v>
      </c>
      <c r="K201" s="1" t="str">
        <f t="shared" si="262"/>
        <v>0.00</v>
      </c>
      <c r="L201" s="1" t="str">
        <f t="shared" ref="L201:L203" si="265">"0.04"</f>
        <v>0.04</v>
      </c>
      <c r="M201" s="1" t="str">
        <f t="shared" si="177"/>
        <v>0.00</v>
      </c>
      <c r="N201" s="1" t="str">
        <f t="shared" si="263"/>
        <v>证券买入</v>
      </c>
    </row>
    <row r="202" spans="1:14">
      <c r="A202" s="1" t="str">
        <f t="shared" si="257"/>
        <v>20180205</v>
      </c>
      <c r="B202" s="1" t="str">
        <f>"13:41:06"</f>
        <v>13:41:06</v>
      </c>
      <c r="C202" s="1" t="str">
        <f>"002235"</f>
        <v>002235</v>
      </c>
      <c r="D202" s="1" t="str">
        <f>"安妮股份"</f>
        <v>安妮股份</v>
      </c>
      <c r="E202" s="1" t="str">
        <f t="shared" si="259"/>
        <v>买入</v>
      </c>
      <c r="F202" s="1" t="str">
        <f>"10.100"</f>
        <v>10.100</v>
      </c>
      <c r="G202" s="1" t="str">
        <f t="shared" si="264"/>
        <v>200.00</v>
      </c>
      <c r="H202" s="1" t="str">
        <f t="shared" si="261"/>
        <v>0104152129</v>
      </c>
      <c r="I202" s="1" t="str">
        <f>"2020.00"</f>
        <v>2020.00</v>
      </c>
      <c r="J202" s="1" t="str">
        <f t="shared" si="241"/>
        <v>5.00</v>
      </c>
      <c r="K202" s="1" t="str">
        <f t="shared" si="262"/>
        <v>0.00</v>
      </c>
      <c r="L202" s="1" t="str">
        <f t="shared" si="265"/>
        <v>0.04</v>
      </c>
      <c r="M202" s="1" t="str">
        <f t="shared" ref="M202:M233" si="266">"0.00"</f>
        <v>0.00</v>
      </c>
      <c r="N202" s="1" t="str">
        <f t="shared" si="263"/>
        <v>证券买入</v>
      </c>
    </row>
    <row r="203" spans="1:14">
      <c r="A203" s="1" t="str">
        <f t="shared" si="257"/>
        <v>20180205</v>
      </c>
      <c r="B203" s="1" t="str">
        <f>"14:19:33"</f>
        <v>14:19:33</v>
      </c>
      <c r="C203" s="1" t="str">
        <f>"300058"</f>
        <v>300058</v>
      </c>
      <c r="D203" s="1" t="str">
        <f>"蓝色光标"</f>
        <v>蓝色光标</v>
      </c>
      <c r="E203" s="1" t="str">
        <f t="shared" si="259"/>
        <v>买入</v>
      </c>
      <c r="F203" s="1" t="str">
        <f>"7.360"</f>
        <v>7.360</v>
      </c>
      <c r="G203" s="1" t="str">
        <f>"300.00"</f>
        <v>300.00</v>
      </c>
      <c r="H203" s="1" t="str">
        <f t="shared" si="261"/>
        <v>0104152129</v>
      </c>
      <c r="I203" s="1" t="str">
        <f>"2208.00"</f>
        <v>2208.00</v>
      </c>
      <c r="J203" s="1" t="str">
        <f t="shared" si="241"/>
        <v>5.00</v>
      </c>
      <c r="K203" s="1" t="str">
        <f t="shared" si="262"/>
        <v>0.00</v>
      </c>
      <c r="L203" s="1" t="str">
        <f t="shared" si="265"/>
        <v>0.04</v>
      </c>
      <c r="M203" s="1" t="str">
        <f t="shared" si="266"/>
        <v>0.00</v>
      </c>
      <c r="N203" s="1" t="str">
        <f t="shared" si="263"/>
        <v>证券买入</v>
      </c>
    </row>
    <row r="204" spans="1:14">
      <c r="A204" s="1" t="str">
        <f t="shared" ref="A204:A213" si="267">"20180206"</f>
        <v>20180206</v>
      </c>
      <c r="B204" s="1" t="str">
        <f>"09:31:33"</f>
        <v>09:31:33</v>
      </c>
      <c r="C204" s="1" t="str">
        <f t="shared" ref="C204:C207" si="268">"600093"</f>
        <v>600093</v>
      </c>
      <c r="D204" s="1" t="str">
        <f t="shared" ref="D204:D207" si="269">"易见股份"</f>
        <v>易见股份</v>
      </c>
      <c r="E204" s="1" t="str">
        <f t="shared" si="259"/>
        <v>买入</v>
      </c>
      <c r="F204" s="1" t="str">
        <f>"13.000"</f>
        <v>13.000</v>
      </c>
      <c r="G204" s="1" t="str">
        <f t="shared" si="264"/>
        <v>200.00</v>
      </c>
      <c r="H204" s="1" t="str">
        <f t="shared" ref="H204:H207" si="270">"A850418317"</f>
        <v>A850418317</v>
      </c>
      <c r="I204" s="1" t="str">
        <f>"2600.00"</f>
        <v>2600.00</v>
      </c>
      <c r="J204" s="1" t="str">
        <f t="shared" si="241"/>
        <v>5.00</v>
      </c>
      <c r="K204" s="1" t="str">
        <f t="shared" si="262"/>
        <v>0.00</v>
      </c>
      <c r="L204" s="1" t="str">
        <f t="shared" ref="L204:L207" si="271">"0.05"</f>
        <v>0.05</v>
      </c>
      <c r="M204" s="1" t="str">
        <f t="shared" si="266"/>
        <v>0.00</v>
      </c>
      <c r="N204" s="1" t="str">
        <f t="shared" si="263"/>
        <v>证券买入</v>
      </c>
    </row>
    <row r="205" spans="1:14">
      <c r="A205" s="1" t="str">
        <f t="shared" si="267"/>
        <v>20180206</v>
      </c>
      <c r="B205" s="1" t="str">
        <f>"13:11:32"</f>
        <v>13:11:32</v>
      </c>
      <c r="C205" s="1" t="str">
        <f t="shared" si="268"/>
        <v>600093</v>
      </c>
      <c r="D205" s="1" t="str">
        <f t="shared" si="269"/>
        <v>易见股份</v>
      </c>
      <c r="E205" s="1" t="str">
        <f t="shared" ref="E205:E211" si="272">"卖出"</f>
        <v>卖出</v>
      </c>
      <c r="F205" s="1" t="str">
        <f>"12.720"</f>
        <v>12.720</v>
      </c>
      <c r="G205" s="1" t="str">
        <f t="shared" ref="G205:G207" si="273">"-200.00"</f>
        <v>-200.00</v>
      </c>
      <c r="H205" s="1" t="str">
        <f t="shared" si="270"/>
        <v>A850418317</v>
      </c>
      <c r="I205" s="1" t="str">
        <f>"2544.00"</f>
        <v>2544.00</v>
      </c>
      <c r="J205" s="1" t="str">
        <f t="shared" si="241"/>
        <v>5.00</v>
      </c>
      <c r="K205" s="1" t="str">
        <f>"2.54"</f>
        <v>2.54</v>
      </c>
      <c r="L205" s="1" t="str">
        <f t="shared" si="271"/>
        <v>0.05</v>
      </c>
      <c r="M205" s="1" t="str">
        <f t="shared" si="266"/>
        <v>0.00</v>
      </c>
      <c r="N205" s="1" t="str">
        <f t="shared" ref="N205:N211" si="274">"证券卖出"</f>
        <v>证券卖出</v>
      </c>
    </row>
    <row r="206" spans="1:14">
      <c r="A206" s="1" t="str">
        <f t="shared" si="267"/>
        <v>20180206</v>
      </c>
      <c r="B206" s="1" t="str">
        <f>"13:11:55"</f>
        <v>13:11:55</v>
      </c>
      <c r="C206" s="1" t="str">
        <f t="shared" si="268"/>
        <v>600093</v>
      </c>
      <c r="D206" s="1" t="str">
        <f t="shared" si="269"/>
        <v>易见股份</v>
      </c>
      <c r="E206" s="1" t="str">
        <f t="shared" si="272"/>
        <v>卖出</v>
      </c>
      <c r="F206" s="1" t="str">
        <f>"12.730"</f>
        <v>12.730</v>
      </c>
      <c r="G206" s="1" t="str">
        <f t="shared" si="273"/>
        <v>-200.00</v>
      </c>
      <c r="H206" s="1" t="str">
        <f t="shared" si="270"/>
        <v>A850418317</v>
      </c>
      <c r="I206" s="1" t="str">
        <f>"2546.00"</f>
        <v>2546.00</v>
      </c>
      <c r="J206" s="1" t="str">
        <f t="shared" si="241"/>
        <v>5.00</v>
      </c>
      <c r="K206" s="1" t="str">
        <f>"2.55"</f>
        <v>2.55</v>
      </c>
      <c r="L206" s="1" t="str">
        <f t="shared" si="271"/>
        <v>0.05</v>
      </c>
      <c r="M206" s="1" t="str">
        <f t="shared" si="266"/>
        <v>0.00</v>
      </c>
      <c r="N206" s="1" t="str">
        <f t="shared" si="274"/>
        <v>证券卖出</v>
      </c>
    </row>
    <row r="207" spans="1:14">
      <c r="A207" s="1" t="str">
        <f t="shared" si="267"/>
        <v>20180206</v>
      </c>
      <c r="B207" s="1" t="str">
        <f>"13:15:35"</f>
        <v>13:15:35</v>
      </c>
      <c r="C207" s="1" t="str">
        <f t="shared" si="268"/>
        <v>600093</v>
      </c>
      <c r="D207" s="1" t="str">
        <f t="shared" si="269"/>
        <v>易见股份</v>
      </c>
      <c r="E207" s="1" t="str">
        <f t="shared" si="272"/>
        <v>卖出</v>
      </c>
      <c r="F207" s="1" t="str">
        <f>"12.620"</f>
        <v>12.620</v>
      </c>
      <c r="G207" s="1" t="str">
        <f t="shared" si="273"/>
        <v>-200.00</v>
      </c>
      <c r="H207" s="1" t="str">
        <f t="shared" si="270"/>
        <v>A850418317</v>
      </c>
      <c r="I207" s="1" t="str">
        <f>"2524.00"</f>
        <v>2524.00</v>
      </c>
      <c r="J207" s="1" t="str">
        <f t="shared" si="241"/>
        <v>5.00</v>
      </c>
      <c r="K207" s="1" t="str">
        <f>"2.52"</f>
        <v>2.52</v>
      </c>
      <c r="L207" s="1" t="str">
        <f t="shared" si="271"/>
        <v>0.05</v>
      </c>
      <c r="M207" s="1" t="str">
        <f t="shared" si="266"/>
        <v>0.00</v>
      </c>
      <c r="N207" s="1" t="str">
        <f t="shared" si="274"/>
        <v>证券卖出</v>
      </c>
    </row>
    <row r="208" spans="1:14">
      <c r="A208" s="1" t="str">
        <f t="shared" si="267"/>
        <v>20180206</v>
      </c>
      <c r="B208" s="1" t="str">
        <f>"09:32:26"</f>
        <v>09:32:26</v>
      </c>
      <c r="C208" s="1" t="str">
        <f>"002235"</f>
        <v>002235</v>
      </c>
      <c r="D208" s="1" t="str">
        <f>"安妮股份"</f>
        <v>安妮股份</v>
      </c>
      <c r="E208" s="1" t="str">
        <f t="shared" si="272"/>
        <v>卖出</v>
      </c>
      <c r="F208" s="1" t="str">
        <f>"9.460"</f>
        <v>9.460</v>
      </c>
      <c r="G208" s="1" t="str">
        <f>"-400.00"</f>
        <v>-400.00</v>
      </c>
      <c r="H208" s="1" t="str">
        <f t="shared" ref="H208:H213" si="275">"0104152129"</f>
        <v>0104152129</v>
      </c>
      <c r="I208" s="1" t="str">
        <f>"3784.00"</f>
        <v>3784.00</v>
      </c>
      <c r="J208" s="1" t="str">
        <f t="shared" si="241"/>
        <v>5.00</v>
      </c>
      <c r="K208" s="1" t="str">
        <f>"3.79"</f>
        <v>3.79</v>
      </c>
      <c r="L208" s="1" t="str">
        <f>"0.08"</f>
        <v>0.08</v>
      </c>
      <c r="M208" s="1" t="str">
        <f t="shared" si="266"/>
        <v>0.00</v>
      </c>
      <c r="N208" s="1" t="str">
        <f t="shared" si="274"/>
        <v>证券卖出</v>
      </c>
    </row>
    <row r="209" spans="1:14">
      <c r="A209" s="1" t="str">
        <f t="shared" si="267"/>
        <v>20180206</v>
      </c>
      <c r="B209" s="1" t="str">
        <f>"09:32:27"</f>
        <v>09:32:27</v>
      </c>
      <c r="C209" s="1" t="str">
        <f>"002907"</f>
        <v>002907</v>
      </c>
      <c r="D209" s="1" t="str">
        <f>"华森制药"</f>
        <v>华森制药</v>
      </c>
      <c r="E209" s="1" t="str">
        <f t="shared" si="272"/>
        <v>卖出</v>
      </c>
      <c r="F209" s="1" t="str">
        <f>"29.500"</f>
        <v>29.500</v>
      </c>
      <c r="G209" s="1" t="str">
        <f>"-100.00"</f>
        <v>-100.00</v>
      </c>
      <c r="H209" s="1" t="str">
        <f t="shared" si="275"/>
        <v>0104152129</v>
      </c>
      <c r="I209" s="1" t="str">
        <f>"2950.00"</f>
        <v>2950.00</v>
      </c>
      <c r="J209" s="1" t="str">
        <f t="shared" si="241"/>
        <v>5.00</v>
      </c>
      <c r="K209" s="1" t="str">
        <f>"2.95"</f>
        <v>2.95</v>
      </c>
      <c r="L209" s="1" t="str">
        <f>"0.06"</f>
        <v>0.06</v>
      </c>
      <c r="M209" s="1" t="str">
        <f t="shared" si="266"/>
        <v>0.00</v>
      </c>
      <c r="N209" s="1" t="str">
        <f t="shared" si="274"/>
        <v>证券卖出</v>
      </c>
    </row>
    <row r="210" spans="1:14">
      <c r="A210" s="1" t="str">
        <f t="shared" si="267"/>
        <v>20180206</v>
      </c>
      <c r="B210" s="1" t="str">
        <f>"09:32:32"</f>
        <v>09:32:32</v>
      </c>
      <c r="C210" s="1" t="str">
        <f>"300058"</f>
        <v>300058</v>
      </c>
      <c r="D210" s="1" t="str">
        <f>"蓝色光标"</f>
        <v>蓝色光标</v>
      </c>
      <c r="E210" s="1" t="str">
        <f t="shared" si="272"/>
        <v>卖出</v>
      </c>
      <c r="F210" s="1" t="str">
        <f>"7.070"</f>
        <v>7.070</v>
      </c>
      <c r="G210" s="1" t="str">
        <f>"-300.00"</f>
        <v>-300.00</v>
      </c>
      <c r="H210" s="1" t="str">
        <f t="shared" si="275"/>
        <v>0104152129</v>
      </c>
      <c r="I210" s="1" t="str">
        <f>"2121.00"</f>
        <v>2121.00</v>
      </c>
      <c r="J210" s="1" t="str">
        <f t="shared" si="241"/>
        <v>5.00</v>
      </c>
      <c r="K210" s="1" t="str">
        <f>"2.12"</f>
        <v>2.12</v>
      </c>
      <c r="L210" s="1" t="str">
        <f>"0.04"</f>
        <v>0.04</v>
      </c>
      <c r="M210" s="1" t="str">
        <f t="shared" si="266"/>
        <v>0.00</v>
      </c>
      <c r="N210" s="1" t="str">
        <f t="shared" si="274"/>
        <v>证券卖出</v>
      </c>
    </row>
    <row r="211" spans="1:14">
      <c r="A211" s="1" t="str">
        <f t="shared" si="267"/>
        <v>20180206</v>
      </c>
      <c r="B211" s="1" t="str">
        <f>"09:33:34"</f>
        <v>09:33:34</v>
      </c>
      <c r="C211" s="1" t="str">
        <f>"300184"</f>
        <v>300184</v>
      </c>
      <c r="D211" s="1" t="str">
        <f>"力源信息"</f>
        <v>力源信息</v>
      </c>
      <c r="E211" s="1" t="str">
        <f t="shared" si="272"/>
        <v>卖出</v>
      </c>
      <c r="F211" s="1" t="str">
        <f>"10.050"</f>
        <v>10.050</v>
      </c>
      <c r="G211" s="1" t="str">
        <f>"-200.00"</f>
        <v>-200.00</v>
      </c>
      <c r="H211" s="1" t="str">
        <f t="shared" si="275"/>
        <v>0104152129</v>
      </c>
      <c r="I211" s="1" t="str">
        <f>"2010.00"</f>
        <v>2010.00</v>
      </c>
      <c r="J211" s="1" t="str">
        <f t="shared" si="241"/>
        <v>5.00</v>
      </c>
      <c r="K211" s="1" t="str">
        <f>"2.01"</f>
        <v>2.01</v>
      </c>
      <c r="L211" s="1" t="str">
        <f>"0.04"</f>
        <v>0.04</v>
      </c>
      <c r="M211" s="1" t="str">
        <f t="shared" si="266"/>
        <v>0.00</v>
      </c>
      <c r="N211" s="1" t="str">
        <f t="shared" si="274"/>
        <v>证券卖出</v>
      </c>
    </row>
    <row r="212" spans="1:14">
      <c r="A212" s="1" t="str">
        <f t="shared" si="267"/>
        <v>20180206</v>
      </c>
      <c r="B212" s="1" t="str">
        <f>"09:34:14"</f>
        <v>09:34:14</v>
      </c>
      <c r="C212" s="1" t="str">
        <f>"300176"</f>
        <v>300176</v>
      </c>
      <c r="D212" s="1" t="str">
        <f>"鸿特精密"</f>
        <v>鸿特精密</v>
      </c>
      <c r="E212" s="1" t="str">
        <f t="shared" ref="E212:E215" si="276">"买入"</f>
        <v>买入</v>
      </c>
      <c r="F212" s="1" t="str">
        <f>"120.660"</f>
        <v>120.660</v>
      </c>
      <c r="G212" s="1" t="str">
        <f>"100.00"</f>
        <v>100.00</v>
      </c>
      <c r="H212" s="1" t="str">
        <f t="shared" si="275"/>
        <v>0104152129</v>
      </c>
      <c r="I212" s="1" t="str">
        <f>"12066.00"</f>
        <v>12066.00</v>
      </c>
      <c r="J212" s="1" t="str">
        <f t="shared" si="241"/>
        <v>5.00</v>
      </c>
      <c r="K212" s="1" t="str">
        <f t="shared" ref="K212:K215" si="277">"0.00"</f>
        <v>0.00</v>
      </c>
      <c r="L212" s="1" t="str">
        <f>"0.24"</f>
        <v>0.24</v>
      </c>
      <c r="M212" s="1" t="str">
        <f t="shared" si="266"/>
        <v>0.00</v>
      </c>
      <c r="N212" s="1" t="str">
        <f t="shared" ref="N212:N215" si="278">"证券买入"</f>
        <v>证券买入</v>
      </c>
    </row>
    <row r="213" spans="1:14">
      <c r="A213" s="1" t="str">
        <f t="shared" si="267"/>
        <v>20180206</v>
      </c>
      <c r="B213" s="1" t="str">
        <f>"13:15:52"</f>
        <v>13:15:52</v>
      </c>
      <c r="C213" s="1" t="str">
        <f>"300176"</f>
        <v>300176</v>
      </c>
      <c r="D213" s="1" t="str">
        <f>"鸿特精密"</f>
        <v>鸿特精密</v>
      </c>
      <c r="E213" s="1" t="str">
        <f>"卖出"</f>
        <v>卖出</v>
      </c>
      <c r="F213" s="1" t="str">
        <f>"118.200"</f>
        <v>118.200</v>
      </c>
      <c r="G213" s="1" t="str">
        <f>"-100.00"</f>
        <v>-100.00</v>
      </c>
      <c r="H213" s="1" t="str">
        <f t="shared" si="275"/>
        <v>0104152129</v>
      </c>
      <c r="I213" s="1" t="str">
        <f>"11820.00"</f>
        <v>11820.00</v>
      </c>
      <c r="J213" s="1" t="str">
        <f t="shared" si="241"/>
        <v>5.00</v>
      </c>
      <c r="K213" s="1" t="str">
        <f>"11.82"</f>
        <v>11.82</v>
      </c>
      <c r="L213" s="1" t="str">
        <f>"0.24"</f>
        <v>0.24</v>
      </c>
      <c r="M213" s="1" t="str">
        <f t="shared" si="266"/>
        <v>0.00</v>
      </c>
      <c r="N213" s="1" t="str">
        <f>"证券卖出"</f>
        <v>证券卖出</v>
      </c>
    </row>
    <row r="214" spans="1:14">
      <c r="A214" s="1" t="str">
        <f t="shared" ref="A214:A219" si="279">"20180207"</f>
        <v>20180207</v>
      </c>
      <c r="B214" s="1" t="str">
        <f>"09:42:57"</f>
        <v>09:42:57</v>
      </c>
      <c r="C214" s="1" t="str">
        <f>"510050"</f>
        <v>510050</v>
      </c>
      <c r="D214" s="1" t="str">
        <f>"50ETF"</f>
        <v>50ETF</v>
      </c>
      <c r="E214" s="1" t="str">
        <f t="shared" si="276"/>
        <v>买入</v>
      </c>
      <c r="F214" s="1" t="str">
        <f>"3.133"</f>
        <v>3.133</v>
      </c>
      <c r="G214" s="1" t="str">
        <f>"100.00"</f>
        <v>100.00</v>
      </c>
      <c r="H214" s="1" t="str">
        <f t="shared" ref="H214:H226" si="280">"A850418317"</f>
        <v>A850418317</v>
      </c>
      <c r="I214" s="1" t="str">
        <f>"313.30"</f>
        <v>313.30</v>
      </c>
      <c r="J214" s="1" t="str">
        <f t="shared" si="241"/>
        <v>5.00</v>
      </c>
      <c r="K214" s="1" t="str">
        <f t="shared" si="277"/>
        <v>0.00</v>
      </c>
      <c r="L214" s="1" t="str">
        <f t="shared" ref="L214:L224" si="281">"0.00"</f>
        <v>0.00</v>
      </c>
      <c r="M214" s="1" t="str">
        <f t="shared" si="266"/>
        <v>0.00</v>
      </c>
      <c r="N214" s="1" t="str">
        <f t="shared" si="278"/>
        <v>证券买入</v>
      </c>
    </row>
    <row r="215" spans="1:14">
      <c r="A215" s="1" t="str">
        <f t="shared" si="279"/>
        <v>20180207</v>
      </c>
      <c r="B215" s="1" t="str">
        <f>"09:43:46"</f>
        <v>09:43:46</v>
      </c>
      <c r="C215" s="1" t="str">
        <f>"510050"</f>
        <v>510050</v>
      </c>
      <c r="D215" s="1" t="str">
        <f>"50ETF"</f>
        <v>50ETF</v>
      </c>
      <c r="E215" s="1" t="str">
        <f t="shared" si="276"/>
        <v>买入</v>
      </c>
      <c r="F215" s="1" t="str">
        <f>"3.134"</f>
        <v>3.134</v>
      </c>
      <c r="G215" s="1" t="str">
        <f>"1300.00"</f>
        <v>1300.00</v>
      </c>
      <c r="H215" s="1" t="str">
        <f t="shared" si="280"/>
        <v>A850418317</v>
      </c>
      <c r="I215" s="1" t="str">
        <f>"4074.20"</f>
        <v>4074.20</v>
      </c>
      <c r="J215" s="1" t="str">
        <f t="shared" si="241"/>
        <v>5.00</v>
      </c>
      <c r="K215" s="1" t="str">
        <f t="shared" si="277"/>
        <v>0.00</v>
      </c>
      <c r="L215" s="1" t="str">
        <f t="shared" si="281"/>
        <v>0.00</v>
      </c>
      <c r="M215" s="1" t="str">
        <f t="shared" si="266"/>
        <v>0.00</v>
      </c>
      <c r="N215" s="1" t="str">
        <f t="shared" si="278"/>
        <v>证券买入</v>
      </c>
    </row>
    <row r="216" spans="1:14">
      <c r="A216" s="1" t="str">
        <f t="shared" si="279"/>
        <v>20180207</v>
      </c>
      <c r="B216" s="1" t="str">
        <f>"09:53:24"</f>
        <v>09:53:24</v>
      </c>
      <c r="C216" s="1" t="str">
        <f>"600093"</f>
        <v>600093</v>
      </c>
      <c r="D216" s="1" t="str">
        <f>"易见股份"</f>
        <v>易见股份</v>
      </c>
      <c r="E216" s="1" t="str">
        <f t="shared" ref="E216:E223" si="282">"卖出"</f>
        <v>卖出</v>
      </c>
      <c r="F216" s="1" t="str">
        <f>"12.490"</f>
        <v>12.490</v>
      </c>
      <c r="G216" s="1" t="str">
        <f>"-200.00"</f>
        <v>-200.00</v>
      </c>
      <c r="H216" s="1" t="str">
        <f t="shared" si="280"/>
        <v>A850418317</v>
      </c>
      <c r="I216" s="1" t="str">
        <f>"2498.00"</f>
        <v>2498.00</v>
      </c>
      <c r="J216" s="1" t="str">
        <f t="shared" si="241"/>
        <v>5.00</v>
      </c>
      <c r="K216" s="1" t="str">
        <f>"2.50"</f>
        <v>2.50</v>
      </c>
      <c r="L216" s="1" t="str">
        <f>"0.05"</f>
        <v>0.05</v>
      </c>
      <c r="M216" s="1" t="str">
        <f t="shared" si="266"/>
        <v>0.00</v>
      </c>
      <c r="N216" s="1" t="str">
        <f t="shared" ref="N216:N223" si="283">"证券卖出"</f>
        <v>证券卖出</v>
      </c>
    </row>
    <row r="217" spans="1:14">
      <c r="A217" s="1" t="str">
        <f t="shared" si="279"/>
        <v>20180207</v>
      </c>
      <c r="B217" s="1" t="str">
        <f>"09:56:04"</f>
        <v>09:56:04</v>
      </c>
      <c r="C217" s="1" t="str">
        <f>"510300"</f>
        <v>510300</v>
      </c>
      <c r="D217" s="1" t="str">
        <f>"300ETF"</f>
        <v>300ETF</v>
      </c>
      <c r="E217" s="1" t="str">
        <f t="shared" ref="E217:E219" si="284">"买入"</f>
        <v>买入</v>
      </c>
      <c r="F217" s="1" t="str">
        <f>"4.199"</f>
        <v>4.199</v>
      </c>
      <c r="G217" s="1" t="str">
        <f>"600.00"</f>
        <v>600.00</v>
      </c>
      <c r="H217" s="1" t="str">
        <f t="shared" si="280"/>
        <v>A850418317</v>
      </c>
      <c r="I217" s="1" t="str">
        <f>"2519.40"</f>
        <v>2519.40</v>
      </c>
      <c r="J217" s="1" t="str">
        <f t="shared" si="241"/>
        <v>5.00</v>
      </c>
      <c r="K217" s="1" t="str">
        <f t="shared" ref="K217:K228" si="285">"0.00"</f>
        <v>0.00</v>
      </c>
      <c r="L217" s="1" t="str">
        <f t="shared" si="281"/>
        <v>0.00</v>
      </c>
      <c r="M217" s="1" t="str">
        <f t="shared" si="266"/>
        <v>0.00</v>
      </c>
      <c r="N217" s="1" t="str">
        <f>"证券买入"</f>
        <v>证券买入</v>
      </c>
    </row>
    <row r="218" spans="1:14">
      <c r="A218" s="1" t="str">
        <f t="shared" si="279"/>
        <v>20180207</v>
      </c>
      <c r="B218" s="1" t="str">
        <f>"21:34:35"</f>
        <v>21:34:35</v>
      </c>
      <c r="C218" s="1" t="str">
        <f>"736712"</f>
        <v>736712</v>
      </c>
      <c r="D218" s="1" t="str">
        <f>"七一配号"</f>
        <v>七一配号</v>
      </c>
      <c r="E218" s="1" t="str">
        <f t="shared" si="284"/>
        <v>买入</v>
      </c>
      <c r="F218" s="1" t="str">
        <f>"0.000"</f>
        <v>0.000</v>
      </c>
      <c r="G218" s="1" t="str">
        <f>"1.00"</f>
        <v>1.00</v>
      </c>
      <c r="H218" s="1" t="str">
        <f t="shared" si="280"/>
        <v>A850418317</v>
      </c>
      <c r="I218" s="1" t="str">
        <f t="shared" ref="I218:K218" si="286">"0.00"</f>
        <v>0.00</v>
      </c>
      <c r="J218" s="1" t="str">
        <f t="shared" si="286"/>
        <v>0.00</v>
      </c>
      <c r="K218" s="1" t="str">
        <f t="shared" si="286"/>
        <v>0.00</v>
      </c>
      <c r="L218" s="1" t="str">
        <f t="shared" si="281"/>
        <v>0.00</v>
      </c>
      <c r="M218" s="1" t="str">
        <f t="shared" si="266"/>
        <v>0.00</v>
      </c>
      <c r="N218" s="1" t="str">
        <f>"起始配号:100011935516"</f>
        <v>起始配号:100011935516</v>
      </c>
    </row>
    <row r="219" spans="1:14">
      <c r="A219" s="1" t="str">
        <f t="shared" si="279"/>
        <v>20180207</v>
      </c>
      <c r="B219" s="1" t="str">
        <f>"21:34:02"</f>
        <v>21:34:02</v>
      </c>
      <c r="C219" s="1" t="str">
        <f>"741901"</f>
        <v>741901</v>
      </c>
      <c r="D219" s="1" t="str">
        <f>"江租配号"</f>
        <v>江租配号</v>
      </c>
      <c r="E219" s="1" t="str">
        <f t="shared" si="284"/>
        <v>买入</v>
      </c>
      <c r="F219" s="1" t="str">
        <f>"0.000"</f>
        <v>0.000</v>
      </c>
      <c r="G219" s="1" t="str">
        <f>"1.00"</f>
        <v>1.00</v>
      </c>
      <c r="H219" s="1" t="str">
        <f t="shared" si="280"/>
        <v>A850418317</v>
      </c>
      <c r="I219" s="1" t="str">
        <f t="shared" ref="I219:K219" si="287">"0.00"</f>
        <v>0.00</v>
      </c>
      <c r="J219" s="1" t="str">
        <f t="shared" si="287"/>
        <v>0.00</v>
      </c>
      <c r="K219" s="1" t="str">
        <f t="shared" si="287"/>
        <v>0.00</v>
      </c>
      <c r="L219" s="1" t="str">
        <f t="shared" si="281"/>
        <v>0.00</v>
      </c>
      <c r="M219" s="1" t="str">
        <f t="shared" si="266"/>
        <v>0.00</v>
      </c>
      <c r="N219" s="1" t="str">
        <f>"起始配号:100020839325"</f>
        <v>起始配号:100020839325</v>
      </c>
    </row>
    <row r="220" spans="1:14">
      <c r="A220" s="1" t="str">
        <f t="shared" ref="A220:A224" si="288">"20180208"</f>
        <v>20180208</v>
      </c>
      <c r="B220" s="1" t="str">
        <f>"09:44:15"</f>
        <v>09:44:15</v>
      </c>
      <c r="C220" s="1" t="str">
        <f>"510300"</f>
        <v>510300</v>
      </c>
      <c r="D220" s="1" t="str">
        <f>"300ETF"</f>
        <v>300ETF</v>
      </c>
      <c r="E220" s="1" t="str">
        <f t="shared" si="282"/>
        <v>卖出</v>
      </c>
      <c r="F220" s="1" t="str">
        <f>"4.032"</f>
        <v>4.032</v>
      </c>
      <c r="G220" s="1" t="str">
        <f>"-600.00"</f>
        <v>-600.00</v>
      </c>
      <c r="H220" s="1" t="str">
        <f t="shared" si="280"/>
        <v>A850418317</v>
      </c>
      <c r="I220" s="1" t="str">
        <f>"2419.20"</f>
        <v>2419.20</v>
      </c>
      <c r="J220" s="1" t="str">
        <f t="shared" ref="J220:J223" si="289">"5.00"</f>
        <v>5.00</v>
      </c>
      <c r="K220" s="1" t="str">
        <f t="shared" si="285"/>
        <v>0.00</v>
      </c>
      <c r="L220" s="1" t="str">
        <f t="shared" si="281"/>
        <v>0.00</v>
      </c>
      <c r="M220" s="1" t="str">
        <f t="shared" si="266"/>
        <v>0.00</v>
      </c>
      <c r="N220" s="1" t="str">
        <f t="shared" si="283"/>
        <v>证券卖出</v>
      </c>
    </row>
    <row r="221" spans="1:14">
      <c r="A221" s="1" t="str">
        <f t="shared" si="288"/>
        <v>20180208</v>
      </c>
      <c r="B221" s="1" t="str">
        <f>"09:44:27"</f>
        <v>09:44:27</v>
      </c>
      <c r="C221" s="1" t="str">
        <f t="shared" ref="C221:C223" si="290">"510050"</f>
        <v>510050</v>
      </c>
      <c r="D221" s="1" t="str">
        <f t="shared" ref="D221:D223" si="291">"50ETF"</f>
        <v>50ETF</v>
      </c>
      <c r="E221" s="1" t="str">
        <f t="shared" si="282"/>
        <v>卖出</v>
      </c>
      <c r="F221" s="1" t="str">
        <f>"2.984"</f>
        <v>2.984</v>
      </c>
      <c r="G221" s="1" t="str">
        <f>"-500.00"</f>
        <v>-500.00</v>
      </c>
      <c r="H221" s="1" t="str">
        <f t="shared" si="280"/>
        <v>A850418317</v>
      </c>
      <c r="I221" s="1" t="str">
        <f>"1492.00"</f>
        <v>1492.00</v>
      </c>
      <c r="J221" s="1" t="str">
        <f t="shared" si="289"/>
        <v>5.00</v>
      </c>
      <c r="K221" s="1" t="str">
        <f t="shared" si="285"/>
        <v>0.00</v>
      </c>
      <c r="L221" s="1" t="str">
        <f t="shared" si="281"/>
        <v>0.00</v>
      </c>
      <c r="M221" s="1" t="str">
        <f t="shared" si="266"/>
        <v>0.00</v>
      </c>
      <c r="N221" s="1" t="str">
        <f t="shared" si="283"/>
        <v>证券卖出</v>
      </c>
    </row>
    <row r="222" spans="1:14">
      <c r="A222" s="1" t="str">
        <f t="shared" si="288"/>
        <v>20180208</v>
      </c>
      <c r="B222" s="1" t="str">
        <f>"09:47:30"</f>
        <v>09:47:30</v>
      </c>
      <c r="C222" s="1" t="str">
        <f t="shared" si="290"/>
        <v>510050</v>
      </c>
      <c r="D222" s="1" t="str">
        <f t="shared" si="291"/>
        <v>50ETF</v>
      </c>
      <c r="E222" s="1" t="str">
        <f t="shared" si="282"/>
        <v>卖出</v>
      </c>
      <c r="F222" s="1" t="str">
        <f>"2.994"</f>
        <v>2.994</v>
      </c>
      <c r="G222" s="1" t="str">
        <f>"-300.00"</f>
        <v>-300.00</v>
      </c>
      <c r="H222" s="1" t="str">
        <f t="shared" si="280"/>
        <v>A850418317</v>
      </c>
      <c r="I222" s="1" t="str">
        <f>"898.20"</f>
        <v>898.20</v>
      </c>
      <c r="J222" s="1" t="str">
        <f t="shared" si="289"/>
        <v>5.00</v>
      </c>
      <c r="K222" s="1" t="str">
        <f t="shared" si="285"/>
        <v>0.00</v>
      </c>
      <c r="L222" s="1" t="str">
        <f t="shared" si="281"/>
        <v>0.00</v>
      </c>
      <c r="M222" s="1" t="str">
        <f t="shared" si="266"/>
        <v>0.00</v>
      </c>
      <c r="N222" s="1" t="str">
        <f t="shared" si="283"/>
        <v>证券卖出</v>
      </c>
    </row>
    <row r="223" spans="1:14">
      <c r="A223" s="1" t="str">
        <f t="shared" si="288"/>
        <v>20180208</v>
      </c>
      <c r="B223" s="1" t="str">
        <f>"09:53:39"</f>
        <v>09:53:39</v>
      </c>
      <c r="C223" s="1" t="str">
        <f t="shared" si="290"/>
        <v>510050</v>
      </c>
      <c r="D223" s="1" t="str">
        <f t="shared" si="291"/>
        <v>50ETF</v>
      </c>
      <c r="E223" s="1" t="str">
        <f t="shared" si="282"/>
        <v>卖出</v>
      </c>
      <c r="F223" s="1" t="str">
        <f>"3.004"</f>
        <v>3.004</v>
      </c>
      <c r="G223" s="1" t="str">
        <f>"-600.00"</f>
        <v>-600.00</v>
      </c>
      <c r="H223" s="1" t="str">
        <f t="shared" si="280"/>
        <v>A850418317</v>
      </c>
      <c r="I223" s="1" t="str">
        <f>"1802.40"</f>
        <v>1802.40</v>
      </c>
      <c r="J223" s="1" t="str">
        <f t="shared" si="289"/>
        <v>5.00</v>
      </c>
      <c r="K223" s="1" t="str">
        <f t="shared" si="285"/>
        <v>0.00</v>
      </c>
      <c r="L223" s="1" t="str">
        <f t="shared" si="281"/>
        <v>0.00</v>
      </c>
      <c r="M223" s="1" t="str">
        <f t="shared" si="266"/>
        <v>0.00</v>
      </c>
      <c r="N223" s="1" t="str">
        <f t="shared" si="283"/>
        <v>证券卖出</v>
      </c>
    </row>
    <row r="224" spans="1:14">
      <c r="A224" s="1" t="str">
        <f t="shared" si="288"/>
        <v>20180208</v>
      </c>
      <c r="B224" s="1" t="str">
        <f>"21:37:48"</f>
        <v>21:37:48</v>
      </c>
      <c r="C224" s="1" t="str">
        <f>"736680"</f>
        <v>736680</v>
      </c>
      <c r="D224" s="1" t="str">
        <f>"今创配号"</f>
        <v>今创配号</v>
      </c>
      <c r="E224" s="1" t="str">
        <f t="shared" ref="E224:E228" si="292">"买入"</f>
        <v>买入</v>
      </c>
      <c r="F224" s="1" t="str">
        <f>"0.000"</f>
        <v>0.000</v>
      </c>
      <c r="G224" s="1" t="str">
        <f>"1.00"</f>
        <v>1.00</v>
      </c>
      <c r="H224" s="1" t="str">
        <f t="shared" si="280"/>
        <v>A850418317</v>
      </c>
      <c r="I224" s="1" t="str">
        <f>"0.00"</f>
        <v>0.00</v>
      </c>
      <c r="J224" s="1" t="str">
        <f>"0.00"</f>
        <v>0.00</v>
      </c>
      <c r="K224" s="1" t="str">
        <f t="shared" si="285"/>
        <v>0.00</v>
      </c>
      <c r="L224" s="1" t="str">
        <f t="shared" si="281"/>
        <v>0.00</v>
      </c>
      <c r="M224" s="1" t="str">
        <f t="shared" si="266"/>
        <v>0.00</v>
      </c>
      <c r="N224" s="1" t="str">
        <f>"起始配号:100008089288"</f>
        <v>起始配号:100008089288</v>
      </c>
    </row>
    <row r="225" spans="1:14">
      <c r="A225" s="1" t="str">
        <f t="shared" ref="A225:A228" si="293">"20180209"</f>
        <v>20180209</v>
      </c>
      <c r="B225" s="1" t="str">
        <f>"10:54:00"</f>
        <v>10:54:00</v>
      </c>
      <c r="C225" s="1" t="str">
        <f t="shared" ref="C225:C229" si="294">"600093"</f>
        <v>600093</v>
      </c>
      <c r="D225" s="1" t="str">
        <f t="shared" ref="D225:D229" si="295">"易见股份"</f>
        <v>易见股份</v>
      </c>
      <c r="E225" s="1" t="str">
        <f t="shared" si="292"/>
        <v>买入</v>
      </c>
      <c r="F225" s="1" t="str">
        <f>"13.140"</f>
        <v>13.140</v>
      </c>
      <c r="G225" s="1" t="str">
        <f t="shared" ref="G225:G227" si="296">"100.00"</f>
        <v>100.00</v>
      </c>
      <c r="H225" s="1" t="str">
        <f t="shared" si="280"/>
        <v>A850418317</v>
      </c>
      <c r="I225" s="1" t="str">
        <f>"1314.00"</f>
        <v>1314.00</v>
      </c>
      <c r="J225" s="1" t="str">
        <f t="shared" ref="J225:J227" si="297">"5.00"</f>
        <v>5.00</v>
      </c>
      <c r="K225" s="1" t="str">
        <f t="shared" si="285"/>
        <v>0.00</v>
      </c>
      <c r="L225" s="1" t="str">
        <f>"0.03"</f>
        <v>0.03</v>
      </c>
      <c r="M225" s="1" t="str">
        <f t="shared" si="266"/>
        <v>0.00</v>
      </c>
      <c r="N225" s="1" t="str">
        <f t="shared" ref="N225:N227" si="298">"证券买入"</f>
        <v>证券买入</v>
      </c>
    </row>
    <row r="226" spans="1:14">
      <c r="A226" s="1" t="str">
        <f t="shared" si="293"/>
        <v>20180209</v>
      </c>
      <c r="B226" s="1" t="str">
        <f>"11:10:57"</f>
        <v>11:10:57</v>
      </c>
      <c r="C226" s="1" t="str">
        <f t="shared" si="294"/>
        <v>600093</v>
      </c>
      <c r="D226" s="1" t="str">
        <f t="shared" si="295"/>
        <v>易见股份</v>
      </c>
      <c r="E226" s="1" t="str">
        <f t="shared" si="292"/>
        <v>买入</v>
      </c>
      <c r="F226" s="1" t="str">
        <f>"13.340"</f>
        <v>13.340</v>
      </c>
      <c r="G226" s="1" t="str">
        <f t="shared" si="296"/>
        <v>100.00</v>
      </c>
      <c r="H226" s="1" t="str">
        <f t="shared" si="280"/>
        <v>A850418317</v>
      </c>
      <c r="I226" s="1" t="str">
        <f>"1334.00"</f>
        <v>1334.00</v>
      </c>
      <c r="J226" s="1" t="str">
        <f t="shared" si="297"/>
        <v>5.00</v>
      </c>
      <c r="K226" s="1" t="str">
        <f t="shared" si="285"/>
        <v>0.00</v>
      </c>
      <c r="L226" s="1" t="str">
        <f>"0.03"</f>
        <v>0.03</v>
      </c>
      <c r="M226" s="1" t="str">
        <f t="shared" si="266"/>
        <v>0.00</v>
      </c>
      <c r="N226" s="1" t="str">
        <f t="shared" si="298"/>
        <v>证券买入</v>
      </c>
    </row>
    <row r="227" spans="1:14">
      <c r="A227" s="1" t="str">
        <f t="shared" si="293"/>
        <v>20180209</v>
      </c>
      <c r="B227" s="1" t="str">
        <f>"10:50:43"</f>
        <v>10:50:43</v>
      </c>
      <c r="C227" s="1" t="str">
        <f>"002907"</f>
        <v>002907</v>
      </c>
      <c r="D227" s="1" t="str">
        <f>"华森制药"</f>
        <v>华森制药</v>
      </c>
      <c r="E227" s="1" t="str">
        <f t="shared" si="292"/>
        <v>买入</v>
      </c>
      <c r="F227" s="1" t="str">
        <f>"29.330"</f>
        <v>29.330</v>
      </c>
      <c r="G227" s="1" t="str">
        <f t="shared" si="296"/>
        <v>100.00</v>
      </c>
      <c r="H227" s="1" t="str">
        <f t="shared" ref="H227:H233" si="299">"0104152129"</f>
        <v>0104152129</v>
      </c>
      <c r="I227" s="1" t="str">
        <f>"2933.00"</f>
        <v>2933.00</v>
      </c>
      <c r="J227" s="1" t="str">
        <f t="shared" si="297"/>
        <v>5.00</v>
      </c>
      <c r="K227" s="1" t="str">
        <f t="shared" si="285"/>
        <v>0.00</v>
      </c>
      <c r="L227" s="1" t="str">
        <f>"0.06"</f>
        <v>0.06</v>
      </c>
      <c r="M227" s="1" t="str">
        <f t="shared" si="266"/>
        <v>0.00</v>
      </c>
      <c r="N227" s="1" t="str">
        <f t="shared" si="298"/>
        <v>证券买入</v>
      </c>
    </row>
    <row r="228" spans="1:14">
      <c r="A228" s="1" t="str">
        <f t="shared" si="293"/>
        <v>20180209</v>
      </c>
      <c r="B228" s="1" t="str">
        <f>"22:26:34"</f>
        <v>22:26:34</v>
      </c>
      <c r="C228" s="1" t="str">
        <f>"736059"</f>
        <v>736059</v>
      </c>
      <c r="D228" s="1" t="str">
        <f>"倍加配号"</f>
        <v>倍加配号</v>
      </c>
      <c r="E228" s="1" t="str">
        <f t="shared" si="292"/>
        <v>买入</v>
      </c>
      <c r="F228" s="1" t="str">
        <f t="shared" ref="F228:F233" si="300">"0.000"</f>
        <v>0.000</v>
      </c>
      <c r="G228" s="1" t="str">
        <f>"1.00"</f>
        <v>1.00</v>
      </c>
      <c r="H228" s="1" t="str">
        <f>"A850418317"</f>
        <v>A850418317</v>
      </c>
      <c r="I228" s="1" t="str">
        <f t="shared" ref="I228:L228" si="301">"0.00"</f>
        <v>0.00</v>
      </c>
      <c r="J228" s="1" t="str">
        <f t="shared" si="301"/>
        <v>0.00</v>
      </c>
      <c r="K228" s="1" t="str">
        <f t="shared" si="285"/>
        <v>0.00</v>
      </c>
      <c r="L228" s="1" t="str">
        <f t="shared" si="301"/>
        <v>0.00</v>
      </c>
      <c r="M228" s="1" t="str">
        <f t="shared" si="266"/>
        <v>0.00</v>
      </c>
      <c r="N228" s="1" t="str">
        <f>"起始配号:100024409313"</f>
        <v>起始配号:100024409313</v>
      </c>
    </row>
    <row r="229" spans="1:14">
      <c r="A229" s="1" t="str">
        <f>"20180212"</f>
        <v>20180212</v>
      </c>
      <c r="B229" s="1" t="str">
        <f>"10:05:59"</f>
        <v>10:05:59</v>
      </c>
      <c r="C229" s="1" t="str">
        <f t="shared" si="294"/>
        <v>600093</v>
      </c>
      <c r="D229" s="1" t="str">
        <f t="shared" si="295"/>
        <v>易见股份</v>
      </c>
      <c r="E229" s="1" t="str">
        <f>"卖出"</f>
        <v>卖出</v>
      </c>
      <c r="F229" s="1" t="str">
        <f>"13.370"</f>
        <v>13.370</v>
      </c>
      <c r="G229" s="1" t="str">
        <f>"-200.00"</f>
        <v>-200.00</v>
      </c>
      <c r="H229" s="1" t="str">
        <f>"A850418317"</f>
        <v>A850418317</v>
      </c>
      <c r="I229" s="1" t="str">
        <f>"2674.00"</f>
        <v>2674.00</v>
      </c>
      <c r="J229" s="1" t="str">
        <f>"5.00"</f>
        <v>5.00</v>
      </c>
      <c r="K229" s="1" t="str">
        <f>"2.67"</f>
        <v>2.67</v>
      </c>
      <c r="L229" s="1" t="str">
        <f>"0.05"</f>
        <v>0.05</v>
      </c>
      <c r="M229" s="1" t="str">
        <f t="shared" si="266"/>
        <v>0.00</v>
      </c>
      <c r="N229" s="1" t="str">
        <f>"证券卖出"</f>
        <v>证券卖出</v>
      </c>
    </row>
    <row r="230" spans="1:14">
      <c r="A230" s="1" t="str">
        <f>"20180212"</f>
        <v>20180212</v>
      </c>
      <c r="B230" s="1" t="str">
        <f>"13:44:15"</f>
        <v>13:44:15</v>
      </c>
      <c r="C230" s="1" t="str">
        <f>"002907"</f>
        <v>002907</v>
      </c>
      <c r="D230" s="1" t="str">
        <f>"华森制药"</f>
        <v>华森制药</v>
      </c>
      <c r="E230" s="1" t="str">
        <f>"卖出"</f>
        <v>卖出</v>
      </c>
      <c r="F230" s="1" t="str">
        <f>"30.000"</f>
        <v>30.000</v>
      </c>
      <c r="G230" s="1" t="str">
        <f>"-100.00"</f>
        <v>-100.00</v>
      </c>
      <c r="H230" s="1" t="str">
        <f t="shared" si="299"/>
        <v>0104152129</v>
      </c>
      <c r="I230" s="1" t="str">
        <f>"3000.00"</f>
        <v>3000.00</v>
      </c>
      <c r="J230" s="1" t="str">
        <f>"5.00"</f>
        <v>5.00</v>
      </c>
      <c r="K230" s="1" t="str">
        <f>"3.00"</f>
        <v>3.00</v>
      </c>
      <c r="L230" s="1" t="str">
        <f>"0.06"</f>
        <v>0.06</v>
      </c>
      <c r="M230" s="1" t="str">
        <f t="shared" si="266"/>
        <v>0.00</v>
      </c>
      <c r="N230" s="1" t="str">
        <f>"证券卖出"</f>
        <v>证券卖出</v>
      </c>
    </row>
    <row r="231" spans="1:14">
      <c r="A231" s="1" t="str">
        <f>"20180213"</f>
        <v>20180213</v>
      </c>
      <c r="B231" s="1" t="str">
        <f>"21:26:17"</f>
        <v>21:26:17</v>
      </c>
      <c r="C231" s="1" t="str">
        <f>"300741"</f>
        <v>300741</v>
      </c>
      <c r="D231" s="1" t="str">
        <f>"华宝股份"</f>
        <v>华宝股份</v>
      </c>
      <c r="E231" s="1" t="str">
        <f t="shared" ref="E231:E233" si="302">"买入"</f>
        <v>买入</v>
      </c>
      <c r="F231" s="1" t="str">
        <f t="shared" si="300"/>
        <v>0.000</v>
      </c>
      <c r="G231" s="1" t="str">
        <f t="shared" ref="G231:G233" si="303">"2.00"</f>
        <v>2.00</v>
      </c>
      <c r="H231" s="1" t="str">
        <f t="shared" si="299"/>
        <v>0104152129</v>
      </c>
      <c r="I231" s="1" t="str">
        <f t="shared" ref="I231:L231" si="304">"0.00"</f>
        <v>0.00</v>
      </c>
      <c r="J231" s="1" t="str">
        <f t="shared" si="304"/>
        <v>0.00</v>
      </c>
      <c r="K231" s="1" t="str">
        <f t="shared" si="304"/>
        <v>0.00</v>
      </c>
      <c r="L231" s="1" t="str">
        <f t="shared" si="304"/>
        <v>0.00</v>
      </c>
      <c r="M231" s="1" t="str">
        <f t="shared" si="266"/>
        <v>0.00</v>
      </c>
      <c r="N231" s="1" t="str">
        <f>"起始配号:57364760"</f>
        <v>起始配号:57364760</v>
      </c>
    </row>
    <row r="232" spans="1:14">
      <c r="A232" s="1" t="str">
        <f>"20180213"</f>
        <v>20180213</v>
      </c>
      <c r="B232" s="1" t="str">
        <f>"21:27:17"</f>
        <v>21:27:17</v>
      </c>
      <c r="C232" s="1" t="str">
        <f>"002929"</f>
        <v>002929</v>
      </c>
      <c r="D232" s="1" t="str">
        <f>"润建通信"</f>
        <v>润建通信</v>
      </c>
      <c r="E232" s="1" t="str">
        <f t="shared" si="302"/>
        <v>买入</v>
      </c>
      <c r="F232" s="1" t="str">
        <f t="shared" si="300"/>
        <v>0.000</v>
      </c>
      <c r="G232" s="1" t="str">
        <f t="shared" si="303"/>
        <v>2.00</v>
      </c>
      <c r="H232" s="1" t="str">
        <f t="shared" si="299"/>
        <v>0104152129</v>
      </c>
      <c r="I232" s="1" t="str">
        <f t="shared" ref="I232:L232" si="305">"0.00"</f>
        <v>0.00</v>
      </c>
      <c r="J232" s="1" t="str">
        <f t="shared" si="305"/>
        <v>0.00</v>
      </c>
      <c r="K232" s="1" t="str">
        <f t="shared" si="305"/>
        <v>0.00</v>
      </c>
      <c r="L232" s="1" t="str">
        <f t="shared" si="305"/>
        <v>0.00</v>
      </c>
      <c r="M232" s="1" t="str">
        <f t="shared" si="266"/>
        <v>0.00</v>
      </c>
      <c r="N232" s="1" t="str">
        <f>"起始配号:70530588"</f>
        <v>起始配号:70530588</v>
      </c>
    </row>
    <row r="233" spans="1:14">
      <c r="A233" s="1" t="str">
        <f>"20180214"</f>
        <v>20180214</v>
      </c>
      <c r="B233" s="1" t="str">
        <f>"21:13:15"</f>
        <v>21:13:15</v>
      </c>
      <c r="C233" s="1" t="str">
        <f>"002928"</f>
        <v>002928</v>
      </c>
      <c r="D233" s="1" t="str">
        <f>"华夏航空"</f>
        <v>华夏航空</v>
      </c>
      <c r="E233" s="1" t="str">
        <f t="shared" si="302"/>
        <v>买入</v>
      </c>
      <c r="F233" s="1" t="str">
        <f t="shared" si="300"/>
        <v>0.000</v>
      </c>
      <c r="G233" s="1" t="str">
        <f t="shared" si="303"/>
        <v>2.00</v>
      </c>
      <c r="H233" s="1" t="str">
        <f t="shared" si="299"/>
        <v>0104152129</v>
      </c>
      <c r="I233" s="1" t="str">
        <f t="shared" ref="I233:L233" si="306">"0.00"</f>
        <v>0.00</v>
      </c>
      <c r="J233" s="1" t="str">
        <f t="shared" si="306"/>
        <v>0.00</v>
      </c>
      <c r="K233" s="1" t="str">
        <f t="shared" si="306"/>
        <v>0.00</v>
      </c>
      <c r="L233" s="1" t="str">
        <f t="shared" si="306"/>
        <v>0.00</v>
      </c>
      <c r="M233" s="1" t="str">
        <f t="shared" si="266"/>
        <v>0.00</v>
      </c>
      <c r="N233" s="1" t="str">
        <f>"起始配号:22935334"</f>
        <v>起始配号:22935334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A2" sqref="A2:N22"/>
    </sheetView>
  </sheetViews>
  <sheetFormatPr defaultColWidth="9" defaultRowHeight="13.5"/>
  <cols>
    <col min="1" max="16384" width="9" style="1"/>
  </cols>
  <sheetData>
    <row r="1" spans="1:14">
      <c r="A1" s="1" t="str">
        <f>"成交日期"</f>
        <v>成交日期</v>
      </c>
      <c r="B1" s="1" t="str">
        <f>"成交时间"</f>
        <v>成交时间</v>
      </c>
      <c r="C1" s="1" t="str">
        <f>"证券代码"</f>
        <v>证券代码</v>
      </c>
      <c r="D1" s="1" t="str">
        <f>"证券名称"</f>
        <v>证券名称</v>
      </c>
      <c r="E1" s="1" t="str">
        <f>"买卖标志"</f>
        <v>买卖标志</v>
      </c>
      <c r="F1" s="1" t="str">
        <f>"成交价格"</f>
        <v>成交价格</v>
      </c>
      <c r="G1" s="1" t="str">
        <f>"成交数量"</f>
        <v>成交数量</v>
      </c>
      <c r="H1" s="1" t="str">
        <f>"股东代码"</f>
        <v>股东代码</v>
      </c>
      <c r="I1" s="1" t="str">
        <f>"成交金额"</f>
        <v>成交金额</v>
      </c>
      <c r="J1" s="1" t="str">
        <f>"佣金"</f>
        <v>佣金</v>
      </c>
      <c r="K1" s="1" t="str">
        <f>"印花税"</f>
        <v>印花税</v>
      </c>
      <c r="L1" s="1" t="str">
        <f>"过户费"</f>
        <v>过户费</v>
      </c>
      <c r="M1" s="1" t="str">
        <f>"其他费"</f>
        <v>其他费</v>
      </c>
      <c r="N1" s="1" t="str">
        <f>"备注"</f>
        <v>备注</v>
      </c>
    </row>
    <row r="2" spans="1:14">
      <c r="A2" s="1" t="str">
        <f>"20180222"</f>
        <v>20180222</v>
      </c>
      <c r="B2" s="1" t="str">
        <f>"09:50:54"</f>
        <v>09:50:54</v>
      </c>
      <c r="C2" s="1" t="str">
        <f>"600093"</f>
        <v>600093</v>
      </c>
      <c r="D2" s="1" t="str">
        <f>"易见股份"</f>
        <v>易见股份</v>
      </c>
      <c r="E2" s="1" t="str">
        <f>"卖出"</f>
        <v>卖出</v>
      </c>
      <c r="F2" s="1" t="str">
        <f>"13.570"</f>
        <v>13.570</v>
      </c>
      <c r="G2" s="1" t="str">
        <f>"-200.00"</f>
        <v>-200.00</v>
      </c>
      <c r="H2" s="1" t="str">
        <f t="shared" ref="H2:H8" si="0">"A850418317"</f>
        <v>A850418317</v>
      </c>
      <c r="I2" s="1" t="str">
        <f>"2714.00"</f>
        <v>2714.00</v>
      </c>
      <c r="J2" s="1" t="str">
        <f t="shared" ref="J2:J22" si="1">"5.00"</f>
        <v>5.00</v>
      </c>
      <c r="K2" s="1" t="str">
        <f>"2.71"</f>
        <v>2.71</v>
      </c>
      <c r="L2" s="1" t="str">
        <f>"0.05"</f>
        <v>0.05</v>
      </c>
      <c r="M2" s="1" t="str">
        <f t="shared" ref="M2:M22" si="2">"0.00"</f>
        <v>0.00</v>
      </c>
      <c r="N2" s="1" t="str">
        <f>"证券卖出"</f>
        <v>证券卖出</v>
      </c>
    </row>
    <row r="3" spans="1:14">
      <c r="A3" s="1" t="str">
        <f>"20180223"</f>
        <v>20180223</v>
      </c>
      <c r="B3" s="1" t="str">
        <f>"09:30:01"</f>
        <v>09:30:01</v>
      </c>
      <c r="C3" s="1" t="str">
        <f>"600208"</f>
        <v>600208</v>
      </c>
      <c r="D3" s="1" t="str">
        <f>"新湖中宝"</f>
        <v>新湖中宝</v>
      </c>
      <c r="E3" s="1" t="str">
        <f t="shared" ref="E3:E6" si="3">"买入"</f>
        <v>买入</v>
      </c>
      <c r="F3" s="1" t="str">
        <f>"4.430"</f>
        <v>4.430</v>
      </c>
      <c r="G3" s="1" t="str">
        <f>"500.00"</f>
        <v>500.00</v>
      </c>
      <c r="H3" s="1" t="str">
        <f t="shared" si="0"/>
        <v>A850418317</v>
      </c>
      <c r="I3" s="1" t="str">
        <f>"2215.00"</f>
        <v>2215.00</v>
      </c>
      <c r="J3" s="1" t="str">
        <f t="shared" si="1"/>
        <v>5.00</v>
      </c>
      <c r="K3" s="1" t="str">
        <f t="shared" ref="K3:K6" si="4">"0.00"</f>
        <v>0.00</v>
      </c>
      <c r="L3" s="1" t="str">
        <f>"0.04"</f>
        <v>0.04</v>
      </c>
      <c r="M3" s="1" t="str">
        <f t="shared" si="2"/>
        <v>0.00</v>
      </c>
      <c r="N3" s="1" t="str">
        <f t="shared" ref="N3:N6" si="5">"证券买入"</f>
        <v>证券买入</v>
      </c>
    </row>
    <row r="4" spans="1:14">
      <c r="A4" s="1" t="str">
        <f>"20180223"</f>
        <v>20180223</v>
      </c>
      <c r="B4" s="1" t="str">
        <f>"14:24:09"</f>
        <v>14:24:09</v>
      </c>
      <c r="C4" s="1" t="str">
        <f t="shared" ref="C4:C8" si="6">"600985"</f>
        <v>600985</v>
      </c>
      <c r="D4" s="1" t="str">
        <f t="shared" ref="D4:D8" si="7">"雷鸣科化"</f>
        <v>雷鸣科化</v>
      </c>
      <c r="E4" s="1" t="str">
        <f t="shared" si="3"/>
        <v>买入</v>
      </c>
      <c r="F4" s="1" t="str">
        <f>"15.760"</f>
        <v>15.760</v>
      </c>
      <c r="G4" s="1" t="str">
        <f t="shared" ref="G4:G10" si="8">"100.00"</f>
        <v>100.00</v>
      </c>
      <c r="H4" s="1" t="str">
        <f t="shared" si="0"/>
        <v>A850418317</v>
      </c>
      <c r="I4" s="1" t="str">
        <f>"1576.00"</f>
        <v>1576.00</v>
      </c>
      <c r="J4" s="1" t="str">
        <f t="shared" si="1"/>
        <v>5.00</v>
      </c>
      <c r="K4" s="1" t="str">
        <f t="shared" si="4"/>
        <v>0.00</v>
      </c>
      <c r="L4" s="1" t="str">
        <f>"0.03"</f>
        <v>0.03</v>
      </c>
      <c r="M4" s="1" t="str">
        <f t="shared" si="2"/>
        <v>0.00</v>
      </c>
      <c r="N4" s="1" t="str">
        <f t="shared" si="5"/>
        <v>证券买入</v>
      </c>
    </row>
    <row r="5" spans="1:14">
      <c r="A5" s="1" t="str">
        <f>"20180223"</f>
        <v>20180223</v>
      </c>
      <c r="B5" s="1" t="str">
        <f>"14:26:44"</f>
        <v>14:26:44</v>
      </c>
      <c r="C5" s="1" t="str">
        <f t="shared" si="6"/>
        <v>600985</v>
      </c>
      <c r="D5" s="1" t="str">
        <f t="shared" si="7"/>
        <v>雷鸣科化</v>
      </c>
      <c r="E5" s="1" t="str">
        <f t="shared" si="3"/>
        <v>买入</v>
      </c>
      <c r="F5" s="1" t="str">
        <f>"15.900"</f>
        <v>15.900</v>
      </c>
      <c r="G5" s="1" t="str">
        <f>"200.00"</f>
        <v>200.00</v>
      </c>
      <c r="H5" s="1" t="str">
        <f t="shared" si="0"/>
        <v>A850418317</v>
      </c>
      <c r="I5" s="1" t="str">
        <f>"3180.00"</f>
        <v>3180.00</v>
      </c>
      <c r="J5" s="1" t="str">
        <f t="shared" si="1"/>
        <v>5.00</v>
      </c>
      <c r="K5" s="1" t="str">
        <f t="shared" si="4"/>
        <v>0.00</v>
      </c>
      <c r="L5" s="1" t="str">
        <f>"0.06"</f>
        <v>0.06</v>
      </c>
      <c r="M5" s="1" t="str">
        <f t="shared" si="2"/>
        <v>0.00</v>
      </c>
      <c r="N5" s="1" t="str">
        <f t="shared" si="5"/>
        <v>证券买入</v>
      </c>
    </row>
    <row r="6" spans="1:14">
      <c r="A6" s="1" t="str">
        <f t="shared" ref="A6:A9" si="9">"20180226"</f>
        <v>20180226</v>
      </c>
      <c r="B6" s="1" t="str">
        <f>"09:38:59"</f>
        <v>09:38:59</v>
      </c>
      <c r="C6" s="1" t="str">
        <f>"600093"</f>
        <v>600093</v>
      </c>
      <c r="D6" s="1" t="str">
        <f>"易见股份"</f>
        <v>易见股份</v>
      </c>
      <c r="E6" s="1" t="str">
        <f t="shared" si="3"/>
        <v>买入</v>
      </c>
      <c r="F6" s="1" t="str">
        <f>"14.440"</f>
        <v>14.440</v>
      </c>
      <c r="G6" s="1" t="str">
        <f>"700.00"</f>
        <v>700.00</v>
      </c>
      <c r="H6" s="1" t="str">
        <f t="shared" si="0"/>
        <v>A850418317</v>
      </c>
      <c r="I6" s="1" t="str">
        <f>"10108.00"</f>
        <v>10108.00</v>
      </c>
      <c r="J6" s="1" t="str">
        <f t="shared" si="1"/>
        <v>5.00</v>
      </c>
      <c r="K6" s="1" t="str">
        <f t="shared" si="4"/>
        <v>0.00</v>
      </c>
      <c r="L6" s="1" t="str">
        <f>"0.20"</f>
        <v>0.20</v>
      </c>
      <c r="M6" s="1" t="str">
        <f t="shared" si="2"/>
        <v>0.00</v>
      </c>
      <c r="N6" s="1" t="str">
        <f t="shared" si="5"/>
        <v>证券买入</v>
      </c>
    </row>
    <row r="7" spans="1:14">
      <c r="A7" s="1" t="str">
        <f t="shared" si="9"/>
        <v>20180226</v>
      </c>
      <c r="B7" s="1" t="str">
        <f>"09:46:08"</f>
        <v>09:46:08</v>
      </c>
      <c r="C7" s="1" t="str">
        <f>"600208"</f>
        <v>600208</v>
      </c>
      <c r="D7" s="1" t="str">
        <f>"新湖中宝"</f>
        <v>新湖中宝</v>
      </c>
      <c r="E7" s="1" t="str">
        <f t="shared" ref="E7:E12" si="10">"卖出"</f>
        <v>卖出</v>
      </c>
      <c r="F7" s="1" t="str">
        <f>"4.370"</f>
        <v>4.370</v>
      </c>
      <c r="G7" s="1" t="str">
        <f>"-500.00"</f>
        <v>-500.00</v>
      </c>
      <c r="H7" s="1" t="str">
        <f t="shared" si="0"/>
        <v>A850418317</v>
      </c>
      <c r="I7" s="1" t="str">
        <f>"2185.00"</f>
        <v>2185.00</v>
      </c>
      <c r="J7" s="1" t="str">
        <f t="shared" si="1"/>
        <v>5.00</v>
      </c>
      <c r="K7" s="1" t="str">
        <f>"2.19"</f>
        <v>2.19</v>
      </c>
      <c r="L7" s="1" t="str">
        <f>"0.04"</f>
        <v>0.04</v>
      </c>
      <c r="M7" s="1" t="str">
        <f t="shared" si="2"/>
        <v>0.00</v>
      </c>
      <c r="N7" s="1" t="str">
        <f t="shared" ref="N7:N12" si="11">"证券卖出"</f>
        <v>证券卖出</v>
      </c>
    </row>
    <row r="8" spans="1:14">
      <c r="A8" s="1" t="str">
        <f t="shared" si="9"/>
        <v>20180226</v>
      </c>
      <c r="B8" s="1" t="str">
        <f>"09:46:26"</f>
        <v>09:46:26</v>
      </c>
      <c r="C8" s="1" t="str">
        <f t="shared" si="6"/>
        <v>600985</v>
      </c>
      <c r="D8" s="1" t="str">
        <f t="shared" si="7"/>
        <v>雷鸣科化</v>
      </c>
      <c r="E8" s="1" t="str">
        <f t="shared" ref="E8:E10" si="12">"买入"</f>
        <v>买入</v>
      </c>
      <c r="F8" s="1" t="str">
        <f>"16.300"</f>
        <v>16.300</v>
      </c>
      <c r="G8" s="1" t="str">
        <f t="shared" si="8"/>
        <v>100.00</v>
      </c>
      <c r="H8" s="1" t="str">
        <f t="shared" si="0"/>
        <v>A850418317</v>
      </c>
      <c r="I8" s="1" t="str">
        <f>"1630.00"</f>
        <v>1630.00</v>
      </c>
      <c r="J8" s="1" t="str">
        <f t="shared" si="1"/>
        <v>5.00</v>
      </c>
      <c r="K8" s="1" t="str">
        <f t="shared" ref="K8:K10" si="13">"0.00"</f>
        <v>0.00</v>
      </c>
      <c r="L8" s="1" t="str">
        <f>"0.03"</f>
        <v>0.03</v>
      </c>
      <c r="M8" s="1" t="str">
        <f t="shared" si="2"/>
        <v>0.00</v>
      </c>
      <c r="N8" s="1" t="str">
        <f t="shared" ref="N8:N10" si="14">"证券买入"</f>
        <v>证券买入</v>
      </c>
    </row>
    <row r="9" spans="1:14">
      <c r="A9" s="1" t="str">
        <f t="shared" si="9"/>
        <v>20180226</v>
      </c>
      <c r="B9" s="1" t="str">
        <f>"10:27:19"</f>
        <v>10:27:19</v>
      </c>
      <c r="C9" s="1" t="str">
        <f>"300058"</f>
        <v>300058</v>
      </c>
      <c r="D9" s="1" t="str">
        <f>"蓝色光标"</f>
        <v>蓝色光标</v>
      </c>
      <c r="E9" s="1" t="str">
        <f t="shared" si="12"/>
        <v>买入</v>
      </c>
      <c r="F9" s="1" t="str">
        <f>"7.220"</f>
        <v>7.220</v>
      </c>
      <c r="G9" s="1" t="str">
        <f t="shared" si="8"/>
        <v>100.00</v>
      </c>
      <c r="H9" s="1" t="str">
        <f>"0104152129"</f>
        <v>0104152129</v>
      </c>
      <c r="I9" s="1" t="str">
        <f>"722.00"</f>
        <v>722.00</v>
      </c>
      <c r="J9" s="1" t="str">
        <f t="shared" si="1"/>
        <v>5.00</v>
      </c>
      <c r="K9" s="1" t="str">
        <f t="shared" si="13"/>
        <v>0.00</v>
      </c>
      <c r="L9" s="1" t="str">
        <f>"0.01"</f>
        <v>0.01</v>
      </c>
      <c r="M9" s="1" t="str">
        <f t="shared" si="2"/>
        <v>0.00</v>
      </c>
      <c r="N9" s="1" t="str">
        <f t="shared" si="14"/>
        <v>证券买入</v>
      </c>
    </row>
    <row r="10" spans="1:14">
      <c r="A10" s="1" t="str">
        <f>"20180227"</f>
        <v>20180227</v>
      </c>
      <c r="B10" s="1" t="str">
        <f>"10:29:57"</f>
        <v>10:29:57</v>
      </c>
      <c r="C10" s="1" t="str">
        <f>"300176"</f>
        <v>300176</v>
      </c>
      <c r="D10" s="1" t="str">
        <f>"鸿特精密"</f>
        <v>鸿特精密</v>
      </c>
      <c r="E10" s="1" t="str">
        <f t="shared" si="12"/>
        <v>买入</v>
      </c>
      <c r="F10" s="1" t="str">
        <f>"128.780"</f>
        <v>128.780</v>
      </c>
      <c r="G10" s="1" t="str">
        <f t="shared" si="8"/>
        <v>100.00</v>
      </c>
      <c r="H10" s="1" t="str">
        <f>"0104152129"</f>
        <v>0104152129</v>
      </c>
      <c r="I10" s="1" t="str">
        <f>"12878.00"</f>
        <v>12878.00</v>
      </c>
      <c r="J10" s="1" t="str">
        <f t="shared" si="1"/>
        <v>5.00</v>
      </c>
      <c r="K10" s="1" t="str">
        <f t="shared" si="13"/>
        <v>0.00</v>
      </c>
      <c r="L10" s="1" t="str">
        <f>"0.26"</f>
        <v>0.26</v>
      </c>
      <c r="M10" s="1" t="str">
        <f t="shared" si="2"/>
        <v>0.00</v>
      </c>
      <c r="N10" s="1" t="str">
        <f t="shared" si="14"/>
        <v>证券买入</v>
      </c>
    </row>
    <row r="11" spans="1:14">
      <c r="A11" s="1" t="str">
        <f t="shared" ref="A11:A18" si="15">"20180228"</f>
        <v>20180228</v>
      </c>
      <c r="B11" s="1" t="str">
        <f>"09:33:52"</f>
        <v>09:33:52</v>
      </c>
      <c r="C11" s="1" t="str">
        <f t="shared" ref="C11:C17" si="16">"600093"</f>
        <v>600093</v>
      </c>
      <c r="D11" s="1" t="str">
        <f t="shared" ref="D11:D17" si="17">"易见股份"</f>
        <v>易见股份</v>
      </c>
      <c r="E11" s="1" t="str">
        <f t="shared" si="10"/>
        <v>卖出</v>
      </c>
      <c r="F11" s="1" t="str">
        <f>"16.490"</f>
        <v>16.490</v>
      </c>
      <c r="G11" s="1" t="str">
        <f>"-300.00"</f>
        <v>-300.00</v>
      </c>
      <c r="H11" s="1" t="str">
        <f t="shared" ref="H11:H17" si="18">"A850418317"</f>
        <v>A850418317</v>
      </c>
      <c r="I11" s="1" t="str">
        <f>"4947.00"</f>
        <v>4947.00</v>
      </c>
      <c r="J11" s="1" t="str">
        <f t="shared" si="1"/>
        <v>5.00</v>
      </c>
      <c r="K11" s="1" t="str">
        <f>"4.95"</f>
        <v>4.95</v>
      </c>
      <c r="L11" s="1" t="str">
        <f>"0.10"</f>
        <v>0.10</v>
      </c>
      <c r="M11" s="1" t="str">
        <f t="shared" si="2"/>
        <v>0.00</v>
      </c>
      <c r="N11" s="1" t="str">
        <f t="shared" si="11"/>
        <v>证券卖出</v>
      </c>
    </row>
    <row r="12" spans="1:14">
      <c r="A12" s="1" t="str">
        <f t="shared" si="15"/>
        <v>20180228</v>
      </c>
      <c r="B12" s="1" t="str">
        <f>"09:36:50"</f>
        <v>09:36:50</v>
      </c>
      <c r="C12" s="1" t="str">
        <f>"600985"</f>
        <v>600985</v>
      </c>
      <c r="D12" s="1" t="str">
        <f>"雷鸣科化"</f>
        <v>雷鸣科化</v>
      </c>
      <c r="E12" s="1" t="str">
        <f t="shared" si="10"/>
        <v>卖出</v>
      </c>
      <c r="F12" s="1" t="str">
        <f>"15.460"</f>
        <v>15.460</v>
      </c>
      <c r="G12" s="1" t="str">
        <f>"-100.00"</f>
        <v>-100.00</v>
      </c>
      <c r="H12" s="1" t="str">
        <f t="shared" si="18"/>
        <v>A850418317</v>
      </c>
      <c r="I12" s="1" t="str">
        <f>"1546.00"</f>
        <v>1546.00</v>
      </c>
      <c r="J12" s="1" t="str">
        <f t="shared" si="1"/>
        <v>5.00</v>
      </c>
      <c r="K12" s="1" t="str">
        <f>"1.55"</f>
        <v>1.55</v>
      </c>
      <c r="L12" s="1" t="str">
        <f t="shared" ref="L12:L16" si="19">"0.03"</f>
        <v>0.03</v>
      </c>
      <c r="M12" s="1" t="str">
        <f t="shared" si="2"/>
        <v>0.00</v>
      </c>
      <c r="N12" s="1" t="str">
        <f t="shared" si="11"/>
        <v>证券卖出</v>
      </c>
    </row>
    <row r="13" spans="1:14">
      <c r="A13" s="1" t="str">
        <f t="shared" si="15"/>
        <v>20180228</v>
      </c>
      <c r="B13" s="1" t="str">
        <f>"09:38:40"</f>
        <v>09:38:40</v>
      </c>
      <c r="C13" s="1" t="str">
        <f>"603799"</f>
        <v>603799</v>
      </c>
      <c r="D13" s="1" t="str">
        <f>"华友钴业"</f>
        <v>华友钴业</v>
      </c>
      <c r="E13" s="1" t="str">
        <f t="shared" ref="E13:E17" si="20">"买入"</f>
        <v>买入</v>
      </c>
      <c r="F13" s="1" t="str">
        <f>"115.770"</f>
        <v>115.770</v>
      </c>
      <c r="G13" s="1" t="str">
        <f t="shared" ref="G13:G16" si="21">"100.00"</f>
        <v>100.00</v>
      </c>
      <c r="H13" s="1" t="str">
        <f t="shared" si="18"/>
        <v>A850418317</v>
      </c>
      <c r="I13" s="1" t="str">
        <f>"11577.00"</f>
        <v>11577.00</v>
      </c>
      <c r="J13" s="1" t="str">
        <f t="shared" si="1"/>
        <v>5.00</v>
      </c>
      <c r="K13" s="1" t="str">
        <f t="shared" ref="K13:K17" si="22">"0.00"</f>
        <v>0.00</v>
      </c>
      <c r="L13" s="1" t="str">
        <f>"0.23"</f>
        <v>0.23</v>
      </c>
      <c r="M13" s="1" t="str">
        <f t="shared" si="2"/>
        <v>0.00</v>
      </c>
      <c r="N13" s="1" t="str">
        <f t="shared" ref="N13:N17" si="23">"证券买入"</f>
        <v>证券买入</v>
      </c>
    </row>
    <row r="14" spans="1:14">
      <c r="A14" s="1" t="str">
        <f t="shared" si="15"/>
        <v>20180228</v>
      </c>
      <c r="B14" s="1" t="str">
        <f>"09:52:27"</f>
        <v>09:52:27</v>
      </c>
      <c r="C14" s="1" t="str">
        <f>"600985"</f>
        <v>600985</v>
      </c>
      <c r="D14" s="1" t="str">
        <f>"雷鸣科化"</f>
        <v>雷鸣科化</v>
      </c>
      <c r="E14" s="1" t="str">
        <f t="shared" si="20"/>
        <v>买入</v>
      </c>
      <c r="F14" s="1" t="str">
        <f>"15.570"</f>
        <v>15.570</v>
      </c>
      <c r="G14" s="1" t="str">
        <f t="shared" si="21"/>
        <v>100.00</v>
      </c>
      <c r="H14" s="1" t="str">
        <f t="shared" si="18"/>
        <v>A850418317</v>
      </c>
      <c r="I14" s="1" t="str">
        <f>"1557.00"</f>
        <v>1557.00</v>
      </c>
      <c r="J14" s="1" t="str">
        <f t="shared" si="1"/>
        <v>5.00</v>
      </c>
      <c r="K14" s="1" t="str">
        <f t="shared" si="22"/>
        <v>0.00</v>
      </c>
      <c r="L14" s="1" t="str">
        <f t="shared" si="19"/>
        <v>0.03</v>
      </c>
      <c r="M14" s="1" t="str">
        <f t="shared" si="2"/>
        <v>0.00</v>
      </c>
      <c r="N14" s="1" t="str">
        <f t="shared" si="23"/>
        <v>证券买入</v>
      </c>
    </row>
    <row r="15" spans="1:14">
      <c r="A15" s="1" t="str">
        <f t="shared" si="15"/>
        <v>20180228</v>
      </c>
      <c r="B15" s="1" t="str">
        <f>"09:52:51"</f>
        <v>09:52:51</v>
      </c>
      <c r="C15" s="1" t="str">
        <f t="shared" si="16"/>
        <v>600093</v>
      </c>
      <c r="D15" s="1" t="str">
        <f t="shared" si="17"/>
        <v>易见股份</v>
      </c>
      <c r="E15" s="1" t="str">
        <f t="shared" si="20"/>
        <v>买入</v>
      </c>
      <c r="F15" s="1" t="str">
        <f>"15.900"</f>
        <v>15.900</v>
      </c>
      <c r="G15" s="1" t="str">
        <f t="shared" si="21"/>
        <v>100.00</v>
      </c>
      <c r="H15" s="1" t="str">
        <f t="shared" si="18"/>
        <v>A850418317</v>
      </c>
      <c r="I15" s="1" t="str">
        <f>"1590.00"</f>
        <v>1590.00</v>
      </c>
      <c r="J15" s="1" t="str">
        <f t="shared" si="1"/>
        <v>5.00</v>
      </c>
      <c r="K15" s="1" t="str">
        <f t="shared" si="22"/>
        <v>0.00</v>
      </c>
      <c r="L15" s="1" t="str">
        <f t="shared" si="19"/>
        <v>0.03</v>
      </c>
      <c r="M15" s="1" t="str">
        <f t="shared" si="2"/>
        <v>0.00</v>
      </c>
      <c r="N15" s="1" t="str">
        <f t="shared" si="23"/>
        <v>证券买入</v>
      </c>
    </row>
    <row r="16" spans="1:14">
      <c r="A16" s="1" t="str">
        <f t="shared" si="15"/>
        <v>20180228</v>
      </c>
      <c r="B16" s="1" t="str">
        <f>"09:54:27"</f>
        <v>09:54:27</v>
      </c>
      <c r="C16" s="1" t="str">
        <f t="shared" si="16"/>
        <v>600093</v>
      </c>
      <c r="D16" s="1" t="str">
        <f t="shared" si="17"/>
        <v>易见股份</v>
      </c>
      <c r="E16" s="1" t="str">
        <f t="shared" si="20"/>
        <v>买入</v>
      </c>
      <c r="F16" s="1" t="str">
        <f>"16.190"</f>
        <v>16.190</v>
      </c>
      <c r="G16" s="1" t="str">
        <f t="shared" si="21"/>
        <v>100.00</v>
      </c>
      <c r="H16" s="1" t="str">
        <f t="shared" si="18"/>
        <v>A850418317</v>
      </c>
      <c r="I16" s="1" t="str">
        <f>"1619.00"</f>
        <v>1619.00</v>
      </c>
      <c r="J16" s="1" t="str">
        <f t="shared" si="1"/>
        <v>5.00</v>
      </c>
      <c r="K16" s="1" t="str">
        <f t="shared" si="22"/>
        <v>0.00</v>
      </c>
      <c r="L16" s="1" t="str">
        <f t="shared" si="19"/>
        <v>0.03</v>
      </c>
      <c r="M16" s="1" t="str">
        <f t="shared" si="2"/>
        <v>0.00</v>
      </c>
      <c r="N16" s="1" t="str">
        <f t="shared" si="23"/>
        <v>证券买入</v>
      </c>
    </row>
    <row r="17" spans="1:14">
      <c r="A17" s="1" t="str">
        <f t="shared" si="15"/>
        <v>20180228</v>
      </c>
      <c r="B17" s="1" t="str">
        <f>"09:58:45"</f>
        <v>09:58:45</v>
      </c>
      <c r="C17" s="1" t="str">
        <f t="shared" si="16"/>
        <v>600093</v>
      </c>
      <c r="D17" s="1" t="str">
        <f t="shared" si="17"/>
        <v>易见股份</v>
      </c>
      <c r="E17" s="1" t="str">
        <f t="shared" si="20"/>
        <v>买入</v>
      </c>
      <c r="F17" s="1" t="str">
        <f>"16.200"</f>
        <v>16.200</v>
      </c>
      <c r="G17" s="1" t="str">
        <f>"200.00"</f>
        <v>200.00</v>
      </c>
      <c r="H17" s="1" t="str">
        <f t="shared" si="18"/>
        <v>A850418317</v>
      </c>
      <c r="I17" s="1" t="str">
        <f>"3240.00"</f>
        <v>3240.00</v>
      </c>
      <c r="J17" s="1" t="str">
        <f t="shared" si="1"/>
        <v>5.00</v>
      </c>
      <c r="K17" s="1" t="str">
        <f t="shared" si="22"/>
        <v>0.00</v>
      </c>
      <c r="L17" s="1" t="str">
        <f>"0.06"</f>
        <v>0.06</v>
      </c>
      <c r="M17" s="1" t="str">
        <f t="shared" si="2"/>
        <v>0.00</v>
      </c>
      <c r="N17" s="1" t="str">
        <f t="shared" si="23"/>
        <v>证券买入</v>
      </c>
    </row>
    <row r="18" spans="1:14">
      <c r="A18" s="1" t="str">
        <f t="shared" si="15"/>
        <v>20180228</v>
      </c>
      <c r="B18" s="1" t="str">
        <f>"09:37:05"</f>
        <v>09:37:05</v>
      </c>
      <c r="C18" s="1" t="str">
        <f>"300176"</f>
        <v>300176</v>
      </c>
      <c r="D18" s="1" t="str">
        <f>"鸿特精密"</f>
        <v>鸿特精密</v>
      </c>
      <c r="E18" s="1" t="str">
        <f t="shared" ref="E18:E21" si="24">"卖出"</f>
        <v>卖出</v>
      </c>
      <c r="F18" s="1" t="str">
        <f>"133.200"</f>
        <v>133.200</v>
      </c>
      <c r="G18" s="1" t="str">
        <f>"-100.00"</f>
        <v>-100.00</v>
      </c>
      <c r="H18" s="1" t="str">
        <f t="shared" ref="H18:H22" si="25">"0104152129"</f>
        <v>0104152129</v>
      </c>
      <c r="I18" s="1" t="str">
        <f>"13320.00"</f>
        <v>13320.00</v>
      </c>
      <c r="J18" s="1" t="str">
        <f t="shared" si="1"/>
        <v>5.00</v>
      </c>
      <c r="K18" s="1" t="str">
        <f>"13.32"</f>
        <v>13.32</v>
      </c>
      <c r="L18" s="1" t="str">
        <f>"0.27"</f>
        <v>0.27</v>
      </c>
      <c r="M18" s="1" t="str">
        <f t="shared" si="2"/>
        <v>0.00</v>
      </c>
      <c r="N18" s="1" t="str">
        <f t="shared" ref="N18:N21" si="26">"证券卖出"</f>
        <v>证券卖出</v>
      </c>
    </row>
    <row r="19" spans="1:14">
      <c r="A19" s="1" t="str">
        <f t="shared" ref="A19:A22" si="27">"20180301"</f>
        <v>20180301</v>
      </c>
      <c r="B19" s="1" t="str">
        <f>"09:38:02"</f>
        <v>09:38:02</v>
      </c>
      <c r="C19" s="1" t="str">
        <f>"600985"</f>
        <v>600985</v>
      </c>
      <c r="D19" s="1" t="str">
        <f>"雷鸣科化"</f>
        <v>雷鸣科化</v>
      </c>
      <c r="E19" s="1" t="str">
        <f t="shared" si="24"/>
        <v>卖出</v>
      </c>
      <c r="F19" s="1" t="str">
        <f>"15.200"</f>
        <v>15.200</v>
      </c>
      <c r="G19" s="1" t="str">
        <f>"-300.00"</f>
        <v>-300.00</v>
      </c>
      <c r="H19" s="1" t="str">
        <f>"A850418317"</f>
        <v>A850418317</v>
      </c>
      <c r="I19" s="1" t="str">
        <f>"4560.00"</f>
        <v>4560.00</v>
      </c>
      <c r="J19" s="1" t="str">
        <f t="shared" si="1"/>
        <v>5.00</v>
      </c>
      <c r="K19" s="1" t="str">
        <f>"4.56"</f>
        <v>4.56</v>
      </c>
      <c r="L19" s="1" t="str">
        <f>"0.09"</f>
        <v>0.09</v>
      </c>
      <c r="M19" s="1" t="str">
        <f t="shared" si="2"/>
        <v>0.00</v>
      </c>
      <c r="N19" s="1" t="str">
        <f t="shared" si="26"/>
        <v>证券卖出</v>
      </c>
    </row>
    <row r="20" spans="1:14">
      <c r="A20" s="1" t="str">
        <f t="shared" si="27"/>
        <v>20180301</v>
      </c>
      <c r="B20" s="1" t="str">
        <f>"09:38:35"</f>
        <v>09:38:35</v>
      </c>
      <c r="C20" s="1" t="str">
        <f>"000816"</f>
        <v>000816</v>
      </c>
      <c r="D20" s="1" t="str">
        <f>"智慧农业"</f>
        <v>智慧农业</v>
      </c>
      <c r="E20" s="1" t="str">
        <f>"买入"</f>
        <v>买入</v>
      </c>
      <c r="F20" s="1" t="str">
        <f>"3.980"</f>
        <v>3.980</v>
      </c>
      <c r="G20" s="1" t="str">
        <f>"1100.00"</f>
        <v>1100.00</v>
      </c>
      <c r="H20" s="1" t="str">
        <f t="shared" si="25"/>
        <v>0104152129</v>
      </c>
      <c r="I20" s="1" t="str">
        <f>"4378.00"</f>
        <v>4378.00</v>
      </c>
      <c r="J20" s="1" t="str">
        <f t="shared" si="1"/>
        <v>5.00</v>
      </c>
      <c r="K20" s="1" t="str">
        <f>"0.00"</f>
        <v>0.00</v>
      </c>
      <c r="L20" s="1" t="str">
        <f>"0.09"</f>
        <v>0.09</v>
      </c>
      <c r="M20" s="1" t="str">
        <f t="shared" si="2"/>
        <v>0.00</v>
      </c>
      <c r="N20" s="1" t="str">
        <f>"证券买入"</f>
        <v>证券买入</v>
      </c>
    </row>
    <row r="21" spans="1:14">
      <c r="A21" s="1" t="str">
        <f t="shared" si="27"/>
        <v>20180301</v>
      </c>
      <c r="B21" s="1" t="str">
        <f>"10:51:05"</f>
        <v>10:51:05</v>
      </c>
      <c r="C21" s="1" t="str">
        <f>"300058"</f>
        <v>300058</v>
      </c>
      <c r="D21" s="1" t="str">
        <f>"蓝色光标"</f>
        <v>蓝色光标</v>
      </c>
      <c r="E21" s="1" t="str">
        <f t="shared" si="24"/>
        <v>卖出</v>
      </c>
      <c r="F21" s="1" t="str">
        <f>"7.410"</f>
        <v>7.410</v>
      </c>
      <c r="G21" s="1" t="str">
        <f>"-100.00"</f>
        <v>-100.00</v>
      </c>
      <c r="H21" s="1" t="str">
        <f t="shared" si="25"/>
        <v>0104152129</v>
      </c>
      <c r="I21" s="1" t="str">
        <f>"741.00"</f>
        <v>741.00</v>
      </c>
      <c r="J21" s="1" t="str">
        <f t="shared" si="1"/>
        <v>5.00</v>
      </c>
      <c r="K21" s="1" t="str">
        <f>"0.74"</f>
        <v>0.74</v>
      </c>
      <c r="L21" s="1" t="str">
        <f>"0.01"</f>
        <v>0.01</v>
      </c>
      <c r="M21" s="1" t="str">
        <f t="shared" si="2"/>
        <v>0.00</v>
      </c>
      <c r="N21" s="1" t="str">
        <f t="shared" si="26"/>
        <v>证券卖出</v>
      </c>
    </row>
    <row r="22" spans="1:14">
      <c r="A22" s="1" t="str">
        <f t="shared" si="27"/>
        <v>20180301</v>
      </c>
      <c r="B22" s="1" t="str">
        <f>"10:51:20"</f>
        <v>10:51:20</v>
      </c>
      <c r="C22" s="1" t="str">
        <f>"000816"</f>
        <v>000816</v>
      </c>
      <c r="D22" s="1" t="str">
        <f>"智慧农业"</f>
        <v>智慧农业</v>
      </c>
      <c r="E22" s="1" t="str">
        <f>"买入"</f>
        <v>买入</v>
      </c>
      <c r="F22" s="1" t="str">
        <f>"4.030"</f>
        <v>4.030</v>
      </c>
      <c r="G22" s="1" t="str">
        <f>"200.00"</f>
        <v>200.00</v>
      </c>
      <c r="H22" s="1" t="str">
        <f t="shared" si="25"/>
        <v>0104152129</v>
      </c>
      <c r="I22" s="1" t="str">
        <f>"806.00"</f>
        <v>806.00</v>
      </c>
      <c r="J22" s="1" t="str">
        <f t="shared" si="1"/>
        <v>5.00</v>
      </c>
      <c r="K22" s="1" t="str">
        <f>"0.00"</f>
        <v>0.00</v>
      </c>
      <c r="L22" s="1" t="str">
        <f>"0.02"</f>
        <v>0.02</v>
      </c>
      <c r="M22" s="1" t="str">
        <f t="shared" si="2"/>
        <v>0.00</v>
      </c>
      <c r="N22" s="1" t="str">
        <f>"证券买入"</f>
        <v>证券买入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20170824</vt:lpstr>
      <vt:lpstr>20171023</vt:lpstr>
      <vt:lpstr>20171222</vt:lpstr>
      <vt:lpstr>20180220</vt:lpstr>
      <vt:lpstr>20180302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程序猿PMP</cp:lastModifiedBy>
  <dcterms:created xsi:type="dcterms:W3CDTF">2018-03-02T14:30:00Z</dcterms:created>
  <dcterms:modified xsi:type="dcterms:W3CDTF">2018-03-02T14:45:06Z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