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E95" i="1" l="1"/>
  <c r="E96" i="1"/>
  <c r="E97" i="1"/>
  <c r="D97" i="1"/>
  <c r="D96" i="1"/>
  <c r="D95" i="1"/>
  <c r="C97" i="1"/>
  <c r="C96" i="1"/>
  <c r="C95" i="1"/>
  <c r="E90" i="1"/>
  <c r="E91" i="1"/>
  <c r="D91" i="1"/>
  <c r="D90" i="1"/>
  <c r="C91" i="1"/>
  <c r="C90" i="1"/>
  <c r="E82" i="1"/>
  <c r="E83" i="1"/>
  <c r="E84" i="1"/>
  <c r="E85" i="1"/>
  <c r="E86" i="1"/>
  <c r="D86" i="1"/>
  <c r="D85" i="1"/>
  <c r="D84" i="1"/>
  <c r="D83" i="1"/>
  <c r="D82" i="1"/>
  <c r="C86" i="1"/>
  <c r="C85" i="1"/>
  <c r="C84" i="1"/>
  <c r="C83" i="1"/>
  <c r="C82" i="1"/>
  <c r="E78" i="1"/>
  <c r="E77" i="1"/>
  <c r="E76" i="1"/>
  <c r="E75" i="1"/>
  <c r="D78" i="1"/>
  <c r="D77" i="1"/>
  <c r="D76" i="1"/>
  <c r="D75" i="1"/>
  <c r="C78" i="1"/>
  <c r="C77" i="1"/>
  <c r="C76" i="1"/>
  <c r="C75" i="1"/>
  <c r="E37" i="1" l="1"/>
  <c r="E38" i="1"/>
  <c r="F38" i="1"/>
  <c r="F37" i="1"/>
  <c r="F36" i="1"/>
  <c r="F35" i="1"/>
  <c r="D36" i="1"/>
  <c r="D38" i="1"/>
  <c r="D37" i="1"/>
  <c r="D35" i="1"/>
  <c r="C38" i="1"/>
  <c r="C37" i="1"/>
  <c r="C36" i="1"/>
  <c r="C35" i="1"/>
  <c r="B13" i="1" l="1"/>
</calcChain>
</file>

<file path=xl/sharedStrings.xml><?xml version="1.0" encoding="utf-8"?>
<sst xmlns="http://schemas.openxmlformats.org/spreadsheetml/2006/main" count="123" uniqueCount="110">
  <si>
    <t>1.电影行业的产业链收益分配是怎样的？（请指出信息的出处）</t>
    <phoneticPr fontId="2" type="noConversion"/>
  </si>
  <si>
    <t>2.华谊兄弟赚的是什么钱？万达影视赚的是什么钱？两者的商业模式有何不同？谁是轻资产、谁是重资产？</t>
    <phoneticPr fontId="2" type="noConversion"/>
  </si>
  <si>
    <t>3.整理2009-2017各年中国电影行业票房排行前十的电影中国产电影的占比，标注有A股上市公司参与的影片</t>
    <phoneticPr fontId="2" type="noConversion"/>
  </si>
  <si>
    <t>项目</t>
    <phoneticPr fontId="2" type="noConversion"/>
  </si>
  <si>
    <t>制片商</t>
    <phoneticPr fontId="2" type="noConversion"/>
  </si>
  <si>
    <t>发行商</t>
    <phoneticPr fontId="2" type="noConversion"/>
  </si>
  <si>
    <t>院线</t>
    <phoneticPr fontId="2" type="noConversion"/>
  </si>
  <si>
    <t>影院</t>
    <phoneticPr fontId="2" type="noConversion"/>
  </si>
  <si>
    <t>净票房收入分账比例</t>
    <phoneticPr fontId="2" type="noConversion"/>
  </si>
  <si>
    <t>万达电影招股说明书125页</t>
    <phoneticPr fontId="2" type="noConversion"/>
  </si>
  <si>
    <t>华谊兄弟赚的是制片和发行的分成，万达影视赚的影院的分成。华谊兄弟需要依靠制作发行优秀影片来赚钱，万达需要吸引更多的人来看电影赚钱。华谊兄弟是轻资产，万达是重资产。</t>
    <phoneticPr fontId="2" type="noConversion"/>
  </si>
  <si>
    <t>国产电影占比</t>
    <phoneticPr fontId="2" type="noConversion"/>
  </si>
  <si>
    <t>西游伏妖篇</t>
    <phoneticPr fontId="2" type="noConversion"/>
  </si>
  <si>
    <t>芳华</t>
    <phoneticPr fontId="2" type="noConversion"/>
  </si>
  <si>
    <t>美人鱼</t>
    <phoneticPr fontId="2" type="noConversion"/>
  </si>
  <si>
    <t>西游记之孙悟空三打白骨精</t>
    <phoneticPr fontId="2" type="noConversion"/>
  </si>
  <si>
    <t>寻龙诀</t>
    <phoneticPr fontId="2" type="noConversion"/>
  </si>
  <si>
    <t>西游降魔篇</t>
    <phoneticPr fontId="2" type="noConversion"/>
  </si>
  <si>
    <t>致青春</t>
    <phoneticPr fontId="2" type="noConversion"/>
  </si>
  <si>
    <t>狄仁杰之神都龙王</t>
    <phoneticPr fontId="2" type="noConversion"/>
  </si>
  <si>
    <t>私人订制</t>
    <phoneticPr fontId="2" type="noConversion"/>
  </si>
  <si>
    <t>中国合伙人</t>
    <phoneticPr fontId="2" type="noConversion"/>
  </si>
  <si>
    <t>光线传媒</t>
    <phoneticPr fontId="2" type="noConversion"/>
  </si>
  <si>
    <t>泰囧</t>
    <phoneticPr fontId="2" type="noConversion"/>
  </si>
  <si>
    <t>画皮2</t>
    <phoneticPr fontId="2" type="noConversion"/>
  </si>
  <si>
    <t>十二生肖</t>
    <phoneticPr fontId="2" type="noConversion"/>
  </si>
  <si>
    <t>华谊兄弟</t>
    <phoneticPr fontId="2" type="noConversion"/>
  </si>
  <si>
    <t>建党伟业</t>
    <phoneticPr fontId="2" type="noConversion"/>
  </si>
  <si>
    <t>唐山大地震</t>
    <phoneticPr fontId="2" type="noConversion"/>
  </si>
  <si>
    <t>让子弹飞</t>
    <phoneticPr fontId="2" type="noConversion"/>
  </si>
  <si>
    <t>幸福蓝海</t>
    <phoneticPr fontId="2" type="noConversion"/>
  </si>
  <si>
    <t>非诚勿扰2</t>
    <phoneticPr fontId="2" type="noConversion"/>
  </si>
  <si>
    <t>狄仁杰之通天帝国</t>
    <phoneticPr fontId="2" type="noConversion"/>
  </si>
  <si>
    <t>赤壁下</t>
    <phoneticPr fontId="2" type="noConversion"/>
  </si>
  <si>
    <t>上海电影</t>
    <phoneticPr fontId="2" type="noConversion"/>
  </si>
  <si>
    <t>风声</t>
    <phoneticPr fontId="2" type="noConversion"/>
  </si>
  <si>
    <t>4.华谊、光线等老牌电影传媒上市公司江河日下是什么原因？</t>
    <phoneticPr fontId="2" type="noConversion"/>
  </si>
  <si>
    <t>其实华谊、光线的江河日下有多方面原因。电影方面，外因是越来越多的资本进入电影投资市场，包括万达院线这类下游影院，也包括阿里这类意图扩大娱乐版图的巨头，</t>
    <phoneticPr fontId="2" type="noConversion"/>
  </si>
  <si>
    <t>也有如开心麻花这类独立制作公司。并且一些明星开始自立门户，成立工作室，也发行了一些口碑良好的大片，如17年票房冠军战狼2。</t>
    <phoneticPr fontId="2" type="noConversion"/>
  </si>
  <si>
    <t>从14年之后非常明显的是华谊、光线在当年票房前十中参与的影片越来越少。</t>
    <phoneticPr fontId="2" type="noConversion"/>
  </si>
  <si>
    <t>内因方面，华谊/光线其实自从上市开始就“不务正业”，投入动漫、互联网剧等细分行业，但是效果不佳，反而把老本也丢了，</t>
    <phoneticPr fontId="2" type="noConversion"/>
  </si>
  <si>
    <t>在演员培养方面投入也不多，那当原因当红演员都翅膀硬了开始单飞，他们的话语权自然越来越小。</t>
  </si>
  <si>
    <t>另外不可忽视的是两者原本还有一些电视剧和栏目制作的业务，随着互联网视频网站的崛起，对广告商有强大的分流左右，电视剧渐渐入不敷出，光线甚至出售了电视业务。</t>
    <phoneticPr fontId="2" type="noConversion"/>
  </si>
  <si>
    <t>5.中国电影行业最近两三年调整是什么原因？</t>
    <phoneticPr fontId="2" type="noConversion"/>
  </si>
  <si>
    <t>中国电影前些年票房猛增主要因素是随着人们生活水平的提高，看电影的欲望不断增加，下游万达电影等影院不断扩大版图，国内银幕数量每年以20%以上速度增加，</t>
    <phoneticPr fontId="2" type="noConversion"/>
  </si>
  <si>
    <t>同时票房也以同样速度增加。2016年当年新增银幕增速超过3成，但票房增长仅3%，显示出银幕数量接近饱和，新增银幕的边际票房下降。</t>
    <phoneticPr fontId="2" type="noConversion"/>
  </si>
  <si>
    <t>次要原因是前两年新兴的网络购票刺激了人们的消费需求，如15年票房增速接近50%，基数大了之后，显得这两年有所调整。</t>
    <phoneticPr fontId="2" type="noConversion"/>
  </si>
  <si>
    <t>6.对比中国、美国、日本、印度的人均GDP、人均电影票房、人均观影次数和人均电影银幕数量，评估中国电影行业的发展前景</t>
    <phoneticPr fontId="2" type="noConversion"/>
  </si>
  <si>
    <t>中国</t>
    <phoneticPr fontId="2" type="noConversion"/>
  </si>
  <si>
    <t>美国</t>
    <phoneticPr fontId="2" type="noConversion"/>
  </si>
  <si>
    <t>日本</t>
    <phoneticPr fontId="2" type="noConversion"/>
  </si>
  <si>
    <t>印度</t>
    <phoneticPr fontId="2" type="noConversion"/>
  </si>
  <si>
    <t>人均观影次数</t>
    <phoneticPr fontId="2" type="noConversion"/>
  </si>
  <si>
    <t>人均票房</t>
    <phoneticPr fontId="2" type="noConversion"/>
  </si>
  <si>
    <t>人口（亿）</t>
    <phoneticPr fontId="2" type="noConversion"/>
  </si>
  <si>
    <t>人均GDP(美元）</t>
    <phoneticPr fontId="2" type="noConversion"/>
  </si>
  <si>
    <t>人均银幕(每亿人）</t>
    <phoneticPr fontId="2" type="noConversion"/>
  </si>
  <si>
    <t>中国的人均GDP为日本四分之一多，美国的七分之一多，相对的票房比例相当;但是中国的人均银幕已经超过日本，为美国的四分之一。</t>
    <phoneticPr fontId="2" type="noConversion"/>
  </si>
  <si>
    <t>中国市场的银幕数量目前来看已经接近饱和，电影行业前途远大，但是需要从提高电影质量，完善行业上下游效率上下功夫。</t>
    <phoneticPr fontId="2" type="noConversion"/>
  </si>
  <si>
    <t>7.电视剧、电影和动漫的商业模式有何不同？</t>
    <phoneticPr fontId="2" type="noConversion"/>
  </si>
  <si>
    <t>电视剧主要依靠广告收入，传统模式是电视台根据广告商报价来确定购买电视剧的价格；网络时代依靠观看人数来确定广告收入。本质上都是依靠收视率吸引的广告收入。</t>
    <phoneticPr fontId="2" type="noConversion"/>
  </si>
  <si>
    <t>电影主要依靠票房收入，其次是版权二次出售，传统模式是一些音像DVD等，现在也有给视频网站做付费播放。</t>
    <phoneticPr fontId="2" type="noConversion"/>
  </si>
  <si>
    <t>8.为什么好莱坞电影今年热衷于拍续集？</t>
    <phoneticPr fontId="2" type="noConversion"/>
  </si>
  <si>
    <t>个人感觉好莱坞一直热衷于拍续集。电影行业是高度资本集中行业，尤其是好莱坞大片，动辄上亿的制作费。而电影票房又高度集中，每年票房前十的电影占据了整体市场的主要份额。</t>
    <phoneticPr fontId="2" type="noConversion"/>
  </si>
  <si>
    <t>其实投资好莱坞电影和风险投资差不多，资本不希望投资打水漂，那么选择往年较为成功的电影拍摄续集，票房较为有保障，即使不如前一部至少也不会太差。</t>
    <phoneticPr fontId="2" type="noConversion"/>
  </si>
  <si>
    <t>9.变形金刚30年前在大陆的商业模式和今天A股的哪些上市公司类似？</t>
    <phoneticPr fontId="2" type="noConversion"/>
  </si>
  <si>
    <t>动漫的收入方式比较多元，可以依靠出售漫画书、周边、玩具，授权电影、动画等，甚至有相关游戏的收入。</t>
    <phoneticPr fontId="2" type="noConversion"/>
  </si>
  <si>
    <t>奥飞娱乐最著名的是喜洋洋和灰太狼的IP，以及长城动漫。</t>
    <phoneticPr fontId="2" type="noConversion"/>
  </si>
  <si>
    <t>10.投资电影最大的风险是什么？</t>
    <phoneticPr fontId="2" type="noConversion"/>
  </si>
  <si>
    <t>投资电影本身风险巨大，最大的风险可能是电影由于各种原因无法上映。</t>
    <phoneticPr fontId="2" type="noConversion"/>
  </si>
  <si>
    <t>11.主题公园的商业模式本质是什么？轻资产还是重资产？</t>
    <phoneticPr fontId="2" type="noConversion"/>
  </si>
  <si>
    <t>主题公园收入来源于门票收入、纪念品、饮食、酒店住宿等。主题公园投资规模一般较大，建设周期长，属于重资产</t>
    <phoneticPr fontId="2" type="noConversion"/>
  </si>
  <si>
    <t>12.投资主题公园最大的风险是什么？什么才是主题公园的核心竞争力？</t>
    <phoneticPr fontId="2" type="noConversion"/>
  </si>
  <si>
    <t>缺少对行业的了解，投资软硬件不切合，导致投资失败。海外投资则需要了解当地文化，附近潜在客流等因素。</t>
    <phoneticPr fontId="2" type="noConversion"/>
  </si>
  <si>
    <t>主题公园的核心竞争力在于主题的IP，如迪斯尼的动画人物、环球影城的漫威形象，这些都是吸引人流的强大因素。</t>
    <phoneticPr fontId="2" type="noConversion"/>
  </si>
  <si>
    <t>并且主题公园还对他们的IP在其他途径的变现有促进作用。</t>
    <phoneticPr fontId="2" type="noConversion"/>
  </si>
  <si>
    <t>13.你认为如何给文化传媒行业估值？</t>
    <phoneticPr fontId="2" type="noConversion"/>
  </si>
  <si>
    <t>投资主题公园最大的风险在于缺乏对市场的了解，运营不善导致项目破产。国内大部分经营不善的主题公园主要是房地产公司或其他行业外资本投入，</t>
    <phoneticPr fontId="2" type="noConversion"/>
  </si>
  <si>
    <t xml:space="preserve">    </t>
    <phoneticPr fontId="2" type="noConversion"/>
  </si>
  <si>
    <t>文化传媒业受经济周期影响很大，且目前电影行业已经度过了高速成长期，不能按照成长股来估值。对于重资产的文化传媒公司，如万达电影、主题公园等</t>
    <phoneticPr fontId="2" type="noConversion"/>
  </si>
  <si>
    <t>应该在市净率低点买入（虽然万达目前市净率5为历史最低，但对于重资产行业还是偏高，如何确定合适的低估市净率是个难题）。</t>
    <phoneticPr fontId="2" type="noConversion"/>
  </si>
  <si>
    <t>如华谊兄弟和光线传媒目前在电影电视业面临其他独立制作和互联网公司的冲击，能否生存下来是个问题，不太好确定估值。</t>
    <phoneticPr fontId="2" type="noConversion"/>
  </si>
  <si>
    <t>中国电影</t>
    <phoneticPr fontId="2" type="noConversion"/>
  </si>
  <si>
    <t>影视制作</t>
    <phoneticPr fontId="2" type="noConversion"/>
  </si>
  <si>
    <t>电影发行</t>
    <phoneticPr fontId="2" type="noConversion"/>
  </si>
  <si>
    <t>电影放映</t>
    <phoneticPr fontId="2" type="noConversion"/>
  </si>
  <si>
    <t>影视服务</t>
    <phoneticPr fontId="2" type="noConversion"/>
  </si>
  <si>
    <t>营业收入</t>
    <phoneticPr fontId="2" type="noConversion"/>
  </si>
  <si>
    <t>毛利润</t>
    <phoneticPr fontId="2" type="noConversion"/>
  </si>
  <si>
    <t>营收占比</t>
    <phoneticPr fontId="2" type="noConversion"/>
  </si>
  <si>
    <t>毛利占比</t>
    <phoneticPr fontId="2" type="noConversion"/>
  </si>
  <si>
    <t>附加题</t>
    <phoneticPr fontId="2" type="noConversion"/>
  </si>
  <si>
    <t>1.都是投资电影行业，投资中国电影、华谊兄弟、光线传媒和万达电影的关键区别是什么，列举这些上市公司2017年收入/利润占比，简述你的结论。</t>
    <phoneticPr fontId="2" type="noConversion"/>
  </si>
  <si>
    <t>华谊兄弟</t>
    <phoneticPr fontId="2" type="noConversion"/>
  </si>
  <si>
    <t>影视娱乐</t>
    <phoneticPr fontId="2" type="noConversion"/>
  </si>
  <si>
    <t>品牌授权及实景娱乐</t>
    <phoneticPr fontId="2" type="noConversion"/>
  </si>
  <si>
    <t>互联网娱乐</t>
    <phoneticPr fontId="2" type="noConversion"/>
  </si>
  <si>
    <t>合并抵消</t>
    <phoneticPr fontId="2" type="noConversion"/>
  </si>
  <si>
    <t>其他业务收入</t>
    <phoneticPr fontId="2" type="noConversion"/>
  </si>
  <si>
    <t>光线传媒</t>
    <phoneticPr fontId="2" type="noConversion"/>
  </si>
  <si>
    <t>电影及衍生品</t>
    <phoneticPr fontId="2" type="noConversion"/>
  </si>
  <si>
    <t>视频直播</t>
    <phoneticPr fontId="2" type="noConversion"/>
  </si>
  <si>
    <t>万达电影</t>
    <phoneticPr fontId="2" type="noConversion"/>
  </si>
  <si>
    <t>观影收入</t>
    <phoneticPr fontId="2" type="noConversion"/>
  </si>
  <si>
    <t>广告收入</t>
    <phoneticPr fontId="2" type="noConversion"/>
  </si>
  <si>
    <t>商品、餐饮销售收入</t>
    <phoneticPr fontId="2" type="noConversion"/>
  </si>
  <si>
    <t>投资中国电影就是投资中国电影行业，中国电影主要收入来源为每一部电影的发行分成，因此看好国内电影整体增速就投资中国电影。</t>
    <phoneticPr fontId="2" type="noConversion"/>
  </si>
  <si>
    <t>投资华谊主要看其每年电影总票房是否保持增加，还是主要依靠电影收入。</t>
    <phoneticPr fontId="2" type="noConversion"/>
  </si>
  <si>
    <t>光线传媒有所不同，转型视频直播卓有成效，电影方面能稳步保持，主要看视频直播收入的增速。</t>
    <phoneticPr fontId="2" type="noConversion"/>
  </si>
  <si>
    <t>投资万达电影一是看其新增银幕状况下单位银幕收入能否保持，二是看整个行业的票房收入。</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</si>
</sst>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宋体"/>
      <family val="2"/>
      <scheme val="minor"/>
    </font>
    <font>
      <sz val="11"/>
      <color theme="1"/>
      <name val="宋体"/>
      <family val="2"/>
      <scheme val="minor"/>
    </font>
    <font>
      <sz val="9"/>
      <name val="宋体"/>
      <family val="3"/>
      <charset val="134"/>
      <scheme val="minor"/>
    </font>
    <font>
      <i/>
      <sz val="11"/>
      <color theme="1"/>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1" fillId="0" borderId="0" applyFont="0" applyFill="0" applyBorder="0" applyAlignment="0" applyProtection="0">
      <alignment vertical="center"/>
    </xf>
  </cellStyleXfs>
  <cellXfs count="15">
    <xf numFmtId="0" fontId="0" fillId="0" borderId="0" xfId="0"/>
    <xf numFmtId="9" fontId="0" fillId="0" borderId="0" xfId="0" applyNumberFormat="1"/>
    <xf numFmtId="0" fontId="0" fillId="0" borderId="0" xfId="0" applyBorder="1"/>
    <xf numFmtId="9" fontId="0" fillId="0" borderId="0" xfId="0" applyNumberFormat="1" applyBorder="1" applyAlignment="1">
      <alignment horizontal="center"/>
    </xf>
    <xf numFmtId="0" fontId="0" fillId="0" borderId="0" xfId="0" applyBorder="1" applyAlignment="1">
      <alignment horizontal="center"/>
    </xf>
    <xf numFmtId="9" fontId="0" fillId="0" borderId="0" xfId="0" applyNumberFormat="1" applyBorder="1"/>
    <xf numFmtId="0" fontId="3" fillId="0" borderId="0" xfId="0" applyFont="1" applyFill="1" applyBorder="1"/>
    <xf numFmtId="9" fontId="0" fillId="0" borderId="0" xfId="1" applyFont="1" applyAlignment="1"/>
    <xf numFmtId="0" fontId="0" fillId="0" borderId="1" xfId="0" applyBorder="1"/>
    <xf numFmtId="1" fontId="0" fillId="0" borderId="1" xfId="0" applyNumberFormat="1" applyBorder="1"/>
    <xf numFmtId="2" fontId="0" fillId="0" borderId="1" xfId="0" applyNumberFormat="1" applyBorder="1"/>
    <xf numFmtId="9" fontId="0" fillId="0" borderId="1" xfId="1" applyFont="1" applyBorder="1" applyAlignment="1"/>
    <xf numFmtId="9" fontId="0" fillId="0" borderId="1" xfId="0" applyNumberFormat="1" applyBorder="1" applyAlignment="1">
      <alignment horizontal="center"/>
    </xf>
    <xf numFmtId="0" fontId="0" fillId="0" borderId="1" xfId="0" applyBorder="1" applyAlignment="1">
      <alignment horizontal="center"/>
    </xf>
    <xf numFmtId="9" fontId="0" fillId="0" borderId="1" xfId="0" applyNumberFormat="1" applyBorder="1"/>
  </cellXfs>
  <cellStyles count="2">
    <cellStyle name="百分比" xfId="1" builtinId="5"/>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2"/>
  <sheetViews>
    <sheetView tabSelected="1" workbookViewId="0">
      <selection activeCell="A3" sqref="A3:E4"/>
    </sheetView>
  </sheetViews>
  <sheetFormatPr defaultRowHeight="13.5" x14ac:dyDescent="0.15"/>
  <cols>
    <col min="1" max="1" width="18.75" customWidth="1"/>
    <col min="3" max="3" width="18.25" customWidth="1"/>
    <col min="5" max="5" width="12.5" customWidth="1"/>
    <col min="6" max="6" width="16.625" customWidth="1"/>
  </cols>
  <sheetData>
    <row r="1" spans="1:15" x14ac:dyDescent="0.15">
      <c r="A1" t="s">
        <v>0</v>
      </c>
    </row>
    <row r="3" spans="1:15" x14ac:dyDescent="0.15">
      <c r="A3" s="8" t="s">
        <v>3</v>
      </c>
      <c r="B3" s="8" t="s">
        <v>4</v>
      </c>
      <c r="C3" s="8" t="s">
        <v>5</v>
      </c>
      <c r="D3" s="8" t="s">
        <v>6</v>
      </c>
      <c r="E3" s="8" t="s">
        <v>7</v>
      </c>
    </row>
    <row r="4" spans="1:15" x14ac:dyDescent="0.15">
      <c r="A4" s="8" t="s">
        <v>8</v>
      </c>
      <c r="B4" s="12">
        <v>0.43</v>
      </c>
      <c r="C4" s="13"/>
      <c r="D4" s="14">
        <v>7.0000000000000007E-2</v>
      </c>
      <c r="E4" s="14">
        <v>0.5</v>
      </c>
    </row>
    <row r="5" spans="1:15" x14ac:dyDescent="0.15">
      <c r="A5" s="6" t="s">
        <v>9</v>
      </c>
      <c r="B5" s="3"/>
      <c r="C5" s="4"/>
      <c r="D5" s="5"/>
      <c r="E5" s="5"/>
    </row>
    <row r="6" spans="1:15" x14ac:dyDescent="0.15">
      <c r="A6" s="2"/>
      <c r="B6" s="3"/>
      <c r="C6" s="4"/>
      <c r="D6" s="5"/>
      <c r="E6" s="5"/>
    </row>
    <row r="7" spans="1:15" x14ac:dyDescent="0.15">
      <c r="A7" t="s">
        <v>1</v>
      </c>
    </row>
    <row r="8" spans="1:15" x14ac:dyDescent="0.15">
      <c r="A8" t="s">
        <v>10</v>
      </c>
    </row>
    <row r="10" spans="1:15" x14ac:dyDescent="0.15">
      <c r="A10" t="s">
        <v>2</v>
      </c>
    </row>
    <row r="12" spans="1:15" x14ac:dyDescent="0.15">
      <c r="B12">
        <v>2009</v>
      </c>
      <c r="C12">
        <v>2010</v>
      </c>
      <c r="D12">
        <v>2011</v>
      </c>
      <c r="E12">
        <v>2012</v>
      </c>
      <c r="F12">
        <v>2013</v>
      </c>
      <c r="G12">
        <v>2014</v>
      </c>
      <c r="H12">
        <v>2015</v>
      </c>
      <c r="I12">
        <v>2016</v>
      </c>
      <c r="J12">
        <v>2017</v>
      </c>
    </row>
    <row r="13" spans="1:15" x14ac:dyDescent="0.15">
      <c r="A13" t="s">
        <v>11</v>
      </c>
      <c r="B13" s="7">
        <f>6/10</f>
        <v>0.6</v>
      </c>
      <c r="C13" s="1">
        <v>0.5</v>
      </c>
      <c r="D13" s="1">
        <v>0.4</v>
      </c>
      <c r="E13" s="1">
        <v>0.3</v>
      </c>
      <c r="F13" s="1">
        <v>0.7</v>
      </c>
      <c r="G13" s="1">
        <v>0.5</v>
      </c>
      <c r="H13" s="1">
        <v>0.7</v>
      </c>
      <c r="I13" s="1">
        <v>0.6</v>
      </c>
      <c r="J13" s="1">
        <v>0.5</v>
      </c>
    </row>
    <row r="14" spans="1:15" x14ac:dyDescent="0.15">
      <c r="A14" s="8" t="s">
        <v>26</v>
      </c>
      <c r="B14" s="8" t="s">
        <v>12</v>
      </c>
      <c r="C14" s="8" t="s">
        <v>13</v>
      </c>
      <c r="D14" s="8" t="s">
        <v>16</v>
      </c>
      <c r="E14" s="8" t="s">
        <v>17</v>
      </c>
      <c r="F14" s="8" t="s">
        <v>19</v>
      </c>
      <c r="G14" s="8"/>
      <c r="H14" s="8" t="s">
        <v>20</v>
      </c>
      <c r="I14" s="8" t="s">
        <v>24</v>
      </c>
      <c r="J14" s="8" t="s">
        <v>25</v>
      </c>
      <c r="K14" s="8" t="s">
        <v>27</v>
      </c>
      <c r="L14" s="8" t="s">
        <v>28</v>
      </c>
      <c r="M14" s="8" t="s">
        <v>31</v>
      </c>
      <c r="N14" s="8" t="s">
        <v>32</v>
      </c>
      <c r="O14" s="8" t="s">
        <v>35</v>
      </c>
    </row>
    <row r="15" spans="1:15" x14ac:dyDescent="0.15">
      <c r="A15" s="8" t="s">
        <v>22</v>
      </c>
      <c r="B15" s="8" t="s">
        <v>14</v>
      </c>
      <c r="C15" s="8" t="s">
        <v>15</v>
      </c>
      <c r="D15" s="8" t="s">
        <v>21</v>
      </c>
      <c r="E15" s="8" t="s">
        <v>18</v>
      </c>
      <c r="F15" s="8" t="s">
        <v>23</v>
      </c>
      <c r="G15" s="8" t="s">
        <v>24</v>
      </c>
      <c r="H15" s="8"/>
      <c r="I15" s="8"/>
      <c r="J15" s="8"/>
      <c r="K15" s="8"/>
      <c r="L15" s="8"/>
      <c r="M15" s="8"/>
      <c r="N15" s="8"/>
      <c r="O15" s="8"/>
    </row>
    <row r="16" spans="1:15" x14ac:dyDescent="0.15">
      <c r="A16" s="8" t="s">
        <v>30</v>
      </c>
      <c r="B16" s="8" t="s">
        <v>29</v>
      </c>
      <c r="C16" s="8"/>
      <c r="D16" s="8"/>
      <c r="E16" s="8"/>
      <c r="F16" s="8"/>
      <c r="G16" s="8"/>
      <c r="H16" s="8"/>
      <c r="I16" s="8"/>
      <c r="J16" s="8"/>
      <c r="K16" s="8"/>
      <c r="L16" s="8"/>
      <c r="M16" s="8"/>
      <c r="N16" s="8"/>
      <c r="O16" s="8"/>
    </row>
    <row r="17" spans="1:15" x14ac:dyDescent="0.15">
      <c r="A17" s="8" t="s">
        <v>34</v>
      </c>
      <c r="B17" s="8" t="s">
        <v>33</v>
      </c>
      <c r="C17" s="8"/>
      <c r="D17" s="8"/>
      <c r="E17" s="8"/>
      <c r="F17" s="8"/>
      <c r="G17" s="8"/>
      <c r="H17" s="8"/>
      <c r="I17" s="8"/>
      <c r="J17" s="8"/>
      <c r="K17" s="8"/>
      <c r="L17" s="8"/>
      <c r="M17" s="8"/>
      <c r="N17" s="8"/>
      <c r="O17" s="8"/>
    </row>
    <row r="19" spans="1:15" x14ac:dyDescent="0.15">
      <c r="A19" t="s">
        <v>36</v>
      </c>
    </row>
    <row r="20" spans="1:15" x14ac:dyDescent="0.15">
      <c r="A20" t="s">
        <v>37</v>
      </c>
    </row>
    <row r="21" spans="1:15" x14ac:dyDescent="0.15">
      <c r="A21" t="s">
        <v>38</v>
      </c>
    </row>
    <row r="22" spans="1:15" x14ac:dyDescent="0.15">
      <c r="A22" t="s">
        <v>39</v>
      </c>
    </row>
    <row r="23" spans="1:15" x14ac:dyDescent="0.15">
      <c r="A23" t="s">
        <v>40</v>
      </c>
    </row>
    <row r="24" spans="1:15" x14ac:dyDescent="0.15">
      <c r="A24" t="s">
        <v>41</v>
      </c>
    </row>
    <row r="25" spans="1:15" x14ac:dyDescent="0.15">
      <c r="A25" t="s">
        <v>42</v>
      </c>
    </row>
    <row r="27" spans="1:15" x14ac:dyDescent="0.15">
      <c r="A27" t="s">
        <v>43</v>
      </c>
    </row>
    <row r="28" spans="1:15" x14ac:dyDescent="0.15">
      <c r="A28" t="s">
        <v>44</v>
      </c>
    </row>
    <row r="29" spans="1:15" x14ac:dyDescent="0.15">
      <c r="A29" t="s">
        <v>45</v>
      </c>
    </row>
    <row r="30" spans="1:15" x14ac:dyDescent="0.15">
      <c r="A30" t="s">
        <v>46</v>
      </c>
    </row>
    <row r="32" spans="1:15" x14ac:dyDescent="0.15">
      <c r="A32" t="s">
        <v>47</v>
      </c>
    </row>
    <row r="34" spans="1:6" x14ac:dyDescent="0.15">
      <c r="A34" s="8"/>
      <c r="B34" s="8" t="s">
        <v>54</v>
      </c>
      <c r="C34" s="8" t="s">
        <v>55</v>
      </c>
      <c r="D34" s="8" t="s">
        <v>53</v>
      </c>
      <c r="E34" s="8" t="s">
        <v>52</v>
      </c>
      <c r="F34" s="8" t="s">
        <v>56</v>
      </c>
    </row>
    <row r="35" spans="1:6" x14ac:dyDescent="0.15">
      <c r="A35" s="8" t="s">
        <v>48</v>
      </c>
      <c r="B35" s="8">
        <v>13.79</v>
      </c>
      <c r="C35" s="9">
        <f>112000/B35</f>
        <v>8121.8274111675128</v>
      </c>
      <c r="D35" s="10">
        <f>445.6/B35/6.64</f>
        <v>4.8664563984727893</v>
      </c>
      <c r="E35" s="8">
        <v>0.99</v>
      </c>
      <c r="F35" s="9">
        <f>41179/B35</f>
        <v>2986.1493836113127</v>
      </c>
    </row>
    <row r="36" spans="1:6" x14ac:dyDescent="0.15">
      <c r="A36" s="8" t="s">
        <v>49</v>
      </c>
      <c r="B36" s="8">
        <v>3.2309999999999999</v>
      </c>
      <c r="C36" s="9">
        <f>186200/B36</f>
        <v>57629.216960693288</v>
      </c>
      <c r="D36" s="10">
        <f>113.7/B36</f>
        <v>35.190343546889508</v>
      </c>
      <c r="E36" s="8">
        <v>3.66</v>
      </c>
      <c r="F36" s="9">
        <f>40759/B36</f>
        <v>12614.979882389354</v>
      </c>
    </row>
    <row r="37" spans="1:6" x14ac:dyDescent="0.15">
      <c r="A37" s="8" t="s">
        <v>50</v>
      </c>
      <c r="B37" s="8">
        <v>1.27</v>
      </c>
      <c r="C37" s="9">
        <f>49380/B37</f>
        <v>38881.889763779523</v>
      </c>
      <c r="D37" s="10">
        <f>20/B37</f>
        <v>15.748031496062993</v>
      </c>
      <c r="E37" s="10">
        <f>1.8/B37</f>
        <v>1.4173228346456692</v>
      </c>
      <c r="F37" s="9">
        <f>3472/B37</f>
        <v>2733.8582677165355</v>
      </c>
    </row>
    <row r="38" spans="1:6" x14ac:dyDescent="0.15">
      <c r="A38" s="8" t="s">
        <v>51</v>
      </c>
      <c r="B38" s="8">
        <v>13.24</v>
      </c>
      <c r="C38" s="9">
        <f>22560/B38</f>
        <v>1703.9274924471299</v>
      </c>
      <c r="D38" s="10">
        <f>19/B38</f>
        <v>1.4350453172205437</v>
      </c>
      <c r="E38" s="10">
        <f>22/B38</f>
        <v>1.661631419939577</v>
      </c>
      <c r="F38" s="9">
        <f>11139/B38</f>
        <v>841.3141993957704</v>
      </c>
    </row>
    <row r="40" spans="1:6" x14ac:dyDescent="0.15">
      <c r="A40" t="s">
        <v>57</v>
      </c>
    </row>
    <row r="41" spans="1:6" x14ac:dyDescent="0.15">
      <c r="A41" t="s">
        <v>58</v>
      </c>
    </row>
    <row r="43" spans="1:6" x14ac:dyDescent="0.15">
      <c r="A43" t="s">
        <v>59</v>
      </c>
    </row>
    <row r="44" spans="1:6" x14ac:dyDescent="0.15">
      <c r="A44" t="s">
        <v>60</v>
      </c>
    </row>
    <row r="45" spans="1:6" x14ac:dyDescent="0.15">
      <c r="A45" t="s">
        <v>61</v>
      </c>
    </row>
    <row r="46" spans="1:6" x14ac:dyDescent="0.15">
      <c r="A46" t="s">
        <v>66</v>
      </c>
    </row>
    <row r="48" spans="1:6" x14ac:dyDescent="0.15">
      <c r="A48" t="s">
        <v>62</v>
      </c>
    </row>
    <row r="49" spans="1:1" x14ac:dyDescent="0.15">
      <c r="A49" t="s">
        <v>63</v>
      </c>
    </row>
    <row r="50" spans="1:1" x14ac:dyDescent="0.15">
      <c r="A50" t="s">
        <v>64</v>
      </c>
    </row>
    <row r="52" spans="1:1" x14ac:dyDescent="0.15">
      <c r="A52" t="s">
        <v>65</v>
      </c>
    </row>
    <row r="53" spans="1:1" x14ac:dyDescent="0.15">
      <c r="A53" t="s">
        <v>67</v>
      </c>
    </row>
    <row r="55" spans="1:1" x14ac:dyDescent="0.15">
      <c r="A55" t="s">
        <v>68</v>
      </c>
    </row>
    <row r="56" spans="1:1" x14ac:dyDescent="0.15">
      <c r="A56" t="s">
        <v>69</v>
      </c>
    </row>
    <row r="58" spans="1:1" x14ac:dyDescent="0.15">
      <c r="A58" t="s">
        <v>70</v>
      </c>
    </row>
    <row r="59" spans="1:1" x14ac:dyDescent="0.15">
      <c r="A59" t="s">
        <v>71</v>
      </c>
    </row>
    <row r="61" spans="1:1" x14ac:dyDescent="0.15">
      <c r="A61" t="s">
        <v>72</v>
      </c>
    </row>
    <row r="62" spans="1:1" x14ac:dyDescent="0.15">
      <c r="A62" t="s">
        <v>77</v>
      </c>
    </row>
    <row r="63" spans="1:1" x14ac:dyDescent="0.15">
      <c r="A63" t="s">
        <v>73</v>
      </c>
    </row>
    <row r="64" spans="1:1" x14ac:dyDescent="0.15">
      <c r="A64" t="s">
        <v>74</v>
      </c>
    </row>
    <row r="65" spans="1:5" x14ac:dyDescent="0.15">
      <c r="A65" t="s">
        <v>75</v>
      </c>
    </row>
    <row r="66" spans="1:5" x14ac:dyDescent="0.15">
      <c r="D66" t="s">
        <v>78</v>
      </c>
    </row>
    <row r="67" spans="1:5" x14ac:dyDescent="0.15">
      <c r="A67" t="s">
        <v>76</v>
      </c>
    </row>
    <row r="68" spans="1:5" x14ac:dyDescent="0.15">
      <c r="A68" t="s">
        <v>79</v>
      </c>
    </row>
    <row r="69" spans="1:5" x14ac:dyDescent="0.15">
      <c r="A69" t="s">
        <v>80</v>
      </c>
    </row>
    <row r="70" spans="1:5" x14ac:dyDescent="0.15">
      <c r="A70" t="s">
        <v>81</v>
      </c>
    </row>
    <row r="72" spans="1:5" x14ac:dyDescent="0.15">
      <c r="A72" t="s">
        <v>91</v>
      </c>
    </row>
    <row r="73" spans="1:5" x14ac:dyDescent="0.15">
      <c r="A73" t="s">
        <v>92</v>
      </c>
    </row>
    <row r="74" spans="1:5" x14ac:dyDescent="0.15">
      <c r="A74" s="8" t="s">
        <v>82</v>
      </c>
      <c r="B74" s="8" t="s">
        <v>87</v>
      </c>
      <c r="C74" s="8" t="s">
        <v>88</v>
      </c>
      <c r="D74" s="8" t="s">
        <v>89</v>
      </c>
      <c r="E74" s="8" t="s">
        <v>90</v>
      </c>
    </row>
    <row r="75" spans="1:5" x14ac:dyDescent="0.15">
      <c r="A75" s="8" t="s">
        <v>83</v>
      </c>
      <c r="B75" s="8">
        <v>6.13</v>
      </c>
      <c r="C75" s="10">
        <f>B75*(-9.3%)</f>
        <v>-0.5700900000000001</v>
      </c>
      <c r="D75" s="11">
        <f>B75/SUM(B75:B78)</f>
        <v>6.9015987390227435E-2</v>
      </c>
      <c r="E75" s="11">
        <f>C75/SUM(C75:C78)</f>
        <v>-3.0983330664839711E-2</v>
      </c>
    </row>
    <row r="76" spans="1:5" x14ac:dyDescent="0.15">
      <c r="A76" s="8" t="s">
        <v>84</v>
      </c>
      <c r="B76" s="8">
        <v>53.94</v>
      </c>
      <c r="C76" s="10">
        <f>21.63%*B76</f>
        <v>11.667221999999999</v>
      </c>
      <c r="D76" s="11">
        <f>B76/SUM(B75:B78)</f>
        <v>0.6072956541319523</v>
      </c>
      <c r="E76" s="11">
        <f>C76/SUM(C75:C78)</f>
        <v>0.63409180509409468</v>
      </c>
    </row>
    <row r="77" spans="1:5" x14ac:dyDescent="0.15">
      <c r="A77" s="8" t="s">
        <v>85</v>
      </c>
      <c r="B77" s="8">
        <v>17.98</v>
      </c>
      <c r="C77" s="10">
        <f>23.88%*B77</f>
        <v>4.2936239999999994</v>
      </c>
      <c r="D77" s="11">
        <f>B77/SUM(B75:B78)</f>
        <v>0.20243188471065077</v>
      </c>
      <c r="E77" s="11">
        <f>C77/SUM(C75:C78)</f>
        <v>0.23335047473643056</v>
      </c>
    </row>
    <row r="78" spans="1:5" x14ac:dyDescent="0.15">
      <c r="A78" s="8" t="s">
        <v>86</v>
      </c>
      <c r="B78" s="8">
        <v>10.77</v>
      </c>
      <c r="C78" s="10">
        <f>27.94%*B78</f>
        <v>3.0091380000000001</v>
      </c>
      <c r="D78" s="11">
        <f>B78/SUM(B75:B78)</f>
        <v>0.12125647376716957</v>
      </c>
      <c r="E78" s="11">
        <f>C78/SUM(C75:C78)</f>
        <v>0.16354105083431464</v>
      </c>
    </row>
    <row r="81" spans="1:5" x14ac:dyDescent="0.15">
      <c r="A81" s="8" t="s">
        <v>93</v>
      </c>
      <c r="B81" s="8" t="s">
        <v>87</v>
      </c>
      <c r="C81" s="8" t="s">
        <v>88</v>
      </c>
      <c r="D81" s="8" t="s">
        <v>89</v>
      </c>
      <c r="E81" s="8" t="s">
        <v>90</v>
      </c>
    </row>
    <row r="82" spans="1:5" x14ac:dyDescent="0.15">
      <c r="A82" s="8" t="s">
        <v>94</v>
      </c>
      <c r="B82" s="8">
        <v>33.729999999999997</v>
      </c>
      <c r="C82" s="10">
        <f>39.9%*B82</f>
        <v>13.458269999999997</v>
      </c>
      <c r="D82" s="11">
        <f>B82/SUM(B82:B86)</f>
        <v>0.85522312373225151</v>
      </c>
      <c r="E82" s="11">
        <f>C82/SUM(C82:C86)</f>
        <v>0.75107598768724404</v>
      </c>
    </row>
    <row r="83" spans="1:5" x14ac:dyDescent="0.15">
      <c r="A83" s="8" t="s">
        <v>95</v>
      </c>
      <c r="B83" s="8">
        <v>2.58</v>
      </c>
      <c r="C83" s="10">
        <f>98.85%*B83</f>
        <v>2.5503299999999998</v>
      </c>
      <c r="D83" s="11">
        <f>B83/SUM(B82:B86)</f>
        <v>6.5415821501014201E-2</v>
      </c>
      <c r="E83" s="11">
        <f>C83/SUM(C82:C86)</f>
        <v>0.14232822076525506</v>
      </c>
    </row>
    <row r="84" spans="1:5" x14ac:dyDescent="0.15">
      <c r="A84" s="8" t="s">
        <v>96</v>
      </c>
      <c r="B84" s="8">
        <v>3.06</v>
      </c>
      <c r="C84" s="10">
        <f>55.74%*B84</f>
        <v>1.7056440000000002</v>
      </c>
      <c r="D84" s="11">
        <f>B84/SUM(B82:B86)</f>
        <v>7.7586206896551727E-2</v>
      </c>
      <c r="E84" s="11">
        <f>C84/SUM(C82:C86)</f>
        <v>9.5188181834873431E-2</v>
      </c>
    </row>
    <row r="85" spans="1:5" x14ac:dyDescent="0.15">
      <c r="A85" s="8" t="s">
        <v>97</v>
      </c>
      <c r="B85" s="8">
        <v>-0.25</v>
      </c>
      <c r="C85" s="10">
        <f>3.19%*B85</f>
        <v>-7.9749999999999995E-3</v>
      </c>
      <c r="D85" s="11">
        <f>B85/SUM(B82:B86)</f>
        <v>-6.3387423935091286E-3</v>
      </c>
      <c r="E85" s="11">
        <f>C85/SUM(C82:C86)</f>
        <v>-4.450669366720813E-4</v>
      </c>
    </row>
    <row r="86" spans="1:5" x14ac:dyDescent="0.15">
      <c r="A86" s="8" t="s">
        <v>98</v>
      </c>
      <c r="B86" s="8">
        <v>0.32</v>
      </c>
      <c r="C86" s="10">
        <f>66.37%*B86</f>
        <v>0.21238400000000002</v>
      </c>
      <c r="D86" s="11">
        <f>B86/SUM(B82:B86)</f>
        <v>8.1135902636916835E-3</v>
      </c>
      <c r="E86" s="11">
        <f>C86/SUM(C82:C86)</f>
        <v>1.1852676649299478E-2</v>
      </c>
    </row>
    <row r="89" spans="1:5" x14ac:dyDescent="0.15">
      <c r="A89" s="8" t="s">
        <v>99</v>
      </c>
      <c r="B89" s="8" t="s">
        <v>87</v>
      </c>
      <c r="C89" s="8" t="s">
        <v>88</v>
      </c>
      <c r="D89" s="8" t="s">
        <v>89</v>
      </c>
      <c r="E89" s="8" t="s">
        <v>90</v>
      </c>
    </row>
    <row r="90" spans="1:5" x14ac:dyDescent="0.15">
      <c r="A90" s="8" t="s">
        <v>100</v>
      </c>
      <c r="B90" s="8">
        <v>12.38</v>
      </c>
      <c r="C90" s="10">
        <f>44.01%*B90</f>
        <v>5.4484380000000003</v>
      </c>
      <c r="D90" s="11">
        <f>B90/(B90+B91)</f>
        <v>0.71602082128397926</v>
      </c>
      <c r="E90" s="11">
        <f>C90/(C90+C91)</f>
        <v>0.76949665575504178</v>
      </c>
    </row>
    <row r="91" spans="1:5" x14ac:dyDescent="0.15">
      <c r="A91" s="8" t="s">
        <v>101</v>
      </c>
      <c r="B91" s="8">
        <v>4.91</v>
      </c>
      <c r="C91" s="10">
        <f>33.24%*B91</f>
        <v>1.6320840000000001</v>
      </c>
      <c r="D91" s="11">
        <f>B91/(B90+B91)</f>
        <v>0.28397917871602085</v>
      </c>
      <c r="E91" s="11">
        <f>C91/(C90+C91)</f>
        <v>0.23050334424495822</v>
      </c>
    </row>
    <row r="94" spans="1:5" x14ac:dyDescent="0.15">
      <c r="A94" s="8" t="s">
        <v>102</v>
      </c>
      <c r="B94" s="8" t="s">
        <v>87</v>
      </c>
      <c r="C94" s="8" t="s">
        <v>88</v>
      </c>
      <c r="D94" s="8" t="s">
        <v>89</v>
      </c>
      <c r="E94" s="8" t="s">
        <v>90</v>
      </c>
    </row>
    <row r="95" spans="1:5" x14ac:dyDescent="0.15">
      <c r="A95" s="8" t="s">
        <v>103</v>
      </c>
      <c r="B95" s="8">
        <v>83.33</v>
      </c>
      <c r="C95" s="10">
        <f>12.06%*B95</f>
        <v>10.049598</v>
      </c>
      <c r="D95" s="11">
        <f>B95/SUM(B95:B97)</f>
        <v>0.66451355661881972</v>
      </c>
      <c r="E95" s="11">
        <f>C95/SUM(C95:C97)</f>
        <v>0.27102790026960932</v>
      </c>
    </row>
    <row r="96" spans="1:5" x14ac:dyDescent="0.15">
      <c r="A96" s="8" t="s">
        <v>104</v>
      </c>
      <c r="B96" s="8">
        <v>24</v>
      </c>
      <c r="C96" s="10">
        <f>67.48%*B96</f>
        <v>16.1952</v>
      </c>
      <c r="D96" s="11">
        <f>B96/SUM(B95:B97)</f>
        <v>0.19138755980861244</v>
      </c>
      <c r="E96" s="11">
        <f>C96/SUM(C95:C97)</f>
        <v>0.43676881905588438</v>
      </c>
    </row>
    <row r="97" spans="1:5" x14ac:dyDescent="0.15">
      <c r="A97" s="8" t="s">
        <v>105</v>
      </c>
      <c r="B97" s="8">
        <v>18.07</v>
      </c>
      <c r="C97" s="10">
        <f>59.96%*B97</f>
        <v>10.834772000000001</v>
      </c>
      <c r="D97" s="11">
        <f>B97/SUM(B95:B97)</f>
        <v>0.14409888357256778</v>
      </c>
      <c r="E97" s="11">
        <f>C97/SUM(C95:C97)</f>
        <v>0.29220328067450618</v>
      </c>
    </row>
    <row r="99" spans="1:5" x14ac:dyDescent="0.15">
      <c r="A99" t="s">
        <v>106</v>
      </c>
    </row>
    <row r="100" spans="1:5" x14ac:dyDescent="0.15">
      <c r="A100" t="s">
        <v>107</v>
      </c>
    </row>
    <row r="101" spans="1:5" x14ac:dyDescent="0.15">
      <c r="A101" t="s">
        <v>108</v>
      </c>
    </row>
    <row r="102" spans="1:5" x14ac:dyDescent="0.15">
      <c r="A102" t="s">
        <v>109</v>
      </c>
    </row>
  </sheetData>
  <mergeCells count="1">
    <mergeCell ref="B4:C4"/>
  </mergeCells>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2018-05-08T04:05:38Z</dcterms:modified>
</cp:coreProperties>
</file>