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L:\報價資料夾\01APR-31OCT2024\"/>
    </mc:Choice>
  </mc:AlternateContent>
  <bookViews>
    <workbookView xWindow="0" yWindow="0" windowWidth="16090" windowHeight="4440" tabRatio="800" activeTab="1"/>
  </bookViews>
  <sheets>
    <sheet name="計價表" sheetId="1" r:id="rId1"/>
    <sheet name="大團報價單" sheetId="4" r:id="rId2"/>
    <sheet name="小團No FOC報價單" sheetId="2" r:id="rId3"/>
    <sheet name="換算" sheetId="3" r:id="rId4"/>
    <sheet name="Frankenland_Czech_2019" sheetId="8" r:id="rId5"/>
    <sheet name="Austria EF_2019" sheetId="9" r:id="rId6"/>
    <sheet name="EETS_Prague_2019" sheetId="15" r:id="rId7"/>
    <sheet name="HUNGARY 2017-2019" sheetId="23" r:id="rId8"/>
    <sheet name="Croatia-Slovenia-Balk 2017-2019" sheetId="25" r:id="rId9"/>
    <sheet name="Slovakian Entrance + Meal fees" sheetId="30" r:id="rId10"/>
    <sheet name="Germany LU 2020" sheetId="33" r:id="rId11"/>
    <sheet name="Germany LU 2019" sheetId="22" r:id="rId12"/>
    <sheet name="Germany Meals 2016-2017+EF 2019" sheetId="14" r:id="rId13"/>
    <sheet name="Coach_2019" sheetId="21" r:id="rId14"/>
    <sheet name="Jungfrau_2019 +Swiss meals 2018" sheetId="12" r:id="rId15"/>
    <sheet name="POLAND EF" sheetId="24" r:id="rId16"/>
    <sheet name="NH Germany 2020" sheetId="26" r:id="rId17"/>
    <sheet name="Major French+Italian entrances" sheetId="29" r:id="rId18"/>
    <sheet name="SHA_ 新大团报价单" sheetId="32" r:id="rId19"/>
    <sheet name="SHA 新小团报价单" sheetId="31" r:id="rId20"/>
  </sheets>
  <externalReferences>
    <externalReference r:id="rId21"/>
    <externalReference r:id="rId22"/>
  </externalReferences>
  <definedNames>
    <definedName name="_xlnm._FilterDatabase" localSheetId="0" hidden="1">計價表!$A$51:$N$1867</definedName>
    <definedName name="_xlnm.Print_Area" localSheetId="1">大團報價單!$A$1:$J$99</definedName>
    <definedName name="_xlnm.Print_Area" localSheetId="2">'小團No FOC報價單'!$A$1:$J$102</definedName>
    <definedName name="_xlnm.Print_Area" localSheetId="0">計價表!$A$1:$AF$397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214" i="1" l="1"/>
  <c r="M1213" i="1"/>
  <c r="M1212" i="1"/>
  <c r="M1211" i="1"/>
  <c r="L1663" i="1" l="1"/>
  <c r="L1662" i="1"/>
  <c r="L1661" i="1"/>
  <c r="L1660" i="1"/>
  <c r="L1659" i="1"/>
  <c r="L1658" i="1"/>
  <c r="L142" i="1"/>
  <c r="L143" i="1"/>
  <c r="L144" i="1"/>
  <c r="L145" i="1"/>
  <c r="L146" i="1"/>
  <c r="L141" i="1"/>
  <c r="L83" i="1" l="1"/>
  <c r="L84" i="1"/>
  <c r="L85" i="1"/>
  <c r="M1127" i="1" l="1"/>
  <c r="M1126" i="1"/>
  <c r="M694" i="1"/>
  <c r="M687" i="1"/>
  <c r="M688" i="1"/>
  <c r="M689" i="1"/>
  <c r="M690" i="1"/>
  <c r="M691" i="1"/>
  <c r="M692" i="1"/>
  <c r="M693" i="1"/>
  <c r="M686" i="1"/>
  <c r="M714" i="1"/>
  <c r="M711" i="1"/>
  <c r="M712" i="1"/>
  <c r="M713" i="1"/>
  <c r="L229" i="1"/>
  <c r="L230" i="1"/>
  <c r="L231" i="1"/>
  <c r="L232" i="1"/>
  <c r="L233" i="1"/>
  <c r="M1587" i="1" l="1"/>
  <c r="M1588" i="1"/>
  <c r="M1589" i="1"/>
  <c r="M1590" i="1"/>
  <c r="M1591" i="1"/>
  <c r="M1586" i="1"/>
  <c r="M1278" i="1" l="1"/>
  <c r="M1277" i="1"/>
  <c r="M1276" i="1"/>
  <c r="M1743" i="1" l="1"/>
  <c r="M1744" i="1"/>
  <c r="M1745" i="1"/>
  <c r="M1746" i="1"/>
  <c r="M1742" i="1"/>
  <c r="M552" i="1"/>
  <c r="M551" i="1"/>
  <c r="M1173" i="1" l="1"/>
  <c r="M1172" i="1"/>
  <c r="M1171" i="1"/>
  <c r="L1779" i="1"/>
  <c r="L1780" i="1"/>
  <c r="L1781" i="1"/>
  <c r="L1782" i="1"/>
  <c r="L1783" i="1"/>
  <c r="L1784" i="1"/>
  <c r="L1778" i="1"/>
  <c r="M887" i="1" l="1"/>
  <c r="M888" i="1"/>
  <c r="M889" i="1"/>
  <c r="M886" i="1"/>
  <c r="L1866" i="1" l="1"/>
  <c r="L1867" i="1"/>
  <c r="L1865" i="1"/>
  <c r="M285" i="1"/>
  <c r="M286" i="1"/>
  <c r="M411" i="1"/>
  <c r="M1411" i="1"/>
  <c r="L1411" i="1" s="1"/>
  <c r="M1412" i="1"/>
  <c r="L1412" i="1" s="1"/>
  <c r="M1413" i="1"/>
  <c r="L1413" i="1" s="1"/>
  <c r="M1410" i="1"/>
  <c r="L1410" i="1" s="1"/>
  <c r="L389" i="1" l="1"/>
  <c r="L390" i="1"/>
  <c r="L391" i="1"/>
  <c r="L392" i="1"/>
  <c r="L393" i="1"/>
  <c r="L394" i="1"/>
  <c r="L1827" i="1"/>
  <c r="L1828" i="1"/>
  <c r="L1829" i="1"/>
  <c r="L1826" i="1"/>
  <c r="L337" i="1"/>
  <c r="L338" i="1"/>
  <c r="L339" i="1"/>
  <c r="L340" i="1"/>
  <c r="L341" i="1"/>
  <c r="L342" i="1"/>
  <c r="L343" i="1"/>
  <c r="L336" i="1"/>
  <c r="L372" i="1"/>
  <c r="L373" i="1"/>
  <c r="L374" i="1"/>
  <c r="L375" i="1"/>
  <c r="L376" i="1"/>
  <c r="L377" i="1"/>
  <c r="L378" i="1"/>
  <c r="L371" i="1"/>
  <c r="M1752" i="1"/>
  <c r="M1753" i="1"/>
  <c r="M1751" i="1"/>
  <c r="M481" i="1" l="1"/>
  <c r="M480" i="1"/>
  <c r="M412" i="1"/>
  <c r="M410" i="1"/>
  <c r="M156" i="1"/>
  <c r="M157" i="1"/>
  <c r="M158" i="1"/>
  <c r="M159" i="1"/>
  <c r="M160" i="1"/>
  <c r="M161" i="1"/>
  <c r="M162" i="1"/>
  <c r="M163" i="1"/>
  <c r="L1796" i="1" l="1"/>
  <c r="L1797" i="1"/>
  <c r="L1798" i="1"/>
  <c r="L1799" i="1"/>
  <c r="L1795" i="1"/>
  <c r="M311" i="1"/>
  <c r="M310" i="1"/>
  <c r="M1071" i="1" l="1"/>
  <c r="M1070" i="1"/>
  <c r="M1069" i="1"/>
  <c r="M1068" i="1"/>
  <c r="M1067" i="1"/>
  <c r="M1066" i="1"/>
  <c r="M1065" i="1"/>
  <c r="M1064" i="1"/>
  <c r="M1058" i="1"/>
  <c r="M1057" i="1"/>
  <c r="M1056" i="1"/>
  <c r="M1055" i="1"/>
  <c r="M1054" i="1"/>
  <c r="M1060" i="1"/>
  <c r="M1061" i="1"/>
  <c r="M1062" i="1"/>
  <c r="M1063" i="1"/>
  <c r="M1072" i="1"/>
  <c r="M1073" i="1"/>
  <c r="M1059" i="1"/>
  <c r="M616" i="1" l="1"/>
  <c r="M615" i="1"/>
  <c r="M577" i="1"/>
  <c r="M576" i="1"/>
  <c r="M147" i="1"/>
  <c r="M148" i="1"/>
  <c r="M149" i="1"/>
  <c r="M150" i="1"/>
  <c r="M151" i="1"/>
  <c r="M1221" i="1" l="1"/>
  <c r="L356" i="1"/>
  <c r="M538" i="1"/>
  <c r="M537" i="1"/>
  <c r="L357" i="1"/>
  <c r="L387" i="1" l="1"/>
  <c r="L388" i="1"/>
  <c r="L386" i="1"/>
  <c r="L1301" i="1"/>
  <c r="L1315" i="1"/>
  <c r="L1316" i="1"/>
  <c r="L1317" i="1"/>
  <c r="L1318" i="1"/>
  <c r="L1319" i="1"/>
  <c r="L1309" i="1" l="1"/>
  <c r="L1310" i="1"/>
  <c r="L1311" i="1"/>
  <c r="L1312" i="1"/>
  <c r="M558" i="1" l="1"/>
  <c r="M169" i="1" l="1"/>
  <c r="M168" i="1"/>
  <c r="M167" i="1"/>
  <c r="M277" i="1" l="1"/>
  <c r="M278" i="1"/>
  <c r="M276" i="1"/>
  <c r="M496" i="1" l="1"/>
  <c r="M497" i="1"/>
  <c r="M495" i="1"/>
  <c r="M494" i="1"/>
  <c r="M476" i="1" l="1"/>
  <c r="M477" i="1"/>
  <c r="M478" i="1"/>
  <c r="M479" i="1"/>
  <c r="M482" i="1"/>
  <c r="M475" i="1"/>
  <c r="M1154" i="1"/>
  <c r="M1152" i="1"/>
  <c r="M1153" i="1"/>
  <c r="M1155" i="1"/>
  <c r="M1151" i="1"/>
  <c r="L280" i="1" l="1"/>
  <c r="M556" i="1" l="1"/>
  <c r="M557" i="1"/>
  <c r="M555" i="1"/>
  <c r="M1093" i="1" l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992" i="1"/>
  <c r="M993" i="1"/>
  <c r="M994" i="1"/>
  <c r="M995" i="1"/>
  <c r="M991" i="1"/>
  <c r="M198" i="1"/>
  <c r="M197" i="1"/>
  <c r="M1190" i="1"/>
  <c r="M1196" i="1"/>
  <c r="M1195" i="1"/>
  <c r="M241" i="1" l="1"/>
  <c r="M240" i="1"/>
  <c r="L1415" i="1" l="1"/>
  <c r="M1415" i="1" s="1"/>
  <c r="L1416" i="1"/>
  <c r="M1416" i="1" s="1"/>
  <c r="L1417" i="1"/>
  <c r="M1417" i="1" s="1"/>
  <c r="L1418" i="1"/>
  <c r="M1418" i="1" s="1"/>
  <c r="L1414" i="1"/>
  <c r="M1414" i="1" s="1"/>
  <c r="L1296" i="1"/>
  <c r="L1297" i="1"/>
  <c r="M1225" i="1"/>
  <c r="M563" i="1"/>
  <c r="M564" i="1"/>
  <c r="M562" i="1"/>
  <c r="M491" i="1"/>
  <c r="M492" i="1"/>
  <c r="M493" i="1"/>
  <c r="M363" i="1" l="1"/>
  <c r="M364" i="1"/>
  <c r="M365" i="1"/>
  <c r="M362" i="1"/>
  <c r="M1400" i="1" l="1"/>
  <c r="M1401" i="1"/>
  <c r="M1399" i="1"/>
  <c r="M1353" i="1" l="1"/>
  <c r="M1352" i="1"/>
  <c r="M1351" i="1"/>
  <c r="M1328" i="1"/>
  <c r="M1329" i="1"/>
  <c r="M1327" i="1"/>
  <c r="M1383" i="1" l="1"/>
  <c r="M1384" i="1"/>
  <c r="M1385" i="1"/>
  <c r="M1386" i="1"/>
  <c r="M1387" i="1"/>
  <c r="M1388" i="1"/>
  <c r="M1389" i="1"/>
  <c r="M1390" i="1"/>
  <c r="M1391" i="1"/>
  <c r="M1382" i="1"/>
  <c r="M1403" i="1"/>
  <c r="M1402" i="1"/>
  <c r="M275" i="1" l="1"/>
  <c r="M274" i="1"/>
  <c r="L70" i="1" l="1"/>
  <c r="L71" i="1"/>
  <c r="L69" i="1"/>
  <c r="M724" i="1"/>
  <c r="M582" i="1" l="1"/>
  <c r="M583" i="1"/>
  <c r="M581" i="1"/>
  <c r="M584" i="1"/>
  <c r="M484" i="1" l="1"/>
  <c r="M485" i="1"/>
  <c r="M486" i="1"/>
  <c r="M483" i="1"/>
  <c r="M1299" i="1" l="1"/>
  <c r="M1300" i="1"/>
  <c r="M1298" i="1"/>
  <c r="L350" i="1" l="1"/>
  <c r="L349" i="1"/>
  <c r="M380" i="1"/>
  <c r="M1208" i="1" l="1"/>
  <c r="M1209" i="1"/>
  <c r="M1210" i="1"/>
  <c r="M1207" i="1"/>
  <c r="M258" i="1" l="1"/>
  <c r="H111" i="1" l="1"/>
  <c r="M185" i="1" l="1"/>
  <c r="M96" i="1"/>
  <c r="M139" i="1"/>
  <c r="M611" i="1" l="1"/>
  <c r="M602" i="1"/>
  <c r="M603" i="1"/>
  <c r="M604" i="1"/>
  <c r="M605" i="1"/>
  <c r="M173" i="1" l="1"/>
  <c r="M186" i="1"/>
  <c r="M184" i="1"/>
  <c r="M183" i="1"/>
  <c r="M250" i="1"/>
  <c r="M251" i="1"/>
  <c r="M252" i="1"/>
  <c r="M253" i="1"/>
  <c r="M254" i="1"/>
  <c r="M249" i="1"/>
  <c r="L1772" i="1" l="1"/>
  <c r="L1771" i="1"/>
  <c r="H112" i="1" l="1"/>
  <c r="H113" i="1"/>
  <c r="H114" i="1"/>
  <c r="H115" i="1"/>
  <c r="L112" i="1"/>
  <c r="L114" i="1"/>
  <c r="L213" i="1"/>
  <c r="M102" i="1"/>
  <c r="M103" i="1"/>
  <c r="M104" i="1"/>
  <c r="M105" i="1"/>
  <c r="M101" i="1"/>
  <c r="M962" i="1" l="1"/>
  <c r="M963" i="1"/>
  <c r="M964" i="1"/>
  <c r="M961" i="1"/>
  <c r="L430" i="1"/>
  <c r="M180" i="1" l="1"/>
  <c r="M715" i="1" l="1"/>
  <c r="M716" i="1"/>
  <c r="M717" i="1"/>
  <c r="M718" i="1"/>
  <c r="M1620" i="1"/>
  <c r="M1619" i="1"/>
  <c r="M1437" i="1"/>
  <c r="M1436" i="1"/>
  <c r="M490" i="1" l="1"/>
  <c r="M489" i="1"/>
  <c r="M396" i="1"/>
  <c r="M395" i="1"/>
  <c r="M107" i="1" l="1"/>
  <c r="M108" i="1"/>
  <c r="M109" i="1"/>
  <c r="M110" i="1"/>
  <c r="M106" i="1"/>
  <c r="M597" i="1"/>
  <c r="L1764" i="1" l="1"/>
  <c r="L1763" i="1"/>
  <c r="L1762" i="1"/>
  <c r="L1769" i="1"/>
  <c r="L1768" i="1"/>
  <c r="M227" i="1"/>
  <c r="M226" i="1"/>
  <c r="M225" i="1"/>
  <c r="M224" i="1"/>
  <c r="M647" i="1"/>
  <c r="M646" i="1"/>
  <c r="M645" i="1"/>
  <c r="M595" i="1"/>
  <c r="M593" i="1"/>
  <c r="L214" i="1"/>
  <c r="M626" i="1"/>
  <c r="M625" i="1"/>
  <c r="M624" i="1"/>
  <c r="M644" i="1"/>
  <c r="M643" i="1"/>
  <c r="M642" i="1"/>
  <c r="M710" i="1"/>
  <c r="M709" i="1"/>
  <c r="M708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90" i="1"/>
  <c r="M789" i="1"/>
  <c r="M788" i="1"/>
  <c r="M787" i="1"/>
  <c r="J167" i="8"/>
  <c r="J166" i="8"/>
  <c r="J165" i="8"/>
  <c r="J26" i="8"/>
  <c r="J25" i="8"/>
  <c r="J24" i="8"/>
  <c r="J23" i="8"/>
  <c r="M601" i="1"/>
  <c r="M741" i="1"/>
  <c r="M554" i="1"/>
  <c r="M553" i="1"/>
  <c r="M288" i="1"/>
  <c r="M287" i="1"/>
  <c r="M289" i="1"/>
  <c r="A32" i="32"/>
  <c r="B32" i="32" s="1"/>
  <c r="A31" i="32"/>
  <c r="C31" i="32" s="1"/>
  <c r="A30" i="32"/>
  <c r="B30" i="32" s="1"/>
  <c r="A29" i="32"/>
  <c r="B29" i="32" s="1"/>
  <c r="E28" i="32"/>
  <c r="F28" i="32" s="1"/>
  <c r="A28" i="32"/>
  <c r="B28" i="32" s="1"/>
  <c r="E27" i="32"/>
  <c r="G27" i="32" s="1"/>
  <c r="A27" i="32"/>
  <c r="B27" i="32" s="1"/>
  <c r="E26" i="32"/>
  <c r="G26" i="32" s="1"/>
  <c r="A26" i="32"/>
  <c r="C26" i="32" s="1"/>
  <c r="E25" i="32"/>
  <c r="F25" i="32" s="1"/>
  <c r="A25" i="32"/>
  <c r="B25" i="32" s="1"/>
  <c r="E24" i="32"/>
  <c r="F24" i="32" s="1"/>
  <c r="A24" i="32"/>
  <c r="B24" i="32" s="1"/>
  <c r="E23" i="32"/>
  <c r="G23" i="32" s="1"/>
  <c r="A23" i="32"/>
  <c r="B23" i="32" s="1"/>
  <c r="E22" i="32"/>
  <c r="F22" i="32" s="1"/>
  <c r="A22" i="32"/>
  <c r="C22" i="32" s="1"/>
  <c r="E21" i="32"/>
  <c r="F21" i="32" s="1"/>
  <c r="A21" i="32"/>
  <c r="B21" i="32" s="1"/>
  <c r="C18" i="32"/>
  <c r="C17" i="32"/>
  <c r="H15" i="32"/>
  <c r="E15" i="32"/>
  <c r="B15" i="32"/>
  <c r="H14" i="32"/>
  <c r="E14" i="32"/>
  <c r="B14" i="32"/>
  <c r="H13" i="32"/>
  <c r="E13" i="32"/>
  <c r="B13" i="32"/>
  <c r="H12" i="32"/>
  <c r="E12" i="32"/>
  <c r="B12" i="32"/>
  <c r="H11" i="32"/>
  <c r="E11" i="32"/>
  <c r="B11" i="32"/>
  <c r="H10" i="32"/>
  <c r="E10" i="32"/>
  <c r="B10" i="32"/>
  <c r="D9" i="32"/>
  <c r="A33" i="31"/>
  <c r="B33" i="31" s="1"/>
  <c r="A32" i="31"/>
  <c r="B32" i="31" s="1"/>
  <c r="A31" i="31"/>
  <c r="B31" i="31" s="1"/>
  <c r="A30" i="31"/>
  <c r="B30" i="31" s="1"/>
  <c r="E29" i="31"/>
  <c r="F29" i="31" s="1"/>
  <c r="A29" i="31"/>
  <c r="C29" i="31" s="1"/>
  <c r="E28" i="31"/>
  <c r="F28" i="31" s="1"/>
  <c r="A28" i="31"/>
  <c r="C28" i="31" s="1"/>
  <c r="E27" i="31"/>
  <c r="G27" i="31" s="1"/>
  <c r="A27" i="31"/>
  <c r="C27" i="31" s="1"/>
  <c r="E26" i="31"/>
  <c r="F26" i="31" s="1"/>
  <c r="A26" i="31"/>
  <c r="B26" i="31" s="1"/>
  <c r="E25" i="31"/>
  <c r="F25" i="31" s="1"/>
  <c r="A25" i="31"/>
  <c r="C25" i="31" s="1"/>
  <c r="E24" i="31"/>
  <c r="F24" i="31" s="1"/>
  <c r="A24" i="31"/>
  <c r="C24" i="31" s="1"/>
  <c r="E23" i="31"/>
  <c r="G23" i="31" s="1"/>
  <c r="A23" i="31"/>
  <c r="B23" i="31" s="1"/>
  <c r="E22" i="31"/>
  <c r="F22" i="31" s="1"/>
  <c r="A22" i="31"/>
  <c r="B22" i="31" s="1"/>
  <c r="B18" i="31"/>
  <c r="B17" i="31"/>
  <c r="E16" i="31"/>
  <c r="B16" i="31"/>
  <c r="E15" i="31"/>
  <c r="B15" i="31"/>
  <c r="E14" i="31"/>
  <c r="B14" i="31"/>
  <c r="E13" i="31"/>
  <c r="B13" i="31"/>
  <c r="E12" i="31"/>
  <c r="B12" i="31"/>
  <c r="E11" i="31"/>
  <c r="B11" i="31"/>
  <c r="D10" i="31"/>
  <c r="L1307" i="1"/>
  <c r="L1303" i="1"/>
  <c r="L1314" i="1"/>
  <c r="M1825" i="1"/>
  <c r="M1803" i="1"/>
  <c r="M1802" i="1"/>
  <c r="M1804" i="1"/>
  <c r="L445" i="1"/>
  <c r="L444" i="1"/>
  <c r="L443" i="1"/>
  <c r="L446" i="1"/>
  <c r="L426" i="1"/>
  <c r="L425" i="1"/>
  <c r="L424" i="1"/>
  <c r="L427" i="1"/>
  <c r="M347" i="1"/>
  <c r="M346" i="1"/>
  <c r="M345" i="1"/>
  <c r="M128" i="1"/>
  <c r="M127" i="1"/>
  <c r="M126" i="1"/>
  <c r="L332" i="1"/>
  <c r="L331" i="1"/>
  <c r="M222" i="1"/>
  <c r="M221" i="1"/>
  <c r="M223" i="1"/>
  <c r="M200" i="1"/>
  <c r="M199" i="1"/>
  <c r="M201" i="1"/>
  <c r="L82" i="1"/>
  <c r="L81" i="1"/>
  <c r="L80" i="1"/>
  <c r="M77" i="1"/>
  <c r="M76" i="1"/>
  <c r="M78" i="1"/>
  <c r="L68" i="1"/>
  <c r="L67" i="1"/>
  <c r="L66" i="1"/>
  <c r="L65" i="1"/>
  <c r="L64" i="1"/>
  <c r="L63" i="1"/>
  <c r="L62" i="1"/>
  <c r="L61" i="1"/>
  <c r="M620" i="1"/>
  <c r="M619" i="1"/>
  <c r="M617" i="1"/>
  <c r="M1032" i="1"/>
  <c r="M1031" i="1"/>
  <c r="M1030" i="1"/>
  <c r="M1029" i="1"/>
  <c r="M1028" i="1"/>
  <c r="M1182" i="1"/>
  <c r="M1181" i="1"/>
  <c r="M1180" i="1"/>
  <c r="M1194" i="1"/>
  <c r="M1132" i="1"/>
  <c r="M1131" i="1"/>
  <c r="M1130" i="1"/>
  <c r="M1129" i="1"/>
  <c r="M1128" i="1"/>
  <c r="M1125" i="1"/>
  <c r="M1123" i="1"/>
  <c r="M1124" i="1"/>
  <c r="M1283" i="1"/>
  <c r="M1787" i="1"/>
  <c r="M1786" i="1"/>
  <c r="M1788" i="1"/>
  <c r="M1821" i="1"/>
  <c r="M1820" i="1"/>
  <c r="M1822" i="1"/>
  <c r="M1777" i="1"/>
  <c r="M1776" i="1"/>
  <c r="M1775" i="1"/>
  <c r="L423" i="1"/>
  <c r="L422" i="1"/>
  <c r="L421" i="1"/>
  <c r="L228" i="1"/>
  <c r="L1657" i="1"/>
  <c r="L1656" i="1"/>
  <c r="L1553" i="1"/>
  <c r="L1552" i="1"/>
  <c r="L1551" i="1"/>
  <c r="L1550" i="1"/>
  <c r="L1509" i="1"/>
  <c r="L1508" i="1"/>
  <c r="L1507" i="1"/>
  <c r="L1506" i="1"/>
  <c r="L1503" i="1"/>
  <c r="M528" i="1"/>
  <c r="L561" i="1"/>
  <c r="L559" i="1"/>
  <c r="L296" i="1"/>
  <c r="L295" i="1"/>
  <c r="L294" i="1"/>
  <c r="L293" i="1"/>
  <c r="M155" i="1"/>
  <c r="L1455" i="1"/>
  <c r="L1456" i="1"/>
  <c r="M304" i="1"/>
  <c r="M303" i="1"/>
  <c r="M326" i="1"/>
  <c r="M325" i="1"/>
  <c r="M124" i="1"/>
  <c r="M621" i="1"/>
  <c r="M408" i="1"/>
  <c r="M1332" i="1"/>
  <c r="M1331" i="1"/>
  <c r="M1330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L1409" i="1"/>
  <c r="L1408" i="1"/>
  <c r="L1407" i="1"/>
  <c r="L1406" i="1"/>
  <c r="L1405" i="1"/>
  <c r="L1404" i="1"/>
  <c r="M1167" i="1"/>
  <c r="M1166" i="1"/>
  <c r="M1165" i="1"/>
  <c r="M1164" i="1"/>
  <c r="M1163" i="1"/>
  <c r="M1162" i="1"/>
  <c r="M1161" i="1"/>
  <c r="M1160" i="1"/>
  <c r="M1170" i="1"/>
  <c r="M1169" i="1"/>
  <c r="M1168" i="1"/>
  <c r="M1217" i="1"/>
  <c r="M1216" i="1"/>
  <c r="M1215" i="1"/>
  <c r="M1240" i="1"/>
  <c r="M1239" i="1"/>
  <c r="M1238" i="1"/>
  <c r="M1237" i="1"/>
  <c r="M1236" i="1"/>
  <c r="M1244" i="1"/>
  <c r="M1249" i="1"/>
  <c r="M1261" i="1"/>
  <c r="M1260" i="1"/>
  <c r="M1259" i="1"/>
  <c r="M1258" i="1"/>
  <c r="M1257" i="1"/>
  <c r="M1256" i="1"/>
  <c r="M1266" i="1"/>
  <c r="M1265" i="1"/>
  <c r="M1264" i="1"/>
  <c r="M1263" i="1"/>
  <c r="M1262" i="1"/>
  <c r="M487" i="1"/>
  <c r="M580" i="1"/>
  <c r="M579" i="1"/>
  <c r="L599" i="1"/>
  <c r="L598" i="1"/>
  <c r="M567" i="1"/>
  <c r="M566" i="1"/>
  <c r="M335" i="1"/>
  <c r="M334" i="1"/>
  <c r="M333" i="1"/>
  <c r="M587" i="1"/>
  <c r="M586" i="1"/>
  <c r="M585" i="1"/>
  <c r="M1570" i="1"/>
  <c r="M1569" i="1"/>
  <c r="M1571" i="1"/>
  <c r="M1568" i="1"/>
  <c r="M260" i="1"/>
  <c r="M257" i="1"/>
  <c r="M256" i="1"/>
  <c r="M255" i="1"/>
  <c r="M488" i="1"/>
  <c r="M548" i="1"/>
  <c r="M675" i="1"/>
  <c r="M674" i="1"/>
  <c r="M673" i="1"/>
  <c r="M549" i="1"/>
  <c r="M511" i="1"/>
  <c r="M248" i="1"/>
  <c r="M247" i="1"/>
  <c r="M246" i="1"/>
  <c r="M531" i="1"/>
  <c r="M532" i="1"/>
  <c r="L1842" i="1"/>
  <c r="L1841" i="1"/>
  <c r="L1840" i="1"/>
  <c r="L1773" i="1"/>
  <c r="L1770" i="1"/>
  <c r="L431" i="1"/>
  <c r="L429" i="1"/>
  <c r="L428" i="1"/>
  <c r="L115" i="1"/>
  <c r="L113" i="1"/>
  <c r="L111" i="1"/>
  <c r="L215" i="1"/>
  <c r="L212" i="1"/>
  <c r="L211" i="1"/>
  <c r="L905" i="1"/>
  <c r="L903" i="1"/>
  <c r="L902" i="1"/>
  <c r="L901" i="1"/>
  <c r="L900" i="1"/>
  <c r="L899" i="1"/>
  <c r="M882" i="1"/>
  <c r="M881" i="1"/>
  <c r="M804" i="1"/>
  <c r="M911" i="1"/>
  <c r="M910" i="1"/>
  <c r="M909" i="1"/>
  <c r="M907" i="1"/>
  <c r="M906" i="1"/>
  <c r="M894" i="1"/>
  <c r="M1721" i="1"/>
  <c r="M1720" i="1"/>
  <c r="L1719" i="1"/>
  <c r="M1702" i="1"/>
  <c r="M1617" i="1"/>
  <c r="M1616" i="1"/>
  <c r="M1615" i="1"/>
  <c r="M1594" i="1"/>
  <c r="M1593" i="1"/>
  <c r="M1542" i="1"/>
  <c r="M1539" i="1"/>
  <c r="L1538" i="1"/>
  <c r="M1525" i="1"/>
  <c r="M1524" i="1"/>
  <c r="M1523" i="1"/>
  <c r="M1480" i="1"/>
  <c r="M1471" i="1"/>
  <c r="M1470" i="1"/>
  <c r="M1469" i="1"/>
  <c r="M1468" i="1"/>
  <c r="M1467" i="1"/>
  <c r="M1454" i="1"/>
  <c r="E1737" i="1"/>
  <c r="L1737" i="1" s="1"/>
  <c r="L1697" i="1"/>
  <c r="M1724" i="1"/>
  <c r="E1724" i="1"/>
  <c r="L1701" i="1"/>
  <c r="L1665" i="1"/>
  <c r="L1664" i="1"/>
  <c r="L1653" i="1"/>
  <c r="L1648" i="1"/>
  <c r="L1635" i="1"/>
  <c r="L1633" i="1"/>
  <c r="L1625" i="1"/>
  <c r="L1612" i="1"/>
  <c r="L1610" i="1"/>
  <c r="L1611" i="1"/>
  <c r="L1607" i="1"/>
  <c r="L1605" i="1"/>
  <c r="L1606" i="1"/>
  <c r="L1604" i="1"/>
  <c r="L1602" i="1"/>
  <c r="L1601" i="1"/>
  <c r="L1572" i="1"/>
  <c r="L1561" i="1"/>
  <c r="L1560" i="1"/>
  <c r="L1559" i="1"/>
  <c r="L1556" i="1"/>
  <c r="L1555" i="1"/>
  <c r="L1544" i="1"/>
  <c r="L1534" i="1"/>
  <c r="L1522" i="1"/>
  <c r="L1521" i="1"/>
  <c r="E1513" i="1"/>
  <c r="L1510" i="1"/>
  <c r="L1493" i="1"/>
  <c r="L1492" i="1"/>
  <c r="L1477" i="1"/>
  <c r="L1476" i="1"/>
  <c r="L1475" i="1"/>
  <c r="L1474" i="1"/>
  <c r="L1466" i="1"/>
  <c r="L1463" i="1"/>
  <c r="L1462" i="1"/>
  <c r="L1457" i="1"/>
  <c r="L1453" i="1"/>
  <c r="L1443" i="1"/>
  <c r="L1442" i="1"/>
  <c r="L1441" i="1"/>
  <c r="L1440" i="1"/>
  <c r="L1439" i="1"/>
  <c r="E1439" i="1"/>
  <c r="L1438" i="1"/>
  <c r="M684" i="1"/>
  <c r="M683" i="1"/>
  <c r="M682" i="1"/>
  <c r="M681" i="1"/>
  <c r="M680" i="1"/>
  <c r="M679" i="1"/>
  <c r="M592" i="1"/>
  <c r="M591" i="1"/>
  <c r="M590" i="1"/>
  <c r="M589" i="1"/>
  <c r="M588" i="1"/>
  <c r="M596" i="1"/>
  <c r="M594" i="1"/>
  <c r="M606" i="1"/>
  <c r="M610" i="1"/>
  <c r="M609" i="1"/>
  <c r="M608" i="1"/>
  <c r="M614" i="1"/>
  <c r="M613" i="1"/>
  <c r="M656" i="1"/>
  <c r="M654" i="1"/>
  <c r="M653" i="1"/>
  <c r="M652" i="1"/>
  <c r="M660" i="1"/>
  <c r="M659" i="1"/>
  <c r="M658" i="1"/>
  <c r="M657" i="1"/>
  <c r="M637" i="1"/>
  <c r="M635" i="1"/>
  <c r="M634" i="1"/>
  <c r="M628" i="1"/>
  <c r="M627" i="1"/>
  <c r="M650" i="1"/>
  <c r="M649" i="1"/>
  <c r="M648" i="1"/>
  <c r="M631" i="1"/>
  <c r="M630" i="1"/>
  <c r="M639" i="1"/>
  <c r="M638" i="1"/>
  <c r="M885" i="1"/>
  <c r="M884" i="1"/>
  <c r="M883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31" i="1"/>
  <c r="M830" i="1"/>
  <c r="M829" i="1"/>
  <c r="M828" i="1"/>
  <c r="M827" i="1"/>
  <c r="M826" i="1"/>
  <c r="M825" i="1"/>
  <c r="M824" i="1"/>
  <c r="M823" i="1"/>
  <c r="M822" i="1"/>
  <c r="M813" i="1"/>
  <c r="M812" i="1"/>
  <c r="M811" i="1"/>
  <c r="M810" i="1"/>
  <c r="M809" i="1"/>
  <c r="M815" i="1"/>
  <c r="M814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707" i="1"/>
  <c r="M706" i="1"/>
  <c r="M705" i="1"/>
  <c r="M704" i="1"/>
  <c r="M703" i="1"/>
  <c r="M780" i="1"/>
  <c r="M779" i="1"/>
  <c r="M778" i="1"/>
  <c r="M725" i="1"/>
  <c r="M723" i="1"/>
  <c r="M722" i="1"/>
  <c r="M721" i="1"/>
  <c r="M720" i="1"/>
  <c r="M719" i="1"/>
  <c r="M737" i="1"/>
  <c r="M736" i="1"/>
  <c r="M733" i="1"/>
  <c r="M732" i="1"/>
  <c r="M728" i="1"/>
  <c r="M727" i="1"/>
  <c r="M726" i="1"/>
  <c r="M698" i="1"/>
  <c r="M697" i="1"/>
  <c r="M696" i="1"/>
  <c r="M695" i="1"/>
  <c r="M702" i="1"/>
  <c r="M701" i="1"/>
  <c r="M700" i="1"/>
  <c r="M699" i="1"/>
  <c r="M775" i="1"/>
  <c r="M774" i="1"/>
  <c r="M759" i="1"/>
  <c r="M776" i="1"/>
  <c r="M742" i="1"/>
  <c r="M740" i="1"/>
  <c r="M739" i="1"/>
  <c r="M738" i="1"/>
  <c r="M746" i="1"/>
  <c r="M745" i="1"/>
  <c r="M744" i="1"/>
  <c r="M743" i="1"/>
  <c r="M786" i="1"/>
  <c r="M785" i="1"/>
  <c r="M784" i="1"/>
  <c r="M783" i="1"/>
  <c r="M782" i="1"/>
  <c r="M781" i="1"/>
  <c r="M757" i="1"/>
  <c r="M756" i="1"/>
  <c r="M755" i="1"/>
  <c r="M754" i="1"/>
  <c r="M753" i="1"/>
  <c r="M752" i="1"/>
  <c r="M751" i="1"/>
  <c r="M758" i="1"/>
  <c r="M75" i="1"/>
  <c r="M74" i="1"/>
  <c r="M73" i="1"/>
  <c r="M72" i="1"/>
  <c r="L284" i="1"/>
  <c r="M1179" i="1"/>
  <c r="M1178" i="1"/>
  <c r="M1177" i="1"/>
  <c r="M1176" i="1"/>
  <c r="L283" i="1"/>
  <c r="L282" i="1"/>
  <c r="L281" i="1"/>
  <c r="M1380" i="1"/>
  <c r="M1381" i="1"/>
  <c r="M1379" i="1"/>
  <c r="M1378" i="1"/>
  <c r="M1102" i="1"/>
  <c r="M1101" i="1"/>
  <c r="M1100" i="1"/>
  <c r="M1099" i="1"/>
  <c r="M1098" i="1"/>
  <c r="M1097" i="1"/>
  <c r="M1096" i="1"/>
  <c r="M1095" i="1"/>
  <c r="M1094" i="1"/>
  <c r="M1220" i="1"/>
  <c r="M1219" i="1"/>
  <c r="M1218" i="1"/>
  <c r="M1222" i="1"/>
  <c r="M1248" i="1"/>
  <c r="M1247" i="1"/>
  <c r="M1246" i="1"/>
  <c r="M1243" i="1"/>
  <c r="M1242" i="1"/>
  <c r="M1241" i="1"/>
  <c r="M1138" i="1"/>
  <c r="M1137" i="1"/>
  <c r="M1136" i="1"/>
  <c r="M1135" i="1"/>
  <c r="M1134" i="1"/>
  <c r="M1133" i="1"/>
  <c r="M1224" i="1"/>
  <c r="M1223" i="1"/>
  <c r="M1226" i="1"/>
  <c r="M1362" i="1"/>
  <c r="M1363" i="1"/>
  <c r="M1357" i="1"/>
  <c r="M1356" i="1"/>
  <c r="M1354" i="1"/>
  <c r="M1355" i="1"/>
  <c r="M1567" i="1"/>
  <c r="M1566" i="1"/>
  <c r="M1565" i="1"/>
  <c r="L945" i="1"/>
  <c r="M946" i="1"/>
  <c r="L944" i="1"/>
  <c r="L986" i="1"/>
  <c r="E977" i="1"/>
  <c r="M977" i="1" s="1"/>
  <c r="L984" i="1"/>
  <c r="L983" i="1"/>
  <c r="L982" i="1"/>
  <c r="L974" i="1"/>
  <c r="M975" i="1"/>
  <c r="L972" i="1"/>
  <c r="L971" i="1"/>
  <c r="L970" i="1"/>
  <c r="L969" i="1"/>
  <c r="L968" i="1"/>
  <c r="L953" i="1"/>
  <c r="L1819" i="1"/>
  <c r="E1792" i="1"/>
  <c r="L1792" i="1" s="1"/>
  <c r="E1791" i="1"/>
  <c r="L1791" i="1" s="1"/>
  <c r="L1757" i="1"/>
  <c r="E1794" i="1"/>
  <c r="L1794" i="1" s="1"/>
  <c r="L1793" i="1"/>
  <c r="L1790" i="1"/>
  <c r="L1789" i="1"/>
  <c r="L1774" i="1"/>
  <c r="L1854" i="1"/>
  <c r="L1748" i="1"/>
  <c r="L1853" i="1"/>
  <c r="L1750" i="1"/>
  <c r="L672" i="1"/>
  <c r="L669" i="1"/>
  <c r="L600" i="1"/>
  <c r="L578" i="1"/>
  <c r="L898" i="1"/>
  <c r="L546" i="1"/>
  <c r="L542" i="1"/>
  <c r="L524" i="1"/>
  <c r="L503" i="1"/>
  <c r="L468" i="1"/>
  <c r="M510" i="1"/>
  <c r="L516" i="1"/>
  <c r="L466" i="1"/>
  <c r="L463" i="1"/>
  <c r="L462" i="1"/>
  <c r="L457" i="1"/>
  <c r="L455" i="1"/>
  <c r="L454" i="1"/>
  <c r="L452" i="1"/>
  <c r="L433" i="1"/>
  <c r="L432" i="1"/>
  <c r="L181" i="1"/>
  <c r="E321" i="1"/>
  <c r="L291" i="1"/>
  <c r="L236" i="1"/>
  <c r="L1313" i="1"/>
  <c r="L1308" i="1"/>
  <c r="L1306" i="1"/>
  <c r="L1305" i="1"/>
  <c r="L1304" i="1"/>
  <c r="L1302" i="1"/>
  <c r="M1270" i="1"/>
  <c r="M1269" i="1"/>
  <c r="M1268" i="1"/>
  <c r="M1267" i="1"/>
  <c r="M1275" i="1"/>
  <c r="M1274" i="1"/>
  <c r="M1273" i="1"/>
  <c r="M1272" i="1"/>
  <c r="M1294" i="1"/>
  <c r="M1293" i="1"/>
  <c r="M1292" i="1"/>
  <c r="M1284" i="1"/>
  <c r="M1282" i="1"/>
  <c r="M1281" i="1"/>
  <c r="M1280" i="1"/>
  <c r="M1279" i="1"/>
  <c r="M1235" i="1"/>
  <c r="M1234" i="1"/>
  <c r="M1233" i="1"/>
  <c r="M1232" i="1"/>
  <c r="M1193" i="1"/>
  <c r="M1192" i="1"/>
  <c r="M1191" i="1"/>
  <c r="M1255" i="1"/>
  <c r="M1254" i="1"/>
  <c r="M1253" i="1"/>
  <c r="M1252" i="1"/>
  <c r="M1251" i="1"/>
  <c r="L1295" i="1"/>
  <c r="M618" i="1"/>
  <c r="M409" i="1"/>
  <c r="M407" i="1"/>
  <c r="M406" i="1"/>
  <c r="M405" i="1"/>
  <c r="M154" i="1"/>
  <c r="M153" i="1"/>
  <c r="M152" i="1"/>
  <c r="M623" i="1"/>
  <c r="M622" i="1"/>
  <c r="M177" i="1"/>
  <c r="M176" i="1"/>
  <c r="M175" i="1"/>
  <c r="M1712" i="1"/>
  <c r="M1713" i="1"/>
  <c r="M533" i="1"/>
  <c r="M534" i="1"/>
  <c r="L416" i="1"/>
  <c r="L415" i="1"/>
  <c r="L414" i="1"/>
  <c r="L413" i="1"/>
  <c r="L245" i="1"/>
  <c r="L244" i="1"/>
  <c r="L243" i="1"/>
  <c r="L242" i="1"/>
  <c r="M379" i="1"/>
  <c r="M381" i="1"/>
  <c r="M320" i="1"/>
  <c r="M319" i="1"/>
  <c r="M318" i="1"/>
  <c r="M317" i="1"/>
  <c r="M316" i="1"/>
  <c r="M315" i="1"/>
  <c r="M314" i="1"/>
  <c r="M313" i="1"/>
  <c r="M1444" i="1"/>
  <c r="L1718" i="1"/>
  <c r="L1717" i="1"/>
  <c r="L1716" i="1"/>
  <c r="L1584" i="1"/>
  <c r="L1585" i="1"/>
  <c r="L1583" i="1"/>
  <c r="L1582" i="1"/>
  <c r="L1581" i="1"/>
  <c r="L1580" i="1"/>
  <c r="M1338" i="1"/>
  <c r="M1337" i="1"/>
  <c r="M1336" i="1"/>
  <c r="M1335" i="1"/>
  <c r="M1334" i="1"/>
  <c r="M1333" i="1"/>
  <c r="M569" i="1"/>
  <c r="M568" i="1"/>
  <c r="M461" i="1"/>
  <c r="M460" i="1"/>
  <c r="M459" i="1"/>
  <c r="M509" i="1"/>
  <c r="M508" i="1"/>
  <c r="M507" i="1"/>
  <c r="M506" i="1"/>
  <c r="M123" i="1"/>
  <c r="M125" i="1"/>
  <c r="M122" i="1"/>
  <c r="M121" i="1"/>
  <c r="M166" i="1"/>
  <c r="M165" i="1"/>
  <c r="M164" i="1"/>
  <c r="M174" i="1"/>
  <c r="M172" i="1"/>
  <c r="M171" i="1"/>
  <c r="M170" i="1"/>
  <c r="M384" i="1"/>
  <c r="M383" i="1"/>
  <c r="M382" i="1"/>
  <c r="M1358" i="1"/>
  <c r="M1361" i="1"/>
  <c r="M1360" i="1"/>
  <c r="M1359" i="1"/>
  <c r="M529" i="1"/>
  <c r="M527" i="1"/>
  <c r="M526" i="1"/>
  <c r="M353" i="1"/>
  <c r="M352" i="1"/>
  <c r="M351" i="1"/>
  <c r="M239" i="1"/>
  <c r="M238" i="1"/>
  <c r="M237" i="1"/>
  <c r="M220" i="1"/>
  <c r="M219" i="1"/>
  <c r="M218" i="1"/>
  <c r="M210" i="1"/>
  <c r="M209" i="1"/>
  <c r="M208" i="1"/>
  <c r="M60" i="1"/>
  <c r="M59" i="1"/>
  <c r="M58" i="1"/>
  <c r="M57" i="1"/>
  <c r="M56" i="1"/>
  <c r="M53" i="1"/>
  <c r="M52" i="1"/>
  <c r="M97" i="1"/>
  <c r="M95" i="1"/>
  <c r="M94" i="1"/>
  <c r="M93" i="1"/>
  <c r="M92" i="1"/>
  <c r="M91" i="1"/>
  <c r="M90" i="1"/>
  <c r="M89" i="1"/>
  <c r="M88" i="1"/>
  <c r="M87" i="1"/>
  <c r="M86" i="1"/>
  <c r="M140" i="1"/>
  <c r="M138" i="1"/>
  <c r="M137" i="1"/>
  <c r="M136" i="1"/>
  <c r="M135" i="1"/>
  <c r="M134" i="1"/>
  <c r="M133" i="1"/>
  <c r="M132" i="1"/>
  <c r="M131" i="1"/>
  <c r="M130" i="1"/>
  <c r="M129" i="1"/>
  <c r="L300" i="1"/>
  <c r="L299" i="1"/>
  <c r="L298" i="1"/>
  <c r="L297" i="1"/>
  <c r="F3" i="3"/>
  <c r="G3" i="3"/>
  <c r="E3" i="3"/>
  <c r="H3" i="3"/>
  <c r="N3" i="3"/>
  <c r="K3" i="3"/>
  <c r="G28" i="3" s="1"/>
  <c r="I3" i="3"/>
  <c r="J3" i="3"/>
  <c r="J4" i="3" s="1"/>
  <c r="L3" i="3"/>
  <c r="M3" i="3"/>
  <c r="F45" i="3"/>
  <c r="G45" i="3"/>
  <c r="E45" i="3"/>
  <c r="H45" i="3"/>
  <c r="N45" i="3"/>
  <c r="K45" i="3"/>
  <c r="AD22" i="1" s="1"/>
  <c r="AD29" i="1" s="1"/>
  <c r="I45" i="3"/>
  <c r="J45" i="3"/>
  <c r="J46" i="3" s="1"/>
  <c r="L45" i="3"/>
  <c r="M45" i="3"/>
  <c r="D37" i="1"/>
  <c r="E37" i="1"/>
  <c r="F37" i="1"/>
  <c r="G37" i="1"/>
  <c r="H37" i="1"/>
  <c r="C37" i="1"/>
  <c r="I65" i="2"/>
  <c r="H63" i="2"/>
  <c r="I63" i="2"/>
  <c r="J63" i="2"/>
  <c r="I66" i="4"/>
  <c r="H66" i="4"/>
  <c r="G66" i="4"/>
  <c r="F66" i="4"/>
  <c r="E66" i="4"/>
  <c r="D66" i="4"/>
  <c r="C66" i="4"/>
  <c r="F76" i="4"/>
  <c r="E76" i="4"/>
  <c r="C76" i="4"/>
  <c r="B76" i="4"/>
  <c r="I75" i="4"/>
  <c r="H75" i="4"/>
  <c r="F75" i="4"/>
  <c r="E75" i="4"/>
  <c r="C75" i="4"/>
  <c r="B75" i="4"/>
  <c r="I74" i="4"/>
  <c r="H74" i="4"/>
  <c r="F74" i="4"/>
  <c r="E74" i="4"/>
  <c r="C74" i="4"/>
  <c r="B74" i="4"/>
  <c r="I73" i="4"/>
  <c r="H73" i="4"/>
  <c r="F73" i="4"/>
  <c r="E73" i="4"/>
  <c r="C73" i="4"/>
  <c r="B73" i="4"/>
  <c r="I72" i="4"/>
  <c r="H72" i="4"/>
  <c r="F72" i="4"/>
  <c r="E72" i="4"/>
  <c r="C72" i="4"/>
  <c r="B72" i="4"/>
  <c r="I71" i="4"/>
  <c r="H71" i="4"/>
  <c r="F71" i="4"/>
  <c r="E71" i="4"/>
  <c r="C71" i="4"/>
  <c r="B71" i="4"/>
  <c r="I70" i="4"/>
  <c r="H70" i="4"/>
  <c r="F70" i="4"/>
  <c r="E70" i="4"/>
  <c r="C70" i="4"/>
  <c r="B70" i="4"/>
  <c r="F64" i="4"/>
  <c r="I63" i="4"/>
  <c r="H63" i="4"/>
  <c r="G63" i="4"/>
  <c r="F63" i="4"/>
  <c r="E63" i="4"/>
  <c r="D63" i="4"/>
  <c r="C63" i="4"/>
  <c r="I60" i="4"/>
  <c r="H60" i="4"/>
  <c r="C60" i="4"/>
  <c r="C58" i="4"/>
  <c r="C57" i="4"/>
  <c r="C56" i="4"/>
  <c r="A50" i="4"/>
  <c r="B49" i="4"/>
  <c r="A49" i="4"/>
  <c r="A48" i="4"/>
  <c r="B47" i="4"/>
  <c r="A47" i="4"/>
  <c r="A46" i="4"/>
  <c r="B45" i="4"/>
  <c r="A45" i="4"/>
  <c r="A44" i="4"/>
  <c r="B43" i="4"/>
  <c r="A43" i="4"/>
  <c r="A42" i="4"/>
  <c r="B41" i="4"/>
  <c r="A41" i="4"/>
  <c r="A40" i="4"/>
  <c r="B39" i="4"/>
  <c r="A39" i="4"/>
  <c r="A38" i="4"/>
  <c r="B37" i="4"/>
  <c r="A37" i="4"/>
  <c r="A36" i="4"/>
  <c r="B35" i="4"/>
  <c r="A35" i="4"/>
  <c r="A34" i="4"/>
  <c r="B33" i="4"/>
  <c r="A33" i="4"/>
  <c r="A32" i="4"/>
  <c r="B31" i="4"/>
  <c r="A31" i="4"/>
  <c r="A30" i="4"/>
  <c r="B29" i="4"/>
  <c r="A29" i="4"/>
  <c r="A28" i="4"/>
  <c r="B27" i="4"/>
  <c r="A27" i="4"/>
  <c r="A26" i="4"/>
  <c r="B25" i="4"/>
  <c r="A25" i="4"/>
  <c r="A24" i="4"/>
  <c r="B23" i="4"/>
  <c r="A23" i="4"/>
  <c r="A22" i="4"/>
  <c r="B21" i="4"/>
  <c r="A21" i="4"/>
  <c r="A20" i="4"/>
  <c r="B19" i="4"/>
  <c r="A19" i="4"/>
  <c r="A18" i="4"/>
  <c r="B17" i="4"/>
  <c r="A17" i="4"/>
  <c r="A16" i="4"/>
  <c r="B15" i="4"/>
  <c r="A15" i="4"/>
  <c r="A14" i="4"/>
  <c r="B13" i="4"/>
  <c r="A13" i="4"/>
  <c r="A12" i="4"/>
  <c r="B11" i="4"/>
  <c r="A11" i="4"/>
  <c r="D65" i="2"/>
  <c r="E65" i="2"/>
  <c r="G63" i="2"/>
  <c r="A11" i="2"/>
  <c r="B11" i="2"/>
  <c r="A12" i="2"/>
  <c r="A13" i="2"/>
  <c r="B13" i="2"/>
  <c r="A14" i="2"/>
  <c r="A15" i="2"/>
  <c r="B15" i="2"/>
  <c r="A16" i="2"/>
  <c r="A17" i="2"/>
  <c r="B17" i="2"/>
  <c r="A18" i="2"/>
  <c r="A19" i="2"/>
  <c r="B19" i="2"/>
  <c r="A20" i="2"/>
  <c r="A21" i="2"/>
  <c r="B21" i="2"/>
  <c r="A22" i="2"/>
  <c r="A23" i="2"/>
  <c r="B23" i="2"/>
  <c r="A24" i="2"/>
  <c r="A25" i="2"/>
  <c r="B25" i="2"/>
  <c r="A26" i="2"/>
  <c r="A27" i="2"/>
  <c r="B27" i="2"/>
  <c r="A28" i="2"/>
  <c r="A29" i="2"/>
  <c r="B29" i="2"/>
  <c r="A30" i="2"/>
  <c r="A31" i="2"/>
  <c r="B31" i="2"/>
  <c r="A32" i="2"/>
  <c r="A33" i="2"/>
  <c r="B33" i="2"/>
  <c r="A34" i="2"/>
  <c r="A35" i="2"/>
  <c r="B35" i="2"/>
  <c r="A36" i="2"/>
  <c r="A37" i="2"/>
  <c r="B37" i="2"/>
  <c r="A38" i="2"/>
  <c r="A39" i="2"/>
  <c r="B39" i="2"/>
  <c r="A40" i="2"/>
  <c r="A41" i="2"/>
  <c r="B41" i="2"/>
  <c r="A42" i="2"/>
  <c r="A43" i="2"/>
  <c r="B43" i="2"/>
  <c r="A44" i="2"/>
  <c r="A45" i="2"/>
  <c r="B45" i="2"/>
  <c r="A46" i="2"/>
  <c r="A47" i="2"/>
  <c r="B47" i="2"/>
  <c r="A48" i="2"/>
  <c r="A49" i="2"/>
  <c r="B49" i="2"/>
  <c r="A50" i="2"/>
  <c r="C56" i="2"/>
  <c r="C57" i="2"/>
  <c r="C58" i="2"/>
  <c r="C60" i="2"/>
  <c r="H60" i="2"/>
  <c r="I60" i="2"/>
  <c r="F63" i="2"/>
  <c r="E63" i="2"/>
  <c r="D63" i="2"/>
  <c r="C63" i="2"/>
  <c r="H65" i="2"/>
  <c r="G65" i="2"/>
  <c r="F65" i="2"/>
  <c r="F66" i="2"/>
  <c r="B70" i="2"/>
  <c r="C70" i="2"/>
  <c r="E70" i="2"/>
  <c r="F70" i="2"/>
  <c r="H70" i="2"/>
  <c r="I70" i="2"/>
  <c r="B71" i="2"/>
  <c r="C71" i="2"/>
  <c r="E71" i="2"/>
  <c r="F71" i="2"/>
  <c r="H71" i="2"/>
  <c r="I71" i="2"/>
  <c r="B72" i="2"/>
  <c r="C72" i="2"/>
  <c r="E72" i="2"/>
  <c r="F72" i="2"/>
  <c r="H72" i="2"/>
  <c r="I72" i="2"/>
  <c r="B73" i="2"/>
  <c r="C73" i="2"/>
  <c r="E73" i="2"/>
  <c r="F73" i="2"/>
  <c r="H73" i="2"/>
  <c r="I73" i="2"/>
  <c r="B74" i="2"/>
  <c r="C74" i="2"/>
  <c r="E74" i="2"/>
  <c r="F74" i="2"/>
  <c r="H74" i="2"/>
  <c r="I74" i="2"/>
  <c r="B75" i="2"/>
  <c r="C75" i="2"/>
  <c r="E75" i="2"/>
  <c r="F75" i="2"/>
  <c r="H75" i="2"/>
  <c r="I75" i="2"/>
  <c r="B76" i="2"/>
  <c r="C76" i="2"/>
  <c r="E76" i="2"/>
  <c r="F76" i="2"/>
  <c r="G22" i="32" l="1"/>
  <c r="C27" i="32"/>
  <c r="C31" i="31"/>
  <c r="G26" i="31"/>
  <c r="B29" i="31"/>
  <c r="G28" i="32"/>
  <c r="G28" i="31"/>
  <c r="G24" i="31"/>
  <c r="B25" i="31"/>
  <c r="C23" i="32"/>
  <c r="M22" i="1"/>
  <c r="M29" i="1" s="1"/>
  <c r="H10" i="3"/>
  <c r="R19" i="3"/>
  <c r="F46" i="3"/>
  <c r="E50" i="3" s="1"/>
  <c r="C10" i="3"/>
  <c r="F4" i="3"/>
  <c r="L35" i="3" s="1"/>
  <c r="C32" i="32"/>
  <c r="G24" i="32"/>
  <c r="B26" i="32"/>
  <c r="F27" i="32"/>
  <c r="I4" i="3"/>
  <c r="F11" i="3" s="1"/>
  <c r="E4" i="3"/>
  <c r="N36" i="3" s="1"/>
  <c r="D4" i="3"/>
  <c r="N37" i="3" s="1"/>
  <c r="C33" i="31"/>
  <c r="B27" i="31"/>
  <c r="C29" i="32"/>
  <c r="C25" i="32"/>
  <c r="C21" i="32"/>
  <c r="B24" i="31"/>
  <c r="O45" i="3"/>
  <c r="E46" i="3"/>
  <c r="D51" i="3" s="1"/>
  <c r="H4" i="3"/>
  <c r="H46" i="3"/>
  <c r="F28" i="3"/>
  <c r="O3" i="3"/>
  <c r="G10" i="3"/>
  <c r="E28" i="3"/>
  <c r="D10" i="3"/>
  <c r="H28" i="3"/>
  <c r="C28" i="3"/>
  <c r="K28" i="3"/>
  <c r="I46" i="3"/>
  <c r="P53" i="3" s="1"/>
  <c r="J28" i="3"/>
  <c r="I28" i="3"/>
  <c r="D28" i="3"/>
  <c r="B28" i="31"/>
  <c r="B22" i="32"/>
  <c r="F23" i="32"/>
  <c r="G22" i="31"/>
  <c r="F27" i="31"/>
  <c r="B31" i="32"/>
  <c r="F23" i="31"/>
  <c r="G25" i="31"/>
  <c r="G29" i="31"/>
  <c r="C24" i="32"/>
  <c r="F26" i="32"/>
  <c r="C28" i="32"/>
  <c r="C22" i="31"/>
  <c r="C23" i="31"/>
  <c r="C26" i="31"/>
  <c r="C30" i="31"/>
  <c r="C32" i="31"/>
  <c r="G21" i="32"/>
  <c r="G25" i="32"/>
  <c r="C30" i="32"/>
  <c r="I36" i="3" l="1"/>
  <c r="C17" i="3"/>
  <c r="E11" i="3"/>
  <c r="S37" i="3"/>
  <c r="E51" i="3"/>
  <c r="T35" i="3"/>
  <c r="C26" i="3"/>
  <c r="C18" i="3"/>
  <c r="D17" i="3"/>
  <c r="I35" i="3"/>
  <c r="H36" i="3"/>
  <c r="F17" i="3"/>
  <c r="D35" i="3"/>
  <c r="P27" i="3"/>
  <c r="P17" i="3"/>
  <c r="H19" i="3"/>
  <c r="O18" i="3"/>
  <c r="D50" i="3"/>
  <c r="R26" i="3"/>
  <c r="J8" i="3"/>
  <c r="K35" i="3"/>
  <c r="N50" i="3"/>
  <c r="P50" i="3"/>
  <c r="E27" i="3"/>
  <c r="R35" i="3"/>
  <c r="J26" i="3"/>
  <c r="O19" i="3"/>
  <c r="E35" i="3"/>
  <c r="N28" i="3"/>
  <c r="H50" i="3"/>
  <c r="K18" i="3"/>
  <c r="G36" i="3"/>
  <c r="D8" i="3"/>
  <c r="O17" i="3"/>
  <c r="F26" i="3"/>
  <c r="R50" i="3"/>
  <c r="G8" i="3"/>
  <c r="H8" i="3"/>
  <c r="E26" i="3"/>
  <c r="Q50" i="3"/>
  <c r="K17" i="3"/>
  <c r="H26" i="3"/>
  <c r="M17" i="3"/>
  <c r="Q17" i="3"/>
  <c r="G17" i="3"/>
  <c r="I8" i="3"/>
  <c r="J50" i="3"/>
  <c r="H35" i="3"/>
  <c r="H17" i="3"/>
  <c r="P18" i="3"/>
  <c r="I10" i="3"/>
  <c r="D27" i="3"/>
  <c r="L28" i="3"/>
  <c r="M19" i="3"/>
  <c r="R27" i="3"/>
  <c r="D9" i="3"/>
  <c r="H27" i="3"/>
  <c r="R28" i="3"/>
  <c r="U36" i="3"/>
  <c r="L27" i="3"/>
  <c r="F35" i="3"/>
  <c r="I17" i="3"/>
  <c r="G35" i="3"/>
  <c r="K26" i="3"/>
  <c r="M35" i="3"/>
  <c r="L26" i="3"/>
  <c r="I50" i="3"/>
  <c r="M26" i="3"/>
  <c r="O35" i="3"/>
  <c r="E8" i="3"/>
  <c r="L17" i="3"/>
  <c r="N17" i="3"/>
  <c r="N35" i="3"/>
  <c r="S35" i="3"/>
  <c r="P35" i="3"/>
  <c r="M50" i="3"/>
  <c r="F50" i="3"/>
  <c r="O50" i="3"/>
  <c r="C50" i="3"/>
  <c r="E17" i="3"/>
  <c r="J17" i="3"/>
  <c r="R17" i="3"/>
  <c r="F8" i="3"/>
  <c r="I26" i="3"/>
  <c r="D26" i="3"/>
  <c r="C35" i="3"/>
  <c r="G26" i="3"/>
  <c r="Q35" i="3"/>
  <c r="I20" i="3"/>
  <c r="P20" i="3"/>
  <c r="Q26" i="3"/>
  <c r="O26" i="3"/>
  <c r="J35" i="3"/>
  <c r="C8" i="3"/>
  <c r="C38" i="3"/>
  <c r="K50" i="3"/>
  <c r="G50" i="3"/>
  <c r="P26" i="3"/>
  <c r="N26" i="3"/>
  <c r="U35" i="3"/>
  <c r="I18" i="3"/>
  <c r="F10" i="3"/>
  <c r="F27" i="3"/>
  <c r="Q36" i="3"/>
  <c r="F18" i="3"/>
  <c r="S36" i="3"/>
  <c r="D37" i="3"/>
  <c r="J10" i="3"/>
  <c r="Q19" i="3"/>
  <c r="J36" i="3"/>
  <c r="O27" i="3"/>
  <c r="O36" i="3"/>
  <c r="K36" i="3"/>
  <c r="L36" i="3"/>
  <c r="J27" i="3"/>
  <c r="C36" i="3"/>
  <c r="H9" i="3"/>
  <c r="F36" i="3"/>
  <c r="C27" i="3"/>
  <c r="Q27" i="3"/>
  <c r="J18" i="3"/>
  <c r="M37" i="3"/>
  <c r="O38" i="3"/>
  <c r="Q38" i="3"/>
  <c r="T38" i="3"/>
  <c r="G20" i="3"/>
  <c r="E20" i="3"/>
  <c r="I37" i="3"/>
  <c r="O29" i="3"/>
  <c r="N38" i="3"/>
  <c r="D38" i="3"/>
  <c r="F38" i="3"/>
  <c r="O20" i="3"/>
  <c r="J11" i="3"/>
  <c r="L37" i="3"/>
  <c r="G4" i="3"/>
  <c r="F19" i="3" s="1"/>
  <c r="P19" i="3"/>
  <c r="C9" i="3"/>
  <c r="U37" i="3"/>
  <c r="R36" i="3"/>
  <c r="N27" i="3"/>
  <c r="K19" i="3"/>
  <c r="G27" i="3"/>
  <c r="D36" i="3"/>
  <c r="E10" i="3"/>
  <c r="N18" i="3"/>
  <c r="Q18" i="3"/>
  <c r="G18" i="3"/>
  <c r="I9" i="3"/>
  <c r="T37" i="3"/>
  <c r="C37" i="3"/>
  <c r="Q28" i="3"/>
  <c r="R37" i="3"/>
  <c r="E37" i="3"/>
  <c r="P28" i="3"/>
  <c r="N19" i="3"/>
  <c r="O28" i="3"/>
  <c r="I19" i="3"/>
  <c r="J19" i="3"/>
  <c r="M28" i="3"/>
  <c r="T36" i="3"/>
  <c r="F9" i="3"/>
  <c r="M18" i="3"/>
  <c r="I27" i="3"/>
  <c r="Q37" i="3"/>
  <c r="L19" i="3"/>
  <c r="J9" i="3"/>
  <c r="M36" i="3"/>
  <c r="E18" i="3"/>
  <c r="P36" i="3"/>
  <c r="E36" i="3"/>
  <c r="H18" i="3"/>
  <c r="D18" i="3"/>
  <c r="R18" i="3"/>
  <c r="E9" i="3"/>
  <c r="L18" i="3"/>
  <c r="K27" i="3"/>
  <c r="G9" i="3"/>
  <c r="M27" i="3"/>
  <c r="H11" i="3"/>
  <c r="F20" i="3"/>
  <c r="P38" i="3"/>
  <c r="G29" i="3"/>
  <c r="P37" i="3"/>
  <c r="F29" i="3"/>
  <c r="D20" i="3"/>
  <c r="S38" i="3"/>
  <c r="L29" i="3"/>
  <c r="U38" i="3"/>
  <c r="C11" i="3"/>
  <c r="J29" i="3"/>
  <c r="L20" i="3"/>
  <c r="L38" i="3"/>
  <c r="K37" i="3"/>
  <c r="F53" i="3"/>
  <c r="D53" i="3"/>
  <c r="O37" i="3"/>
  <c r="E38" i="3"/>
  <c r="E29" i="3"/>
  <c r="I11" i="3"/>
  <c r="G38" i="3"/>
  <c r="R38" i="3"/>
  <c r="P29" i="3"/>
  <c r="K29" i="3"/>
  <c r="J20" i="3"/>
  <c r="Q20" i="3"/>
  <c r="F37" i="3"/>
  <c r="J37" i="3"/>
  <c r="D11" i="3"/>
  <c r="M29" i="3"/>
  <c r="I38" i="3"/>
  <c r="K38" i="3"/>
  <c r="M20" i="3"/>
  <c r="C20" i="3"/>
  <c r="H37" i="3"/>
  <c r="H20" i="3"/>
  <c r="R29" i="3"/>
  <c r="J38" i="3"/>
  <c r="N29" i="3"/>
  <c r="C29" i="3"/>
  <c r="I29" i="3"/>
  <c r="D29" i="3"/>
  <c r="G11" i="3"/>
  <c r="N20" i="3"/>
  <c r="M38" i="3"/>
  <c r="K20" i="3"/>
  <c r="H38" i="3"/>
  <c r="H29" i="3"/>
  <c r="R20" i="3"/>
  <c r="Q29" i="3"/>
  <c r="G37" i="3"/>
  <c r="M53" i="3"/>
  <c r="O53" i="3"/>
  <c r="K51" i="3"/>
  <c r="I51" i="3"/>
  <c r="G51" i="3"/>
  <c r="K53" i="3"/>
  <c r="G53" i="3"/>
  <c r="N53" i="3"/>
  <c r="I53" i="3"/>
  <c r="M51" i="3"/>
  <c r="R52" i="3"/>
  <c r="O51" i="3"/>
  <c r="N51" i="3"/>
  <c r="J51" i="3"/>
  <c r="P51" i="3"/>
  <c r="C51" i="3"/>
  <c r="F51" i="3"/>
  <c r="G46" i="3"/>
  <c r="P52" i="3" s="1"/>
  <c r="Q51" i="3"/>
  <c r="H51" i="3"/>
  <c r="R51" i="3"/>
  <c r="R53" i="3"/>
  <c r="C53" i="3"/>
  <c r="H53" i="3"/>
  <c r="Q53" i="3"/>
  <c r="E53" i="3"/>
  <c r="E54" i="3" s="1"/>
  <c r="E55" i="3" s="1"/>
  <c r="J53" i="3"/>
  <c r="D54" i="3" l="1"/>
  <c r="D55" i="3" s="1"/>
  <c r="AA22" i="1" s="1"/>
  <c r="AA29" i="1" s="1"/>
  <c r="E30" i="3"/>
  <c r="N29" i="1" s="1"/>
  <c r="D30" i="3"/>
  <c r="O27" i="1" s="1"/>
  <c r="C30" i="3"/>
  <c r="N27" i="1" s="1"/>
  <c r="H12" i="3"/>
  <c r="H13" i="3" s="1"/>
  <c r="D22" i="1" s="1"/>
  <c r="D29" i="1" s="1"/>
  <c r="H39" i="3"/>
  <c r="H40" i="3" s="1"/>
  <c r="C54" i="3"/>
  <c r="C55" i="3" s="1"/>
  <c r="AB22" i="1" s="1"/>
  <c r="AB29" i="1" s="1"/>
  <c r="D12" i="3"/>
  <c r="D13" i="3" s="1"/>
  <c r="H22" i="1" s="1"/>
  <c r="H29" i="1" s="1"/>
  <c r="S39" i="3"/>
  <c r="S40" i="3" s="1"/>
  <c r="O21" i="3"/>
  <c r="O22" i="3" s="1"/>
  <c r="O23" i="1" s="1"/>
  <c r="O30" i="3"/>
  <c r="O31" i="3" s="1"/>
  <c r="F12" i="3"/>
  <c r="F13" i="3" s="1"/>
  <c r="F22" i="1" s="1"/>
  <c r="F29" i="1" s="1"/>
  <c r="H30" i="3"/>
  <c r="N31" i="1" s="1"/>
  <c r="L30" i="3"/>
  <c r="L31" i="3" s="1"/>
  <c r="G39" i="3"/>
  <c r="G40" i="3" s="1"/>
  <c r="R30" i="3"/>
  <c r="P29" i="1" s="1"/>
  <c r="P30" i="3"/>
  <c r="Q27" i="1" s="1"/>
  <c r="J30" i="3"/>
  <c r="J31" i="3" s="1"/>
  <c r="F30" i="3"/>
  <c r="O29" i="1" s="1"/>
  <c r="I21" i="3"/>
  <c r="I22" i="3" s="1"/>
  <c r="K29" i="1" s="1"/>
  <c r="N39" i="3"/>
  <c r="N40" i="3" s="1"/>
  <c r="O39" i="3"/>
  <c r="O40" i="3" s="1"/>
  <c r="E12" i="3"/>
  <c r="E13" i="3" s="1"/>
  <c r="G22" i="1" s="1"/>
  <c r="G29" i="1" s="1"/>
  <c r="P21" i="3"/>
  <c r="P22" i="3" s="1"/>
  <c r="N25" i="1" s="1"/>
  <c r="G19" i="3"/>
  <c r="G21" i="3" s="1"/>
  <c r="G22" i="3" s="1"/>
  <c r="K27" i="1" s="1"/>
  <c r="Q30" i="3"/>
  <c r="Q31" i="3" s="1"/>
  <c r="K21" i="3"/>
  <c r="K22" i="3" s="1"/>
  <c r="K31" i="1" s="1"/>
  <c r="N21" i="3"/>
  <c r="N22" i="3" s="1"/>
  <c r="N23" i="1" s="1"/>
  <c r="H21" i="3"/>
  <c r="H22" i="3" s="1"/>
  <c r="J22" i="1" s="1"/>
  <c r="J29" i="1" s="1"/>
  <c r="L21" i="3"/>
  <c r="L22" i="3" s="1"/>
  <c r="L31" i="1" s="1"/>
  <c r="J12" i="3"/>
  <c r="J13" i="3" s="1"/>
  <c r="Q39" i="3"/>
  <c r="Q40" i="3" s="1"/>
  <c r="C39" i="3"/>
  <c r="C40" i="3" s="1"/>
  <c r="M21" i="3"/>
  <c r="M22" i="3" s="1"/>
  <c r="J21" i="3"/>
  <c r="J22" i="3" s="1"/>
  <c r="L29" i="1" s="1"/>
  <c r="N30" i="3"/>
  <c r="Q25" i="1" s="1"/>
  <c r="L39" i="3"/>
  <c r="L40" i="3" s="1"/>
  <c r="I54" i="3"/>
  <c r="I55" i="3" s="1"/>
  <c r="I58" i="3" s="1"/>
  <c r="K39" i="3"/>
  <c r="K40" i="3" s="1"/>
  <c r="Q21" i="3"/>
  <c r="Q22" i="3" s="1"/>
  <c r="O25" i="1" s="1"/>
  <c r="K30" i="3"/>
  <c r="Q23" i="1" s="1"/>
  <c r="R39" i="3"/>
  <c r="R40" i="3" s="1"/>
  <c r="I12" i="3"/>
  <c r="I13" i="3" s="1"/>
  <c r="C22" i="1" s="1"/>
  <c r="C29" i="1" s="1"/>
  <c r="E39" i="3"/>
  <c r="E40" i="3" s="1"/>
  <c r="U39" i="3"/>
  <c r="U40" i="3" s="1"/>
  <c r="G30" i="3"/>
  <c r="G31" i="3" s="1"/>
  <c r="R21" i="3"/>
  <c r="R22" i="3" s="1"/>
  <c r="P39" i="3"/>
  <c r="P40" i="3" s="1"/>
  <c r="M39" i="3"/>
  <c r="M40" i="3" s="1"/>
  <c r="T39" i="3"/>
  <c r="T40" i="3" s="1"/>
  <c r="D39" i="3"/>
  <c r="D40" i="3" s="1"/>
  <c r="J39" i="3"/>
  <c r="J40" i="3" s="1"/>
  <c r="I30" i="3"/>
  <c r="O31" i="1" s="1"/>
  <c r="M30" i="3"/>
  <c r="P25" i="1" s="1"/>
  <c r="C12" i="3"/>
  <c r="C13" i="3" s="1"/>
  <c r="I22" i="1" s="1"/>
  <c r="I29" i="1" s="1"/>
  <c r="I39" i="3"/>
  <c r="I40" i="3" s="1"/>
  <c r="F21" i="3"/>
  <c r="F22" i="3" s="1"/>
  <c r="L25" i="1" s="1"/>
  <c r="D19" i="3"/>
  <c r="D21" i="3" s="1"/>
  <c r="D22" i="3" s="1"/>
  <c r="L23" i="1" s="1"/>
  <c r="F54" i="3"/>
  <c r="F55" i="3" s="1"/>
  <c r="F58" i="3" s="1"/>
  <c r="F39" i="3"/>
  <c r="F40" i="3" s="1"/>
  <c r="C19" i="3"/>
  <c r="C21" i="3" s="1"/>
  <c r="C22" i="3" s="1"/>
  <c r="K23" i="1" s="1"/>
  <c r="E19" i="3"/>
  <c r="E21" i="3" s="1"/>
  <c r="E22" i="3" s="1"/>
  <c r="K25" i="1" s="1"/>
  <c r="G54" i="3"/>
  <c r="G55" i="3" s="1"/>
  <c r="G58" i="3" s="1"/>
  <c r="G12" i="3"/>
  <c r="G13" i="3" s="1"/>
  <c r="E22" i="1" s="1"/>
  <c r="E29" i="1" s="1"/>
  <c r="K54" i="3"/>
  <c r="K55" i="3" s="1"/>
  <c r="T22" i="1" s="1"/>
  <c r="T29" i="1" s="1"/>
  <c r="R54" i="3"/>
  <c r="R55" i="3" s="1"/>
  <c r="R58" i="3" s="1"/>
  <c r="O52" i="3"/>
  <c r="O54" i="3" s="1"/>
  <c r="O55" i="3" s="1"/>
  <c r="O58" i="3" s="1"/>
  <c r="J54" i="3"/>
  <c r="J55" i="3" s="1"/>
  <c r="J58" i="3" s="1"/>
  <c r="H54" i="3"/>
  <c r="H55" i="3" s="1"/>
  <c r="W22" i="1" s="1"/>
  <c r="W29" i="1" s="1"/>
  <c r="P54" i="3"/>
  <c r="P55" i="3" s="1"/>
  <c r="AF22" i="1" s="1"/>
  <c r="AF29" i="1" s="1"/>
  <c r="N52" i="3"/>
  <c r="N54" i="3" s="1"/>
  <c r="N55" i="3" s="1"/>
  <c r="AH22" i="1" s="1"/>
  <c r="AH29" i="1" s="1"/>
  <c r="Q52" i="3"/>
  <c r="Q54" i="3" s="1"/>
  <c r="Q55" i="3" s="1"/>
  <c r="AE22" i="1" s="1"/>
  <c r="AE29" i="1" s="1"/>
  <c r="M52" i="3"/>
  <c r="M54" i="3" s="1"/>
  <c r="M55" i="3" s="1"/>
  <c r="AI22" i="1" s="1"/>
  <c r="AI29" i="1" s="1"/>
  <c r="E58" i="3"/>
  <c r="Z22" i="1"/>
  <c r="Z29" i="1" s="1"/>
  <c r="L27" i="1" l="1"/>
  <c r="R31" i="3"/>
  <c r="C31" i="3"/>
  <c r="D58" i="3"/>
  <c r="P31" i="1"/>
  <c r="P23" i="1"/>
  <c r="E31" i="3"/>
  <c r="Y22" i="1"/>
  <c r="Y29" i="1" s="1"/>
  <c r="Q29" i="1"/>
  <c r="C58" i="3"/>
  <c r="F31" i="3"/>
  <c r="P31" i="3"/>
  <c r="H31" i="3"/>
  <c r="D31" i="3"/>
  <c r="M31" i="3"/>
  <c r="P27" i="1"/>
  <c r="N31" i="3"/>
  <c r="V22" i="1"/>
  <c r="V29" i="1" s="1"/>
  <c r="K31" i="3"/>
  <c r="I31" i="3"/>
  <c r="AC22" i="1"/>
  <c r="AC29" i="1" s="1"/>
  <c r="Q31" i="1"/>
  <c r="P58" i="3"/>
  <c r="K58" i="3"/>
  <c r="AG22" i="1"/>
  <c r="AG29" i="1" s="1"/>
  <c r="U22" i="1"/>
  <c r="U29" i="1" s="1"/>
  <c r="N58" i="3"/>
  <c r="H58" i="3"/>
  <c r="X22" i="1"/>
  <c r="X29" i="1" s="1"/>
  <c r="M58" i="3"/>
  <c r="Q58" i="3"/>
</calcChain>
</file>

<file path=xl/comments1.xml><?xml version="1.0" encoding="utf-8"?>
<comments xmlns="http://schemas.openxmlformats.org/spreadsheetml/2006/main">
  <authors>
    <author>fanny</author>
    <author>eetsuser</author>
    <author>eup01user</author>
  </authors>
  <commentList>
    <comment ref="E3" authorId="0" shapeId="0">
      <text>
        <r>
          <rPr>
            <b/>
            <sz val="10"/>
            <color indexed="81"/>
            <rFont val="Tahoma"/>
            <family val="2"/>
          </rPr>
          <t>fanny:</t>
        </r>
        <r>
          <rPr>
            <sz val="10"/>
            <color indexed="81"/>
            <rFont val="Tahoma"/>
            <family val="2"/>
          </rPr>
          <t xml:space="preserve">
EETS Vertragsprices</t>
        </r>
      </text>
    </comment>
    <comment ref="C84" authorId="1" shapeId="0">
      <text>
        <r>
          <rPr>
            <b/>
            <sz val="9"/>
            <color indexed="81"/>
            <rFont val="Segoe UI"/>
            <family val="2"/>
          </rPr>
          <t>eetsuser:</t>
        </r>
        <r>
          <rPr>
            <sz val="9"/>
            <color indexed="81"/>
            <rFont val="Segoe UI"/>
            <family val="2"/>
          </rPr>
          <t xml:space="preserve">
incommin preis:
€52,80</t>
        </r>
      </text>
    </comment>
    <comment ref="E84" authorId="1" shapeId="0">
      <text>
        <r>
          <rPr>
            <b/>
            <sz val="9"/>
            <color indexed="81"/>
            <rFont val="Segoe UI"/>
            <family val="2"/>
          </rPr>
          <t>eetsuser:</t>
        </r>
        <r>
          <rPr>
            <sz val="9"/>
            <color indexed="81"/>
            <rFont val="Segoe UI"/>
            <family val="2"/>
          </rPr>
          <t xml:space="preserve">
incoming preis.
€34,40.-</t>
        </r>
      </text>
    </comment>
    <comment ref="C85" authorId="1" shapeId="0">
      <text>
        <r>
          <rPr>
            <b/>
            <sz val="9"/>
            <color indexed="81"/>
            <rFont val="Segoe UI"/>
            <family val="2"/>
          </rPr>
          <t>eetsuser:</t>
        </r>
        <r>
          <rPr>
            <sz val="9"/>
            <color indexed="81"/>
            <rFont val="Segoe UI"/>
            <family val="2"/>
          </rPr>
          <t xml:space="preserve">
Inncoming Preis:
€92,00.-</t>
        </r>
      </text>
    </comment>
    <comment ref="E117" authorId="2" shapeId="0">
      <text>
        <r>
          <rPr>
            <b/>
            <sz val="8"/>
            <color indexed="81"/>
            <rFont val="Tahoma"/>
            <family val="2"/>
          </rPr>
          <t>eup01user:</t>
        </r>
        <r>
          <rPr>
            <sz val="8"/>
            <color indexed="81"/>
            <rFont val="Tahoma"/>
            <family val="2"/>
          </rPr>
          <t xml:space="preserve">
Grand Tour: 6,90.- €</t>
        </r>
      </text>
    </comment>
    <comment ref="E118" authorId="2" shapeId="0">
      <text>
        <r>
          <rPr>
            <b/>
            <sz val="8"/>
            <color indexed="81"/>
            <rFont val="Tahoma"/>
            <family val="2"/>
          </rPr>
          <t>eup01user:</t>
        </r>
        <r>
          <rPr>
            <sz val="8"/>
            <color indexed="81"/>
            <rFont val="Tahoma"/>
            <family val="2"/>
          </rPr>
          <t xml:space="preserve">
Grand Tour: 6,90.- €</t>
        </r>
      </text>
    </comment>
    <comment ref="C124" authorId="1" shapeId="0">
      <text>
        <r>
          <rPr>
            <b/>
            <sz val="9"/>
            <color indexed="81"/>
            <rFont val="Segoe UI"/>
            <family val="2"/>
          </rPr>
          <t>eetsuser:</t>
        </r>
        <r>
          <rPr>
            <sz val="9"/>
            <color indexed="81"/>
            <rFont val="Segoe UI"/>
            <family val="2"/>
          </rPr>
          <t xml:space="preserve">
EETS Preis: € 9.-</t>
        </r>
      </text>
    </comment>
    <comment ref="C126" authorId="1" shapeId="0">
      <text>
        <r>
          <rPr>
            <b/>
            <sz val="9"/>
            <color indexed="81"/>
            <rFont val="Segoe UI"/>
            <family val="2"/>
          </rPr>
          <t>eetsuser:</t>
        </r>
        <r>
          <rPr>
            <sz val="9"/>
            <color indexed="81"/>
            <rFont val="Segoe UI"/>
            <family val="2"/>
          </rPr>
          <t xml:space="preserve">
35% commission for EETS</t>
        </r>
      </text>
    </comment>
    <comment ref="C127" authorId="2" shapeId="0">
      <text>
        <r>
          <rPr>
            <b/>
            <sz val="10"/>
            <color indexed="81"/>
            <rFont val="Tahoma"/>
            <family val="2"/>
          </rPr>
          <t>eup01user:</t>
        </r>
        <r>
          <rPr>
            <sz val="10"/>
            <color indexed="81"/>
            <rFont val="Tahoma"/>
            <family val="2"/>
          </rPr>
          <t xml:space="preserve">
35% commission for EETS</t>
        </r>
      </text>
    </comment>
    <comment ref="C128" authorId="2" shapeId="0">
      <text>
        <r>
          <rPr>
            <b/>
            <sz val="10"/>
            <color indexed="81"/>
            <rFont val="Tahoma"/>
            <family val="2"/>
          </rPr>
          <t>eup01user:</t>
        </r>
        <r>
          <rPr>
            <sz val="10"/>
            <color indexed="81"/>
            <rFont val="Tahoma"/>
            <family val="2"/>
          </rPr>
          <t xml:space="preserve">
35% commission for EETS</t>
        </r>
      </text>
    </comment>
    <comment ref="C129" authorId="2" shapeId="0">
      <text>
        <r>
          <rPr>
            <b/>
            <sz val="10"/>
            <color indexed="81"/>
            <rFont val="Tahoma"/>
            <family val="2"/>
          </rPr>
          <t>eup01user:</t>
        </r>
        <r>
          <rPr>
            <sz val="10"/>
            <color indexed="81"/>
            <rFont val="Tahoma"/>
            <family val="2"/>
          </rPr>
          <t xml:space="preserve">
35 % commission for EETS</t>
        </r>
      </text>
    </comment>
    <comment ref="C131" authorId="1" shapeId="0">
      <text>
        <r>
          <rPr>
            <b/>
            <sz val="9"/>
            <color indexed="81"/>
            <rFont val="Segoe UI"/>
            <family val="2"/>
          </rPr>
          <t>eetsuser:</t>
        </r>
        <r>
          <rPr>
            <sz val="9"/>
            <color indexed="81"/>
            <rFont val="Segoe UI"/>
            <family val="2"/>
          </rPr>
          <t xml:space="preserve">
30% commission for EETS</t>
        </r>
      </text>
    </comment>
    <comment ref="C132" authorId="2" shapeId="0">
      <text>
        <r>
          <rPr>
            <b/>
            <sz val="10"/>
            <color indexed="81"/>
            <rFont val="Tahoma"/>
            <family val="2"/>
          </rPr>
          <t>eup01user:</t>
        </r>
        <r>
          <rPr>
            <sz val="10"/>
            <color indexed="81"/>
            <rFont val="Tahoma"/>
            <family val="2"/>
          </rPr>
          <t xml:space="preserve">
30% commission for EETS</t>
        </r>
      </text>
    </comment>
    <comment ref="C133" authorId="2" shapeId="0">
      <text>
        <r>
          <rPr>
            <b/>
            <sz val="10"/>
            <color indexed="81"/>
            <rFont val="Tahoma"/>
            <family val="2"/>
          </rPr>
          <t>eup01user:</t>
        </r>
        <r>
          <rPr>
            <sz val="10"/>
            <color indexed="81"/>
            <rFont val="Tahoma"/>
            <family val="2"/>
          </rPr>
          <t xml:space="preserve">
30 % commission for EETS</t>
        </r>
      </text>
    </comment>
    <comment ref="C134" authorId="2" shapeId="0">
      <text>
        <r>
          <rPr>
            <b/>
            <sz val="10"/>
            <color indexed="81"/>
            <rFont val="Tahoma"/>
            <family val="2"/>
          </rPr>
          <t>eup01user:</t>
        </r>
        <r>
          <rPr>
            <sz val="10"/>
            <color indexed="81"/>
            <rFont val="Tahoma"/>
            <family val="2"/>
          </rPr>
          <t xml:space="preserve">
30% commision for EETS</t>
        </r>
      </text>
    </comment>
    <comment ref="C136" authorId="1" shapeId="0">
      <text>
        <r>
          <rPr>
            <b/>
            <sz val="9"/>
            <color indexed="81"/>
            <rFont val="Segoe UI"/>
            <family val="2"/>
          </rPr>
          <t>eetsuser:</t>
        </r>
        <r>
          <rPr>
            <sz val="9"/>
            <color indexed="81"/>
            <rFont val="Segoe UI"/>
            <family val="2"/>
          </rPr>
          <t xml:space="preserve">
20% commission for EETS</t>
        </r>
      </text>
    </comment>
    <comment ref="C137" authorId="2" shapeId="0">
      <text>
        <r>
          <rPr>
            <b/>
            <sz val="10"/>
            <color indexed="81"/>
            <rFont val="Tahoma"/>
            <family val="2"/>
          </rPr>
          <t>eup01user:</t>
        </r>
        <r>
          <rPr>
            <sz val="10"/>
            <color indexed="81"/>
            <rFont val="Tahoma"/>
            <family val="2"/>
          </rPr>
          <t xml:space="preserve">
20% commission for EETS</t>
        </r>
      </text>
    </comment>
    <comment ref="C138" authorId="2" shapeId="0">
      <text>
        <r>
          <rPr>
            <b/>
            <sz val="10"/>
            <color indexed="81"/>
            <rFont val="Tahoma"/>
            <family val="2"/>
          </rPr>
          <t>eup01user:</t>
        </r>
        <r>
          <rPr>
            <sz val="10"/>
            <color indexed="81"/>
            <rFont val="Tahoma"/>
            <family val="2"/>
          </rPr>
          <t xml:space="preserve">
20 % commission for EETS</t>
        </r>
      </text>
    </comment>
    <comment ref="C139" authorId="2" shapeId="0">
      <text>
        <r>
          <rPr>
            <b/>
            <sz val="10"/>
            <color indexed="81"/>
            <rFont val="Tahoma"/>
            <family val="2"/>
          </rPr>
          <t>eup01user:</t>
        </r>
        <r>
          <rPr>
            <sz val="10"/>
            <color indexed="81"/>
            <rFont val="Tahoma"/>
            <family val="2"/>
          </rPr>
          <t xml:space="preserve">
20% commision for EETS</t>
        </r>
      </text>
    </comment>
    <comment ref="C141" authorId="1" shapeId="0">
      <text>
        <r>
          <rPr>
            <b/>
            <sz val="9"/>
            <color indexed="81"/>
            <rFont val="Segoe UI"/>
            <family val="2"/>
          </rPr>
          <t>eetsuser:</t>
        </r>
        <r>
          <rPr>
            <sz val="9"/>
            <color indexed="81"/>
            <rFont val="Segoe UI"/>
            <family val="2"/>
          </rPr>
          <t xml:space="preserve">
20% commission for EETS</t>
        </r>
      </text>
    </comment>
    <comment ref="C142" authorId="2" shapeId="0">
      <text>
        <r>
          <rPr>
            <b/>
            <sz val="10"/>
            <color indexed="81"/>
            <rFont val="Tahoma"/>
            <family val="2"/>
          </rPr>
          <t>eup01user:</t>
        </r>
        <r>
          <rPr>
            <sz val="10"/>
            <color indexed="81"/>
            <rFont val="Tahoma"/>
            <family val="2"/>
          </rPr>
          <t xml:space="preserve">
20% commission for EETS</t>
        </r>
      </text>
    </comment>
    <comment ref="C143" authorId="2" shapeId="0">
      <text>
        <r>
          <rPr>
            <b/>
            <sz val="10"/>
            <color indexed="81"/>
            <rFont val="Tahoma"/>
            <family val="2"/>
          </rPr>
          <t>eup01user:</t>
        </r>
        <r>
          <rPr>
            <sz val="10"/>
            <color indexed="81"/>
            <rFont val="Tahoma"/>
            <family val="2"/>
          </rPr>
          <t xml:space="preserve">
20 % commission for EETS</t>
        </r>
      </text>
    </comment>
    <comment ref="C144" authorId="2" shapeId="0">
      <text>
        <r>
          <rPr>
            <b/>
            <sz val="10"/>
            <color indexed="81"/>
            <rFont val="Tahoma"/>
            <family val="2"/>
          </rPr>
          <t>eup01user:</t>
        </r>
        <r>
          <rPr>
            <sz val="10"/>
            <color indexed="81"/>
            <rFont val="Tahoma"/>
            <family val="2"/>
          </rPr>
          <t xml:space="preserve">
20% commision for EETS</t>
        </r>
      </text>
    </comment>
    <comment ref="C146" authorId="1" shapeId="0">
      <text>
        <r>
          <rPr>
            <b/>
            <sz val="9"/>
            <color indexed="81"/>
            <rFont val="Segoe UI"/>
            <family val="2"/>
          </rPr>
          <t>eetsuser:</t>
        </r>
        <r>
          <rPr>
            <sz val="9"/>
            <color indexed="81"/>
            <rFont val="Segoe UI"/>
            <family val="2"/>
          </rPr>
          <t xml:space="preserve">
20% commission for EETS</t>
        </r>
      </text>
    </comment>
    <comment ref="C147" authorId="2" shapeId="0">
      <text>
        <r>
          <rPr>
            <b/>
            <sz val="10"/>
            <color indexed="81"/>
            <rFont val="Tahoma"/>
            <family val="2"/>
          </rPr>
          <t>eup01user:</t>
        </r>
        <r>
          <rPr>
            <sz val="10"/>
            <color indexed="81"/>
            <rFont val="Tahoma"/>
            <family val="2"/>
          </rPr>
          <t xml:space="preserve">
20% commission for EETS</t>
        </r>
      </text>
    </comment>
    <comment ref="C148" authorId="2" shapeId="0">
      <text>
        <r>
          <rPr>
            <b/>
            <sz val="10"/>
            <color indexed="81"/>
            <rFont val="Tahoma"/>
            <family val="2"/>
          </rPr>
          <t>eup01user:</t>
        </r>
        <r>
          <rPr>
            <sz val="10"/>
            <color indexed="81"/>
            <rFont val="Tahoma"/>
            <family val="2"/>
          </rPr>
          <t xml:space="preserve">
20 % commission for EETS</t>
        </r>
      </text>
    </comment>
    <comment ref="C149" authorId="2" shapeId="0">
      <text>
        <r>
          <rPr>
            <b/>
            <sz val="10"/>
            <color indexed="81"/>
            <rFont val="Tahoma"/>
            <family val="2"/>
          </rPr>
          <t>eup01user:</t>
        </r>
        <r>
          <rPr>
            <sz val="10"/>
            <color indexed="81"/>
            <rFont val="Tahoma"/>
            <family val="2"/>
          </rPr>
          <t xml:space="preserve">
20% commision for EETS</t>
        </r>
      </text>
    </comment>
    <comment ref="C154" authorId="2" shapeId="0">
      <text>
        <r>
          <rPr>
            <b/>
            <sz val="10"/>
            <color indexed="81"/>
            <rFont val="Tahoma"/>
            <family val="2"/>
          </rPr>
          <t>eup01user:</t>
        </r>
        <r>
          <rPr>
            <sz val="10"/>
            <color indexed="81"/>
            <rFont val="Tahoma"/>
            <family val="2"/>
          </rPr>
          <t xml:space="preserve">
35 % commission for EETS</t>
        </r>
      </text>
    </comment>
    <comment ref="C155" authorId="2" shapeId="0">
      <text>
        <r>
          <rPr>
            <b/>
            <sz val="10"/>
            <color indexed="81"/>
            <rFont val="Tahoma"/>
            <family val="2"/>
          </rPr>
          <t>eup01user:</t>
        </r>
        <r>
          <rPr>
            <sz val="10"/>
            <color indexed="81"/>
            <rFont val="Tahoma"/>
            <family val="2"/>
          </rPr>
          <t xml:space="preserve">
35 % commission for EETS</t>
        </r>
      </text>
    </comment>
    <comment ref="C156" authorId="2" shapeId="0">
      <text>
        <r>
          <rPr>
            <b/>
            <sz val="10"/>
            <color indexed="81"/>
            <rFont val="Tahoma"/>
            <family val="2"/>
          </rPr>
          <t>eup01user:</t>
        </r>
        <r>
          <rPr>
            <sz val="10"/>
            <color indexed="81"/>
            <rFont val="Tahoma"/>
            <family val="2"/>
          </rPr>
          <t xml:space="preserve">
35 % commission for EETS</t>
        </r>
      </text>
    </comment>
  </commentList>
</comments>
</file>

<file path=xl/comments2.xml><?xml version="1.0" encoding="utf-8"?>
<comments xmlns="http://schemas.openxmlformats.org/spreadsheetml/2006/main">
  <authors>
    <author>fanny</author>
  </authors>
  <commentList>
    <comment ref="C9" authorId="0" shapeId="0">
      <text>
        <r>
          <rPr>
            <sz val="10"/>
            <color indexed="81"/>
            <rFont val="Tahoma"/>
            <family val="2"/>
          </rPr>
          <t xml:space="preserve">
EETS Prices</t>
        </r>
      </text>
    </comment>
    <comment ref="C12" authorId="0" shapeId="0">
      <text>
        <r>
          <rPr>
            <sz val="10"/>
            <color indexed="81"/>
            <rFont val="Tahoma"/>
            <family val="2"/>
          </rPr>
          <t xml:space="preserve">
EETS Prices</t>
        </r>
      </text>
    </comment>
    <comment ref="C14" authorId="0" shapeId="0">
      <text>
        <r>
          <rPr>
            <sz val="10"/>
            <color indexed="81"/>
            <rFont val="Tahoma"/>
            <family val="2"/>
          </rPr>
          <t xml:space="preserve">
EETS Prices</t>
        </r>
      </text>
    </comment>
    <comment ref="C17" authorId="0" shapeId="0">
      <text>
        <r>
          <rPr>
            <sz val="10"/>
            <color indexed="81"/>
            <rFont val="Tahoma"/>
            <family val="2"/>
          </rPr>
          <t xml:space="preserve">
EETS Prices</t>
        </r>
      </text>
    </comment>
    <comment ref="C19" authorId="0" shapeId="0">
      <text>
        <r>
          <rPr>
            <sz val="10"/>
            <color indexed="81"/>
            <rFont val="Tahoma"/>
            <family val="2"/>
          </rPr>
          <t xml:space="preserve">
EETS Prices</t>
        </r>
      </text>
    </comment>
    <comment ref="C21" authorId="0" shapeId="0">
      <text>
        <r>
          <rPr>
            <sz val="10"/>
            <color indexed="81"/>
            <rFont val="Tahoma"/>
            <family val="2"/>
          </rPr>
          <t xml:space="preserve">
EETS Prices</t>
        </r>
      </text>
    </comment>
    <comment ref="C23" authorId="0" shapeId="0">
      <text>
        <r>
          <rPr>
            <sz val="10"/>
            <color indexed="81"/>
            <rFont val="Tahoma"/>
            <family val="2"/>
          </rPr>
          <t xml:space="preserve">
EETS Prices</t>
        </r>
      </text>
    </comment>
    <comment ref="C27" authorId="0" shapeId="0">
      <text>
        <r>
          <rPr>
            <sz val="10"/>
            <color indexed="81"/>
            <rFont val="Tahoma"/>
            <family val="2"/>
          </rPr>
          <t xml:space="preserve">
EETS vertragsprices</t>
        </r>
      </text>
    </comment>
  </commentList>
</comments>
</file>

<file path=xl/comments3.xml><?xml version="1.0" encoding="utf-8"?>
<comments xmlns="http://schemas.openxmlformats.org/spreadsheetml/2006/main">
  <authors>
    <author>fanny</author>
  </authors>
  <commentList>
    <comment ref="C7" authorId="0" shapeId="0">
      <text>
        <r>
          <rPr>
            <sz val="10"/>
            <color indexed="81"/>
            <rFont val="Tahoma"/>
            <family val="2"/>
          </rPr>
          <t xml:space="preserve">
EETS Prices</t>
        </r>
      </text>
    </comment>
    <comment ref="C9" authorId="0" shapeId="0">
      <text>
        <r>
          <rPr>
            <sz val="10"/>
            <color indexed="81"/>
            <rFont val="Tahoma"/>
            <family val="2"/>
          </rPr>
          <t xml:space="preserve">
EETS Prices</t>
        </r>
      </text>
    </comment>
    <comment ref="C11" authorId="0" shapeId="0">
      <text>
        <r>
          <rPr>
            <sz val="10"/>
            <color indexed="81"/>
            <rFont val="Tahoma"/>
            <family val="2"/>
          </rPr>
          <t xml:space="preserve">
EETS Prices</t>
        </r>
      </text>
    </comment>
    <comment ref="C13" authorId="0" shapeId="0">
      <text>
        <r>
          <rPr>
            <sz val="10"/>
            <color indexed="81"/>
            <rFont val="Tahoma"/>
            <family val="2"/>
          </rPr>
          <t xml:space="preserve">
EETS Prices</t>
        </r>
      </text>
    </comment>
    <comment ref="C15" authorId="0" shapeId="0">
      <text>
        <r>
          <rPr>
            <sz val="10"/>
            <color indexed="81"/>
            <rFont val="Tahoma"/>
            <family val="2"/>
          </rPr>
          <t xml:space="preserve">
EETS Prices</t>
        </r>
      </text>
    </comment>
    <comment ref="C17" authorId="0" shapeId="0">
      <text>
        <r>
          <rPr>
            <sz val="10"/>
            <color indexed="81"/>
            <rFont val="Tahoma"/>
            <family val="2"/>
          </rPr>
          <t xml:space="preserve">
EETS Prices</t>
        </r>
      </text>
    </comment>
  </commentList>
</comments>
</file>

<file path=xl/comments4.xml><?xml version="1.0" encoding="utf-8"?>
<comments xmlns="http://schemas.openxmlformats.org/spreadsheetml/2006/main">
  <authors>
    <author>susan</author>
  </authors>
  <commentList>
    <comment ref="D4" authorId="0" shapeId="0">
      <text>
        <r>
          <rPr>
            <b/>
            <sz val="9"/>
            <color indexed="81"/>
            <rFont val="Tahoma"/>
            <family val="2"/>
            <charset val="238"/>
          </rPr>
          <t>susan:</t>
        </r>
        <r>
          <rPr>
            <sz val="9"/>
            <color indexed="81"/>
            <rFont val="Tahoma"/>
            <family val="2"/>
            <charset val="238"/>
          </rPr>
          <t xml:space="preserve">
Swiss Menu: soup of the day/roasted pure pork sausage onion sauce, mixed vegetables, buttered noodles / swiss ice cream
Western Menu: soup of the day / roasted chicken leg, roemary sauce, french fried npotatoes / swiss ice cream
Asian Menu: small green salad / big bowl of noodle soup with chicken, spring onions, coriander pickles and ginger / Swiss ice cream
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  <charset val="238"/>
          </rPr>
          <t>susan:</t>
        </r>
        <r>
          <rPr>
            <sz val="9"/>
            <color indexed="81"/>
            <rFont val="Tahoma"/>
            <family val="2"/>
            <charset val="238"/>
          </rPr>
          <t xml:space="preserve">
Harder Kulm: salad / grilled veal sausage with onion sauce, vegetables, french fries / panna cotta
Chicken menu: salad/chicken breast, vegetables, french fries / panna cotta
Panorama menu: salad / grilled pork, mushroom sauce / panna cotta
Cheese menu: salad / cheese fondue with bread and potatoes / panna cotta
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  <charset val="238"/>
          </rPr>
          <t>susan:</t>
        </r>
        <r>
          <rPr>
            <sz val="9"/>
            <color indexed="81"/>
            <rFont val="Tahoma"/>
            <family val="2"/>
            <charset val="238"/>
          </rPr>
          <t xml:space="preserve">
Salad/sliced beef, mashed potatoes, vegetables / apple strudel
or
Salad / fillet of trout, rice, vegetables, apple strudel
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  <charset val="238"/>
          </rPr>
          <t>susan:</t>
        </r>
        <r>
          <rPr>
            <sz val="9"/>
            <color indexed="81"/>
            <rFont val="Tahoma"/>
            <family val="2"/>
            <charset val="238"/>
          </rPr>
          <t xml:space="preserve">
choice of soup, or salad / main course /dessert of the day / 1 soft drink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  <charset val="238"/>
          </rPr>
          <t>susan:</t>
        </r>
        <r>
          <rPr>
            <sz val="9"/>
            <color indexed="81"/>
            <rFont val="Tahoma"/>
            <family val="2"/>
            <charset val="238"/>
          </rPr>
          <t xml:space="preserve">
cheese fondue / salad / lake fish meniere, spinach and swiss rösti potatoes / meringue with apple sauce and strawberry ice cream
or
cheese fondue / salad / sliced veal with mushroom cream sauce and Swiss Rösti potatoes / meringue with apple sauce and strawberry ice cream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  <charset val="238"/>
          </rPr>
          <t>susan:</t>
        </r>
        <r>
          <rPr>
            <sz val="9"/>
            <color indexed="81"/>
            <rFont val="Tahoma"/>
            <family val="2"/>
            <charset val="238"/>
          </rPr>
          <t xml:space="preserve">
Tom Yam soup / sliced beef with oyster sauce / grilled pork and chicken sausages / grilled, marinated chicken wings / steamed white fish / fried vegetarian noodles / stir fried mixed vegetables / rice / coconut tapioca cream  / water or tea
</t>
        </r>
      </text>
    </comment>
    <comment ref="D38" authorId="0" shapeId="0">
      <text>
        <r>
          <rPr>
            <b/>
            <sz val="9"/>
            <color indexed="81"/>
            <rFont val="Tahoma"/>
            <family val="2"/>
            <charset val="238"/>
          </rPr>
          <t>susan:</t>
        </r>
        <r>
          <rPr>
            <sz val="9"/>
            <color indexed="81"/>
            <rFont val="Tahoma"/>
            <family val="2"/>
            <charset val="238"/>
          </rPr>
          <t xml:space="preserve">
tomato and lemon grass soup with spinach / ricotta tortellini / chicken breast, asparagus, potatoes/vanilla creme brulee with fruits</t>
        </r>
      </text>
    </comment>
    <comment ref="D39" authorId="0" shapeId="0">
      <text>
        <r>
          <rPr>
            <b/>
            <sz val="9"/>
            <color indexed="81"/>
            <rFont val="Tahoma"/>
            <family val="2"/>
            <charset val="238"/>
          </rPr>
          <t>susan:</t>
        </r>
        <r>
          <rPr>
            <sz val="9"/>
            <color indexed="81"/>
            <rFont val="Tahoma"/>
            <family val="2"/>
            <charset val="238"/>
          </rPr>
          <t xml:space="preserve">
Melon with raw ham / lasagna / tiramisu/1 soft drink
</t>
        </r>
      </text>
    </comment>
  </commentList>
</comments>
</file>

<file path=xl/sharedStrings.xml><?xml version="1.0" encoding="utf-8"?>
<sst xmlns="http://schemas.openxmlformats.org/spreadsheetml/2006/main" count="14047" uniqueCount="4878">
  <si>
    <t>Gold</t>
  </si>
  <si>
    <t>NOT downtown, not even city-centre</t>
  </si>
  <si>
    <t>1hour cruise start and ending in St.Gilgen</t>
  </si>
  <si>
    <t>low season</t>
  </si>
  <si>
    <t>officially 4*, but looks like 3*</t>
  </si>
  <si>
    <t>RENAISSANCE</t>
  </si>
  <si>
    <t>july, aug</t>
  </si>
  <si>
    <t>high s</t>
  </si>
  <si>
    <t>Koln</t>
  </si>
  <si>
    <t>Park Inn</t>
  </si>
  <si>
    <t>KASSEL</t>
  </si>
  <si>
    <t>Movenpick Hotel</t>
  </si>
  <si>
    <t>city centre</t>
  </si>
  <si>
    <t>Wienerwald</t>
  </si>
  <si>
    <t>Vital Seminarh. Steinberger</t>
  </si>
  <si>
    <t>high</t>
  </si>
  <si>
    <t>Kitzhof</t>
  </si>
  <si>
    <t>20/apr-12/july</t>
  </si>
  <si>
    <t>12/jul-05/sep</t>
  </si>
  <si>
    <t>05/sep-29/nov</t>
  </si>
  <si>
    <t>Novotel Danube</t>
  </si>
  <si>
    <t>Mercure Buda</t>
  </si>
  <si>
    <t>SARVAR</t>
  </si>
  <si>
    <t>Spirit</t>
  </si>
  <si>
    <t>Mannheim</t>
  </si>
  <si>
    <t>PASSAU</t>
  </si>
  <si>
    <t>54 rooms</t>
  </si>
  <si>
    <t>REUTTE</t>
  </si>
  <si>
    <t>32 rooms</t>
  </si>
  <si>
    <t>MOSERHOF</t>
  </si>
  <si>
    <t>35 rooms</t>
  </si>
  <si>
    <t>MARRIOTT</t>
  </si>
  <si>
    <t>HILTON</t>
  </si>
  <si>
    <t>Friedrichshafen</t>
  </si>
  <si>
    <t>BEST WESTERN</t>
  </si>
  <si>
    <t>SEEHOTEL</t>
  </si>
  <si>
    <t>Garmisch</t>
  </si>
  <si>
    <t>Rothenburg</t>
  </si>
  <si>
    <t>low s.</t>
  </si>
  <si>
    <t>Stuttgart</t>
  </si>
  <si>
    <t>C)--Tour,Guide,Entrance,&amp;Transportation   included, according to our english itinerary. Luxury airconditioned LDC</t>
    <phoneticPr fontId="26" type="noConversion"/>
  </si>
  <si>
    <t xml:space="preserve">         from         </t>
    <phoneticPr fontId="26" type="noConversion"/>
  </si>
  <si>
    <t xml:space="preserve"> </t>
    <phoneticPr fontId="26" type="noConversion"/>
  </si>
  <si>
    <t>2006/</t>
    <phoneticPr fontId="26" type="noConversion"/>
  </si>
  <si>
    <t>Dachstein</t>
  </si>
  <si>
    <t>Bellevue</t>
  </si>
  <si>
    <t>Koblenz</t>
  </si>
  <si>
    <t>Diehl's Hotel</t>
  </si>
  <si>
    <t>on request only</t>
  </si>
  <si>
    <t>Luitpoldpark</t>
  </si>
  <si>
    <t>rates are in CHF</t>
  </si>
  <si>
    <t>last minute on request</t>
  </si>
  <si>
    <t>Radisson Blu Badischer Hof</t>
  </si>
  <si>
    <t>RADISSON  Blu</t>
  </si>
  <si>
    <t>Marriott</t>
  </si>
  <si>
    <t>lowest possible rate</t>
  </si>
  <si>
    <t>Hilton</t>
  </si>
  <si>
    <t>Kempinski Bristol</t>
  </si>
  <si>
    <t>Leonardo</t>
  </si>
  <si>
    <t>Radisson Blu</t>
  </si>
  <si>
    <t>* Fair period &amp; Stop dates in Prag  : 20-25/MAR ; 09-12/APR ; 23-26/APR ; 5-08/MAY ;  13-16/MAY</t>
  </si>
  <si>
    <t xml:space="preserve">  26-29/MAY ; 13-16/JUN ; 26-29/JUN ; 23/SEP-03/OCT ; 16-19/OCT ; 29/DEC/05 -02/JAN/06</t>
  </si>
  <si>
    <t>* Child under 12 y.old : additional bed with parent  80 % tour fee ; Without bed 60 % tour fee</t>
    <phoneticPr fontId="26" type="noConversion"/>
  </si>
  <si>
    <t>** Any other entrance fee not include in this quotation will be provide as  supplement later **</t>
    <phoneticPr fontId="21" type="noConversion"/>
  </si>
  <si>
    <t>** If group not include all meals,pls must arrange meals for the driver **</t>
    <phoneticPr fontId="26" type="noConversion"/>
  </si>
  <si>
    <t>25+1</t>
  </si>
  <si>
    <t>30+2</t>
  </si>
  <si>
    <t>35+2</t>
  </si>
  <si>
    <t>40+2</t>
  </si>
  <si>
    <t>10+1</t>
  </si>
  <si>
    <t>SIN.SUPP</t>
  </si>
  <si>
    <t>BRUTTO</t>
  </si>
  <si>
    <t>RATE**</t>
  </si>
  <si>
    <t xml:space="preserve">  </t>
  </si>
  <si>
    <r>
      <t>歐</t>
    </r>
    <r>
      <rPr>
        <b/>
        <i/>
        <sz val="14"/>
        <rFont val="Times New Roman"/>
        <family val="1"/>
      </rPr>
      <t xml:space="preserve"> </t>
    </r>
    <r>
      <rPr>
        <b/>
        <i/>
        <sz val="14"/>
        <rFont val="新細明體"/>
        <family val="1"/>
        <charset val="136"/>
      </rPr>
      <t>洲</t>
    </r>
    <r>
      <rPr>
        <b/>
        <i/>
        <sz val="14"/>
        <rFont val="Times New Roman"/>
        <family val="1"/>
      </rPr>
      <t xml:space="preserve"> </t>
    </r>
    <r>
      <rPr>
        <b/>
        <i/>
        <sz val="14"/>
        <rFont val="新細明體"/>
        <family val="1"/>
        <charset val="136"/>
      </rPr>
      <t>之</t>
    </r>
    <r>
      <rPr>
        <b/>
        <i/>
        <sz val="14"/>
        <rFont val="Times New Roman"/>
        <family val="1"/>
      </rPr>
      <t xml:space="preserve"> </t>
    </r>
    <r>
      <rPr>
        <b/>
        <i/>
        <sz val="14"/>
        <rFont val="新細明體"/>
        <family val="1"/>
        <charset val="136"/>
      </rPr>
      <t>星</t>
    </r>
  </si>
  <si>
    <t>ATTN:</t>
  </si>
  <si>
    <t>FROM:</t>
  </si>
  <si>
    <t>DATE:</t>
  </si>
  <si>
    <t xml:space="preserve">RE :                                                                                                                                                             </t>
  </si>
  <si>
    <t>TOTAL :</t>
  </si>
  <si>
    <t>PAGE(S)</t>
  </si>
  <si>
    <t xml:space="preserve">            TRNSF &amp; ASSIST.</t>
  </si>
  <si>
    <t xml:space="preserve">  HOTEL</t>
  </si>
  <si>
    <t xml:space="preserve">           TOUR,GUIDE,ENTRANCE                         </t>
  </si>
  <si>
    <t xml:space="preserve">          MEALS</t>
  </si>
  <si>
    <t>RE :</t>
  </si>
  <si>
    <t xml:space="preserve">    -----</t>
  </si>
  <si>
    <t>Station</t>
  </si>
  <si>
    <t>F)--  Additional  Information:</t>
  </si>
  <si>
    <t>BEST  REGARDS !!</t>
  </si>
  <si>
    <t>7 + 0</t>
    <phoneticPr fontId="21" type="noConversion"/>
  </si>
  <si>
    <t>8 + 0</t>
    <phoneticPr fontId="21" type="noConversion"/>
  </si>
  <si>
    <t>9 + 0</t>
    <phoneticPr fontId="21" type="noConversion"/>
  </si>
  <si>
    <t>10 + 0</t>
    <phoneticPr fontId="21" type="noConversion"/>
  </si>
  <si>
    <t>Porterage</t>
    <phoneticPr fontId="21" type="noConversion"/>
  </si>
  <si>
    <t>BUS.G/D - p.p.</t>
    <phoneticPr fontId="21" type="noConversion"/>
  </si>
  <si>
    <t xml:space="preserve"> </t>
    <phoneticPr fontId="21" type="noConversion"/>
  </si>
  <si>
    <t>Total form calculation :</t>
    <phoneticPr fontId="21" type="noConversion"/>
  </si>
  <si>
    <t>2+0</t>
    <phoneticPr fontId="21" type="noConversion"/>
  </si>
  <si>
    <t>x</t>
  </si>
  <si>
    <t>Pentahotel Leipzig</t>
  </si>
  <si>
    <t>close to Fussen</t>
  </si>
  <si>
    <t>do NOT use this hotel</t>
  </si>
  <si>
    <t>ZUM MOHREN</t>
  </si>
  <si>
    <t>Hallstatt</t>
  </si>
  <si>
    <t>groups from 10 pax</t>
  </si>
  <si>
    <t xml:space="preserve">(One Free Single Room For T/L)                        </t>
    <phoneticPr fontId="26" type="noConversion"/>
  </si>
  <si>
    <t xml:space="preserve"> </t>
    <phoneticPr fontId="26" type="noConversion"/>
  </si>
  <si>
    <t>BERLIN</t>
  </si>
  <si>
    <t>FRA</t>
  </si>
  <si>
    <t>FUESSEN</t>
  </si>
  <si>
    <t>ALPENBLICK</t>
  </si>
  <si>
    <t>Hamburg</t>
  </si>
  <si>
    <t>Berlin</t>
  </si>
  <si>
    <t>Night (s)</t>
    <phoneticPr fontId="21" type="noConversion"/>
  </si>
  <si>
    <t>Driver</t>
    <phoneticPr fontId="21" type="noConversion"/>
  </si>
  <si>
    <t>Sgl.</t>
    <phoneticPr fontId="21" type="noConversion"/>
  </si>
  <si>
    <t>Hotel</t>
    <phoneticPr fontId="21" type="noConversion"/>
  </si>
  <si>
    <t>Lunch</t>
    <phoneticPr fontId="21" type="noConversion"/>
  </si>
  <si>
    <t>Dinner</t>
    <phoneticPr fontId="21" type="noConversion"/>
  </si>
  <si>
    <t>Entrance</t>
    <phoneticPr fontId="21" type="noConversion"/>
  </si>
  <si>
    <t>Local G/D</t>
    <phoneticPr fontId="21" type="noConversion"/>
  </si>
  <si>
    <t>S/N Room</t>
    <phoneticPr fontId="21" type="noConversion"/>
  </si>
  <si>
    <t>Supple.</t>
    <phoneticPr fontId="21" type="noConversion"/>
  </si>
  <si>
    <t>Bus</t>
    <phoneticPr fontId="21" type="noConversion"/>
  </si>
  <si>
    <t>Nette</t>
    <phoneticPr fontId="21" type="noConversion"/>
  </si>
  <si>
    <t>6+0</t>
    <phoneticPr fontId="21" type="noConversion"/>
  </si>
  <si>
    <t>7+0</t>
    <phoneticPr fontId="21" type="noConversion"/>
  </si>
  <si>
    <t>8+0</t>
    <phoneticPr fontId="21" type="noConversion"/>
  </si>
  <si>
    <t>9+0</t>
    <phoneticPr fontId="21" type="noConversion"/>
  </si>
  <si>
    <t>10+0</t>
    <phoneticPr fontId="21" type="noConversion"/>
  </si>
  <si>
    <t>AMBASSADOR</t>
  </si>
  <si>
    <t>DATE</t>
  </si>
  <si>
    <t>CITY</t>
  </si>
  <si>
    <t>HOTEL</t>
  </si>
  <si>
    <t xml:space="preserve"> </t>
  </si>
  <si>
    <t>LUNCH</t>
  </si>
  <si>
    <t>DINNER</t>
  </si>
  <si>
    <t>ENTR</t>
  </si>
  <si>
    <t>DRIVER</t>
  </si>
  <si>
    <t xml:space="preserve"> D 3</t>
  </si>
  <si>
    <t xml:space="preserve"> D 4</t>
  </si>
  <si>
    <t xml:space="preserve"> D 5</t>
  </si>
  <si>
    <t xml:space="preserve"> D 6</t>
  </si>
  <si>
    <t xml:space="preserve"> D 7</t>
  </si>
  <si>
    <t xml:space="preserve"> D 8</t>
  </si>
  <si>
    <t xml:space="preserve"> D 9</t>
  </si>
  <si>
    <t xml:space="preserve"> D 10</t>
  </si>
  <si>
    <t xml:space="preserve"> D 11</t>
  </si>
  <si>
    <t xml:space="preserve"> D 12</t>
  </si>
  <si>
    <t xml:space="preserve"> D 13</t>
  </si>
  <si>
    <t xml:space="preserve"> D 14</t>
  </si>
  <si>
    <t>BUS</t>
  </si>
  <si>
    <t>FREE</t>
  </si>
  <si>
    <t>PERSON</t>
  </si>
  <si>
    <t>MEALS</t>
  </si>
  <si>
    <t>PACKAGE</t>
  </si>
  <si>
    <t>F.O.C.</t>
  </si>
  <si>
    <t>NETTO</t>
  </si>
  <si>
    <t>15+1</t>
  </si>
  <si>
    <t>20+1</t>
  </si>
  <si>
    <t>瑞士法郎</t>
  </si>
  <si>
    <t>LUZERN</t>
  </si>
  <si>
    <t>Mountreaux</t>
  </si>
  <si>
    <t>PALACE</t>
  </si>
  <si>
    <t>Zermatt</t>
  </si>
  <si>
    <t>Zurich</t>
  </si>
  <si>
    <t>Mlyn</t>
  </si>
  <si>
    <t>Thermal</t>
  </si>
  <si>
    <t>Nuernberg</t>
  </si>
  <si>
    <r>
      <t>(IN EURO €</t>
    </r>
    <r>
      <rPr>
        <b/>
        <i/>
        <sz val="12"/>
        <rFont val="細明體"/>
        <family val="3"/>
        <charset val="136"/>
      </rPr>
      <t>歐元</t>
    </r>
    <r>
      <rPr>
        <b/>
        <i/>
        <sz val="12"/>
        <rFont val="Times New Roman"/>
        <family val="1"/>
      </rPr>
      <t xml:space="preserve"> P.P.)</t>
    </r>
    <phoneticPr fontId="21" type="noConversion"/>
  </si>
  <si>
    <r>
      <t xml:space="preserve">( </t>
    </r>
    <r>
      <rPr>
        <b/>
        <sz val="12"/>
        <rFont val="細明體"/>
        <family val="3"/>
        <charset val="136"/>
      </rPr>
      <t>歐元</t>
    </r>
    <r>
      <rPr>
        <b/>
        <sz val="12"/>
        <rFont val="Times New Roman"/>
        <family val="1"/>
      </rPr>
      <t xml:space="preserve"> ) €</t>
    </r>
    <phoneticPr fontId="21" type="noConversion"/>
  </si>
  <si>
    <r>
      <t xml:space="preserve">( </t>
    </r>
    <r>
      <rPr>
        <b/>
        <sz val="12"/>
        <rFont val="細明體"/>
        <family val="3"/>
        <charset val="136"/>
      </rPr>
      <t>歐元</t>
    </r>
    <r>
      <rPr>
        <b/>
        <sz val="12"/>
        <rFont val="Times New Roman"/>
        <family val="1"/>
      </rPr>
      <t xml:space="preserve"> ) €</t>
    </r>
    <phoneticPr fontId="21" type="noConversion"/>
  </si>
  <si>
    <r>
      <t>(IN EURO €</t>
    </r>
    <r>
      <rPr>
        <b/>
        <i/>
        <sz val="12"/>
        <rFont val="細明體"/>
        <family val="3"/>
        <charset val="136"/>
      </rPr>
      <t>歐元</t>
    </r>
    <r>
      <rPr>
        <b/>
        <i/>
        <sz val="12"/>
        <rFont val="Times New Roman"/>
        <family val="1"/>
      </rPr>
      <t xml:space="preserve"> P.P.)</t>
    </r>
    <phoneticPr fontId="21" type="noConversion"/>
  </si>
  <si>
    <t>HOTELNAME / ADDRESS / ZIP / CITY</t>
  </si>
  <si>
    <t>Kaprun</t>
  </si>
  <si>
    <t>Krimml</t>
  </si>
  <si>
    <t xml:space="preserve">Group </t>
  </si>
  <si>
    <t>Launsdorf</t>
  </si>
  <si>
    <t xml:space="preserve">Achensee </t>
  </si>
  <si>
    <t>Achensee Bahn Fahrt</t>
  </si>
  <si>
    <t>Melk</t>
  </si>
  <si>
    <t>Neustift Stubaital</t>
  </si>
  <si>
    <t>Package "Top of Tyrol" incl.3 course Lunch</t>
  </si>
  <si>
    <t>Hellbrunn Tricky fountain</t>
  </si>
  <si>
    <t>Wachau</t>
  </si>
  <si>
    <t>Wattens</t>
  </si>
  <si>
    <t>Swarovski Cristalworld</t>
  </si>
  <si>
    <t xml:space="preserve">Lippizanermuseum : according to your request </t>
  </si>
  <si>
    <t>april, july-aug</t>
  </si>
  <si>
    <t>weekend</t>
  </si>
  <si>
    <t>GENEVE</t>
  </si>
  <si>
    <t>Interlaken</t>
  </si>
  <si>
    <t>Htl P.P.</t>
  </si>
  <si>
    <t>LocalG/d</t>
  </si>
  <si>
    <t>Sgl.suppl.</t>
  </si>
  <si>
    <t>Porterage</t>
  </si>
  <si>
    <t>TATRAS</t>
  </si>
  <si>
    <t>5 dishes: 7.5€     6 dishes: 8.5€    7 dishes: 10€      8 dishes: 11€</t>
  </si>
  <si>
    <t>5 dishes: 7€        6 dishes: 8€       7 dishes: 9.5€      8 dishes: 10.5€</t>
  </si>
  <si>
    <t xml:space="preserve">ENTRANCE: </t>
  </si>
  <si>
    <t xml:space="preserve">Smetana museum: 3.5€ </t>
  </si>
  <si>
    <t xml:space="preserve">Castle: </t>
  </si>
  <si>
    <t xml:space="preserve">Kutna Hora: </t>
  </si>
  <si>
    <t>Brno:</t>
  </si>
  <si>
    <t>Hluboka</t>
  </si>
  <si>
    <t>city tax</t>
  </si>
  <si>
    <t>Allegro</t>
  </si>
  <si>
    <t xml:space="preserve">Bern </t>
  </si>
  <si>
    <t>Schloss Mondsee</t>
  </si>
  <si>
    <t>Jean de Carro</t>
  </si>
  <si>
    <t>close to downtown</t>
  </si>
  <si>
    <t>HIGH S.</t>
  </si>
  <si>
    <t>Novotel Centrum</t>
  </si>
  <si>
    <t>july</t>
  </si>
  <si>
    <t>only on request</t>
  </si>
  <si>
    <t>Sheraton 5*</t>
  </si>
  <si>
    <t>Zlaty Andel</t>
  </si>
  <si>
    <t>No A/C</t>
  </si>
  <si>
    <t>Wroclaw</t>
  </si>
  <si>
    <t>Ljubljana</t>
  </si>
  <si>
    <t>MOVENPICK</t>
  </si>
  <si>
    <t>CALTON</t>
  </si>
  <si>
    <t xml:space="preserve">PECS </t>
  </si>
  <si>
    <t>NH Danube city</t>
  </si>
  <si>
    <t>NH</t>
  </si>
  <si>
    <t>NH Hotels in Frankfurt</t>
  </si>
  <si>
    <t>Goldenes Schiff</t>
  </si>
  <si>
    <t>high s.</t>
  </si>
  <si>
    <t>NO A/C</t>
  </si>
  <si>
    <t>State Opera house</t>
  </si>
  <si>
    <t>Wiener Mozart Conzerte</t>
  </si>
  <si>
    <t xml:space="preserve">Schönbrunner Schlosskonzerte </t>
  </si>
  <si>
    <t>Johann Strauss Concert (Kursalon)</t>
  </si>
  <si>
    <t>Salzburg</t>
  </si>
  <si>
    <t>In Weissen Roessel</t>
  </si>
  <si>
    <t>Seegrotte</t>
  </si>
  <si>
    <t>Innsbruck</t>
  </si>
  <si>
    <t>ZellamSee</t>
  </si>
  <si>
    <t>Bratislava</t>
  </si>
  <si>
    <t>Krumlov</t>
  </si>
  <si>
    <t>Karlovy V.</t>
  </si>
  <si>
    <t>M.Lazne</t>
  </si>
  <si>
    <t>Zeughaus Armoury Museum: reserviert  direkt unter tourismus@museum-joanneum.at</t>
  </si>
  <si>
    <t>Grossglockner</t>
  </si>
  <si>
    <t>Road Tax</t>
  </si>
  <si>
    <t>Gerlos</t>
  </si>
  <si>
    <t>Hallein</t>
  </si>
  <si>
    <t>Salt Mine ( Hallein )</t>
  </si>
  <si>
    <t>Czestochowa Monastery ( Black Madonna)</t>
  </si>
  <si>
    <t>Heidelberg-Waldorf</t>
  </si>
  <si>
    <t xml:space="preserve">Park Inn </t>
  </si>
  <si>
    <t>Leonardo City West</t>
  </si>
  <si>
    <t>Sheraton Airport</t>
  </si>
  <si>
    <t>Le Meridien 5*</t>
  </si>
  <si>
    <t>Westin Grand Munchen 5*</t>
  </si>
  <si>
    <t>45+2</t>
    <phoneticPr fontId="21" type="noConversion"/>
  </si>
  <si>
    <t>40+2</t>
    <phoneticPr fontId="21" type="noConversion"/>
  </si>
  <si>
    <t>35+2</t>
    <phoneticPr fontId="21" type="noConversion"/>
  </si>
  <si>
    <t>30+2</t>
    <phoneticPr fontId="21" type="noConversion"/>
  </si>
  <si>
    <t>25+1</t>
    <phoneticPr fontId="21" type="noConversion"/>
  </si>
  <si>
    <t>20+1</t>
    <phoneticPr fontId="21" type="noConversion"/>
  </si>
  <si>
    <t>15+1</t>
    <phoneticPr fontId="21" type="noConversion"/>
  </si>
  <si>
    <t>10+1</t>
    <phoneticPr fontId="21" type="noConversion"/>
  </si>
  <si>
    <t>5+1</t>
    <phoneticPr fontId="21" type="noConversion"/>
  </si>
  <si>
    <t>6+1</t>
    <phoneticPr fontId="21" type="noConversion"/>
  </si>
  <si>
    <t>7+1</t>
    <phoneticPr fontId="21" type="noConversion"/>
  </si>
  <si>
    <t>8+1</t>
    <phoneticPr fontId="21" type="noConversion"/>
  </si>
  <si>
    <t>9+1</t>
    <phoneticPr fontId="21" type="noConversion"/>
  </si>
  <si>
    <t>11+1</t>
    <phoneticPr fontId="21" type="noConversion"/>
  </si>
  <si>
    <t>12+1</t>
    <phoneticPr fontId="21" type="noConversion"/>
  </si>
  <si>
    <t>13+1</t>
    <phoneticPr fontId="21" type="noConversion"/>
  </si>
  <si>
    <t>14+1</t>
    <phoneticPr fontId="21" type="noConversion"/>
  </si>
  <si>
    <t>16+1</t>
    <phoneticPr fontId="21" type="noConversion"/>
  </si>
  <si>
    <t>17+1</t>
    <phoneticPr fontId="21" type="noConversion"/>
  </si>
  <si>
    <t>18+1</t>
    <phoneticPr fontId="21" type="noConversion"/>
  </si>
  <si>
    <t>19+1</t>
    <phoneticPr fontId="21" type="noConversion"/>
  </si>
  <si>
    <t>21+1</t>
    <phoneticPr fontId="21" type="noConversion"/>
  </si>
  <si>
    <t>22+1</t>
    <phoneticPr fontId="21" type="noConversion"/>
  </si>
  <si>
    <t>23+1</t>
    <phoneticPr fontId="21" type="noConversion"/>
  </si>
  <si>
    <t>24+1</t>
    <phoneticPr fontId="21" type="noConversion"/>
  </si>
  <si>
    <t>26+1</t>
    <phoneticPr fontId="21" type="noConversion"/>
  </si>
  <si>
    <t>27+1</t>
    <phoneticPr fontId="21" type="noConversion"/>
  </si>
  <si>
    <t>28+1</t>
    <phoneticPr fontId="21" type="noConversion"/>
  </si>
  <si>
    <t>29+1</t>
    <phoneticPr fontId="21" type="noConversion"/>
  </si>
  <si>
    <t>31+2</t>
    <phoneticPr fontId="21" type="noConversion"/>
  </si>
  <si>
    <t>32+2</t>
    <phoneticPr fontId="21" type="noConversion"/>
  </si>
  <si>
    <t>33+2</t>
    <phoneticPr fontId="21" type="noConversion"/>
  </si>
  <si>
    <t>34+2</t>
    <phoneticPr fontId="21" type="noConversion"/>
  </si>
  <si>
    <t>St.Gilgen</t>
  </si>
  <si>
    <t>VILLA K.F.J.</t>
  </si>
  <si>
    <t>Heiligenblut</t>
  </si>
  <si>
    <t>Landhotel Post</t>
  </si>
  <si>
    <t>incl</t>
  </si>
  <si>
    <t>Badgastein</t>
  </si>
  <si>
    <t>ELISABETHPARK</t>
  </si>
  <si>
    <t>Eisenstadt</t>
  </si>
  <si>
    <t>GRAZ</t>
  </si>
  <si>
    <t>Novotel</t>
  </si>
  <si>
    <t>Arcotel Nike 4*</t>
  </si>
  <si>
    <t>Courtyard Marriott</t>
  </si>
  <si>
    <t>St. Veit</t>
  </si>
  <si>
    <t>see separate excel sheet</t>
  </si>
  <si>
    <t>A. T. H. Salzburg West</t>
  </si>
  <si>
    <t>A.T. H. Europa</t>
  </si>
  <si>
    <t>6 + 0</t>
    <phoneticPr fontId="21" type="noConversion"/>
  </si>
  <si>
    <t>6 + 1</t>
    <phoneticPr fontId="21" type="noConversion"/>
  </si>
  <si>
    <t>7 + 1</t>
    <phoneticPr fontId="21" type="noConversion"/>
  </si>
  <si>
    <t>8 + 1</t>
    <phoneticPr fontId="21" type="noConversion"/>
  </si>
  <si>
    <t>9 + 1</t>
    <phoneticPr fontId="21" type="noConversion"/>
  </si>
  <si>
    <t>10 + 1</t>
    <phoneticPr fontId="21" type="noConversion"/>
  </si>
  <si>
    <t>B)--Meals included :</t>
  </si>
  <si>
    <t xml:space="preserve"> x Continental Breakfast</t>
  </si>
  <si>
    <t xml:space="preserve"> x Buffet Breakfast    </t>
  </si>
  <si>
    <t xml:space="preserve">   x Lunch                                                          x Dinner     </t>
  </si>
  <si>
    <t xml:space="preserve">  x Dinner</t>
  </si>
  <si>
    <t>Arr.  :</t>
  </si>
  <si>
    <t>to dept. :</t>
  </si>
  <si>
    <t>at disposal</t>
  </si>
  <si>
    <t xml:space="preserve">D)--Porterage one piece p.p. at --Hotel :                          Airport:                       Station:            </t>
  </si>
  <si>
    <t>Airport:</t>
  </si>
  <si>
    <t>No</t>
  </si>
  <si>
    <t>No</t>
    <phoneticPr fontId="21" type="noConversion"/>
  </si>
  <si>
    <t>Courtyard by Marriott</t>
  </si>
  <si>
    <t>july-aug</t>
  </si>
  <si>
    <t>Mercure Messe</t>
  </si>
  <si>
    <t>Dresden</t>
  </si>
  <si>
    <t>Hotel</t>
  </si>
  <si>
    <t>Hotel Agricola</t>
  </si>
  <si>
    <t>Hotel Esplanade</t>
  </si>
  <si>
    <t>shoulder s.</t>
  </si>
  <si>
    <t>3+0</t>
    <phoneticPr fontId="21" type="noConversion"/>
  </si>
  <si>
    <t>4+0</t>
    <phoneticPr fontId="21" type="noConversion"/>
  </si>
  <si>
    <t>5+0</t>
    <phoneticPr fontId="21" type="noConversion"/>
  </si>
  <si>
    <t>6+1</t>
    <phoneticPr fontId="21" type="noConversion"/>
  </si>
  <si>
    <t>7+1</t>
    <phoneticPr fontId="21" type="noConversion"/>
  </si>
  <si>
    <t>8+1</t>
    <phoneticPr fontId="21" type="noConversion"/>
  </si>
  <si>
    <t>9+1</t>
    <phoneticPr fontId="21" type="noConversion"/>
  </si>
  <si>
    <t>10+1</t>
    <phoneticPr fontId="21" type="noConversion"/>
  </si>
  <si>
    <t>in downtown</t>
  </si>
  <si>
    <t>Holdrichsmulle</t>
  </si>
  <si>
    <t>Wawel Palace ( Mon x )State Rooms or Crown Treasury and Armoury</t>
  </si>
  <si>
    <r>
      <t xml:space="preserve">E)--Tips for Driver,Guides, Assistant are </t>
    </r>
    <r>
      <rPr>
        <b/>
        <sz val="12"/>
        <rFont val="Times New Roman"/>
        <family val="1"/>
      </rPr>
      <t>not included</t>
    </r>
    <r>
      <rPr>
        <sz val="12"/>
        <rFont val="Times New Roman"/>
        <family val="1"/>
      </rPr>
      <t>.</t>
    </r>
  </si>
  <si>
    <t xml:space="preserve">   Rates will be adjusted once fair periods in any city  above.</t>
    <phoneticPr fontId="21" type="noConversion"/>
  </si>
  <si>
    <t>QUOTATION</t>
  </si>
  <si>
    <t xml:space="preserve">Rate are valid from                   </t>
  </si>
  <si>
    <t>01 /April</t>
    <phoneticPr fontId="21" type="noConversion"/>
  </si>
  <si>
    <t>till</t>
  </si>
  <si>
    <t xml:space="preserve">30 /Oct </t>
    <phoneticPr fontId="21" type="noConversion"/>
  </si>
  <si>
    <t xml:space="preserve">SINGLE SUPPLEMENT: P.P.   </t>
    <phoneticPr fontId="21" type="noConversion"/>
  </si>
  <si>
    <t>QUOTATION  INCLUDED :</t>
  </si>
  <si>
    <t xml:space="preserve"> A)--Accommodation in following hotels or similar :</t>
  </si>
  <si>
    <t>no A/C</t>
  </si>
  <si>
    <t>Angelo</t>
  </si>
  <si>
    <t>weekdays</t>
  </si>
  <si>
    <t>weekends</t>
  </si>
  <si>
    <t>Half board suppl.</t>
  </si>
  <si>
    <t>incl.</t>
  </si>
  <si>
    <t>20.07-31.08.</t>
  </si>
  <si>
    <t>( From 19/7 - 1/9 - Expensive !!! )</t>
  </si>
  <si>
    <t>City</t>
  </si>
  <si>
    <t>Entrance</t>
  </si>
  <si>
    <t>Group</t>
  </si>
  <si>
    <t>Adult</t>
  </si>
  <si>
    <t>Child</t>
  </si>
  <si>
    <t>Graz</t>
  </si>
  <si>
    <t>Europe Express &amp; East Europe Travel Service</t>
    <phoneticPr fontId="26" type="noConversion"/>
  </si>
  <si>
    <t>Email : eets@eets.com.tw</t>
    <phoneticPr fontId="26" type="noConversion"/>
  </si>
  <si>
    <t>EGER</t>
  </si>
  <si>
    <t>Int'l Co., Ltd ( Associates ) / EETS - TAIPEI</t>
  </si>
  <si>
    <t xml:space="preserve"> D 15</t>
  </si>
  <si>
    <t xml:space="preserve"> D 16</t>
  </si>
  <si>
    <t xml:space="preserve"> D 17</t>
  </si>
  <si>
    <t xml:space="preserve"> D 18</t>
  </si>
  <si>
    <t xml:space="preserve"> D 19</t>
  </si>
  <si>
    <t xml:space="preserve"> D 20</t>
  </si>
  <si>
    <t xml:space="preserve"> D 21</t>
  </si>
  <si>
    <t>EETS-TPE-</t>
    <phoneticPr fontId="26" type="noConversion"/>
  </si>
  <si>
    <t>** 3 course menu for local meal &amp; 6 dishes + 1 soup for Chinese meal **</t>
    <phoneticPr fontId="21" type="noConversion"/>
  </si>
  <si>
    <t>** If facing conference period will be advise hotel supplement after group go-ahead **</t>
    <phoneticPr fontId="26" type="noConversion"/>
  </si>
  <si>
    <t xml:space="preserve">** FD = Full day / HD = Half day / EF = Entrance included / CH = Chinese </t>
    <phoneticPr fontId="26" type="noConversion"/>
  </si>
  <si>
    <t xml:space="preserve">     GD = Local Guide / APT = Airport **</t>
    <phoneticPr fontId="26" type="noConversion"/>
  </si>
  <si>
    <t>6F-1,No. 99,Sec.4 Ren Ai Rd , Taipei ,Taiwan , R.O.C.</t>
  </si>
  <si>
    <t>Tel : +8862-27119559 ; Fax : +8862-27118559</t>
    <phoneticPr fontId="26" type="noConversion"/>
  </si>
  <si>
    <t>Tel : +8862-27119559 ; Fax : +8862-27118559</t>
    <phoneticPr fontId="26" type="noConversion"/>
  </si>
  <si>
    <t>Neto -Euro</t>
    <phoneticPr fontId="21" type="noConversion"/>
  </si>
  <si>
    <t>5+1</t>
    <phoneticPr fontId="21" type="noConversion"/>
  </si>
  <si>
    <t>* 15+1 above - need to request the restaurant at least 2 x Free for driver &amp; T/L</t>
    <phoneticPr fontId="21" type="noConversion"/>
  </si>
  <si>
    <t>*  Less than 10+ 0 Pax - driver's meals included in the calculation,  if the group included meals</t>
    <phoneticPr fontId="21" type="noConversion"/>
  </si>
  <si>
    <t xml:space="preserve">    ( or We shall add all the driver's meals in the calculation with the Bus price together )</t>
    <phoneticPr fontId="21" type="noConversion"/>
  </si>
  <si>
    <t>Single</t>
    <phoneticPr fontId="21" type="noConversion"/>
  </si>
  <si>
    <t>Low S.</t>
  </si>
  <si>
    <t>Mercure 4*</t>
  </si>
  <si>
    <t>Arcotel Kaiserwasser</t>
  </si>
  <si>
    <t>Mercure</t>
  </si>
  <si>
    <t>Kitzbuhel</t>
  </si>
  <si>
    <t>Kreuz &amp; Post</t>
  </si>
  <si>
    <t>try to avoid, due to German Federal Garden show apr-nov 2011</t>
  </si>
  <si>
    <t>Lazienki Palace</t>
  </si>
  <si>
    <t xml:space="preserve">POLISH ENTRANCE AND MEAL FEES </t>
  </si>
  <si>
    <t>Intercontinental</t>
  </si>
  <si>
    <t>low</t>
  </si>
  <si>
    <t>Wieliczka</t>
  </si>
  <si>
    <t>Heidelberg</t>
  </si>
  <si>
    <t>LEIPZIG</t>
  </si>
  <si>
    <t>HOLIDAY INN</t>
  </si>
  <si>
    <t>MAINZ</t>
  </si>
  <si>
    <t>TITISEE</t>
  </si>
  <si>
    <t>G)- During the Conference  period and Bank holiday in Prague - Supplement will be advised</t>
    <phoneticPr fontId="26" type="noConversion"/>
  </si>
  <si>
    <t>Bad Reichenhall</t>
  </si>
  <si>
    <r>
      <t xml:space="preserve">* </t>
    </r>
    <r>
      <rPr>
        <b/>
        <sz val="14"/>
        <color indexed="10"/>
        <rFont val="細明體"/>
        <family val="3"/>
        <charset val="136"/>
      </rPr>
      <t>以上價格從大團報價表試算</t>
    </r>
    <phoneticPr fontId="21" type="noConversion"/>
  </si>
  <si>
    <r>
      <t xml:space="preserve">*  </t>
    </r>
    <r>
      <rPr>
        <b/>
        <sz val="12"/>
        <color indexed="10"/>
        <rFont val="細明體"/>
        <family val="3"/>
        <charset val="136"/>
      </rPr>
      <t>以下價格從小團報價表試算</t>
    </r>
    <phoneticPr fontId="21" type="noConversion"/>
  </si>
  <si>
    <r>
      <t xml:space="preserve">*  </t>
    </r>
    <r>
      <rPr>
        <b/>
        <sz val="14"/>
        <color indexed="10"/>
        <rFont val="細明體"/>
        <family val="3"/>
        <charset val="136"/>
      </rPr>
      <t>以下價格從大團報價表試算</t>
    </r>
    <phoneticPr fontId="21" type="noConversion"/>
  </si>
  <si>
    <r>
      <t xml:space="preserve">* </t>
    </r>
    <r>
      <rPr>
        <b/>
        <sz val="14"/>
        <color indexed="12"/>
        <rFont val="細明體"/>
        <family val="3"/>
        <charset val="136"/>
      </rPr>
      <t>價格從大團報價表試算</t>
    </r>
    <phoneticPr fontId="21" type="noConversion"/>
  </si>
  <si>
    <r>
      <t xml:space="preserve">** </t>
    </r>
    <r>
      <rPr>
        <b/>
        <sz val="14"/>
        <color indexed="12"/>
        <rFont val="細明體"/>
        <family val="3"/>
        <charset val="136"/>
      </rPr>
      <t>價格從小團報價表試算</t>
    </r>
    <phoneticPr fontId="21" type="noConversion"/>
  </si>
  <si>
    <t>july,aug</t>
  </si>
  <si>
    <t>High S.</t>
  </si>
  <si>
    <t>on request</t>
  </si>
  <si>
    <t>NH Vienna Airport</t>
  </si>
  <si>
    <t>Crowne Plaza</t>
  </si>
  <si>
    <t>H/Pension</t>
  </si>
  <si>
    <t>36+2</t>
    <phoneticPr fontId="21" type="noConversion"/>
  </si>
  <si>
    <t>37+2</t>
    <phoneticPr fontId="21" type="noConversion"/>
  </si>
  <si>
    <t>38+2</t>
    <phoneticPr fontId="21" type="noConversion"/>
  </si>
  <si>
    <t>39+2</t>
    <phoneticPr fontId="21" type="noConversion"/>
  </si>
  <si>
    <t>41+2</t>
    <phoneticPr fontId="21" type="noConversion"/>
  </si>
  <si>
    <t>42+2</t>
    <phoneticPr fontId="21" type="noConversion"/>
  </si>
  <si>
    <t>43+2</t>
    <phoneticPr fontId="21" type="noConversion"/>
  </si>
  <si>
    <t>44+2</t>
    <phoneticPr fontId="21" type="noConversion"/>
  </si>
  <si>
    <t>46+2</t>
    <phoneticPr fontId="21" type="noConversion"/>
  </si>
  <si>
    <t>47+2</t>
    <phoneticPr fontId="21" type="noConversion"/>
  </si>
  <si>
    <t>48+2</t>
    <phoneticPr fontId="21" type="noConversion"/>
  </si>
  <si>
    <t>49+2</t>
    <phoneticPr fontId="21" type="noConversion"/>
  </si>
  <si>
    <t>50+2</t>
    <phoneticPr fontId="21" type="noConversion"/>
  </si>
  <si>
    <t>45+3</t>
    <phoneticPr fontId="21" type="noConversion"/>
  </si>
  <si>
    <t>46+3</t>
    <phoneticPr fontId="21" type="noConversion"/>
  </si>
  <si>
    <t>47+3</t>
    <phoneticPr fontId="21" type="noConversion"/>
  </si>
  <si>
    <t>48+3</t>
    <phoneticPr fontId="21" type="noConversion"/>
  </si>
  <si>
    <t>49+3</t>
    <phoneticPr fontId="21" type="noConversion"/>
  </si>
  <si>
    <t>Total Meals</t>
    <phoneticPr fontId="21" type="noConversion"/>
  </si>
  <si>
    <t>* 10+1 above - need to request the restaurant at least 1 Free for driver</t>
    <phoneticPr fontId="21" type="noConversion"/>
  </si>
  <si>
    <t xml:space="preserve">* If no meals included for the group , T/L shall pay the driver's meal  </t>
    <phoneticPr fontId="21" type="noConversion"/>
  </si>
  <si>
    <t>Tilman Riemenschneider 4*</t>
  </si>
  <si>
    <t>april</t>
  </si>
  <si>
    <t>Sofitel 5*</t>
  </si>
  <si>
    <t>Marriott Budapest 5*</t>
  </si>
  <si>
    <t>may,june,sep</t>
  </si>
  <si>
    <t>june,sep</t>
  </si>
  <si>
    <t>Dubrovnik</t>
  </si>
  <si>
    <t>Radisson Blu Slano Resort 5*</t>
  </si>
  <si>
    <t>13 km from DBV</t>
  </si>
  <si>
    <t>Korcula</t>
  </si>
  <si>
    <t>Split</t>
  </si>
  <si>
    <t>Falkensteiner-Donat 3*</t>
  </si>
  <si>
    <t>Westin 5*</t>
  </si>
  <si>
    <t>apr,may,june</t>
  </si>
  <si>
    <t>Imperial Hilton 5*</t>
  </si>
  <si>
    <t>Bled</t>
  </si>
  <si>
    <t>Kompas 4*</t>
  </si>
  <si>
    <t>Wroclaw 4*</t>
  </si>
  <si>
    <t>Scandic (Holiday Inn) 4*</t>
  </si>
  <si>
    <t>Salzkmgt_B. Ischl</t>
  </si>
  <si>
    <t>weekends, july-aug</t>
  </si>
  <si>
    <t>Holiday Inn 5*</t>
  </si>
  <si>
    <t>may,sep, oct</t>
  </si>
  <si>
    <t>Krakow</t>
  </si>
  <si>
    <t>Grand 5*</t>
  </si>
  <si>
    <t>Warsaw</t>
  </si>
  <si>
    <t>Radisson Blu Sobieski 4*</t>
  </si>
  <si>
    <t>Novotel Centrum 4*</t>
  </si>
  <si>
    <t>Sofitel Victoria 5*</t>
  </si>
  <si>
    <t>Heviz</t>
  </si>
  <si>
    <t>Sarvar</t>
  </si>
  <si>
    <t>Budapest</t>
  </si>
  <si>
    <t>Bad Blumau</t>
  </si>
  <si>
    <t>Vienna</t>
  </si>
  <si>
    <t>Talhof Panorama</t>
  </si>
  <si>
    <t>Brno</t>
  </si>
  <si>
    <t>Plzen</t>
  </si>
  <si>
    <t>Prague</t>
  </si>
  <si>
    <t>Fuessen</t>
  </si>
  <si>
    <t>Reutte</t>
  </si>
  <si>
    <t>Munich</t>
  </si>
  <si>
    <t>Geneva</t>
  </si>
  <si>
    <t>Balatonfured</t>
  </si>
  <si>
    <t>Rogner</t>
  </si>
  <si>
    <t>may,june,sep,oct</t>
  </si>
  <si>
    <t>Leonardo Royal 4*</t>
  </si>
  <si>
    <t>Frankfurt</t>
  </si>
  <si>
    <t>Sheraton Congress 4*</t>
  </si>
  <si>
    <t>Best Western Munich Airport 4*</t>
  </si>
  <si>
    <t>Sheraton Westpark 4*</t>
  </si>
  <si>
    <t>Sheraton Arabellapark 4*</t>
  </si>
  <si>
    <t>Leonardo Heidelberg 4*</t>
  </si>
  <si>
    <t>Holiday Inn 4*</t>
  </si>
  <si>
    <t>sep,oct</t>
  </si>
  <si>
    <t>Restaurant U Zlate Konvice: 21€</t>
  </si>
  <si>
    <t>St. Moritz</t>
  </si>
  <si>
    <t>Crystal 4*</t>
  </si>
  <si>
    <t>Interlaken 4*</t>
  </si>
  <si>
    <t>Novotel Bern Expo 4*</t>
  </si>
  <si>
    <t>Yasmin 4*</t>
  </si>
  <si>
    <t>Castle Esterhazy  with Guide</t>
  </si>
  <si>
    <t xml:space="preserve">Cable Car to Franz-Josef-Höhe </t>
  </si>
  <si>
    <t>Road Tax and Bus Tax ( Gerlos Alpenstraße )</t>
  </si>
  <si>
    <t xml:space="preserve">Ratz Wolfgang lake cruise St.Gilgen-St.Wolfgang </t>
  </si>
  <si>
    <t xml:space="preserve">Grand Kempinski </t>
  </si>
  <si>
    <t>july, aug,sep</t>
  </si>
  <si>
    <t>lake view rooms for 12 € p.p. Suppl.</t>
  </si>
  <si>
    <t>High Tatras</t>
  </si>
  <si>
    <t>BUS &amp; Group Cost</t>
  </si>
  <si>
    <t xml:space="preserve"> D 2</t>
  </si>
  <si>
    <t>EURO - NET</t>
  </si>
  <si>
    <t>5+1</t>
  </si>
  <si>
    <t>6+1</t>
  </si>
  <si>
    <t>16+1</t>
  </si>
  <si>
    <t>17+1</t>
  </si>
  <si>
    <t>28+1</t>
  </si>
  <si>
    <t>29+1</t>
  </si>
  <si>
    <t>45+2</t>
  </si>
  <si>
    <t>10+0</t>
  </si>
  <si>
    <t>9+0</t>
  </si>
  <si>
    <t>8+0</t>
  </si>
  <si>
    <t>7+0</t>
  </si>
  <si>
    <t>6+0</t>
  </si>
  <si>
    <t>5 + 0</t>
  </si>
  <si>
    <t>4 + 0</t>
  </si>
  <si>
    <t>3 + 0</t>
  </si>
  <si>
    <t>2 + 0</t>
  </si>
  <si>
    <t>10 + 1</t>
  </si>
  <si>
    <t>9+1</t>
  </si>
  <si>
    <t>8+1</t>
  </si>
  <si>
    <t>7+1</t>
  </si>
  <si>
    <t>AdditionalPortion *</t>
  </si>
  <si>
    <t>18+1</t>
  </si>
  <si>
    <t>19+1</t>
  </si>
  <si>
    <t>31+2</t>
  </si>
  <si>
    <t>32+2</t>
  </si>
  <si>
    <t>21+1</t>
  </si>
  <si>
    <t>22+1</t>
  </si>
  <si>
    <t>33+2</t>
  </si>
  <si>
    <t>34+2</t>
  </si>
  <si>
    <t xml:space="preserve"> Mark up : EURO</t>
  </si>
  <si>
    <t>11+1</t>
  </si>
  <si>
    <t>12+1</t>
  </si>
  <si>
    <t>23+1</t>
  </si>
  <si>
    <t>24+1</t>
  </si>
  <si>
    <t>36+2</t>
  </si>
  <si>
    <t>37+2</t>
  </si>
  <si>
    <t>EURO</t>
  </si>
  <si>
    <t>13+1</t>
  </si>
  <si>
    <t>14+1</t>
  </si>
  <si>
    <t>26+1</t>
  </si>
  <si>
    <t>27+1</t>
  </si>
  <si>
    <t>38+2</t>
  </si>
  <si>
    <t>39+2</t>
  </si>
  <si>
    <t>Pax &amp; Free</t>
  </si>
  <si>
    <t>10+0 to 2+0 also :</t>
  </si>
  <si>
    <t xml:space="preserve">* Included Driver's meal !!! </t>
  </si>
  <si>
    <t>* 10+1 above - need to request the restaurant at least 1 Free for driver</t>
  </si>
  <si>
    <t>* 15+1 above - need to request the restaurant at least 2 x Free for driver &amp; T/L</t>
  </si>
  <si>
    <t>*  Less than 10+ 0 Pax - driver's meals included in the calculation,  if the group included meals</t>
  </si>
  <si>
    <t xml:space="preserve">* If no meals included for the group , T/L shall pay the driver's meal  </t>
  </si>
  <si>
    <t xml:space="preserve">    ( or We shall add all the driver's meals in the calculation with the Bus price together )</t>
  </si>
  <si>
    <t>Courtyard by M. Messe</t>
  </si>
  <si>
    <t>A.T.H. Savoyen 4*+</t>
  </si>
  <si>
    <t>Hilton Vienna</t>
  </si>
  <si>
    <t xml:space="preserve">Holiday Inn </t>
  </si>
  <si>
    <t>festival p.</t>
  </si>
  <si>
    <t>low s</t>
  </si>
  <si>
    <t>Radisson Altstadt Blu 5*</t>
  </si>
  <si>
    <t>Bristol</t>
  </si>
  <si>
    <t>only german DBL</t>
  </si>
  <si>
    <t>Salzkmgt _Hof bei Salzb.</t>
  </si>
  <si>
    <t>Classic style "traditional Salzkammergut style"</t>
  </si>
  <si>
    <t>Salzkmgt_St.Wolfgang</t>
  </si>
  <si>
    <t>Salzkmgt_Mondsee</t>
  </si>
  <si>
    <t>Alpinpark</t>
  </si>
  <si>
    <t>A.T.H. Congress</t>
  </si>
  <si>
    <t>Budapest 4*</t>
  </si>
  <si>
    <t>Apr, Jul, Aug</t>
  </si>
  <si>
    <t>Holiday Inn</t>
  </si>
  <si>
    <t>Arena 4*</t>
  </si>
  <si>
    <t>Thermal Margitsziget 4*+</t>
  </si>
  <si>
    <t>Grand H.l Margitsziget 4*+</t>
  </si>
  <si>
    <t>Astoria 4*</t>
  </si>
  <si>
    <t>Mercure Budapest City Center</t>
  </si>
  <si>
    <t>Hilton Castle</t>
  </si>
  <si>
    <t>Europa FIT</t>
  </si>
  <si>
    <t>Palatinus</t>
  </si>
  <si>
    <t>Patria</t>
  </si>
  <si>
    <t>A.T.H. Bratislava</t>
  </si>
  <si>
    <t>Grand Praha</t>
  </si>
  <si>
    <t>International</t>
  </si>
  <si>
    <t>downtown location</t>
  </si>
  <si>
    <t>Grand Hotel</t>
  </si>
  <si>
    <t>Zvon 4*</t>
  </si>
  <si>
    <t>Ruze 5*</t>
  </si>
  <si>
    <t>Old Inn 4*</t>
  </si>
  <si>
    <t>Esplanade</t>
  </si>
  <si>
    <t>Agricola</t>
  </si>
  <si>
    <t>Duo 4*</t>
  </si>
  <si>
    <t>jan,febr</t>
  </si>
  <si>
    <t>Pyramida 4*</t>
  </si>
  <si>
    <t>march</t>
  </si>
  <si>
    <t>Expo 4*</t>
  </si>
  <si>
    <t>Panorama 4*</t>
  </si>
  <si>
    <t>Andel's 4*</t>
  </si>
  <si>
    <t>Corinthia 5*</t>
  </si>
  <si>
    <t>President 5*</t>
  </si>
  <si>
    <t>Hilton Prague 5*</t>
  </si>
  <si>
    <t>whole year</t>
  </si>
  <si>
    <t>Hilton Old Town 5*</t>
  </si>
  <si>
    <t>Savoy 5*</t>
  </si>
  <si>
    <t>More 5*</t>
  </si>
  <si>
    <t>Rixos 5*</t>
  </si>
  <si>
    <t>in Cavtat, 20 km from DBV</t>
  </si>
  <si>
    <t>Hvar</t>
  </si>
  <si>
    <t>Amfora 4*</t>
  </si>
  <si>
    <t>Opatija</t>
  </si>
  <si>
    <t>may,june</t>
  </si>
  <si>
    <t>Plitvice</t>
  </si>
  <si>
    <t>Jezero 3*</t>
  </si>
  <si>
    <t>Plitivce 2*</t>
  </si>
  <si>
    <t>Atrium 5*</t>
  </si>
  <si>
    <t>april,oct</t>
  </si>
  <si>
    <t>President/Solin/Split 5*</t>
  </si>
  <si>
    <t>april,nov,dec</t>
  </si>
  <si>
    <t>aug,sep</t>
  </si>
  <si>
    <t>oct</t>
  </si>
  <si>
    <t>sea view 5 € p.p. Suppl.</t>
  </si>
  <si>
    <t>Vodice</t>
  </si>
  <si>
    <t>Olympia 4*</t>
  </si>
  <si>
    <t>Zadar</t>
  </si>
  <si>
    <t>Kolovare 4*</t>
  </si>
  <si>
    <t>Zagreb</t>
  </si>
  <si>
    <t>all weekends</t>
  </si>
  <si>
    <t>marc,apr</t>
  </si>
  <si>
    <t>Grand H. Toplice 5*</t>
  </si>
  <si>
    <t>Grand H. Union Business 4*</t>
  </si>
  <si>
    <t>Austria Trend Ljubljana 4*</t>
  </si>
  <si>
    <t>Arvena</t>
  </si>
  <si>
    <t>Davos</t>
  </si>
  <si>
    <t>Grindelwald</t>
  </si>
  <si>
    <t>Eurotel Riviera</t>
  </si>
  <si>
    <t>Germand DBL rooms</t>
  </si>
  <si>
    <t>NH Airport 4*</t>
  </si>
  <si>
    <t>Moevenpick Airport</t>
  </si>
  <si>
    <t>CHF</t>
  </si>
  <si>
    <r>
      <t xml:space="preserve">** </t>
    </r>
    <r>
      <rPr>
        <b/>
        <sz val="12"/>
        <rFont val="細明體"/>
        <family val="3"/>
        <charset val="136"/>
      </rPr>
      <t>若需報特別價格如</t>
    </r>
    <r>
      <rPr>
        <b/>
        <sz val="12"/>
        <rFont val="Times New Roman"/>
        <family val="1"/>
      </rPr>
      <t xml:space="preserve"> 11+1,19+1,24+1 45+3,etc.</t>
    </r>
    <r>
      <rPr>
        <b/>
        <sz val="12"/>
        <rFont val="細明體"/>
        <family val="3"/>
        <charset val="136"/>
      </rPr>
      <t>不在原表格中或小團需加一價格從</t>
    </r>
    <r>
      <rPr>
        <b/>
        <sz val="12"/>
        <rFont val="Times New Roman"/>
        <family val="1"/>
      </rPr>
      <t>5+1</t>
    </r>
    <r>
      <rPr>
        <b/>
        <sz val="12"/>
        <rFont val="細明體"/>
        <family val="3"/>
        <charset val="136"/>
      </rPr>
      <t>起，可查換算表並用以下方式報價</t>
    </r>
    <r>
      <rPr>
        <b/>
        <sz val="12"/>
        <rFont val="Times New Roman"/>
        <family val="1"/>
      </rPr>
      <t xml:space="preserve"> : ( </t>
    </r>
    <r>
      <rPr>
        <b/>
        <sz val="12"/>
        <rFont val="細明體"/>
        <family val="3"/>
        <charset val="136"/>
      </rPr>
      <t>接在後</t>
    </r>
    <r>
      <rPr>
        <b/>
        <sz val="12"/>
        <rFont val="Times New Roman"/>
        <family val="1"/>
      </rPr>
      <t xml:space="preserve"> , </t>
    </r>
    <r>
      <rPr>
        <b/>
        <sz val="12"/>
        <rFont val="細明體"/>
        <family val="3"/>
        <charset val="136"/>
      </rPr>
      <t>檔數如</t>
    </r>
    <r>
      <rPr>
        <b/>
        <sz val="12"/>
        <rFont val="Times New Roman"/>
        <family val="1"/>
      </rPr>
      <t xml:space="preserve"> 11+1</t>
    </r>
    <r>
      <rPr>
        <b/>
        <sz val="12"/>
        <rFont val="細明體"/>
        <family val="3"/>
        <charset val="136"/>
      </rPr>
      <t>自打</t>
    </r>
    <r>
      <rPr>
        <b/>
        <sz val="12"/>
        <rFont val="Times New Roman"/>
        <family val="1"/>
      </rPr>
      <t>)</t>
    </r>
  </si>
  <si>
    <r>
      <t>如</t>
    </r>
    <r>
      <rPr>
        <sz val="12"/>
        <rFont val="Times New Roman"/>
        <family val="1"/>
      </rPr>
      <t xml:space="preserve"> (11+1)</t>
    </r>
  </si>
  <si>
    <r>
      <t xml:space="preserve">Net Price </t>
    </r>
    <r>
      <rPr>
        <sz val="12"/>
        <rFont val="細明體"/>
        <family val="3"/>
        <charset val="136"/>
      </rPr>
      <t>查換算表</t>
    </r>
  </si>
  <si>
    <r>
      <t xml:space="preserve">**** </t>
    </r>
    <r>
      <rPr>
        <sz val="12"/>
        <rFont val="細明體"/>
        <family val="3"/>
        <charset val="136"/>
      </rPr>
      <t>此表格全部為</t>
    </r>
    <r>
      <rPr>
        <sz val="12"/>
        <rFont val="Times New Roman"/>
        <family val="1"/>
      </rPr>
      <t xml:space="preserve"> </t>
    </r>
    <r>
      <rPr>
        <sz val="12"/>
        <rFont val="細明體"/>
        <family val="3"/>
        <charset val="136"/>
      </rPr>
      <t>歐元€價格</t>
    </r>
  </si>
  <si>
    <r>
      <t xml:space="preserve">**/// </t>
    </r>
    <r>
      <rPr>
        <b/>
        <sz val="14"/>
        <rFont val="細明體"/>
        <family val="3"/>
        <charset val="136"/>
      </rPr>
      <t>此</t>
    </r>
    <r>
      <rPr>
        <b/>
        <sz val="14"/>
        <rFont val="Times New Roman"/>
        <family val="1"/>
      </rPr>
      <t xml:space="preserve"> Excel File </t>
    </r>
    <r>
      <rPr>
        <b/>
        <sz val="14"/>
        <rFont val="細明體"/>
        <family val="3"/>
        <charset val="136"/>
      </rPr>
      <t>不能直接</t>
    </r>
    <r>
      <rPr>
        <b/>
        <sz val="14"/>
        <rFont val="Times New Roman"/>
        <family val="1"/>
      </rPr>
      <t xml:space="preserve"> Email </t>
    </r>
    <r>
      <rPr>
        <b/>
        <sz val="14"/>
        <rFont val="細明體"/>
        <family val="3"/>
        <charset val="136"/>
      </rPr>
      <t>出去</t>
    </r>
    <r>
      <rPr>
        <b/>
        <sz val="14"/>
        <rFont val="Times New Roman"/>
        <family val="1"/>
      </rPr>
      <t xml:space="preserve">  , </t>
    </r>
    <r>
      <rPr>
        <b/>
        <sz val="14"/>
        <rFont val="細明體"/>
        <family val="3"/>
        <charset val="136"/>
      </rPr>
      <t>除非是給自己公司的人</t>
    </r>
  </si>
  <si>
    <r>
      <t xml:space="preserve">** </t>
    </r>
    <r>
      <rPr>
        <sz val="14"/>
        <rFont val="細明體"/>
        <family val="3"/>
        <charset val="136"/>
      </rPr>
      <t>算好後</t>
    </r>
    <r>
      <rPr>
        <sz val="14"/>
        <rFont val="Times New Roman"/>
        <family val="1"/>
      </rPr>
      <t xml:space="preserve"> </t>
    </r>
    <r>
      <rPr>
        <sz val="14"/>
        <rFont val="細明體"/>
        <family val="3"/>
        <charset val="136"/>
      </rPr>
      <t>打入</t>
    </r>
    <r>
      <rPr>
        <sz val="14"/>
        <rFont val="Times New Roman"/>
        <family val="1"/>
      </rPr>
      <t xml:space="preserve"> </t>
    </r>
    <r>
      <rPr>
        <sz val="14"/>
        <rFont val="細明體"/>
        <family val="3"/>
        <charset val="136"/>
      </rPr>
      <t>黃色部份之</t>
    </r>
    <r>
      <rPr>
        <sz val="14"/>
        <rFont val="Times New Roman"/>
        <family val="1"/>
      </rPr>
      <t xml:space="preserve"> Mark Up </t>
    </r>
    <r>
      <rPr>
        <sz val="14"/>
        <rFont val="細明體"/>
        <family val="3"/>
        <charset val="136"/>
      </rPr>
      <t>數目</t>
    </r>
    <r>
      <rPr>
        <sz val="14"/>
        <rFont val="Times New Roman"/>
        <family val="1"/>
      </rPr>
      <t xml:space="preserve"> ,</t>
    </r>
    <r>
      <rPr>
        <sz val="14"/>
        <rFont val="細明體"/>
        <family val="3"/>
        <charset val="136"/>
      </rPr>
      <t>若有</t>
    </r>
    <r>
      <rPr>
        <sz val="14"/>
        <rFont val="Times New Roman"/>
        <family val="1"/>
      </rPr>
      <t xml:space="preserve"> Additional </t>
    </r>
    <r>
      <rPr>
        <sz val="14"/>
        <rFont val="細明體"/>
        <family val="3"/>
        <charset val="136"/>
      </rPr>
      <t>部份需換成</t>
    </r>
    <r>
      <rPr>
        <sz val="14"/>
        <rFont val="Times New Roman"/>
        <family val="1"/>
      </rPr>
      <t xml:space="preserve"> EURO </t>
    </r>
  </si>
  <si>
    <r>
      <t xml:space="preserve">** </t>
    </r>
    <r>
      <rPr>
        <sz val="12"/>
        <rFont val="細明體"/>
        <family val="3"/>
        <charset val="136"/>
      </rPr>
      <t>再開另外一頁</t>
    </r>
    <r>
      <rPr>
        <sz val="12"/>
        <rFont val="Times New Roman"/>
        <family val="1"/>
      </rPr>
      <t xml:space="preserve">- </t>
    </r>
    <r>
      <rPr>
        <sz val="12"/>
        <rFont val="細明體"/>
        <family val="3"/>
        <charset val="136"/>
      </rPr>
      <t>團體報價單</t>
    </r>
    <r>
      <rPr>
        <sz val="12"/>
        <rFont val="Times New Roman"/>
        <family val="1"/>
      </rPr>
      <t xml:space="preserve"> ,  </t>
    </r>
    <r>
      <rPr>
        <sz val="12"/>
        <rFont val="細明體"/>
        <family val="3"/>
        <charset val="136"/>
      </rPr>
      <t>分大小不同團體</t>
    </r>
    <r>
      <rPr>
        <sz val="12"/>
        <rFont val="Times New Roman"/>
        <family val="1"/>
      </rPr>
      <t xml:space="preserve"> , </t>
    </r>
    <r>
      <rPr>
        <sz val="12"/>
        <rFont val="細明體"/>
        <family val="3"/>
        <charset val="136"/>
      </rPr>
      <t>兩種報價單</t>
    </r>
    <r>
      <rPr>
        <sz val="12"/>
        <rFont val="Times New Roman"/>
        <family val="1"/>
      </rPr>
      <t xml:space="preserve"> , </t>
    </r>
    <r>
      <rPr>
        <sz val="12"/>
        <rFont val="細明體"/>
        <family val="3"/>
        <charset val="136"/>
      </rPr>
      <t>看情況選擇用</t>
    </r>
    <r>
      <rPr>
        <sz val="12"/>
        <rFont val="Times New Roman"/>
        <family val="1"/>
      </rPr>
      <t xml:space="preserve">  !</t>
    </r>
  </si>
  <si>
    <r>
      <t xml:space="preserve">     </t>
    </r>
    <r>
      <rPr>
        <sz val="12"/>
        <rFont val="細明體"/>
        <family val="3"/>
        <charset val="136"/>
      </rPr>
      <t>因此</t>
    </r>
    <r>
      <rPr>
        <sz val="12"/>
        <rFont val="Times New Roman"/>
        <family val="1"/>
      </rPr>
      <t xml:space="preserve">  , </t>
    </r>
    <r>
      <rPr>
        <sz val="12"/>
        <rFont val="細明體"/>
        <family val="3"/>
        <charset val="136"/>
      </rPr>
      <t>另外需再複製</t>
    </r>
    <r>
      <rPr>
        <sz val="12"/>
        <rFont val="Times New Roman"/>
        <family val="1"/>
      </rPr>
      <t xml:space="preserve"> </t>
    </r>
    <r>
      <rPr>
        <sz val="12"/>
        <rFont val="細明體"/>
        <family val="3"/>
        <charset val="136"/>
      </rPr>
      <t>報價單</t>
    </r>
    <r>
      <rPr>
        <sz val="12"/>
        <rFont val="Times New Roman"/>
        <family val="1"/>
      </rPr>
      <t xml:space="preserve"> , </t>
    </r>
    <r>
      <rPr>
        <sz val="12"/>
        <rFont val="細明體"/>
        <family val="3"/>
        <charset val="136"/>
      </rPr>
      <t>不含計價表</t>
    </r>
    <r>
      <rPr>
        <sz val="12"/>
        <rFont val="Times New Roman"/>
        <family val="1"/>
      </rPr>
      <t xml:space="preserve">  , </t>
    </r>
    <r>
      <rPr>
        <sz val="12"/>
        <rFont val="細明體"/>
        <family val="3"/>
        <charset val="136"/>
      </rPr>
      <t>再另存新檔</t>
    </r>
    <r>
      <rPr>
        <sz val="12"/>
        <rFont val="Times New Roman"/>
        <family val="1"/>
      </rPr>
      <t xml:space="preserve">  , </t>
    </r>
    <r>
      <rPr>
        <sz val="12"/>
        <rFont val="細明體"/>
        <family val="3"/>
        <charset val="136"/>
      </rPr>
      <t>才可以</t>
    </r>
    <r>
      <rPr>
        <sz val="12"/>
        <rFont val="Times New Roman"/>
        <family val="1"/>
      </rPr>
      <t xml:space="preserve"> Email</t>
    </r>
    <r>
      <rPr>
        <sz val="12"/>
        <rFont val="細明體"/>
        <family val="3"/>
        <charset val="136"/>
      </rPr>
      <t>報價之兩頁</t>
    </r>
  </si>
  <si>
    <t>jan,febr,march</t>
  </si>
  <si>
    <t>classic rooms (softly renovated), only 35 TWN rooms, NO A/C</t>
  </si>
  <si>
    <t>ADVENT weekend</t>
  </si>
  <si>
    <t>Lotus Therme 5*</t>
  </si>
  <si>
    <t>A.T.H. Doppio 4*</t>
  </si>
  <si>
    <t>Burgenland</t>
  </si>
  <si>
    <t>10/july-25/aug</t>
  </si>
  <si>
    <t>free CXL is 2 month prior</t>
  </si>
  <si>
    <t>Sunstar Park H. 4*</t>
  </si>
  <si>
    <t xml:space="preserve">Clarion Congress </t>
  </si>
  <si>
    <t>28 TWN, 22 German DBL</t>
  </si>
  <si>
    <t>Pinija 4*</t>
  </si>
  <si>
    <t>in Petrcane - Zadar</t>
  </si>
  <si>
    <t>Croatia 5* classic room</t>
  </si>
  <si>
    <t>Croatia 5* seaview room</t>
  </si>
  <si>
    <t>29/4-15/5; 16-27/10</t>
  </si>
  <si>
    <t>16/5-30/6; 9/9-15/10</t>
  </si>
  <si>
    <t>1-21/7;21/8-8/9</t>
  </si>
  <si>
    <t>01/4-12/5; 16/10-15/11</t>
  </si>
  <si>
    <t>13/5-7/7; 16/9-15/10</t>
  </si>
  <si>
    <t>Dubrovnik Palace 5*</t>
  </si>
  <si>
    <t>13/5-07/7; 16/9-15/10</t>
  </si>
  <si>
    <t>01/4-12/5; 16-31/10</t>
  </si>
  <si>
    <t>Argentina 5* seaview rooms</t>
  </si>
  <si>
    <t>Falkensteiner 4* Borik</t>
  </si>
  <si>
    <t>5-8 min. driving from old town</t>
  </si>
  <si>
    <t>Park 4*</t>
  </si>
  <si>
    <t>sea view 10 € p.p. Suppl.</t>
  </si>
  <si>
    <t>22/7-20/8</t>
  </si>
  <si>
    <t>Schloss Fuschl 5*</t>
  </si>
  <si>
    <t>on request only in last minute</t>
  </si>
  <si>
    <t>Radisson Blu 4*</t>
  </si>
  <si>
    <t>Aquincum</t>
  </si>
  <si>
    <t>Alphotel Innsbruck (Ex-Austrotel)</t>
  </si>
  <si>
    <t>Degenija</t>
  </si>
  <si>
    <t>NH Prague 4* (ex-Moevenpick)</t>
  </si>
  <si>
    <t>Marriott 5*</t>
  </si>
  <si>
    <t>Best Western Majestic Plaza</t>
  </si>
  <si>
    <t>Olympik 1</t>
  </si>
  <si>
    <t>RQ</t>
  </si>
  <si>
    <t>Night(s)</t>
    <phoneticPr fontId="26" type="noConversion"/>
  </si>
  <si>
    <t xml:space="preserve">   </t>
    <phoneticPr fontId="21" type="noConversion"/>
  </si>
  <si>
    <t>** Any other entrance fee not include in this quotation will be provide as   supplement later **</t>
    <phoneticPr fontId="21" type="noConversion"/>
  </si>
  <si>
    <t xml:space="preserve">Europe Express Travel Service Int'l Co.,Ltd </t>
    <phoneticPr fontId="26" type="noConversion"/>
  </si>
  <si>
    <t>(Associates) / EETS - TAIPEI</t>
    <phoneticPr fontId="26" type="noConversion"/>
  </si>
  <si>
    <t>9F,No. 101,Sec.4 Ren Ai Rd,Taipei,Taiwan,R.O.C.</t>
    <phoneticPr fontId="26" type="noConversion"/>
  </si>
  <si>
    <t>Tel : +8862-27119559 ; Fax : +8862-27118559</t>
    <phoneticPr fontId="26" type="noConversion"/>
  </si>
  <si>
    <t>Email : taipei@eetstravel.com</t>
    <phoneticPr fontId="26" type="noConversion"/>
  </si>
  <si>
    <t>* Child under 12 y.old : additional bed with parent  80 % tour fee ; Without bed 60 % tour fee</t>
    <phoneticPr fontId="26" type="noConversion"/>
  </si>
  <si>
    <t>** Any other entrance fee not include in this quotation will be provide as  supplement later **</t>
    <phoneticPr fontId="21" type="noConversion"/>
  </si>
  <si>
    <t>** If group not include all meals,pls must arrange meals for the driver **</t>
    <phoneticPr fontId="26" type="noConversion"/>
  </si>
  <si>
    <t xml:space="preserve">IF YOU AGREE THE ABOVE SERVICE ,PLEASE SIGN BACK FOR REFERENCE </t>
    <phoneticPr fontId="26" type="noConversion"/>
  </si>
  <si>
    <t>THANK YOU   &amp;</t>
    <phoneticPr fontId="26" type="noConversion"/>
  </si>
  <si>
    <t xml:space="preserve"> </t>
    <phoneticPr fontId="26" type="noConversion"/>
  </si>
  <si>
    <t>SIGNATURE BY AGENT</t>
    <phoneticPr fontId="26" type="noConversion"/>
  </si>
  <si>
    <t xml:space="preserve">Kitzsteinhorn Cable Car </t>
  </si>
  <si>
    <t>half-hour round trip from and end in St. Wolfgang</t>
  </si>
  <si>
    <t>Schönbrunn Palace ( Highlight Tour with guide)</t>
  </si>
  <si>
    <t>Schönbrunn Palace ( imperial Tour with guide  / with audio guide )</t>
  </si>
  <si>
    <t>Schönbrunn Palace ( Grand Tour Tour with guide / with audioguide )</t>
  </si>
  <si>
    <t>Hofburg (Kaiserappartements,Sisi Museum,Silverkammer with guide / with audioguide)</t>
  </si>
  <si>
    <t>Vienna Hofburg-Orchester</t>
  </si>
  <si>
    <t>CLOSED</t>
  </si>
  <si>
    <t xml:space="preserve">   x Lunch                                                           </t>
    <phoneticPr fontId="26" type="noConversion"/>
  </si>
  <si>
    <t xml:space="preserve">    </t>
    <phoneticPr fontId="21" type="noConversion"/>
  </si>
  <si>
    <t>please find separate excel sheet</t>
  </si>
  <si>
    <t xml:space="preserve">A.T.H. Savoyen 4*+ </t>
  </si>
  <si>
    <t>Park Inn by Radisson 4*</t>
  </si>
  <si>
    <t>apr, july, aug</t>
  </si>
  <si>
    <t>Grand Majestic Plaza</t>
  </si>
  <si>
    <t>GrandioR</t>
  </si>
  <si>
    <t>2.2 city tax</t>
  </si>
  <si>
    <t>Pyramida</t>
  </si>
  <si>
    <t>Highway fee (need to quote in the quotation):</t>
  </si>
  <si>
    <t>- each day in Austria: 40 EUR</t>
  </si>
  <si>
    <t>Airport - Vienna: 15 EUR</t>
  </si>
  <si>
    <t>Airport - Parndorf: 20 EUR</t>
  </si>
  <si>
    <t>- each day in Czech: 13 EUR</t>
  </si>
  <si>
    <t>- each day in Poland: 5 EUR</t>
  </si>
  <si>
    <t>- each day in Slovakia: no need</t>
  </si>
  <si>
    <t>- each day in Hungary: 15 EUR (for hungarian coaches it is included in the daily rate)</t>
  </si>
  <si>
    <t>- Germany: 50 EUR/day (roadtax, not highway fee, very strict control since oct 2013)</t>
  </si>
  <si>
    <t>- Italy, France always according to invoices (I have no experience sorry)</t>
  </si>
  <si>
    <t>Parking fees:</t>
  </si>
  <si>
    <t>- Italy, French city fees always on spot by T/L</t>
  </si>
  <si>
    <t>- Grossglockner road tax, tunnel fee, Furka – Pass, Ferry and so on according to their official rate</t>
  </si>
  <si>
    <t>- all other day time parking fees are included in the coach rate</t>
  </si>
  <si>
    <t>Night time parking fees:</t>
  </si>
  <si>
    <t>- Krumlov, Karlovy Vary 20 EUR/city/night (last year it was free, from now need to pay, I suggest to add on quotation than no need to increase the daily rate from 360)</t>
  </si>
  <si>
    <t>- Prague: 35 EUR/night (included in our daily bus price)</t>
  </si>
  <si>
    <t>- Vienna: 20-50 EUR/night (included in our daily bus price)</t>
  </si>
  <si>
    <t>- Budapest: 20-30 EUR/night (included in our daily bus price)</t>
  </si>
  <si>
    <t>- all other night time parking fees are included in the coach rate</t>
  </si>
  <si>
    <t>Empty runs:</t>
  </si>
  <si>
    <t>NO empty run: Vienna, Prague, Budapest</t>
  </si>
  <si>
    <t>In Prague every day is full day, even if it is only an evening transfer</t>
  </si>
  <si>
    <t>1 day empty run: Berlin, Munich, Frankfurt, Zurich</t>
  </si>
  <si>
    <t>1,5 day empty run: Hamburg, Bremen, Milan</t>
  </si>
  <si>
    <t>2 days empty run: Rome, Paris</t>
  </si>
  <si>
    <t>Coach rates:</t>
  </si>
  <si>
    <t>fully renovated in winter 2013-2014</t>
  </si>
  <si>
    <t>13/5-30/6;01-15/10</t>
  </si>
  <si>
    <t>01/7-30/9</t>
  </si>
  <si>
    <t>13/5-7/7; 1-15/10</t>
  </si>
  <si>
    <t>8/7-30/9</t>
  </si>
  <si>
    <t>29/4-26/5; 01-31/10</t>
  </si>
  <si>
    <t>Sibenik</t>
  </si>
  <si>
    <t>Solaris Resort Jakov 3*</t>
  </si>
  <si>
    <t>Maribor</t>
  </si>
  <si>
    <t>Mostar</t>
  </si>
  <si>
    <t>Budva</t>
  </si>
  <si>
    <t>Queen of Montenegro</t>
  </si>
  <si>
    <t>1-30/4; 16-31/10</t>
  </si>
  <si>
    <t>1/5-13/6;27/9-17/10</t>
  </si>
  <si>
    <t>14/6-11/7;23/8-26/9</t>
  </si>
  <si>
    <t>12/7-22/8</t>
  </si>
  <si>
    <t>Valamar President 5*</t>
  </si>
  <si>
    <t>Salzkmgt. Strobl</t>
  </si>
  <si>
    <t>Bergrose</t>
  </si>
  <si>
    <t>minimum charge per bus</t>
  </si>
  <si>
    <t>Uphill and downhill</t>
  </si>
  <si>
    <t>Cable Car to"Top for Tyrol " 3,165 m</t>
  </si>
  <si>
    <t>Belvedere Gallery</t>
  </si>
  <si>
    <t xml:space="preserve"> Upper Belvedere </t>
  </si>
  <si>
    <t xml:space="preserve"> Lower Belvedere</t>
  </si>
  <si>
    <t>Esplanade 5*</t>
  </si>
  <si>
    <t>in 2014 rates only on request</t>
  </si>
  <si>
    <t>Falkensteiner 4*+ Diadora</t>
  </si>
  <si>
    <t>Falkensteiner 5* SPA Iadera</t>
  </si>
  <si>
    <t>Wroclaw:</t>
  </si>
  <si>
    <t>Gizycko</t>
  </si>
  <si>
    <t>HD Eng GD. (no Ch gd.)</t>
  </si>
  <si>
    <t>HD En. GD (no. Ch. GD)</t>
  </si>
  <si>
    <t>HD En GD (no Ch. GD)</t>
  </si>
  <si>
    <t>St. Mary Church</t>
  </si>
  <si>
    <t>Panorama Raclawicka</t>
  </si>
  <si>
    <t>Warsawa:</t>
  </si>
  <si>
    <t>Zakopane:</t>
  </si>
  <si>
    <t>Gdansk:</t>
  </si>
  <si>
    <t>FD En. GD</t>
  </si>
  <si>
    <t>incl. Wilanow Palace</t>
  </si>
  <si>
    <t>Dunajec river raft:</t>
  </si>
  <si>
    <t>HD En. GD (no Ch. GD)</t>
  </si>
  <si>
    <t>FD Ch. GD</t>
  </si>
  <si>
    <t>Oliwa Cathedral</t>
  </si>
  <si>
    <t>Wilanow Palace</t>
  </si>
  <si>
    <t>Malbork Castle:</t>
  </si>
  <si>
    <t>Zelazowa Wola</t>
  </si>
  <si>
    <t>+ GD 68 €</t>
  </si>
  <si>
    <t>Chinese Meals:</t>
  </si>
  <si>
    <t>Local dinner:</t>
  </si>
  <si>
    <t>Local lunch:</t>
  </si>
  <si>
    <t>Krakow:</t>
  </si>
  <si>
    <t>Krakow: (duck+1 beer or soft drink)</t>
  </si>
  <si>
    <t>Zakopane: (incl. 1 Drink)</t>
  </si>
  <si>
    <t>Zakopane: (incl.1  Drink)</t>
  </si>
  <si>
    <t>Wroclaw: (incl. 1 drink)</t>
  </si>
  <si>
    <t>Gdansk: (incl. 1 drink)</t>
  </si>
  <si>
    <t>Cgizycko:</t>
  </si>
  <si>
    <t>Masurian Lake (incl. 1 drink)</t>
  </si>
  <si>
    <t>Masurian Lake: (incl. 1 drink)</t>
  </si>
  <si>
    <t>Gizycko: (incl. 1 drink)</t>
  </si>
  <si>
    <t>Warsaw: (incl. 1 drink)</t>
  </si>
  <si>
    <t>Oswieczim:</t>
  </si>
  <si>
    <t>Belgrade</t>
  </si>
  <si>
    <t>Prag 4*</t>
  </si>
  <si>
    <t>low s. +july, aug</t>
  </si>
  <si>
    <t>Design Queen Astoria 4*</t>
  </si>
  <si>
    <t>Mr President 4*</t>
  </si>
  <si>
    <t>Falkensteiner 4*</t>
  </si>
  <si>
    <t>Metropol 5*</t>
  </si>
  <si>
    <t>low s. +all weekend</t>
  </si>
  <si>
    <t>highs</t>
  </si>
  <si>
    <t>Hyatt Regency 5*</t>
  </si>
  <si>
    <t>Carbona</t>
  </si>
  <si>
    <t>not every weekend, please check Furnel rate sheet</t>
  </si>
  <si>
    <t>Intercontinental 5*</t>
  </si>
  <si>
    <t>Radisson Blu Centrum 5*</t>
  </si>
  <si>
    <t>Courtyard by Marriott 4*</t>
  </si>
  <si>
    <t>Radisson BLU 5*</t>
  </si>
  <si>
    <t>min. 2 nights stay</t>
  </si>
  <si>
    <t>Danubius Hotels</t>
  </si>
  <si>
    <t>Silver Resort 4*</t>
  </si>
  <si>
    <t>marc, apr, may, oct, nov</t>
  </si>
  <si>
    <t>22/5-26/6, 28/8-2/10</t>
  </si>
  <si>
    <t>26/6-28/8</t>
  </si>
  <si>
    <t>1/6-30/9, 24/12-3/01 2015</t>
  </si>
  <si>
    <t>Grand deluxe rooms</t>
  </si>
  <si>
    <t>Grand Europe 5*</t>
  </si>
  <si>
    <t>Arion City Vienna</t>
  </si>
  <si>
    <t>Hunguest Heiligenblut</t>
  </si>
  <si>
    <t>Ceske Budejovice</t>
  </si>
  <si>
    <t>Altes Brauhaus 4*</t>
  </si>
  <si>
    <t>International 4*</t>
  </si>
  <si>
    <t>Lindner 4*</t>
  </si>
  <si>
    <t>A.T.H. Park Schoenbrunn</t>
  </si>
  <si>
    <t>FAIR</t>
  </si>
  <si>
    <t>Close date: 10-12/03 2016</t>
  </si>
  <si>
    <t>NH Salzburg City</t>
  </si>
  <si>
    <t>Stekl 4*</t>
  </si>
  <si>
    <t>International 4*(ex Crowne Plaza)</t>
  </si>
  <si>
    <t>Courty.by Marriott Airport 4*</t>
  </si>
  <si>
    <t>lowest possible rates, each group rates are on request</t>
  </si>
  <si>
    <t>rates are upon availabilty</t>
  </si>
  <si>
    <t>Art Deco Imperial 5*</t>
  </si>
  <si>
    <t>Art Nouveau Palace 5*</t>
  </si>
  <si>
    <r>
      <t>We use 2 different rat</t>
    </r>
    <r>
      <rPr>
        <i/>
        <sz val="12"/>
        <rFont val="Times New Roman"/>
        <family val="1"/>
      </rPr>
      <t>e</t>
    </r>
    <r>
      <rPr>
        <sz val="12"/>
        <rFont val="Times New Roman"/>
        <family val="1"/>
      </rPr>
      <t>s (daily rate + highway + parking as mentioned above)::</t>
    </r>
  </si>
  <si>
    <t>Budapest-Prague tours (min. 8 days), Vienna –Salzburg – Krumlov – K.Vary  - Prag – Vienna (min. 8 days ) tours always</t>
  </si>
  <si>
    <t xml:space="preserve">Each tour which goes to other countries well, or less than 8 days in East-Europe are:  </t>
  </si>
  <si>
    <t>Tours only in Switzerland: NOT allowed, need to stay at least 24 hours in another country:</t>
  </si>
  <si>
    <t xml:space="preserve">Please note in these rates the meal for drivers’ are not included. Agent has to provide it, If not arranged by EETS. If T/L can not arrange it than they have to pay 10 EUR/meal allowance to driver on spot. </t>
  </si>
  <si>
    <t>Lev 4*</t>
  </si>
  <si>
    <t>weekdays april,may,june, sep, oct</t>
  </si>
  <si>
    <t>weekdays july,aug</t>
  </si>
  <si>
    <t>Novotel City West (Bronowice) 4*</t>
  </si>
  <si>
    <t>Baden Baden</t>
  </si>
  <si>
    <t>Leonardo Royal Baden B. 4*</t>
  </si>
  <si>
    <t>Steigenberger Europaischer Hof 5*</t>
  </si>
  <si>
    <t>Arcona Living Batschari 8 4*</t>
  </si>
  <si>
    <t>Frankenland</t>
  </si>
  <si>
    <t>Amber Residenz 4*</t>
  </si>
  <si>
    <t>Wandham Grand Bad Reich. 4*</t>
  </si>
  <si>
    <t>Holiday Inn Express 3*</t>
  </si>
  <si>
    <t>Wyndham Berlin Excelsior 4*</t>
  </si>
  <si>
    <t>weekend 3.5 EUR p.p. supplement</t>
  </si>
  <si>
    <t xml:space="preserve">high s. </t>
  </si>
  <si>
    <t>weekend 4 EUR p.p. supplement</t>
  </si>
  <si>
    <t>?</t>
  </si>
  <si>
    <t>lowest possible rates</t>
  </si>
  <si>
    <t>Steigenberger 4*</t>
  </si>
  <si>
    <t>marc, may, june</t>
  </si>
  <si>
    <t>weekdays 8 EUR p.p. suppl.</t>
  </si>
  <si>
    <t>weekdays 5 EUR p.p. suppl.</t>
  </si>
  <si>
    <t>Swissotel Bremen 5*</t>
  </si>
  <si>
    <t>01/4-3/5, 13/5-09/7</t>
  </si>
  <si>
    <t>Sun-Thu</t>
  </si>
  <si>
    <t>Fri, Sat</t>
  </si>
  <si>
    <t>Wyndham Garden Dresden 4*</t>
  </si>
  <si>
    <t>Art 'Otel Dresden 4*</t>
  </si>
  <si>
    <t>weekend 6.5 EUR p.p. supplement</t>
  </si>
  <si>
    <t>Grand City Berlin Ciyt East 4*</t>
  </si>
  <si>
    <t>Steigenberger 5*</t>
  </si>
  <si>
    <t>Wyndham Garden Berlin Mitte 4*</t>
  </si>
  <si>
    <t>Holiday Inn Schonefeld 4*</t>
  </si>
  <si>
    <t>Steigenberger am Kanzleran 4*</t>
  </si>
  <si>
    <t>Mark 4*</t>
  </si>
  <si>
    <t>weekend 16 EUR p.p. suppl.</t>
  </si>
  <si>
    <t>Hilton Dresden 4*</t>
  </si>
  <si>
    <t>Westin Bellevue 4*</t>
  </si>
  <si>
    <t>Innside Dresden 4*</t>
  </si>
  <si>
    <t>weekend 12 EUR p.p. suppl.</t>
  </si>
  <si>
    <t>weekend 18.5 EUR p.p. suppl.</t>
  </si>
  <si>
    <t>Pullman Dresden Newa 4*</t>
  </si>
  <si>
    <t>weekend 4 EUR p.p. suppl.</t>
  </si>
  <si>
    <t>Dresden - Radebull</t>
  </si>
  <si>
    <t>Radisson Blu Park  4*</t>
  </si>
  <si>
    <t>Swissotel Dresden 5*</t>
  </si>
  <si>
    <t>weekend 8.5 EUR p.p. suppl.</t>
  </si>
  <si>
    <t>weekend 13 EUR p.p. suppl.</t>
  </si>
  <si>
    <t>Hilton Frankfurt 5*</t>
  </si>
  <si>
    <t>Intercontinental Frankfurt 5*</t>
  </si>
  <si>
    <t>weekends, july,aug</t>
  </si>
  <si>
    <t>Wyndham Grand FRA 4*</t>
  </si>
  <si>
    <t>Steigenberger Metropolitan 5*</t>
  </si>
  <si>
    <t>Bremen</t>
  </si>
  <si>
    <t>Königshof 4*</t>
  </si>
  <si>
    <t>3-28/3, 10/6-2/7, 5/7-18/9</t>
  </si>
  <si>
    <t>Wyndham Garden 4*</t>
  </si>
  <si>
    <t>Renaissance</t>
  </si>
  <si>
    <t>Leonardo Hamburg City North 4*</t>
  </si>
  <si>
    <t>apr, july, aug, oct</t>
  </si>
  <si>
    <t>Wyndham Garden City Centre 4*</t>
  </si>
  <si>
    <t>Leonardo Stilhorn 4*</t>
  </si>
  <si>
    <t>Leonardo Heidelb. City Centre4*</t>
  </si>
  <si>
    <t>Ingolstadt</t>
  </si>
  <si>
    <t>Interciry 4*</t>
  </si>
  <si>
    <t>Kassel</t>
  </si>
  <si>
    <t>Pentahotel Kassel 4*</t>
  </si>
  <si>
    <t xml:space="preserve">Koln </t>
  </si>
  <si>
    <t>mon-wed suppl. 10 EUR p.p.</t>
  </si>
  <si>
    <t>Steigenberger Grand Leipzig 5*</t>
  </si>
  <si>
    <t>Leipzig</t>
  </si>
  <si>
    <t>Westin Leipzig 4*</t>
  </si>
  <si>
    <t>Leonardo Royal Mannheim 4*</t>
  </si>
  <si>
    <t>Leonardo Mannheim City 4*</t>
  </si>
  <si>
    <t>27/3-12/4, 27/4-3/5, 8-17/5, 22/5-7/6, 27/7-6/9, 30/10-8/11</t>
  </si>
  <si>
    <t>weekdays suppl. 4 EUR p.p.</t>
  </si>
  <si>
    <t>13-26/4, 4-7/5, 18-21/5, 8/6-26/7, 7/9-29/10</t>
  </si>
  <si>
    <t>weekdays suppl. 6.5 EUR p.p.</t>
  </si>
  <si>
    <t>Leonardo Mannheim-Ladenburg 4*</t>
  </si>
  <si>
    <t>weekdays suppl. 9 EUR p.p.</t>
  </si>
  <si>
    <t>rates on request only, weekend lower, weekdays higher</t>
  </si>
  <si>
    <t>weekdays 20 EUR p.p. suppl.</t>
  </si>
  <si>
    <t>Munich - Schwaig Oberding</t>
  </si>
  <si>
    <t>weekend 20 EUR p.p.suppl.</t>
  </si>
  <si>
    <t>Hilton City 4*</t>
  </si>
  <si>
    <t>01-18/6, 20/7-6/9</t>
  </si>
  <si>
    <t>Leonardo Arabellapark 4*</t>
  </si>
  <si>
    <t>29/3-12/4, 24/5-7/6, 31/7-6/9</t>
  </si>
  <si>
    <t>2-28/3, 30/10-12/12</t>
  </si>
  <si>
    <t>13/4-23/5, 8/6-30/7, 7/9-29/10</t>
  </si>
  <si>
    <t>weekdays 6 EUR p.p. suppl.</t>
  </si>
  <si>
    <t>Leonardo Hotel &amp; Residence 4*</t>
  </si>
  <si>
    <t>Hilton Munich Park 5*</t>
  </si>
  <si>
    <t>NH Hotels</t>
  </si>
  <si>
    <t>p.p. SGL</t>
  </si>
  <si>
    <t>p.p. TRPL</t>
  </si>
  <si>
    <t>01.05.-30.06. / 01.09.-31.10.</t>
  </si>
  <si>
    <t>Rainers 4*</t>
  </si>
  <si>
    <t>apr, may, june</t>
  </si>
  <si>
    <t>sept, oct</t>
  </si>
  <si>
    <t>City 4*</t>
  </si>
  <si>
    <t>15/4-28/4</t>
  </si>
  <si>
    <t>27/5-30/6, 01-30/9</t>
  </si>
  <si>
    <t>01/7-31/7</t>
  </si>
  <si>
    <t>1/8-31/8</t>
  </si>
  <si>
    <t>after 1/nov winter 2015-16</t>
  </si>
  <si>
    <t>Mozart 5*</t>
  </si>
  <si>
    <t>Portoroz</t>
  </si>
  <si>
    <t>Grand Bernardin 5*</t>
  </si>
  <si>
    <t>Histrion 4*</t>
  </si>
  <si>
    <t>Renaissance 4*</t>
  </si>
  <si>
    <t>Name of City</t>
  </si>
  <si>
    <t>Entrance Fee</t>
  </si>
  <si>
    <t>FIT  (Adult)</t>
  </si>
  <si>
    <t xml:space="preserve"> Bad Reichenhall</t>
  </si>
  <si>
    <t xml:space="preserve"> Alte Saline  (1-hour Tour)</t>
  </si>
  <si>
    <t xml:space="preserve"> Berchtesgaden</t>
  </si>
  <si>
    <t>&gt;20P  14,50 €</t>
  </si>
  <si>
    <t xml:space="preserve">  16,00 €</t>
  </si>
  <si>
    <t xml:space="preserve"> Berlin</t>
  </si>
  <si>
    <t xml:space="preserve">  10,00 €</t>
  </si>
  <si>
    <t xml:space="preserve">  5,00 €</t>
  </si>
  <si>
    <t xml:space="preserve"> Blueman Group Show am Potsdamer Platz</t>
  </si>
  <si>
    <t xml:space="preserve"> Chiemsee</t>
  </si>
  <si>
    <t xml:space="preserve"> Chiemsee Cruise Prien/Stock-Herreninsel hin /Return</t>
  </si>
  <si>
    <t xml:space="preserve"> Island West Trip ( Herreninsel-Fraueninsel-Gstadt )</t>
  </si>
  <si>
    <t xml:space="preserve">    8,50 €</t>
  </si>
  <si>
    <t xml:space="preserve"> Dresden</t>
  </si>
  <si>
    <t xml:space="preserve"> Alte Meister Gallery (Audio Guide: p.p. 3,00 €) </t>
  </si>
  <si>
    <t>&gt;10P    9,00 €</t>
  </si>
  <si>
    <t>Free</t>
  </si>
  <si>
    <t xml:space="preserve">  12,00 €</t>
  </si>
  <si>
    <t xml:space="preserve"> Eisenach</t>
  </si>
  <si>
    <t xml:space="preserve"> Wartburg (Group with Registration)</t>
  </si>
  <si>
    <t xml:space="preserve">    9,00 €</t>
  </si>
  <si>
    <t xml:space="preserve"> Friedrichshafen</t>
  </si>
  <si>
    <t xml:space="preserve"> Zeppelin Museum</t>
  </si>
  <si>
    <t xml:space="preserve">    8,00 €</t>
  </si>
  <si>
    <t xml:space="preserve">   4,00 €</t>
  </si>
  <si>
    <t xml:space="preserve"> Goslar</t>
  </si>
  <si>
    <t xml:space="preserve"> Rammelsberg Bergwerk </t>
  </si>
  <si>
    <t xml:space="preserve">   8,00 €</t>
  </si>
  <si>
    <t xml:space="preserve"> Heidelberg</t>
  </si>
  <si>
    <t xml:space="preserve">    6,00 €</t>
  </si>
  <si>
    <t xml:space="preserve"> Herrenchiemsee</t>
  </si>
  <si>
    <t xml:space="preserve"> Ludwig II Museum</t>
  </si>
  <si>
    <t>&gt;15P    7,00 €</t>
  </si>
  <si>
    <t xml:space="preserve"> Königssee</t>
  </si>
  <si>
    <t xml:space="preserve"> Linderhof</t>
  </si>
  <si>
    <t>&gt;15P    7,50 €</t>
  </si>
  <si>
    <t xml:space="preserve"> Mainau</t>
  </si>
  <si>
    <t xml:space="preserve">   5,00 €</t>
  </si>
  <si>
    <t xml:space="preserve">  19,00 €</t>
  </si>
  <si>
    <t xml:space="preserve">  11,00 €</t>
  </si>
  <si>
    <t xml:space="preserve"> Meissen</t>
  </si>
  <si>
    <t xml:space="preserve"> Porzellan-Manufaktur</t>
  </si>
  <si>
    <t>&gt;20P   7,00 €</t>
  </si>
  <si>
    <t xml:space="preserve"> München</t>
  </si>
  <si>
    <t xml:space="preserve"> BMW Museum </t>
  </si>
  <si>
    <t xml:space="preserve"> Deutsches Museum</t>
  </si>
  <si>
    <t xml:space="preserve"> Postdam</t>
  </si>
  <si>
    <t>&lt;40P    170 €</t>
  </si>
  <si>
    <t>&lt;40P    210 €</t>
  </si>
  <si>
    <t xml:space="preserve">   6,00 €</t>
  </si>
  <si>
    <t xml:space="preserve"> Romantic Trip with Castle (Romantik Tour) </t>
  </si>
  <si>
    <t xml:space="preserve">    7,00 €</t>
  </si>
  <si>
    <t xml:space="preserve"> Stuttgart</t>
  </si>
  <si>
    <t xml:space="preserve"> Mercedes Benz Museum</t>
  </si>
  <si>
    <t xml:space="preserve"> Porsche Museum </t>
  </si>
  <si>
    <t>&gt;10P    6,00 €</t>
  </si>
  <si>
    <t xml:space="preserve"> Würzburg</t>
  </si>
  <si>
    <t xml:space="preserve"> Würzburg Residenz</t>
  </si>
  <si>
    <t>&gt;15P    6,50 €</t>
  </si>
  <si>
    <t xml:space="preserve">    7,50 €</t>
  </si>
  <si>
    <t xml:space="preserve">Krimml waterfall </t>
  </si>
  <si>
    <t>&lt; 10 P 18.00 €</t>
  </si>
  <si>
    <t>&gt;10P 10,- €</t>
  </si>
  <si>
    <t xml:space="preserve">Wiener Residenzorchester konzerte </t>
  </si>
  <si>
    <t>+gd  42€ /group</t>
  </si>
  <si>
    <t>Marie Curie</t>
  </si>
  <si>
    <t>rates from earlier years</t>
  </si>
  <si>
    <t>fair dates</t>
  </si>
  <si>
    <t>Zvon design suites</t>
  </si>
  <si>
    <t>Rubin 4*</t>
  </si>
  <si>
    <t xml:space="preserve">Wyndham </t>
  </si>
  <si>
    <t>nov,dec weekdays</t>
  </si>
  <si>
    <t>Hilton Garden Inn</t>
  </si>
  <si>
    <t>may-nov</t>
  </si>
  <si>
    <t>4/1-29/2</t>
  </si>
  <si>
    <t>40-47 p.p.</t>
  </si>
  <si>
    <t>Linz</t>
  </si>
  <si>
    <t>Corso 4*</t>
  </si>
  <si>
    <t xml:space="preserve">Pecs  </t>
  </si>
  <si>
    <t>Flamingo 4*</t>
  </si>
  <si>
    <t>Lifeclass 4* (Riviera, Apollo, Neptun, Mirna)</t>
  </si>
  <si>
    <t>03/01-25/03; 02/11-22/12</t>
  </si>
  <si>
    <t>29/03-12/05</t>
  </si>
  <si>
    <t>13/05-25/06; 17/09-01/11</t>
  </si>
  <si>
    <t>26/06-31/07; 20/08-17/09</t>
  </si>
  <si>
    <t>26-28/03; 01-19/08</t>
  </si>
  <si>
    <t>7/5-10/6; 17-30/9</t>
  </si>
  <si>
    <t>11-24/6; 10-16/9</t>
  </si>
  <si>
    <t>25/6-8/7; 27/8-9/9</t>
  </si>
  <si>
    <t>9/7-26/8</t>
  </si>
  <si>
    <t>Liburnia 4*</t>
  </si>
  <si>
    <t>Grand H. Union Comfort 4*</t>
  </si>
  <si>
    <t>low s. 01/01-31/03, july, aug, all weekends</t>
  </si>
  <si>
    <t>Phoenix 4*</t>
  </si>
  <si>
    <t>Postojna</t>
  </si>
  <si>
    <t>09/5-12/6; 16-6-14/7; 22/8-06/10</t>
  </si>
  <si>
    <t>Mond., Thursd.</t>
  </si>
  <si>
    <t>Tuesd., Wednesd.</t>
  </si>
  <si>
    <t>A.T.H. Europe</t>
  </si>
  <si>
    <t>ClarionOld Town  4*</t>
  </si>
  <si>
    <t>DUO SUPERIOR rooms</t>
  </si>
  <si>
    <t>Panorama hotel Prague</t>
  </si>
  <si>
    <t xml:space="preserve">nH Prague </t>
  </si>
  <si>
    <t>Angelo Prague (superior)</t>
  </si>
  <si>
    <t>free</t>
  </si>
  <si>
    <t>08-21/7;21/8-15/9</t>
  </si>
  <si>
    <t>22/07-20/08;</t>
  </si>
  <si>
    <t>10/04-07/05; 09-31/10</t>
  </si>
  <si>
    <t>08-28/05; 11/09-08/10</t>
  </si>
  <si>
    <t>29/05-02/07; 28/08-10/09</t>
  </si>
  <si>
    <t>03/07-27/08</t>
  </si>
  <si>
    <t>~~~~~~~~~~~~~~~~~~~~~~~~~~~~~~~~~~~~~~~~~~~~~~~~~~~~~~~~~~~~~~~~~~~~~~</t>
  </si>
  <si>
    <t>(small portion of duck - 16.5€ only available during the weekdays)</t>
  </si>
  <si>
    <t xml:space="preserve">Nebozizek:  </t>
  </si>
  <si>
    <t>Duck / beef steak / fish / lamb: +6~9€</t>
  </si>
  <si>
    <t>Cable car return-ticket: 3€</t>
  </si>
  <si>
    <t>~~~~~~~~~~~~~~~~~~~~~~~~~~~~~~~~~~~~~~~~~~~~~~~~~~~~~~~~~~~~~~~~~~~~~~~~~~~~</t>
  </si>
  <si>
    <t>(St. Vitus Cathedral, Old Royal Palace, St. George Basilica, Golden Lane, Powder Tower, Rosenberg Palace)</t>
  </si>
  <si>
    <t xml:space="preserve">            (St. Vitus Cathedral, Old Royal Palace, St. George Basilica, Golden Lane)</t>
  </si>
  <si>
    <t>Black light show: Faust 15€, Image / Wow 18€</t>
  </si>
  <si>
    <t xml:space="preserve">St. Barbara church: 4€   </t>
  </si>
  <si>
    <t>Human Bone Church: 4€</t>
  </si>
  <si>
    <t>CXL deadline 61 days prior!</t>
  </si>
  <si>
    <t>SEE THE ENTRANCE AND MEAL PRICES IN SEPARATE SHEET !</t>
  </si>
  <si>
    <t>BUDAPEST</t>
  </si>
  <si>
    <t>Chinese meal 5 dishes - 7€</t>
  </si>
  <si>
    <t>Chinese meal 6 dishes - 8€</t>
  </si>
  <si>
    <t>Chinese meal 7 dishes - 9€</t>
  </si>
  <si>
    <t>Chinese meal 8 dishes - 10€</t>
  </si>
  <si>
    <t xml:space="preserve">                     Kaltenberg: 10,5-16€</t>
  </si>
  <si>
    <t xml:space="preserve">                         Udvarhaz: 24-26€</t>
  </si>
  <si>
    <t>Meals</t>
  </si>
  <si>
    <t>VISEGRAD</t>
  </si>
  <si>
    <t>TIHANY</t>
  </si>
  <si>
    <t>Gödöllő/DOMONYVOLGY</t>
  </si>
  <si>
    <t>SZENTENDRE</t>
  </si>
  <si>
    <t>Labirintus: 10€</t>
  </si>
  <si>
    <t>ESZTERGOM</t>
  </si>
  <si>
    <t>Primas Pince: 12€</t>
  </si>
  <si>
    <t>MISKOLC</t>
  </si>
  <si>
    <t>Cave Bath: : 7€</t>
  </si>
  <si>
    <t>HEVIZ</t>
  </si>
  <si>
    <t>Thermal Lake: 9€</t>
  </si>
  <si>
    <t>Ferry: 2€</t>
  </si>
  <si>
    <t>Skanzen: 3,5€</t>
  </si>
  <si>
    <t>MEAL AND ENTRANCE FEES PLS: FIND IN SEPARATE SHEET</t>
  </si>
  <si>
    <t>CZECH ENTRANCE AND MEAL FEES PLS FIND IN SEPARATE SHEET</t>
  </si>
  <si>
    <t>GERMAN ENTRANCE AND MEALS FEES PLS: FIND IN SEPARATE SHEET</t>
  </si>
  <si>
    <t>Palmes Garden: from 9€ (6dish)</t>
  </si>
  <si>
    <t>Fortress: 6€</t>
  </si>
  <si>
    <t>Bazilika: only partly free, 3€ other part</t>
  </si>
  <si>
    <t>Nazwa</t>
  </si>
  <si>
    <t>Adres</t>
  </si>
  <si>
    <t>中文</t>
    <phoneticPr fontId="4" type="noConversion"/>
  </si>
  <si>
    <t>Open</t>
  </si>
  <si>
    <t>Closed</t>
  </si>
  <si>
    <t>FOC</t>
  </si>
  <si>
    <t>Bilety</t>
  </si>
  <si>
    <t>English</t>
  </si>
  <si>
    <t>Grupowy</t>
  </si>
  <si>
    <t>Zamek Królewski</t>
    <phoneticPr fontId="4" type="noConversion"/>
  </si>
  <si>
    <t>Pl. Zamkowy 4, Warszawa</t>
  </si>
  <si>
    <t>华沙皇宫</t>
    <phoneticPr fontId="4" type="noConversion"/>
  </si>
  <si>
    <t>Mon-Wed 10-18, Thurs 10-20, Fri-Sat 10-18</t>
  </si>
  <si>
    <t>Sun. 10-18</t>
  </si>
  <si>
    <t>6 euro</t>
  </si>
  <si>
    <t>1.2 euro earphone</t>
  </si>
  <si>
    <t>Royal Castle Warsaw</t>
  </si>
  <si>
    <t>Marii Skłodowskiej Curie</t>
    <phoneticPr fontId="4" type="noConversion"/>
  </si>
  <si>
    <t>ul. Freta 4, Warszawa</t>
  </si>
  <si>
    <t>居里夫人故居</t>
    <phoneticPr fontId="4" type="noConversion"/>
  </si>
  <si>
    <t>Tur-Fri 10.19, Sat 11-19, Sun 10-15</t>
  </si>
  <si>
    <t>Mond</t>
  </si>
  <si>
    <t>3 euro</t>
  </si>
  <si>
    <t>Muzeum of Marie Curie</t>
  </si>
  <si>
    <t>Powstania Warszawskiego</t>
  </si>
  <si>
    <t>ul. Grzybowska 79, Warszawa</t>
  </si>
  <si>
    <t>华沙起义博物馆</t>
    <phoneticPr fontId="4" type="noConversion"/>
  </si>
  <si>
    <t>Mond-Wed-Fri 8-18, Sat-Sun 10-18, Thurs 8-20</t>
  </si>
  <si>
    <t>Tue</t>
  </si>
  <si>
    <t>Sun.10-18</t>
  </si>
  <si>
    <t>5 euro</t>
  </si>
  <si>
    <t>Warsaw Uprising Museum</t>
  </si>
  <si>
    <t>Pałac w Wilanowie</t>
  </si>
  <si>
    <t>ul. Stanisława Kostki Potockiego 10/16 Warszawa</t>
  </si>
  <si>
    <t>夏宫博物馆</t>
    <phoneticPr fontId="4" type="noConversion"/>
  </si>
  <si>
    <t>Mond 9.30-19, Tue-Fri 9.30-16,  Wed-Sat-Sun 9.30-18</t>
  </si>
  <si>
    <t>Thurs 9.50-15 only individuals</t>
  </si>
  <si>
    <t>5euro</t>
  </si>
  <si>
    <t>Wilanów Palace</t>
  </si>
  <si>
    <t>Muzeum Chopina w Warszawie</t>
  </si>
  <si>
    <t>ul. Okólnik 1 Warszawa</t>
  </si>
  <si>
    <t>肖邦博物馆</t>
    <phoneticPr fontId="4" type="noConversion"/>
  </si>
  <si>
    <t>Tue-Sun 11-22</t>
  </si>
  <si>
    <t>Mon</t>
  </si>
  <si>
    <t>Chopin's Museum in Warsaw</t>
  </si>
  <si>
    <t>Żelazowa Wola</t>
  </si>
  <si>
    <t>Żelazowa Wola 15</t>
  </si>
  <si>
    <t>肖邦故居</t>
    <phoneticPr fontId="4" type="noConversion"/>
  </si>
  <si>
    <t>Tue-Sun 9-19</t>
  </si>
  <si>
    <t>wed</t>
  </si>
  <si>
    <t xml:space="preserve"> 6 euro</t>
  </si>
  <si>
    <t>19zł - grupa pow. 15 osób</t>
  </si>
  <si>
    <t>(Chopin's Birth Place)</t>
  </si>
  <si>
    <t>Wawel</t>
  </si>
  <si>
    <t>ul. Wawel 531-001 Kraków</t>
  </si>
  <si>
    <t>瓦维尔城堡</t>
    <phoneticPr fontId="4" type="noConversion"/>
  </si>
  <si>
    <t>Mon-Fri 9-16.45, Sat-Sun &amp; holidays 9.30-16.45</t>
  </si>
  <si>
    <t>Mon in Winter season(1 XI-31 III)</t>
  </si>
  <si>
    <t>Mon 1.04-31.10 9.30-13, Sun 1.11-31.03 10-16</t>
  </si>
  <si>
    <t>5 euro/p+20 euro(leader)+ entrance 10 euro</t>
  </si>
  <si>
    <t>43 zł/os. + 19 zł do 9 os lub 38zł do 30 os. za rezerw. grup</t>
  </si>
  <si>
    <t>Wawel Royal Castle Cracow</t>
  </si>
  <si>
    <t>Auschwitz</t>
  </si>
  <si>
    <t>ul. Więżniów Oświęcimia 20, 32-603 Oświęcim</t>
  </si>
  <si>
    <t>集中营</t>
    <phoneticPr fontId="4" type="noConversion"/>
  </si>
  <si>
    <t>Mond-Sun 8-18</t>
  </si>
  <si>
    <t>&lt;10p, 79euro, &lt;20p, 106 euro:&lt;30p,119 euro</t>
  </si>
  <si>
    <t>do 30 os. 300zł + 5 zł za słuchawki</t>
  </si>
  <si>
    <t>ul. Zamkowa 8 32-020 Wieliczka</t>
  </si>
  <si>
    <t>盐矿</t>
    <phoneticPr fontId="4" type="noConversion"/>
  </si>
  <si>
    <t>Mond-sun 7.30-19.30</t>
  </si>
  <si>
    <t>13 euro/p, 65 euro/EN-guide);46 euro/PL-guide)</t>
  </si>
  <si>
    <t>49zł +165zł przewodnik, grupy do 35 os.</t>
  </si>
  <si>
    <t>Wieliczka Salt Mine</t>
  </si>
  <si>
    <t>Pałac Kultury i Nauki taras widokowy XXX-tka</t>
  </si>
  <si>
    <t>Pl. Defilad 1, 00-901 Warszawa</t>
  </si>
  <si>
    <t>Palace of Culture and Science</t>
  </si>
  <si>
    <t>科学文化宫</t>
    <phoneticPr fontId="4" type="noConversion"/>
  </si>
  <si>
    <t>Mond-Sun 9-18</t>
  </si>
  <si>
    <t>5.3 euro</t>
  </si>
  <si>
    <t>12zł pow. 10 os.</t>
  </si>
  <si>
    <t>Malbork</t>
  </si>
  <si>
    <t>ul. Starościńska 1 82-200 Malbork</t>
  </si>
  <si>
    <t>马尔堡</t>
    <phoneticPr fontId="4" type="noConversion"/>
  </si>
  <si>
    <t>Mond-Sun. 9-19.00</t>
  </si>
  <si>
    <t>Mon 9-20</t>
  </si>
  <si>
    <t>10.5 euro</t>
  </si>
  <si>
    <t>31,50zł + 120 za przewodnika</t>
  </si>
  <si>
    <t xml:space="preserve">Muzeum Kopernika </t>
  </si>
  <si>
    <t>ul. Kopernika 15/17 Toruń</t>
  </si>
  <si>
    <t>Copernicus Museum</t>
  </si>
  <si>
    <r>
      <t xml:space="preserve">   </t>
    </r>
    <r>
      <rPr>
        <sz val="11"/>
        <color indexed="8"/>
        <rFont val="宋体"/>
        <charset val="134"/>
      </rPr>
      <t>哥白尼故居</t>
    </r>
  </si>
  <si>
    <t>10-18 V-IX, 10-16 X-IV</t>
  </si>
  <si>
    <t>Kościół Mariacki</t>
  </si>
  <si>
    <t>Rynek Kraków</t>
  </si>
  <si>
    <t>Mariacki Church</t>
  </si>
  <si>
    <t>玛莉亚教堂</t>
    <phoneticPr fontId="4" type="noConversion"/>
  </si>
  <si>
    <t>Mon-Frit 11.30-18 Sun &amp; holidays 14-18</t>
  </si>
  <si>
    <t>2.6 euro</t>
  </si>
  <si>
    <t>10 +5 zł photo</t>
  </si>
  <si>
    <t>Muzeum Narodowe Warszawa</t>
  </si>
  <si>
    <t>Al.. Jerozolimskie 3, 00495 Warszawa</t>
  </si>
  <si>
    <t>National Museum, Warsaw</t>
  </si>
  <si>
    <t>国家博物馆</t>
    <phoneticPr fontId="4" type="noConversion"/>
  </si>
  <si>
    <t>Tue-Sun 10-18, \Thurs 10-21</t>
  </si>
  <si>
    <t>4 euro</t>
  </si>
  <si>
    <t>10zł min. 10 os.</t>
  </si>
  <si>
    <t>Muzeum pod Sukiennicami</t>
  </si>
  <si>
    <t>Rynek Główny 1 Kraków</t>
  </si>
  <si>
    <t>Museum - Sukiennice</t>
  </si>
  <si>
    <t>地下博物馆</t>
    <phoneticPr fontId="4" type="noConversion"/>
  </si>
  <si>
    <t xml:space="preserve">Mon, Wed- Sun 10-20, </t>
  </si>
  <si>
    <t>Tue 10-16</t>
  </si>
  <si>
    <t>Muzeum Bursztynu</t>
  </si>
  <si>
    <t>Targ Węglowy 26 Gdańsk</t>
  </si>
  <si>
    <t>Amber Museum</t>
  </si>
  <si>
    <t>琥珀博物馆</t>
    <phoneticPr fontId="4" type="noConversion"/>
  </si>
  <si>
    <t>Tue 10-13, Wed-Fri-Sat-Sun 10-16, Thurs 10-18</t>
  </si>
  <si>
    <t>9+ 30 zł za przewodnika, trzeba dodatkowo zamawiać</t>
  </si>
  <si>
    <t>special booking - if there is no space, Chinatown makes "special booking"-the price is 100€ + the entrance fee</t>
  </si>
  <si>
    <t>PLEASE NOTE THERE IS A HANDLING FEE OF 10€ per reservation each time!!!</t>
  </si>
  <si>
    <t>Guide</t>
  </si>
  <si>
    <t>Guide incl in EF</t>
  </si>
  <si>
    <t>Skocjan</t>
  </si>
  <si>
    <t>2 hours guiding 80€</t>
  </si>
  <si>
    <t>Rijeka</t>
  </si>
  <si>
    <t>guiding Pula + Porec + Rovinj: 135 €</t>
  </si>
  <si>
    <t>Porec</t>
  </si>
  <si>
    <t>Pula &amp; Porec &amp; Rovinj</t>
  </si>
  <si>
    <t>3 hours guiding 67€ (1 April till 31 Oct)</t>
  </si>
  <si>
    <t>3 hours guiding 60€ (1 Nov till 31 March)</t>
  </si>
  <si>
    <t>additional hours 18€ / hour</t>
  </si>
  <si>
    <t>additional hours on spot 20€ / hour</t>
  </si>
  <si>
    <t xml:space="preserve">for groups (more than 15 pax): </t>
  </si>
  <si>
    <t xml:space="preserve">for FIT (less than 15 pax): </t>
  </si>
  <si>
    <t>2 hours guiding 62,5€</t>
  </si>
  <si>
    <t>Trogir</t>
  </si>
  <si>
    <t>Euphrasius Basilica (Porec) - 40 Kuna ~ 5,5€ (spot pay by local guide)</t>
  </si>
  <si>
    <t>Jupiter Temple + Dome: 25 Kuna ~ 3,5 € (spot pay by local guide)</t>
  </si>
  <si>
    <t>Ferry for coaches</t>
  </si>
  <si>
    <t>Sibenik &amp; KRKA</t>
  </si>
  <si>
    <t>Neum</t>
  </si>
  <si>
    <t>Ston</t>
  </si>
  <si>
    <t>2 hours guiding 70€</t>
  </si>
  <si>
    <t>4 hours guiding 140€</t>
  </si>
  <si>
    <t>Cavtat</t>
  </si>
  <si>
    <t>guiding in Kotor + Budva 120€</t>
  </si>
  <si>
    <t>guiding from boarder 150€</t>
  </si>
  <si>
    <t>Monastery in Cetinje: 6€</t>
  </si>
  <si>
    <t>Cathedral St Triphon: 3€</t>
  </si>
  <si>
    <t>Perast Museum: 3,5€</t>
  </si>
  <si>
    <t>Perast boat: 5€</t>
  </si>
  <si>
    <t>Montenegro</t>
  </si>
  <si>
    <t>MONTENEGRO</t>
  </si>
  <si>
    <t>BOSZNIA&amp;HERCEGOVINA</t>
  </si>
  <si>
    <t>CROATIA</t>
  </si>
  <si>
    <t>SLOVENIA</t>
  </si>
  <si>
    <t>Drvenik</t>
  </si>
  <si>
    <t>Piran</t>
  </si>
  <si>
    <t>Slunj</t>
  </si>
  <si>
    <t>Vrsar</t>
  </si>
  <si>
    <t>FAR-East rates, upon availability</t>
  </si>
  <si>
    <t>FAR-East rates upon availability</t>
  </si>
  <si>
    <t>Fribourg</t>
  </si>
  <si>
    <t>normal leisure group rates</t>
  </si>
  <si>
    <t>Almost NO chance to get rooms during high season</t>
  </si>
  <si>
    <t>NH HOTELS</t>
  </si>
  <si>
    <t>nhfrankfurtniederrad@nh-hotels.com</t>
  </si>
  <si>
    <t>8 euro fro 5 dish+soup</t>
  </si>
  <si>
    <t>9 euro fro 6 dish+soup</t>
  </si>
  <si>
    <t>10 euro fro 7 dish+soup</t>
  </si>
  <si>
    <t>11 euro fro 8 dish+soup</t>
  </si>
  <si>
    <t>Chinese meal prices</t>
  </si>
  <si>
    <t>Folklore meals: Borkatakomba 17€</t>
  </si>
  <si>
    <t>2016 PRICES</t>
  </si>
  <si>
    <t>Interlaken meals:</t>
  </si>
  <si>
    <t xml:space="preserve">Bamboo Restaurant: </t>
  </si>
  <si>
    <t>Bebbis Restaurant:</t>
  </si>
  <si>
    <t>(Cheese fondue)</t>
  </si>
  <si>
    <t>Zermatt meals:</t>
  </si>
  <si>
    <t>Walliserstube:</t>
  </si>
  <si>
    <t>from 26 CHF</t>
  </si>
  <si>
    <t>China Garden:</t>
  </si>
  <si>
    <t>Whymperstube:</t>
  </si>
  <si>
    <t>Derby:</t>
  </si>
  <si>
    <t xml:space="preserve">Albana Real </t>
  </si>
  <si>
    <t>from 29 CHF</t>
  </si>
  <si>
    <t>Geneva:</t>
  </si>
  <si>
    <t>Han Lung Chinese</t>
  </si>
  <si>
    <t>from 24 CHF</t>
  </si>
  <si>
    <t>Stadtkeller</t>
  </si>
  <si>
    <t>Mövenpick</t>
  </si>
  <si>
    <t>Montreux</t>
  </si>
  <si>
    <t>Au Parc</t>
  </si>
  <si>
    <t>Bern</t>
  </si>
  <si>
    <t>from 35 CHF</t>
  </si>
  <si>
    <t>Werner Mädli:</t>
  </si>
  <si>
    <t>Chillon</t>
  </si>
  <si>
    <t>9,5 CHF + 90 CHF for guide</t>
  </si>
  <si>
    <t>ST. Gallen Bibliothek</t>
  </si>
  <si>
    <t>10 CHF</t>
  </si>
  <si>
    <t>Louvre:</t>
  </si>
  <si>
    <t>Versailles:</t>
  </si>
  <si>
    <t>group 7-10 pax</t>
  </si>
  <si>
    <t>group till 15 pax</t>
  </si>
  <si>
    <t>group till 20 pax</t>
  </si>
  <si>
    <t>group till 25 pax</t>
  </si>
  <si>
    <t>13€ Palace Ticket</t>
  </si>
  <si>
    <t xml:space="preserve">CHATEAU DE CHENONCEAU </t>
  </si>
  <si>
    <t>Mainson Zimmer 4 type of wine tasting</t>
  </si>
  <si>
    <t>Chateau de Chantilly</t>
  </si>
  <si>
    <t>2014 rates</t>
  </si>
  <si>
    <t>Compagnie des Bateaux-Mouches - Cruise in Paris</t>
  </si>
  <si>
    <t>Aiguille du Midi</t>
  </si>
  <si>
    <t>Como Cruise</t>
  </si>
  <si>
    <t xml:space="preserve">Musee de la Lavande </t>
  </si>
  <si>
    <t>Colosseum</t>
  </si>
  <si>
    <t>12€ +2€ reservation fee</t>
  </si>
  <si>
    <t>groups min. 28€ res fee</t>
  </si>
  <si>
    <t>Vatican</t>
  </si>
  <si>
    <t>guide needed! Pls. ask T/O</t>
  </si>
  <si>
    <t>(6 dish)</t>
  </si>
  <si>
    <t xml:space="preserve">Sissi: 7,5€ + audio guide 2,5€ </t>
  </si>
  <si>
    <t>Renaissance platter (braised deer fillets parboiled in sage, roast goose leg</t>
  </si>
  <si>
    <t>seasoned with basil, potato croquettes, cabbage steamed with apple,</t>
  </si>
  <si>
    <t>loaf of bread)</t>
  </si>
  <si>
    <t>Knight cup with chocolate deer horn</t>
  </si>
  <si>
    <t>Drinks package incl.: during the feast, unlimited consumption of red and white wine,</t>
  </si>
  <si>
    <t>soft drinks, a glass of aperitive pálinka (brandy) and a cup of coffee or tea</t>
  </si>
  <si>
    <t>*(Renaissance 17€ menu)Venison ragout soup with cream and tarragon</t>
  </si>
  <si>
    <t>Vaduz</t>
  </si>
  <si>
    <t>Adler</t>
  </si>
  <si>
    <t>Chamonix-Les Lanchiers</t>
  </si>
  <si>
    <t>2016 price</t>
  </si>
  <si>
    <t>Banska Bystrica</t>
  </si>
  <si>
    <t>BRATISLAVA</t>
  </si>
  <si>
    <t>Angel Restaurant 3 course local meal 13€</t>
  </si>
  <si>
    <t>Cerveny Karmen</t>
  </si>
  <si>
    <t>Castle 8€</t>
  </si>
  <si>
    <t>Bratislava Castle 7€</t>
  </si>
  <si>
    <t>FIT  (Child)</t>
  </si>
  <si>
    <t xml:space="preserve">May-Oct, daily 10:00-16:00 </t>
  </si>
  <si>
    <t>Nov-Apr, Thu-Sat 11:00-15:00</t>
  </si>
  <si>
    <t xml:space="preserve">  9,50 €</t>
  </si>
  <si>
    <t xml:space="preserve">May-Oct, daily 09:00-17:00 </t>
  </si>
  <si>
    <t>Nov-Apr, daily 11:00-15:00</t>
  </si>
  <si>
    <t xml:space="preserve">May-Oct, daily 08:30-16:00 </t>
  </si>
  <si>
    <t>Winter closed</t>
  </si>
  <si>
    <t>Monday closed</t>
  </si>
  <si>
    <t>Daily 10:00-18:00</t>
  </si>
  <si>
    <t>Thursday 10:00-20:00</t>
  </si>
  <si>
    <t>Daily 09:00-18:00</t>
  </si>
  <si>
    <t>&gt;20P   8,00 €</t>
  </si>
  <si>
    <t xml:space="preserve">          12,00 €</t>
  </si>
  <si>
    <t>Tuesday closed</t>
  </si>
  <si>
    <t>Daily 09:00-17:00</t>
  </si>
  <si>
    <t>&gt;10P    8,00 €</t>
  </si>
  <si>
    <t>Daily 10:00-16:30</t>
  </si>
  <si>
    <t>&gt;15P  12,00 €</t>
  </si>
  <si>
    <t xml:space="preserve">  15,00 €</t>
  </si>
  <si>
    <t>Daily 08:00-17:30</t>
  </si>
  <si>
    <t xml:space="preserve"> Hohenschwangau</t>
  </si>
  <si>
    <t>Daily 09:00-18:00 (Sommer)</t>
  </si>
  <si>
    <t xml:space="preserve"> Bus Transfer up (Castle Neuschwanstein)</t>
  </si>
  <si>
    <t xml:space="preserve"> Bus Transfer down (Castle Neuschwanstein)</t>
  </si>
  <si>
    <t xml:space="preserve"> Horse Carriage up (Castle Neuschwanstein)</t>
  </si>
  <si>
    <t xml:space="preserve"> Horse Carriage down (Castle Neuschwanstein)</t>
  </si>
  <si>
    <t>Daily 10:00-17:00</t>
  </si>
  <si>
    <t>&gt;20P   5,00 €</t>
  </si>
  <si>
    <t xml:space="preserve"> BMW World  </t>
  </si>
  <si>
    <t>33,00 €</t>
  </si>
  <si>
    <t xml:space="preserve"> St. Goar</t>
  </si>
  <si>
    <t>&gt;15P    8,00 €</t>
  </si>
  <si>
    <t xml:space="preserve">Daily 09:00-18:00 </t>
  </si>
  <si>
    <t>Daily 10:00-16:30 (Winter)</t>
  </si>
  <si>
    <t xml:space="preserve"> Zugspitz</t>
  </si>
  <si>
    <t xml:space="preserve"> Zugspitze Roundtrip</t>
  </si>
  <si>
    <t xml:space="preserve">  52,00 €</t>
  </si>
  <si>
    <t xml:space="preserve">  30,50 €</t>
  </si>
  <si>
    <t>Budapest has got the prices</t>
  </si>
  <si>
    <t>driectly from Zugspitze.</t>
  </si>
  <si>
    <t xml:space="preserve"> (Garmisch Partenkirchen)</t>
  </si>
  <si>
    <t xml:space="preserve"> Zugspitze Roundtrip + 3-Course-Lunch</t>
  </si>
  <si>
    <t>Five Fingers</t>
  </si>
  <si>
    <t xml:space="preserve">35.-€ </t>
  </si>
  <si>
    <t>€ 19.-</t>
  </si>
  <si>
    <t>Abbey Melk  (Under 20 p Per group € 60.- , 一定要加 )</t>
  </si>
  <si>
    <t>Cat.I 44,00 €</t>
  </si>
  <si>
    <t>&gt;20P    10,50€</t>
  </si>
  <si>
    <t>Sanssouci</t>
  </si>
  <si>
    <t>Imperial, KVA</t>
  </si>
  <si>
    <t>Courtyard by Marriott Plzen</t>
  </si>
  <si>
    <t>Expo</t>
  </si>
  <si>
    <t>Pentahotel Prague</t>
  </si>
  <si>
    <t>Jurys Inn Prague</t>
  </si>
  <si>
    <t>Penta 4*</t>
  </si>
  <si>
    <t>Skocjan cave: 16€ - 10% comm</t>
  </si>
  <si>
    <t>above valid for Chinatown Restaurant</t>
  </si>
  <si>
    <t>above valid for Taiwan Restaurant</t>
  </si>
  <si>
    <t>Amphitheatre (Pula) - 50 Kuna ~ 6.9€ (spot pay by local guide)</t>
  </si>
  <si>
    <t>Boat: 8-20€</t>
  </si>
  <si>
    <t>Mirjana 4*</t>
  </si>
  <si>
    <t>cca 30 km from the park</t>
  </si>
  <si>
    <t>Bristol</t>
    <phoneticPr fontId="21" type="noConversion"/>
  </si>
  <si>
    <t>&lt;40P    360 €</t>
  </si>
  <si>
    <t>Heritage</t>
    <phoneticPr fontId="21" type="noConversion"/>
  </si>
  <si>
    <t>Salzkmgt_Hallstatt</t>
    <phoneticPr fontId="21" type="noConversion"/>
  </si>
  <si>
    <t>Le Meridien 5*</t>
    <phoneticPr fontId="21" type="noConversion"/>
  </si>
  <si>
    <t>Steigenberger 5*</t>
    <phoneticPr fontId="21" type="noConversion"/>
  </si>
  <si>
    <t>Palais Hansen Kempinski 5*</t>
    <phoneticPr fontId="21" type="noConversion"/>
  </si>
  <si>
    <t>Kitzbuhel</t>
    <phoneticPr fontId="21" type="noConversion"/>
  </si>
  <si>
    <t>Bristal</t>
    <phoneticPr fontId="21" type="noConversion"/>
  </si>
  <si>
    <t>Remisens Family Hotel Excelsior 4*</t>
    <phoneticPr fontId="21" type="noConversion"/>
  </si>
  <si>
    <t xml:space="preserve">Radisson Blu Plaza Ljubljana </t>
  </si>
  <si>
    <t>Mostar Hotel 4*</t>
    <phoneticPr fontId="21" type="noConversion"/>
  </si>
  <si>
    <t>Splendid 5*</t>
    <phoneticPr fontId="21" type="noConversion"/>
  </si>
  <si>
    <t xml:space="preserve">Schlosskrone </t>
  </si>
  <si>
    <t>Strasbourg</t>
    <phoneticPr fontId="21" type="noConversion"/>
  </si>
  <si>
    <t>Mercure Strasbourg Palais des Congres</t>
    <phoneticPr fontId="21" type="noConversion"/>
  </si>
  <si>
    <t>Sunstar</t>
    <phoneticPr fontId="21" type="noConversion"/>
  </si>
  <si>
    <t>Spinne</t>
    <phoneticPr fontId="21" type="noConversion"/>
  </si>
  <si>
    <t xml:space="preserve">Schweizerhof </t>
    <phoneticPr fontId="21" type="noConversion"/>
  </si>
  <si>
    <t xml:space="preserve">Monopol </t>
    <phoneticPr fontId="21" type="noConversion"/>
  </si>
  <si>
    <t>Dorint Airport-Hotel</t>
  </si>
  <si>
    <t xml:space="preserve">Schweizerhof </t>
    <phoneticPr fontId="21" type="noConversion"/>
  </si>
  <si>
    <t>Chamonix</t>
    <phoneticPr fontId="111" type="noConversion"/>
  </si>
  <si>
    <t xml:space="preserve">Grand hotel Zell am see </t>
    <phoneticPr fontId="21" type="noConversion"/>
  </si>
  <si>
    <t xml:space="preserve">St.Geroge </t>
    <phoneticPr fontId="21" type="noConversion"/>
  </si>
  <si>
    <t>Romantik Hotel</t>
    <phoneticPr fontId="21" type="noConversion"/>
  </si>
  <si>
    <t>Wörthersee</t>
    <phoneticPr fontId="111" type="noConversion"/>
  </si>
  <si>
    <t>Hotel Sandwirth</t>
    <phoneticPr fontId="111" type="noConversion"/>
  </si>
  <si>
    <t>Seepark Hotel Congress &amp; Spa</t>
    <phoneticPr fontId="111" type="noConversion"/>
  </si>
  <si>
    <t xml:space="preserve">Best Western Hotel Neue Post   </t>
    <phoneticPr fontId="111" type="noConversion"/>
  </si>
  <si>
    <t>Innsbruck</t>
    <phoneticPr fontId="111" type="noConversion"/>
  </si>
  <si>
    <t xml:space="preserve">Seehotel Hafnersee </t>
    <phoneticPr fontId="111" type="noConversion"/>
  </si>
  <si>
    <t>G.glockner</t>
    <phoneticPr fontId="111" type="noConversion"/>
  </si>
  <si>
    <t xml:space="preserve">Hotel Glocknerhof </t>
    <phoneticPr fontId="111" type="noConversion"/>
  </si>
  <si>
    <t>Heiligenblut</t>
    <phoneticPr fontId="111" type="noConversion"/>
  </si>
  <si>
    <t>Wörthersee</t>
    <phoneticPr fontId="111" type="noConversion"/>
  </si>
  <si>
    <t xml:space="preserve">Sillain </t>
    <phoneticPr fontId="111" type="noConversion"/>
  </si>
  <si>
    <t xml:space="preserve">Sporthotel </t>
    <phoneticPr fontId="111" type="noConversion"/>
  </si>
  <si>
    <t>Vienna</t>
    <phoneticPr fontId="111" type="noConversion"/>
  </si>
  <si>
    <t>Marriott 5*</t>
    <phoneticPr fontId="111" type="noConversion"/>
  </si>
  <si>
    <t>Ehrenhausen</t>
    <phoneticPr fontId="111" type="noConversion"/>
  </si>
  <si>
    <t>Liosium Südsteiermark</t>
    <phoneticPr fontId="111" type="noConversion"/>
  </si>
  <si>
    <t>Portoroz</t>
    <phoneticPr fontId="111" type="noConversion"/>
  </si>
  <si>
    <t>No Name 4* (Istra, Eden)</t>
    <phoneticPr fontId="111" type="noConversion"/>
  </si>
  <si>
    <t xml:space="preserve">Porec </t>
    <phoneticPr fontId="111" type="noConversion"/>
  </si>
  <si>
    <t xml:space="preserve">Valamar Diamant </t>
    <phoneticPr fontId="111" type="noConversion"/>
  </si>
  <si>
    <t xml:space="preserve">Porec </t>
    <phoneticPr fontId="111" type="noConversion"/>
  </si>
  <si>
    <t>Valamar Zegreb</t>
    <phoneticPr fontId="111" type="noConversion"/>
  </si>
  <si>
    <t>Kunsthotel Fuchspalast</t>
    <phoneticPr fontId="111" type="noConversion"/>
  </si>
  <si>
    <t xml:space="preserve">Colmar </t>
    <phoneticPr fontId="111" type="noConversion"/>
  </si>
  <si>
    <t>Renaissance 4*</t>
    <phoneticPr fontId="21" type="noConversion"/>
  </si>
  <si>
    <t xml:space="preserve">Hotel Europe </t>
    <phoneticPr fontId="111" type="noConversion"/>
  </si>
  <si>
    <t>Davos</t>
    <phoneticPr fontId="111" type="noConversion"/>
  </si>
  <si>
    <t>Mountreaux</t>
    <phoneticPr fontId="111" type="noConversion"/>
  </si>
  <si>
    <t>Mountreaux</t>
    <phoneticPr fontId="111" type="noConversion"/>
  </si>
  <si>
    <t xml:space="preserve">Grand hotel Majastic </t>
    <phoneticPr fontId="111" type="noConversion"/>
  </si>
  <si>
    <t>St. Moritz</t>
    <phoneticPr fontId="111" type="noConversion"/>
  </si>
  <si>
    <t xml:space="preserve">Europa </t>
    <phoneticPr fontId="111" type="noConversion"/>
  </si>
  <si>
    <t>Zermatt</t>
    <phoneticPr fontId="111" type="noConversion"/>
  </si>
  <si>
    <t>Hotel Sunstar</t>
    <phoneticPr fontId="111" type="noConversion"/>
  </si>
  <si>
    <t>Zurich</t>
    <phoneticPr fontId="111" type="noConversion"/>
  </si>
  <si>
    <t xml:space="preserve">Mercure Champ De Mars </t>
    <phoneticPr fontId="111" type="noConversion"/>
  </si>
  <si>
    <t xml:space="preserve">Mercure </t>
    <phoneticPr fontId="111" type="noConversion"/>
  </si>
  <si>
    <t xml:space="preserve">Best Western </t>
    <phoneticPr fontId="111" type="noConversion"/>
  </si>
  <si>
    <t>Chamonix</t>
    <phoneticPr fontId="111" type="noConversion"/>
  </si>
  <si>
    <t xml:space="preserve">Park hotel </t>
    <phoneticPr fontId="111" type="noConversion"/>
  </si>
  <si>
    <t xml:space="preserve">Paris </t>
    <phoneticPr fontId="111" type="noConversion"/>
  </si>
  <si>
    <t>Strasbourg</t>
    <phoneticPr fontId="21" type="noConversion"/>
  </si>
  <si>
    <t xml:space="preserve">Hilton </t>
    <phoneticPr fontId="111" type="noConversion"/>
  </si>
  <si>
    <t>Mercure Paris La Defense</t>
    <phoneticPr fontId="111" type="noConversion"/>
  </si>
  <si>
    <t xml:space="preserve">Paris </t>
    <phoneticPr fontId="111" type="noConversion"/>
  </si>
  <si>
    <t xml:space="preserve">Novotel </t>
    <phoneticPr fontId="111" type="noConversion"/>
  </si>
  <si>
    <t xml:space="preserve">Holiday Inn </t>
    <phoneticPr fontId="111" type="noConversion"/>
  </si>
  <si>
    <t>low s.: jan-febr; nov; dec</t>
  </si>
  <si>
    <t>mid s. march; july; aug</t>
  </si>
  <si>
    <t>Sept</t>
  </si>
  <si>
    <t>Hilton Danube Waterfront 4*</t>
  </si>
  <si>
    <t>Melia</t>
  </si>
  <si>
    <t>Need permit for coaches</t>
  </si>
  <si>
    <t>no TWN rooms</t>
  </si>
  <si>
    <t>Langenlois</t>
  </si>
  <si>
    <t>LOISIUM Wine &amp; SPA resort</t>
  </si>
  <si>
    <t>Sunday, Monday night only</t>
  </si>
  <si>
    <t>Südsteiermarkt</t>
  </si>
  <si>
    <t>LOW S.:01-13/04; 24/10-16/11; 07-08/01 2018</t>
  </si>
  <si>
    <t>SHOULDER S.14-24/04; 28-30/04; 02-23/10; 19-23/11; 10-13/12; 05-06/01</t>
  </si>
  <si>
    <t>HIGH S.:01/05-01/10; 17-18/11; 24/11-09/12; 24-28/12</t>
  </si>
  <si>
    <t>FAIR.: 25-27/04; 29/12-04/01</t>
  </si>
  <si>
    <t>july aug</t>
  </si>
  <si>
    <t>city tax incl.</t>
  </si>
  <si>
    <t>FR,SA,SU arrivals get FIT Breakfast without supplement!</t>
  </si>
  <si>
    <t>Voronez I. 4*</t>
  </si>
  <si>
    <t>Grabovac is 3*, but 10 km from the park</t>
  </si>
  <si>
    <t>1/04-30/06; 01/09-31/10</t>
  </si>
  <si>
    <t>Villa Sedra 3*</t>
  </si>
  <si>
    <t>cca 5-10 km from the park</t>
  </si>
  <si>
    <t>need to buy EF to National park for second day as well</t>
  </si>
  <si>
    <t>01/07-31/08</t>
  </si>
  <si>
    <t>cca 10 km from the park</t>
  </si>
  <si>
    <t>nov</t>
  </si>
  <si>
    <t>17/04-30/11</t>
  </si>
  <si>
    <t>01/05-14/07; 01/09-31/10</t>
  </si>
  <si>
    <t>festival p. 15/07-31/08</t>
  </si>
  <si>
    <t>nov,dec weekends</t>
  </si>
  <si>
    <t>40-48 p.p.</t>
  </si>
  <si>
    <t>35-41 p.p.</t>
  </si>
  <si>
    <t>01-03/03 ECR; 22-24/04 ECCMID; 25-27/04 EGU; 24-26/05 EHS; 30/05-02/06 EFFORT; 19-21/06 EHRA; 07-11/10 EACTS</t>
  </si>
  <si>
    <t>15/01-04/03; 01-29/06</t>
  </si>
  <si>
    <t>02-14/01; 30/06-08/10; 23/12-31/12; 02-25/01 2018</t>
  </si>
  <si>
    <t>close-out: 20-22/01; 27-29/01; 24/06-01/07; 06-09/07; 15/09-03/10</t>
  </si>
  <si>
    <t>Ramada</t>
  </si>
  <si>
    <t>Arcotel Donauzentrum</t>
  </si>
  <si>
    <t>Arcotel Castellani</t>
  </si>
  <si>
    <t>Freiburg</t>
  </si>
  <si>
    <t>Stadt 4*</t>
  </si>
  <si>
    <t>Through Frankenland</t>
  </si>
  <si>
    <t xml:space="preserve">13-17/04; 24-28/05; 02-05/06; 14-18/06; 30/10-05/11; 22-30/12; </t>
  </si>
  <si>
    <t>FAIR: BAU,INTersolar,Drinktec</t>
  </si>
  <si>
    <t>FAIR Trasnport,Oktoberfest,Expo</t>
  </si>
  <si>
    <t>16-20/01; 30/05-01/06; 11-14/09</t>
  </si>
  <si>
    <t>08-11/05; 15/09-03/10; 04-05/10</t>
  </si>
  <si>
    <t>05-08/02; 17-18/02; 21-24/03; 30/05-02/06; 16/09-03/10; 10-12/10; 14-17/11</t>
  </si>
  <si>
    <t xml:space="preserve">16-21/01; 09-12/05; 11-15/09; 16/09-03/10; 04-05/10; </t>
  </si>
  <si>
    <t xml:space="preserve">Lillafured </t>
  </si>
  <si>
    <t>Palota hotel 4*</t>
  </si>
  <si>
    <t xml:space="preserve">Sofitel </t>
  </si>
  <si>
    <t>suppl. For Danube view 50/room</t>
  </si>
  <si>
    <t>marc,apr,</t>
  </si>
  <si>
    <t>jan,febr,aug,nov,dec</t>
  </si>
  <si>
    <t>close-out: 13/07-20/08</t>
  </si>
  <si>
    <t>Luzern</t>
  </si>
  <si>
    <t>low s 01/11-31/03</t>
  </si>
  <si>
    <t>Mid s apr, oct</t>
  </si>
  <si>
    <t>21/01-26/02; 18-31/12</t>
  </si>
  <si>
    <t>15-20/01; 27/02-20/03; 24-26/03; 30/03-30/04; 30/06-27/08; 09/10-17/10</t>
  </si>
  <si>
    <t>21-23/03; 27-29/03; 01/05-29/06; 28/08-08/10</t>
  </si>
  <si>
    <t>weekend 5 chf p.p. cheaper</t>
  </si>
  <si>
    <t>weekend 10 chf p.p. cheaper</t>
  </si>
  <si>
    <t>Continental Park 4*</t>
  </si>
  <si>
    <t>01/01-31/03</t>
  </si>
  <si>
    <t>01/04-31/10</t>
  </si>
  <si>
    <t>01/11-31/12</t>
  </si>
  <si>
    <t>Park Inn Airport</t>
  </si>
  <si>
    <t xml:space="preserve">Schlossbergbahn   </t>
  </si>
  <si>
    <t>Jenbach-Tirol -</t>
  </si>
  <si>
    <t>Salzburger Festungskonzerte (  incl. Cable Car )</t>
  </si>
  <si>
    <t>St. Gilgen - St. Wolfgang</t>
  </si>
  <si>
    <t>11.-€</t>
  </si>
  <si>
    <t xml:space="preserve"> Cat.A  85.-€</t>
  </si>
  <si>
    <t>Cat.B 70-€</t>
  </si>
  <si>
    <t xml:space="preserve"> Cat.C 50.-€</t>
  </si>
  <si>
    <t>A.T.H. Bosei</t>
  </si>
  <si>
    <t>A.T.H. Lasalle</t>
  </si>
  <si>
    <t>CLOSE OUT</t>
  </si>
  <si>
    <t>A.T.H. Ananas</t>
  </si>
  <si>
    <t>low s.30/06-10/09; 15-28/12; 01/01-31/03 2018</t>
  </si>
  <si>
    <t>high s.01/04-29/06; 11/09-14/12</t>
  </si>
  <si>
    <t>min. 2 nights</t>
  </si>
  <si>
    <t>Seethurn</t>
  </si>
  <si>
    <t>Stroblerhof</t>
  </si>
  <si>
    <t>Tuesday - Friday</t>
  </si>
  <si>
    <t>Friday-Saturday CLOSE OUT</t>
  </si>
  <si>
    <t>Maritim</t>
  </si>
  <si>
    <t>mid: apr,may, june, oct, nov, dec</t>
  </si>
  <si>
    <t>low: jan,febr,marc</t>
  </si>
  <si>
    <t>high: july,aug,sep</t>
  </si>
  <si>
    <t>close-out: 20/02-05/03; 14-17/04; 28/04-01/05; 25-28/05; 02-05/06; 15-18/06; 21-23/07; 11-13/08; 29/09-03/10; 22/12-01/01 2018</t>
  </si>
  <si>
    <t>weekends only on request</t>
  </si>
  <si>
    <t>jan,feb,marc,apr, jul,aug, nov,dec</t>
  </si>
  <si>
    <t>02-18/05; 29/05-13/07; 21/08-05/10</t>
  </si>
  <si>
    <t>01/04-01/05; 19-28/05</t>
  </si>
  <si>
    <t xml:space="preserve">low: all weekends </t>
  </si>
  <si>
    <t>mid s.: jan-apr, jul-aug, oct-dec</t>
  </si>
  <si>
    <t>high: may,june,sep</t>
  </si>
  <si>
    <t>Atlas Grand</t>
  </si>
  <si>
    <t xml:space="preserve">Metropole </t>
  </si>
  <si>
    <t>jan-apr</t>
  </si>
  <si>
    <t>may</t>
  </si>
  <si>
    <t>june-july-aug-sep</t>
  </si>
  <si>
    <t>oct-dec</t>
  </si>
  <si>
    <t>limited amercian buffett breakfast (has some hot item) for full american buffet breakf suppl is 7 CHF p.p.</t>
  </si>
  <si>
    <t>free CXL is 42 days !!</t>
  </si>
  <si>
    <t>Jama 4*</t>
  </si>
  <si>
    <t>Radison Blu 4*</t>
  </si>
  <si>
    <t>no fix rates, on request around this price</t>
  </si>
  <si>
    <t>2017 PRICES</t>
  </si>
  <si>
    <t>29 CHF</t>
  </si>
  <si>
    <t>28 CHF</t>
  </si>
  <si>
    <t>Zürich</t>
  </si>
  <si>
    <t>Johanniter</t>
  </si>
  <si>
    <t>28 Chf</t>
  </si>
  <si>
    <t>(cola groups mainly in 2016)</t>
  </si>
  <si>
    <t xml:space="preserve">Wilden Mann </t>
  </si>
  <si>
    <t>from 45 CHF</t>
  </si>
  <si>
    <t>Zeughauskeller</t>
  </si>
  <si>
    <t>from 50 CHF</t>
  </si>
  <si>
    <t>Inyenckert 17€</t>
  </si>
  <si>
    <t xml:space="preserve">Danube Cruise: 5,5€ p.p. Incl drink </t>
  </si>
  <si>
    <t>Opening Hours in Summer</t>
  </si>
  <si>
    <t>Opening Hours in Winter</t>
  </si>
  <si>
    <t xml:space="preserve"> Salzbergwerk: (90 min.)</t>
  </si>
  <si>
    <t xml:space="preserve"> Musical im Theater am Potsdamer Platz</t>
  </si>
  <si>
    <t>From September</t>
  </si>
  <si>
    <t>2016 closed</t>
  </si>
  <si>
    <t xml:space="preserve"> Musical im Theater des Westens </t>
  </si>
  <si>
    <t>&gt;20P   8,70 €</t>
  </si>
  <si>
    <t>Daily 08:00-17:00</t>
  </si>
  <si>
    <t>Daily 09:00-15:30</t>
  </si>
  <si>
    <t>Daily 09:00-16:30</t>
  </si>
  <si>
    <t xml:space="preserve">   9,00 €</t>
  </si>
  <si>
    <t xml:space="preserve"> Heidelberg Castle :(incl. funicular railway, Castle</t>
  </si>
  <si>
    <t>Daily 10:00-16:00</t>
  </si>
  <si>
    <t>&gt;15P  13,00 €</t>
  </si>
  <si>
    <t>Daily 09:00-15:00</t>
  </si>
  <si>
    <t xml:space="preserve"> Cruise Königssee - St.Bartholomä (return tickets)</t>
  </si>
  <si>
    <t>&gt;20P  13,40 €</t>
  </si>
  <si>
    <t xml:space="preserve">  7,40 €</t>
  </si>
  <si>
    <t xml:space="preserve">Daily 10:00-16:00 </t>
  </si>
  <si>
    <t xml:space="preserve">Daily 10:00-19:00 </t>
  </si>
  <si>
    <t xml:space="preserve">Daily 10:00-17:00 </t>
  </si>
  <si>
    <t xml:space="preserve"> Schloss  Nymphenburg (in summer, 4/1 -10/15)</t>
  </si>
  <si>
    <t xml:space="preserve">  11,50 €</t>
  </si>
  <si>
    <t xml:space="preserve"> Schloss  Nymphenburg (in winter, 10/16 - 3/31)</t>
  </si>
  <si>
    <t xml:space="preserve"> Ring Trip incl. Ship (Ring-Ticket),  </t>
  </si>
  <si>
    <t>&gt;20P  14,00 €</t>
  </si>
  <si>
    <t>&gt;20P  16,30 €</t>
  </si>
  <si>
    <t xml:space="preserve">  18,00 €</t>
  </si>
  <si>
    <t>29,00 €</t>
  </si>
  <si>
    <t>32,00 €</t>
  </si>
  <si>
    <t>35,00 €</t>
  </si>
  <si>
    <t xml:space="preserve"> Würzburg Residenz (in summer, 4/1-10/31)</t>
  </si>
  <si>
    <t xml:space="preserve"> Würzburg Residenz (in winter, 11/1-3/31)</t>
  </si>
  <si>
    <t>Goldener Bar Rest.:11,5-14€</t>
  </si>
  <si>
    <t>Bräustüberl: 18€ - Gasthof Reichenbach: 13,5€</t>
  </si>
  <si>
    <t>Schlossrestaurant: from 15€</t>
  </si>
  <si>
    <t>Müller Restaurant: from 20€</t>
  </si>
  <si>
    <t>Mainau Rest.: from 15€</t>
  </si>
  <si>
    <t>Paulaner Brauhaus: 17-34€</t>
  </si>
  <si>
    <t>Hofbrauhaus: from 19,9€ + drinks</t>
  </si>
  <si>
    <t>Ratskeller München: from 20€</t>
  </si>
  <si>
    <t>Chinese meals : from 10€</t>
  </si>
  <si>
    <t>Phoenix:(spot) from 9€</t>
  </si>
  <si>
    <t>Schlossrestaurant: 26€</t>
  </si>
  <si>
    <t>Panorama: from 13€</t>
  </si>
  <si>
    <t>Würzburger Ratskeller: from 17€</t>
  </si>
  <si>
    <t>Chinese meals: from11€</t>
  </si>
  <si>
    <t>Paulaner am Dom: from 16€</t>
  </si>
  <si>
    <t>Stars</t>
  </si>
  <si>
    <t>4*+</t>
  </si>
  <si>
    <t>PRA</t>
  </si>
  <si>
    <t>29.12.-01.01.2018 min.stay 3 nights</t>
  </si>
  <si>
    <t>4*</t>
  </si>
  <si>
    <t>25.06.-31.08. / 03.11.-04.11. / 10.11.-11.11. / 17.11.-18.11. / 23.11.-25.11. / 29.11. - 02.12. / 07.12.-11.12. / 14.12.-16.12. / 22.12.-27.12. / 03.01.-10.01. / 17.03.-18.03. / 24.03.-25.03.</t>
  </si>
  <si>
    <t>28.12.-01.01.2018 min. stay 3 nights</t>
  </si>
  <si>
    <t>Courtyard Prague City (ex. Flora)</t>
  </si>
  <si>
    <t>PRG</t>
  </si>
  <si>
    <t>Diplomat Prague (Vienna House)</t>
  </si>
  <si>
    <t>01.07.-31.08.17</t>
  </si>
  <si>
    <t>Apr., May, Jun., Sep., Oct.</t>
  </si>
  <si>
    <t>02.01.-31.03.17 / 01.11.-27.12.17</t>
  </si>
  <si>
    <t>01.04.-13.04.17 / 01.07.-31.08.17</t>
  </si>
  <si>
    <t>17.04.-30.06.17 / 01.09.-31.10.17</t>
  </si>
  <si>
    <t>14.04.-16.04.17 min. stay 3 nights</t>
  </si>
  <si>
    <t>08.01.-01.03.17 / 04.01.-28.02.18</t>
  </si>
  <si>
    <t>02.03.-31.03.17 / 01.03.-28.03.18</t>
  </si>
  <si>
    <t>5*</t>
  </si>
  <si>
    <t>02.01.-31.03. / 18.12.-29.12. / 02.01.-31.03.18</t>
  </si>
  <si>
    <t>01.04.-30.04. / 01.07.-31.08.</t>
  </si>
  <si>
    <t>14.04.-16.04. min. stay 2 nights</t>
  </si>
  <si>
    <t>30.10.-28.12.    Sunday-Thursday</t>
  </si>
  <si>
    <t>30.10.-28.12.     Friday - Sunday</t>
  </si>
  <si>
    <t>KAR</t>
  </si>
  <si>
    <t>01.04.-31.10.17</t>
  </si>
  <si>
    <t>04.01.-31.03. / 15.10.-03.01.18</t>
  </si>
  <si>
    <t>01.04.-29.06. / 09.07.-14.10.</t>
  </si>
  <si>
    <t>01.11.-24.12. / 16.01.-31.03.</t>
  </si>
  <si>
    <t>01.04.-14.04. / 16.05.-31.10.</t>
  </si>
  <si>
    <t>MAR</t>
  </si>
  <si>
    <t>01.11.-28.12.2017 / 02.01.-31.03.2018</t>
  </si>
  <si>
    <t>29.12.-01.01.18 min.stay 3 nights</t>
  </si>
  <si>
    <t>02.01.-31.03.</t>
  </si>
  <si>
    <t>low s.: 30.03.-12.04. / 28.10.-28.12. / 02.01.-28.03.18</t>
  </si>
  <si>
    <t>high s.: 13.04.-23.06. / 01.09.-27.10.</t>
  </si>
  <si>
    <t>Christmas period</t>
  </si>
  <si>
    <t>low s: 29.10.-27.12.2017 incl. / 02.01.-28.03.2018 incl.</t>
  </si>
  <si>
    <t xml:space="preserve">01.04.-24.06. / 01.09.-28.10. / 29.03.-01.04.18; </t>
  </si>
  <si>
    <t>Courty.by Marriott Prag City (ex-Flora) 4*</t>
  </si>
  <si>
    <t>Friday - Sunday</t>
  </si>
  <si>
    <t>Sunday-Thursday</t>
  </si>
  <si>
    <t xml:space="preserve">01.04.-13.04. / 18.04.-27.04. / 26.06.-31.08.  </t>
  </si>
  <si>
    <t xml:space="preserve">14.04.-17.04. / 28.04.-25.06. / 01.09.-29.10. </t>
  </si>
  <si>
    <t>Jean De Carro 4*</t>
  </si>
  <si>
    <t>Spa Resort Sanssouci</t>
  </si>
  <si>
    <t xml:space="preserve">Thermal </t>
  </si>
  <si>
    <t>Friday - Saturday</t>
  </si>
  <si>
    <t>Sunday - Thursday</t>
  </si>
  <si>
    <t>Savoy Westend 5*</t>
  </si>
  <si>
    <t>SUPERIOR</t>
  </si>
  <si>
    <t>Budweis 4*</t>
  </si>
  <si>
    <t>01-13/04; 23/10-03/12; 19-31/03 2018</t>
  </si>
  <si>
    <t>14/04-22/10; 29/12-02/01 2018</t>
  </si>
  <si>
    <t>Solaris Resort Andrija 4*</t>
  </si>
  <si>
    <t>min. stay 2 nights</t>
  </si>
  <si>
    <t>23-4-06/05; 17-30/09</t>
  </si>
  <si>
    <t>07/05-03/06; 10-16/09</t>
  </si>
  <si>
    <t>04-24/06; 03-09/09</t>
  </si>
  <si>
    <t>25/06-03/09</t>
  </si>
  <si>
    <t>CXL deadline 60 days</t>
  </si>
  <si>
    <t>Riva</t>
  </si>
  <si>
    <t>18/7-23/8</t>
  </si>
  <si>
    <t>Importanne Resort Ariston 5*</t>
  </si>
  <si>
    <t>01/07-22/09</t>
  </si>
  <si>
    <t>standard</t>
  </si>
  <si>
    <t>sea view</t>
  </si>
  <si>
    <t>Importanne Resort Royal Blue 5*</t>
  </si>
  <si>
    <t>Importanne Resort Neptun 4*</t>
  </si>
  <si>
    <t>registration fee</t>
  </si>
  <si>
    <t>Achat Premium</t>
  </si>
  <si>
    <t xml:space="preserve">                         Reteshaz :15-20€</t>
  </si>
  <si>
    <t>Chamonix Aiguille du Midi</t>
  </si>
  <si>
    <t>rates 2018</t>
  </si>
  <si>
    <t>rates from 2017</t>
  </si>
  <si>
    <t>Steiermark</t>
  </si>
  <si>
    <t>Close-out: 31/5-3/6; 4-7/6; 10-16/9; 18/9-3/10; 06-12/10;3-4/01 2019; 1-3/02 2019; 8-10/02 2019; 14/2-5/3 2019</t>
  </si>
  <si>
    <t>low: jan</t>
  </si>
  <si>
    <t>mid s.: apr, nov, march 2019</t>
  </si>
  <si>
    <t>high s.:01/5-31/10; febr 2019</t>
  </si>
  <si>
    <t>Advent weekend: 30/11-01/12; 07-08/12; 14-15/12; 21-22/12</t>
  </si>
  <si>
    <t>mid s.: 01/03-08/04; july, aug</t>
  </si>
  <si>
    <t>high s 09/04-01/07; 03/09-27/10</t>
  </si>
  <si>
    <t>low s.: jan-march; nov-dec</t>
  </si>
  <si>
    <t>april; july; aug</t>
  </si>
  <si>
    <t>may, june, sept, oct</t>
  </si>
  <si>
    <t>free CXL: 45 days</t>
  </si>
  <si>
    <t>jan</t>
  </si>
  <si>
    <t>01/02-18/03</t>
  </si>
  <si>
    <t>27/04-21/06</t>
  </si>
  <si>
    <t>22/06-20/10</t>
  </si>
  <si>
    <t>19/03-26/04; 21/10-21/12</t>
  </si>
  <si>
    <t>27-29/12</t>
  </si>
  <si>
    <t>close-out:25-27/01; 01-03/02; 06-09/07;  22-26/12</t>
  </si>
  <si>
    <t>Bad Windsheim</t>
  </si>
  <si>
    <t>Arvena Reichsstadt</t>
  </si>
  <si>
    <t>low s.: Jan-Apr, july, nov-dec</t>
  </si>
  <si>
    <t>high S.: May-June, Aug-oct</t>
  </si>
  <si>
    <t>2018 prices</t>
  </si>
  <si>
    <t>Close-out: 23-26/04; 31/5-3/6; 4-7/6; 10-16/9; 18/9-3/10; 06-12/10;3-4/01 2019; 1-3/02 2019; 8-10/02 2019; 14/2-5/3 2019</t>
  </si>
  <si>
    <t>indicative rates, not fix rates</t>
  </si>
  <si>
    <t>15 rooms allotment</t>
  </si>
  <si>
    <t>Sun-Thur</t>
  </si>
  <si>
    <t>groups on request only!!</t>
  </si>
  <si>
    <t xml:space="preserve">Biograd </t>
  </si>
  <si>
    <t>llrija Resort 4* (Ilirija or Kornati)</t>
  </si>
  <si>
    <t>Punta 4*</t>
  </si>
  <si>
    <t>7/7-24/8</t>
  </si>
  <si>
    <t>apr</t>
  </si>
  <si>
    <t>may,oct</t>
  </si>
  <si>
    <t>HB dinner is obligatory</t>
  </si>
  <si>
    <t>indicative rates only</t>
  </si>
  <si>
    <t>do not take groups</t>
  </si>
  <si>
    <t>42 days free CXL</t>
  </si>
  <si>
    <t>21/7-24/8</t>
  </si>
  <si>
    <t>Falkensteiner 4* Punat</t>
  </si>
  <si>
    <t>23/3-08/5; 29/9-31/10</t>
  </si>
  <si>
    <t>09-25/5; 8-28/9</t>
  </si>
  <si>
    <t>26/5-15/6; 01-07/9</t>
  </si>
  <si>
    <t>16/6-06/7; 25-31/8</t>
  </si>
  <si>
    <t>local tax</t>
  </si>
  <si>
    <t>2018 rate</t>
  </si>
  <si>
    <t>child 47,10</t>
  </si>
  <si>
    <t xml:space="preserve">CHF </t>
  </si>
  <si>
    <t>group rates, min. 10 pax, 1 free per 10 pax if not otherwise noted</t>
  </si>
  <si>
    <t>prices incl. handling fee</t>
  </si>
  <si>
    <r>
      <t xml:space="preserve">Glacier Express </t>
    </r>
    <r>
      <rPr>
        <sz val="8"/>
        <color rgb="FF000000"/>
        <rFont val="Arial"/>
        <family val="2"/>
        <charset val="238"/>
      </rPr>
      <t xml:space="preserve">(incl. reservation and surcharge) </t>
    </r>
  </si>
  <si>
    <t xml:space="preserve">2nd cl. </t>
  </si>
  <si>
    <t>1st cl.</t>
  </si>
  <si>
    <t xml:space="preserve">St.Moritz-Zermatt </t>
  </si>
  <si>
    <t xml:space="preserve">all other dates </t>
  </si>
  <si>
    <t xml:space="preserve">St.Moritz-Andermatt </t>
  </si>
  <si>
    <t xml:space="preserve">Andermatt-Zermatt </t>
  </si>
  <si>
    <t xml:space="preserve">Lunch Glacier Express, 3 courses with coffee/tea, incl. reservation </t>
  </si>
  <si>
    <r>
      <t xml:space="preserve">Bernina Express </t>
    </r>
    <r>
      <rPr>
        <sz val="8"/>
        <color rgb="FF000000"/>
        <rFont val="Arial"/>
        <family val="2"/>
        <charset val="238"/>
      </rPr>
      <t>(incl. reservation and surcharge)</t>
    </r>
  </si>
  <si>
    <t xml:space="preserve">St.Moritz-Tirano, panoramic cars </t>
  </si>
  <si>
    <t>Price on request</t>
  </si>
  <si>
    <r>
      <t xml:space="preserve">GoldenPass Line </t>
    </r>
    <r>
      <rPr>
        <sz val="8"/>
        <color rgb="FF000000"/>
        <rFont val="Arial"/>
        <family val="2"/>
        <charset val="238"/>
      </rPr>
      <t>(incl. reservation and surcharge)</t>
    </r>
  </si>
  <si>
    <t xml:space="preserve">Montreux-Zweisimmen </t>
  </si>
  <si>
    <t xml:space="preserve">Zermatt-Gornergrat and back </t>
  </si>
  <si>
    <t xml:space="preserve">Winter Season Jan - April / Nov - Dec </t>
  </si>
  <si>
    <t xml:space="preserve">Täsch-Zermatt and back </t>
  </si>
  <si>
    <t xml:space="preserve">Täsch-Zermatt one way </t>
  </si>
  <si>
    <t>Jungfrau Railway</t>
  </si>
  <si>
    <t xml:space="preserve">Lauterbrunnen-Wengen-Lauterbrunnen (for hotel in Wengen) </t>
  </si>
  <si>
    <r>
      <t xml:space="preserve">Lauterbrunnen-Jungfraujoch-Grindelwald </t>
    </r>
    <r>
      <rPr>
        <b/>
        <i/>
        <sz val="8"/>
        <color rgb="FF000000"/>
        <rFont val="Arial"/>
        <family val="2"/>
        <charset val="238"/>
      </rPr>
      <t xml:space="preserve">(lunch included only for Taiwan/Hong Kong/Thailand) </t>
    </r>
  </si>
  <si>
    <r>
      <t xml:space="preserve">Lauterbrunnen-Jungfraujoch-G'wald GRUND </t>
    </r>
    <r>
      <rPr>
        <b/>
        <i/>
        <sz val="8"/>
        <color rgb="FF000000"/>
        <rFont val="Arial"/>
        <family val="2"/>
        <charset val="238"/>
      </rPr>
      <t xml:space="preserve">(lunch included only for Taiwan/Hong Kong/Thailand) </t>
    </r>
  </si>
  <si>
    <r>
      <t xml:space="preserve">First near Grindelwald </t>
    </r>
    <r>
      <rPr>
        <sz val="8"/>
        <color rgb="FF000000"/>
        <rFont val="Arial"/>
        <family val="2"/>
        <charset val="238"/>
      </rPr>
      <t>(incl. First Cliff Walk)</t>
    </r>
  </si>
  <si>
    <t xml:space="preserve">Grindelwald-First-Grindelwald </t>
  </si>
  <si>
    <r>
      <t xml:space="preserve">Schilthorn </t>
    </r>
    <r>
      <rPr>
        <sz val="8"/>
        <color rgb="FF000000"/>
        <rFont val="Arial"/>
        <family val="2"/>
        <charset val="238"/>
      </rPr>
      <t>(incl. attractions on Birg and Schilthorn)</t>
    </r>
  </si>
  <si>
    <t xml:space="preserve">Stechelberg-Schilthorn-Stechelberg </t>
  </si>
  <si>
    <r>
      <t xml:space="preserve">Pilatus </t>
    </r>
    <r>
      <rPr>
        <sz val="9"/>
        <color rgb="FF000000"/>
        <rFont val="Arial"/>
        <family val="2"/>
        <charset val="238"/>
      </rPr>
      <t xml:space="preserve">Alpnachstad (rack railway)-Pilatus-(cable car)-Kriens </t>
    </r>
  </si>
  <si>
    <r>
      <t xml:space="preserve">Titlis </t>
    </r>
    <r>
      <rPr>
        <sz val="9"/>
        <color rgb="FF000000"/>
        <rFont val="Arial"/>
        <family val="2"/>
        <charset val="238"/>
      </rPr>
      <t xml:space="preserve">Engelberg-Titlis (rotair cable car)-Engelberg </t>
    </r>
  </si>
  <si>
    <r>
      <t xml:space="preserve">Titlis </t>
    </r>
    <r>
      <rPr>
        <sz val="9"/>
        <color rgb="FF000000"/>
        <rFont val="Arial"/>
        <family val="2"/>
        <charset val="238"/>
      </rPr>
      <t xml:space="preserve">ICE Flyer (1 free per 20 pax) </t>
    </r>
  </si>
  <si>
    <t>Lakes</t>
  </si>
  <si>
    <t xml:space="preserve">Spiez-Interlaken WEST </t>
  </si>
  <si>
    <t xml:space="preserve">Lausanne Ouchy-Chillon Castle </t>
  </si>
  <si>
    <t xml:space="preserve">Vevey-Chillon Castle </t>
  </si>
  <si>
    <t xml:space="preserve">Stansstad-Luzern </t>
  </si>
  <si>
    <t xml:space="preserve">Lugano-Gandria one way (only 2nd class) </t>
  </si>
  <si>
    <t>Cruises on all Swiss lakes on request</t>
  </si>
  <si>
    <t>Prices to our best knowledge and subject to errors and ommissions as well as changes.</t>
  </si>
  <si>
    <t>Ampersand</t>
  </si>
  <si>
    <t>47 CHF</t>
  </si>
  <si>
    <t>27 CHF</t>
  </si>
  <si>
    <t>First Berghaus:</t>
  </si>
  <si>
    <t>38-45 CHF</t>
  </si>
  <si>
    <t>from 33 CHF</t>
  </si>
  <si>
    <t>42 CHF (fondue)</t>
  </si>
  <si>
    <t>from 28 CHF (normal local)</t>
  </si>
  <si>
    <t>Kornhauskeller</t>
  </si>
  <si>
    <t>Park am Rhein:</t>
  </si>
  <si>
    <t>42 CHF</t>
  </si>
  <si>
    <t>Chang Cheng</t>
  </si>
  <si>
    <t>18 chf</t>
  </si>
  <si>
    <t xml:space="preserve">27 CHF </t>
  </si>
  <si>
    <t>7 dish</t>
  </si>
  <si>
    <t>from 37 CHF</t>
  </si>
  <si>
    <t>Year 2018:</t>
  </si>
  <si>
    <r>
      <t>GUIDE SERVICE</t>
    </r>
    <r>
      <rPr>
        <b/>
        <u/>
        <sz val="14"/>
        <rFont val="Arial"/>
        <family val="2"/>
        <charset val="238"/>
      </rPr>
      <t xml:space="preserve">: </t>
    </r>
  </si>
  <si>
    <r>
      <t>Chinese speaking guide in Prague for Taiwan group</t>
    </r>
    <r>
      <rPr>
        <b/>
        <sz val="11"/>
        <rFont val="Arial"/>
        <family val="2"/>
        <charset val="238"/>
      </rPr>
      <t>:</t>
    </r>
  </si>
  <si>
    <t>Full day: 150€    half day: 95€</t>
  </si>
  <si>
    <r>
      <t>Chinese speaking through guide for China group</t>
    </r>
    <r>
      <rPr>
        <b/>
        <sz val="11"/>
        <rFont val="Arial"/>
        <family val="2"/>
        <charset val="238"/>
      </rPr>
      <t xml:space="preserve">: </t>
    </r>
  </si>
  <si>
    <t>Full day: 130€    half day: 75€</t>
  </si>
  <si>
    <r>
      <t>English speaking guide in Prague</t>
    </r>
    <r>
      <rPr>
        <b/>
        <sz val="11"/>
        <rFont val="Arial"/>
        <family val="2"/>
        <charset val="238"/>
      </rPr>
      <t>:</t>
    </r>
  </si>
  <si>
    <t>Full day: 120€    half day: 70€</t>
  </si>
  <si>
    <t>(for Thailand groups, please included tips in quotation)</t>
  </si>
  <si>
    <r>
      <t>English speaking guide in Brno</t>
    </r>
    <r>
      <rPr>
        <b/>
        <sz val="11"/>
        <rFont val="Arial"/>
        <family val="2"/>
        <charset val="238"/>
      </rPr>
      <t>:</t>
    </r>
  </si>
  <si>
    <t>Half day: 50€</t>
  </si>
  <si>
    <r>
      <t>MEAL</t>
    </r>
    <r>
      <rPr>
        <b/>
        <u/>
        <sz val="14"/>
        <rFont val="Arial"/>
        <family val="2"/>
        <charset val="238"/>
      </rPr>
      <t>:</t>
    </r>
  </si>
  <si>
    <r>
      <t>Chinese meal in Prague &amp; Brno &amp; Karlovy Vary</t>
    </r>
    <r>
      <rPr>
        <b/>
        <sz val="11"/>
        <rFont val="Arial"/>
        <family val="2"/>
        <charset val="238"/>
      </rPr>
      <t xml:space="preserve">: </t>
    </r>
  </si>
  <si>
    <r>
      <t>Chinese meal in Ceske Budejovice &amp; Krumlov &amp; Mariaske Lazne</t>
    </r>
    <r>
      <rPr>
        <b/>
        <sz val="11"/>
        <rFont val="Arial"/>
        <family val="2"/>
        <charset val="238"/>
      </rPr>
      <t>:</t>
    </r>
  </si>
  <si>
    <r>
      <t>Local meal in Prague &amp; Kutna Hora &amp; Pilsen</t>
    </r>
    <r>
      <rPr>
        <b/>
        <sz val="11"/>
        <rFont val="Arial"/>
        <family val="2"/>
        <charset val="238"/>
      </rPr>
      <t>:</t>
    </r>
  </si>
  <si>
    <t xml:space="preserve">3 course: 11€            4 course: 13€     </t>
  </si>
  <si>
    <t xml:space="preserve">Main course: chicken / pork steak / goulash / beef (not steak) / water         </t>
  </si>
  <si>
    <t xml:space="preserve">Drink or coffee tea: +2€ </t>
  </si>
  <si>
    <r>
      <t>-</t>
    </r>
    <r>
      <rPr>
        <sz val="7"/>
        <rFont val="Times New Roman"/>
        <family val="1"/>
        <charset val="238"/>
      </rPr>
      <t xml:space="preserve">       </t>
    </r>
    <r>
      <rPr>
        <b/>
        <sz val="11"/>
        <rFont val="Arial"/>
        <family val="2"/>
        <charset val="238"/>
      </rPr>
      <t>Plzenska in Municipal House: 3 course lunch 18~22€, dinner 25~30€, drink 4€</t>
    </r>
  </si>
  <si>
    <r>
      <t>-</t>
    </r>
    <r>
      <rPr>
        <sz val="7"/>
        <rFont val="Times New Roman"/>
        <family val="1"/>
        <charset val="238"/>
      </rPr>
      <t xml:space="preserve">       </t>
    </r>
    <r>
      <rPr>
        <b/>
        <sz val="11"/>
        <rFont val="Arial"/>
        <family val="2"/>
        <charset val="238"/>
      </rPr>
      <t>Villa Richter: 3 course 30~35€, drink 6€</t>
    </r>
  </si>
  <si>
    <r>
      <t>-</t>
    </r>
    <r>
      <rPr>
        <sz val="7"/>
        <rFont val="Times New Roman"/>
        <family val="1"/>
        <charset val="238"/>
      </rPr>
      <t xml:space="preserve">       </t>
    </r>
    <r>
      <rPr>
        <b/>
        <sz val="11"/>
        <rFont val="Arial"/>
        <family val="2"/>
        <charset val="238"/>
      </rPr>
      <t>Klasterni: pork knee / duck +4€</t>
    </r>
  </si>
  <si>
    <r>
      <t>-</t>
    </r>
    <r>
      <rPr>
        <sz val="7"/>
        <rFont val="Times New Roman"/>
        <family val="1"/>
        <charset val="238"/>
      </rPr>
      <t xml:space="preserve">       </t>
    </r>
    <r>
      <rPr>
        <b/>
        <sz val="11"/>
        <rFont val="Arial"/>
        <family val="2"/>
        <charset val="238"/>
      </rPr>
      <t>Na Spilce: pork knee / ½ roast chicken +2€, duck or fish +3€</t>
    </r>
  </si>
  <si>
    <r>
      <t>Local meal in Karlovy Vary &amp; Telc &amp; Brno</t>
    </r>
    <r>
      <rPr>
        <b/>
        <sz val="11"/>
        <rFont val="Arial"/>
        <family val="2"/>
        <charset val="238"/>
      </rPr>
      <t xml:space="preserve">: </t>
    </r>
  </si>
  <si>
    <t xml:space="preserve">Main course: chicken / pork steak / goulash / beef (not steak) / water             </t>
  </si>
  <si>
    <t>Drink or coffee tea: +2€</t>
  </si>
  <si>
    <t>Pork knee / trout / duck: +2~2.5€</t>
  </si>
  <si>
    <r>
      <t>Folklore dinner with live music &amp; Beer</t>
    </r>
    <r>
      <rPr>
        <b/>
        <sz val="11"/>
        <rFont val="Arial"/>
        <family val="2"/>
        <charset val="238"/>
      </rPr>
      <t xml:space="preserve">: </t>
    </r>
  </si>
  <si>
    <t>Mlynec &amp; V Zatisi restaurants:</t>
  </si>
  <si>
    <t>Lunch: 29€ (salad - chicken / fish / duck leg / pork - dessert - coffee tea - water)</t>
  </si>
  <si>
    <t xml:space="preserve">             soup +8€, beef main course +6€, drink +6€ </t>
  </si>
  <si>
    <t>Dinner: 60€ (soup - salad - main course - dessert - coffee tea - water)</t>
  </si>
  <si>
    <t xml:space="preserve">             drink: +6€, main course could be choose at V Zatisi </t>
  </si>
  <si>
    <t xml:space="preserve">3 course: 21€               4 course: 26€    </t>
  </si>
  <si>
    <t>Main course: chicken, pork steak / water, bread, butter</t>
  </si>
  <si>
    <t>Drink or coffee tea: 2€</t>
  </si>
  <si>
    <r>
      <t>Cruise with buffet lunch / dinner</t>
    </r>
    <r>
      <rPr>
        <b/>
        <sz val="11"/>
        <rFont val="Arial"/>
        <family val="2"/>
        <charset val="238"/>
      </rPr>
      <t xml:space="preserve">: 22~30€ depends on the length and boat </t>
    </r>
  </si>
  <si>
    <r>
      <t>Prague</t>
    </r>
    <r>
      <rPr>
        <b/>
        <sz val="11"/>
        <rFont val="Arial"/>
        <family val="2"/>
        <charset val="238"/>
      </rPr>
      <t>:</t>
    </r>
  </si>
  <si>
    <t>Prague castle circuit A: 16€</t>
  </si>
  <si>
    <t>St. Nicholas in Lesser Town: 5€</t>
  </si>
  <si>
    <t>National Gallery in Prague 1: 10€</t>
  </si>
  <si>
    <t>Mucha museum: 11€</t>
  </si>
  <si>
    <r>
      <t>Pilsen:</t>
    </r>
    <r>
      <rPr>
        <b/>
        <sz val="11"/>
        <rFont val="Arial"/>
        <family val="2"/>
        <charset val="238"/>
      </rPr>
      <t xml:space="preserve"> </t>
    </r>
  </si>
  <si>
    <t>Beer factory: 11.5€ (100 minutes, min. 15pax and max. 45pax /group)</t>
  </si>
  <si>
    <t>Opening hour: April ~ September 8:00 – 18:00 / October ~ March 8:00 – 17:00</t>
  </si>
  <si>
    <t>Out of opening hour: +2€ supplement</t>
  </si>
  <si>
    <t>Gerbeud coffe/cake:9,5€</t>
  </si>
  <si>
    <t>May, Aug</t>
  </si>
  <si>
    <t>June</t>
  </si>
  <si>
    <t>not used in 2017</t>
  </si>
  <si>
    <t>used only for meal in 2017</t>
  </si>
  <si>
    <t>8% comission from this rate</t>
  </si>
  <si>
    <t>July 2017</t>
  </si>
  <si>
    <t>June 2017</t>
  </si>
  <si>
    <t>July-Aug 2017</t>
  </si>
  <si>
    <t>not used in 2018</t>
  </si>
  <si>
    <t>May 2017</t>
  </si>
  <si>
    <t>June/May 2017</t>
  </si>
  <si>
    <t>Sept one time price</t>
  </si>
  <si>
    <t>Apr</t>
  </si>
  <si>
    <t>Jun</t>
  </si>
  <si>
    <t>Aug</t>
  </si>
  <si>
    <t>Aug, Sep</t>
  </si>
  <si>
    <t>Oct</t>
  </si>
  <si>
    <t>jul</t>
  </si>
  <si>
    <t>Feb</t>
  </si>
  <si>
    <t>May</t>
  </si>
  <si>
    <t>not used in 2016, 2017</t>
  </si>
  <si>
    <t>Sep</t>
  </si>
  <si>
    <t>Nov</t>
  </si>
  <si>
    <t>not valid during SZIGET festival &amp; formula 1</t>
  </si>
  <si>
    <t>series can get better rates</t>
  </si>
  <si>
    <t>May-Aug</t>
  </si>
  <si>
    <t>Jan</t>
  </si>
  <si>
    <t>Jun-Oct</t>
  </si>
  <si>
    <t>Hilton city center</t>
  </si>
  <si>
    <t>not used in  2017</t>
  </si>
  <si>
    <t>tax 1.4</t>
  </si>
  <si>
    <t xml:space="preserve">Miskolc </t>
  </si>
  <si>
    <t>Pannonia 4*</t>
  </si>
  <si>
    <t>Imola Hotel Platán</t>
  </si>
  <si>
    <t>Hotel Eger &amp; Park</t>
  </si>
  <si>
    <t>Saliris Resort Spa Hotel</t>
  </si>
  <si>
    <t>jun</t>
  </si>
  <si>
    <t>Jul-Aug</t>
  </si>
  <si>
    <t xml:space="preserve">2 hours guiding 70€ </t>
  </si>
  <si>
    <t>no group rates available, only on request upon availabilty from 2016</t>
  </si>
  <si>
    <t>maj, june</t>
  </si>
  <si>
    <t>2 grp in 2017</t>
  </si>
  <si>
    <t>2017 apr</t>
  </si>
  <si>
    <t>2017 may</t>
  </si>
  <si>
    <t>Sun Garden (ex-Radisson Blu Slano Resort) 5*</t>
  </si>
  <si>
    <t>2017 sep, oct 3-5</t>
  </si>
  <si>
    <t>2017 oct</t>
  </si>
  <si>
    <t>2017 nov</t>
  </si>
  <si>
    <t>2017 june</t>
  </si>
  <si>
    <t>1 grp</t>
  </si>
  <si>
    <t>2 grps</t>
  </si>
  <si>
    <t>Remisens Admiral 4*</t>
  </si>
  <si>
    <t>2017 sep</t>
  </si>
  <si>
    <t>2017 march</t>
  </si>
  <si>
    <t>2017 apr, may</t>
  </si>
  <si>
    <t>2017 july</t>
  </si>
  <si>
    <t>6/5-9/6; 16-29/9</t>
  </si>
  <si>
    <t>10-23/6; 09-15/9</t>
  </si>
  <si>
    <t>24/6-7/7; 26/8-8/9</t>
  </si>
  <si>
    <t>8/7-25/8</t>
  </si>
  <si>
    <t>Korcula 4*</t>
  </si>
  <si>
    <t>superior suppl cca 20 € p.p.p.n.</t>
  </si>
  <si>
    <t>Marco Polo superior 4*</t>
  </si>
  <si>
    <t>seaside suppl. Cca. 20 EUR p.p.p.n on availabilty</t>
  </si>
  <si>
    <t>just DBL!!!</t>
  </si>
  <si>
    <t>Marco Polo standard 4*</t>
  </si>
  <si>
    <t>seaside suppl. Cca. 10 EUR p.p.p.n on availabilty</t>
  </si>
  <si>
    <t>TWN only in superior on availabilty</t>
  </si>
  <si>
    <t>on request upon availabilty</t>
  </si>
  <si>
    <t>Valamar Diamant 4*</t>
  </si>
  <si>
    <t>2017 june, sep 1-15</t>
  </si>
  <si>
    <t>2017 sep 16-30</t>
  </si>
  <si>
    <t>Katarina 4*</t>
  </si>
  <si>
    <t>2017 aug</t>
  </si>
  <si>
    <t>M Hotel 4*</t>
  </si>
  <si>
    <t>2017 july, sep, oct</t>
  </si>
  <si>
    <t>more grps</t>
  </si>
  <si>
    <t>2 hours guiding 50€ (english)</t>
  </si>
  <si>
    <t>2 hours guiding 70€ (other languages)</t>
  </si>
  <si>
    <t>St Lawrence Cathedral incl Bell Tower: 25 Kuna ~ 3,5 € (spot pay by local guide)</t>
  </si>
  <si>
    <t>St Dominus Cathedral: 25 Kuna ~ 3,5 € (spot pay by local guide)</t>
  </si>
  <si>
    <t>Bell Tower: 20 Kune ~ 2,8 € (spot pay by local guide)</t>
  </si>
  <si>
    <r>
      <rPr>
        <sz val="10"/>
        <color rgb="FF7030A0"/>
        <rFont val="Arial"/>
        <family val="2"/>
        <charset val="238"/>
      </rPr>
      <t>Vintgar Gorge: 5€ for FIT, 4€ for groups of 10 pax or more - SPOT PAY ONLY CASH</t>
    </r>
    <r>
      <rPr>
        <sz val="10"/>
        <color rgb="FFFF0000"/>
        <rFont val="Arial"/>
        <family val="2"/>
      </rPr>
      <t xml:space="preserve"> (open middle of April till beginning of Nov)</t>
    </r>
  </si>
  <si>
    <t>Groups can use the boat from Skradin to Skradinski buk or reverse direction at no extra charge but on condition that they wait in line with all the other visitors.</t>
  </si>
  <si>
    <t>2 hours guiding in Sibenik 60€</t>
  </si>
  <si>
    <t>*</t>
  </si>
  <si>
    <t>Boscolo 5*</t>
  </si>
  <si>
    <t>Sopron</t>
  </si>
  <si>
    <t xml:space="preserve">Hotel Sopron </t>
  </si>
  <si>
    <t>Holiday Beach</t>
  </si>
  <si>
    <t>Balatonalmadi</t>
  </si>
  <si>
    <t>Jul, Aug 2017</t>
  </si>
  <si>
    <t>Hunguest Hotel Bal Resort (ex. Ramada Balaton)</t>
  </si>
  <si>
    <t>closed</t>
  </si>
  <si>
    <t>Grand Hotel Pressburg</t>
  </si>
  <si>
    <t>Grand Hotel River Park 5*</t>
  </si>
  <si>
    <t>City Bratislava</t>
  </si>
  <si>
    <t>tax</t>
  </si>
  <si>
    <t>not use in 2017</t>
  </si>
  <si>
    <t>HB</t>
  </si>
  <si>
    <t>Sliac</t>
  </si>
  <si>
    <t>Hotel Kaskady</t>
  </si>
  <si>
    <t>Piestany</t>
  </si>
  <si>
    <t>Hotel Panorama</t>
  </si>
  <si>
    <t xml:space="preserve">Bojnice </t>
  </si>
  <si>
    <t>Hotel Pod Zamkom</t>
  </si>
  <si>
    <t>Hotel Patria</t>
  </si>
  <si>
    <t>Hotel Solisko</t>
  </si>
  <si>
    <t>Hotel Continental</t>
  </si>
  <si>
    <t>not used for 2017</t>
  </si>
  <si>
    <t>Óct 2017</t>
  </si>
  <si>
    <t>Jun 2017</t>
  </si>
  <si>
    <t>Cosmopolitan</t>
  </si>
  <si>
    <t>Slavia</t>
  </si>
  <si>
    <t>Vista</t>
  </si>
  <si>
    <t>Savoy</t>
  </si>
  <si>
    <t>Maly Pivovar</t>
  </si>
  <si>
    <t>Jun,Sep 2017</t>
  </si>
  <si>
    <t>Parkhotel</t>
  </si>
  <si>
    <t>Jihlava</t>
  </si>
  <si>
    <t>Grandhotel Garni Jihlava</t>
  </si>
  <si>
    <t>Ostrava</t>
  </si>
  <si>
    <t>Park Inn Moravska Ostrava</t>
  </si>
  <si>
    <t>Trebon</t>
  </si>
  <si>
    <t>Zlata Hvezda</t>
  </si>
  <si>
    <t>Ápr 2017</t>
  </si>
  <si>
    <t>BUTTERFLY</t>
  </si>
  <si>
    <t>Orea Spa Hotel Bohemia</t>
  </si>
  <si>
    <t>Hotel Cristal Palace</t>
  </si>
  <si>
    <t>Falkensteiner Hotel Grand MedSpa Marienbad</t>
  </si>
  <si>
    <t>Rubezahl-Marienbad Castle Hotel &amp; Wellness Resort 5*</t>
  </si>
  <si>
    <t>Sep 2017</t>
  </si>
  <si>
    <t>Usti nad Labem</t>
  </si>
  <si>
    <t>Olomouc</t>
  </si>
  <si>
    <t>CROATIAN-SLOVENIEN GUIDE, ENTRANCE FEES PLS FIND IN SEPARATE SHEET, MEALS FEES PLS FIND IN SEPARATE CHART</t>
  </si>
  <si>
    <t>Durmitor Park: 4€</t>
  </si>
  <si>
    <t>City wall: 50 Kuna ~ 6,7€ for FIT, 40 Kuna ~ 5,4€ for group SPOT PAY</t>
  </si>
  <si>
    <t>guiding Pula + Porec/Porec + Rovinj: 115 €</t>
  </si>
  <si>
    <t>2 hours guiding 65€</t>
  </si>
  <si>
    <t>Amedia Wien</t>
  </si>
  <si>
    <t xml:space="preserve">33-39€ p.p. </t>
  </si>
  <si>
    <t>Mercure Salzburg Central</t>
  </si>
  <si>
    <t>Amadeo Schaffenrath</t>
  </si>
  <si>
    <t>average rate</t>
  </si>
  <si>
    <t>Hefterhof</t>
  </si>
  <si>
    <t>Monopol</t>
  </si>
  <si>
    <t>Grand Europe</t>
  </si>
  <si>
    <t>Aeschi Park</t>
  </si>
  <si>
    <t>Aeschi</t>
  </si>
  <si>
    <t>July/Aug/Sept</t>
  </si>
  <si>
    <t>Kameha</t>
  </si>
  <si>
    <t>rates as per avalabitity, sometimes we get 64 chf p.p.+tax 2,5 chf</t>
  </si>
  <si>
    <t>Schloss Tenne</t>
  </si>
  <si>
    <t>most often given rate</t>
  </si>
  <si>
    <t>Lausanne</t>
  </si>
  <si>
    <t>sometimes hotel can give lower rate</t>
  </si>
  <si>
    <t>June-July-Aug</t>
  </si>
  <si>
    <t>May-Sept</t>
  </si>
  <si>
    <t>Meerlischachen</t>
  </si>
  <si>
    <t>Swiss Chalet</t>
  </si>
  <si>
    <t>+extra hot breakfast 15 CHF</t>
  </si>
  <si>
    <t xml:space="preserve">low season </t>
  </si>
  <si>
    <t>not used in 2019</t>
  </si>
  <si>
    <t>July</t>
  </si>
  <si>
    <t>prices vary upon availability</t>
  </si>
  <si>
    <t>one time price in June</t>
  </si>
  <si>
    <t>one time price in July</t>
  </si>
  <si>
    <t>2 hours guiding 80€ (german)</t>
  </si>
  <si>
    <t>2 hours guiding 75€ (english)</t>
  </si>
  <si>
    <t>Mimara museum - 40 Kuna SPOT PAY by T/L</t>
  </si>
  <si>
    <t>Archeological Museum - 30 Kuna SPOT PAY by T/L</t>
  </si>
  <si>
    <t>Museum of Broken Relationship - 30 Kuna SPOT PAY by T/L</t>
  </si>
  <si>
    <t>St Stephen Cathedral - free of charge</t>
  </si>
  <si>
    <t>Swiss entrance fee in separate sheet</t>
  </si>
  <si>
    <t>Efekt Express</t>
  </si>
  <si>
    <t>Best Western Premier Krakow Hotel</t>
  </si>
  <si>
    <t>25-26 May</t>
  </si>
  <si>
    <t>22-23 Jun &amp; 03-04 Sug</t>
  </si>
  <si>
    <t>06-07 Jun&amp;20-21 Jul</t>
  </si>
  <si>
    <t>05-06 Feg</t>
  </si>
  <si>
    <t>14-15 Mar</t>
  </si>
  <si>
    <t>apr, may</t>
  </si>
  <si>
    <t>jul, aug, sep</t>
  </si>
  <si>
    <t>Furnel</t>
  </si>
  <si>
    <t xml:space="preserve"> direct but no FOC</t>
  </si>
  <si>
    <t>Holiday Inn Warszawa Józefów</t>
  </si>
  <si>
    <t>10-11apr</t>
  </si>
  <si>
    <t>18-19 aug</t>
  </si>
  <si>
    <t>24-25 sep&amp;8-9 Oct</t>
  </si>
  <si>
    <t>Plaza Hotel Warsaw</t>
  </si>
  <si>
    <t>Double Tree by Hilton</t>
  </si>
  <si>
    <t>direct</t>
  </si>
  <si>
    <t>13-14Sep&amp;04-05 Oct</t>
  </si>
  <si>
    <t>24-25 mar</t>
  </si>
  <si>
    <t>29-31 may</t>
  </si>
  <si>
    <t>Z-hotel</t>
  </si>
  <si>
    <t>POLAND : Furnel 20€ handling fee / group</t>
  </si>
  <si>
    <t>04-05 Feb</t>
  </si>
  <si>
    <t>2-30 sep</t>
  </si>
  <si>
    <t>06-08 jun</t>
  </si>
  <si>
    <t>conrad</t>
  </si>
  <si>
    <t>march, nov</t>
  </si>
  <si>
    <t>may, sep, oct</t>
  </si>
  <si>
    <t>Haston City</t>
  </si>
  <si>
    <t>01-02 May</t>
  </si>
  <si>
    <t>20-21 aug</t>
  </si>
  <si>
    <t>30-131 may &amp; 30Jun</t>
  </si>
  <si>
    <t>Furnel avarage</t>
  </si>
  <si>
    <t>Poznan</t>
  </si>
  <si>
    <t xml:space="preserve">  2018  Entrance  Fee  Germany - 1</t>
  </si>
  <si>
    <t xml:space="preserve"> Summer</t>
  </si>
  <si>
    <t>Winter</t>
  </si>
  <si>
    <t>&gt;20P  15,50 €</t>
  </si>
  <si>
    <t xml:space="preserve">  17,00 €</t>
  </si>
  <si>
    <r>
      <t xml:space="preserve"> Eagle's Nest (</t>
    </r>
    <r>
      <rPr>
        <b/>
        <sz val="9"/>
        <color indexed="12"/>
        <rFont val="Arial"/>
        <family val="2"/>
      </rPr>
      <t>with English Guide)</t>
    </r>
  </si>
  <si>
    <t>&gt;20P  23,50 €</t>
  </si>
  <si>
    <t>2017/11/01 - 2018/04/30 closed</t>
  </si>
  <si>
    <r>
      <t xml:space="preserve"> Altes Museum  </t>
    </r>
    <r>
      <rPr>
        <b/>
        <sz val="9"/>
        <color indexed="12"/>
        <rFont val="Arial"/>
        <family val="2"/>
      </rPr>
      <t xml:space="preserve">(+ Group Guiding Fee:  35.- €) </t>
    </r>
  </si>
  <si>
    <t>Berliner Dom</t>
  </si>
  <si>
    <t>Mon-Sat 09:00-20:00</t>
  </si>
  <si>
    <t>Mon-Sat 09:00-19:00</t>
  </si>
  <si>
    <t>Sun+Holidays 12:00-20:00</t>
  </si>
  <si>
    <t>Sun+Holidays 12:00-19:00</t>
  </si>
  <si>
    <r>
      <t xml:space="preserve"> Pergamonmuseum  </t>
    </r>
    <r>
      <rPr>
        <b/>
        <sz val="9"/>
        <color indexed="12"/>
        <rFont val="Arial"/>
        <family val="2"/>
      </rPr>
      <t xml:space="preserve">(+ Group Guiding:  35.- €) </t>
    </r>
  </si>
  <si>
    <t xml:space="preserve">Daily 10:00-18:00 </t>
  </si>
  <si>
    <r>
      <t xml:space="preserve"> Pergamon Museum </t>
    </r>
    <r>
      <rPr>
        <b/>
        <sz val="9"/>
        <color indexed="12"/>
        <rFont val="Arial"/>
        <family val="2"/>
      </rPr>
      <t xml:space="preserve"> (English Guide:  90.- € )</t>
    </r>
  </si>
  <si>
    <t>&gt;20P 1. class  &gt;89.90 €</t>
  </si>
  <si>
    <t xml:space="preserve">  91,90 €</t>
  </si>
  <si>
    <t xml:space="preserve">  67,30 €</t>
  </si>
  <si>
    <t xml:space="preserve"> &gt;20P 1.class  130,00 €</t>
  </si>
  <si>
    <t>&gt;20P   8,20 €</t>
  </si>
  <si>
    <t xml:space="preserve">    9,10 €</t>
  </si>
  <si>
    <t xml:space="preserve">   4,50 €</t>
  </si>
  <si>
    <t xml:space="preserve">    9,70 €</t>
  </si>
  <si>
    <t xml:space="preserve">   4,80 €</t>
  </si>
  <si>
    <t xml:space="preserve"> Historical Grünes Gewölbe  (Audio Guide: free) </t>
  </si>
  <si>
    <t>Daily 10:00-19:00</t>
  </si>
  <si>
    <t xml:space="preserve"> New Grünes Gewölbe  (Audio Guide: free) </t>
  </si>
  <si>
    <t>&gt;25P    6,00 €</t>
  </si>
  <si>
    <t>Daily 13:30 in English</t>
  </si>
  <si>
    <t>&gt;20P    4,50 €</t>
  </si>
  <si>
    <r>
      <t xml:space="preserve"> Pharmacy Museum),  </t>
    </r>
    <r>
      <rPr>
        <b/>
        <sz val="9"/>
        <color indexed="62"/>
        <rFont val="Arial"/>
        <family val="2"/>
      </rPr>
      <t>Chi</t>
    </r>
    <r>
      <rPr>
        <sz val="9"/>
        <color indexed="62"/>
        <rFont val="Arial"/>
        <family val="2"/>
      </rPr>
      <t xml:space="preserve">. </t>
    </r>
    <r>
      <rPr>
        <b/>
        <sz val="9"/>
        <color indexed="62"/>
        <rFont val="Arial"/>
        <family val="2"/>
      </rPr>
      <t>Audio Guide 5,00 €</t>
    </r>
  </si>
  <si>
    <r>
      <t xml:space="preserve"> Castle Hohenschwangau, </t>
    </r>
    <r>
      <rPr>
        <b/>
        <sz val="9"/>
        <color indexed="62"/>
        <rFont val="Arial"/>
        <family val="2"/>
      </rPr>
      <t>Chi. Audio Guide free</t>
    </r>
  </si>
  <si>
    <t xml:space="preserve">  13,00 €</t>
  </si>
  <si>
    <r>
      <t xml:space="preserve"> Castle Neuschwanstein, </t>
    </r>
    <r>
      <rPr>
        <b/>
        <sz val="9"/>
        <color indexed="62"/>
        <rFont val="Arial"/>
        <family val="2"/>
      </rPr>
      <t xml:space="preserve">Chi. Audio Guide free </t>
    </r>
  </si>
  <si>
    <t>2,00 €</t>
  </si>
  <si>
    <t xml:space="preserve">  Please be noted: Every ticket of these two castles will be </t>
  </si>
  <si>
    <t xml:space="preserve">  charged 1,80 € for the booking fee.</t>
  </si>
  <si>
    <r>
      <t xml:space="preserve">                                     </t>
    </r>
    <r>
      <rPr>
        <b/>
        <sz val="10"/>
        <rFont val="Arial"/>
        <family val="2"/>
      </rPr>
      <t>2018  Entrance  Fee  Germany - 2</t>
    </r>
  </si>
  <si>
    <t>14,80 €</t>
  </si>
  <si>
    <r>
      <t xml:space="preserve"> Linderhof Castle</t>
    </r>
    <r>
      <rPr>
        <sz val="9"/>
        <color indexed="10"/>
        <rFont val="Arial"/>
        <family val="2"/>
      </rPr>
      <t xml:space="preserve"> </t>
    </r>
  </si>
  <si>
    <t xml:space="preserve">  9,00 €</t>
  </si>
  <si>
    <r>
      <t xml:space="preserve"> Mainau Flower Garden</t>
    </r>
    <r>
      <rPr>
        <b/>
        <sz val="9"/>
        <color indexed="12"/>
        <rFont val="Arial"/>
        <family val="2"/>
      </rPr>
      <t xml:space="preserve"> </t>
    </r>
    <r>
      <rPr>
        <b/>
        <sz val="9"/>
        <color indexed="62"/>
        <rFont val="Arial"/>
        <family val="2"/>
      </rPr>
      <t>(2017.10.23- 2018.03.15)</t>
    </r>
  </si>
  <si>
    <t>10,00 €</t>
  </si>
  <si>
    <r>
      <t xml:space="preserve"> Mainau Flower Garden</t>
    </r>
    <r>
      <rPr>
        <b/>
        <sz val="9"/>
        <color indexed="12"/>
        <rFont val="Arial"/>
        <family val="2"/>
      </rPr>
      <t xml:space="preserve"> </t>
    </r>
    <r>
      <rPr>
        <b/>
        <sz val="9"/>
        <color indexed="62"/>
        <rFont val="Arial"/>
        <family val="2"/>
      </rPr>
      <t>(2018.03.16 - 2018.10.21)</t>
    </r>
  </si>
  <si>
    <t>&gt;10P  16,50 €</t>
  </si>
  <si>
    <t>21,00 €</t>
  </si>
  <si>
    <t>&lt;20P  10,00 €</t>
  </si>
  <si>
    <t>&gt;15P   9,00 €</t>
  </si>
  <si>
    <t>&gt;15P   6,50 €</t>
  </si>
  <si>
    <t xml:space="preserve"> Schloss Cecilienhof (with Guide-Tips)</t>
  </si>
  <si>
    <t xml:space="preserve"> up to 55P  270 €</t>
  </si>
  <si>
    <t xml:space="preserve"> Schloss Neues Palais (with Guide-Tips)</t>
  </si>
  <si>
    <t>Thuesday closed</t>
  </si>
  <si>
    <t xml:space="preserve"> Schloss Sans Souci (with Guide-Tips)</t>
  </si>
  <si>
    <t xml:space="preserve"> uo to 55P  520 €</t>
  </si>
  <si>
    <t xml:space="preserve"> Rüdesheim </t>
  </si>
  <si>
    <t xml:space="preserve">  15,50 €</t>
  </si>
  <si>
    <t>am Rhein</t>
  </si>
  <si>
    <t xml:space="preserve"> Cable Car up &amp; down</t>
  </si>
  <si>
    <t xml:space="preserve"> Spreewald-</t>
  </si>
  <si>
    <t xml:space="preserve"> Cruise Tour + 3-Course-Lunch (excl. drink)</t>
  </si>
  <si>
    <t xml:space="preserve"> Luebbenau</t>
  </si>
  <si>
    <t xml:space="preserve"> Cruise Tour + 3-Course-Lunch (incl.  drink)</t>
  </si>
  <si>
    <t xml:space="preserve"> Cruise Tour + 4-Course-Lunch (excl. drink)</t>
  </si>
  <si>
    <t xml:space="preserve"> Cruise Tour + 4-Course-Lunch (incl.  drink)</t>
  </si>
  <si>
    <t xml:space="preserve"> Ship, Boppard-St. Goar 90 min </t>
  </si>
  <si>
    <t>&gt;15P    9,00 €</t>
  </si>
  <si>
    <t xml:space="preserve"> Ship, St. Goar-Boppard, 60 min </t>
  </si>
  <si>
    <t xml:space="preserve">    10,00 €</t>
  </si>
  <si>
    <t>&gt;50P    8,00 €</t>
  </si>
  <si>
    <t>TBA by Budapest</t>
  </si>
  <si>
    <t xml:space="preserve"> 53,00 €</t>
  </si>
  <si>
    <t>Plitvice, Slunj</t>
  </si>
  <si>
    <t>Slunj/Rastoke entrance fee - 4 € - SPOT PAY!!!!</t>
  </si>
  <si>
    <t>Slunj guide 50€</t>
  </si>
  <si>
    <t>Plitvice Nation Park guide</t>
  </si>
  <si>
    <t>min. tip is 40 EUR/day (if less than 20 pax)</t>
  </si>
  <si>
    <t>weekend 10 EUR p.p. lower</t>
  </si>
  <si>
    <t>low s. 02/1-29/3; 1/11-22/12</t>
  </si>
  <si>
    <t>03-25/4; 29/9-31/10</t>
  </si>
  <si>
    <t>26/4-30/5</t>
  </si>
  <si>
    <t>31/5-20/6; 8-28/9</t>
  </si>
  <si>
    <t>21/6-20/7; 8-28/9</t>
  </si>
  <si>
    <t>30/3-2/4; 21/7-24/8; 23-31/12</t>
  </si>
  <si>
    <t>1.1 local tax</t>
  </si>
  <si>
    <t>Olympia Sky 4*</t>
  </si>
  <si>
    <t>june</t>
  </si>
  <si>
    <t>mid s</t>
  </si>
  <si>
    <t>high s. may,june,sep,oct</t>
  </si>
  <si>
    <t>all weekends (Fri-Mon)</t>
  </si>
  <si>
    <t>Salzkmgt. St.Wolfg</t>
  </si>
  <si>
    <t>Försterhof</t>
  </si>
  <si>
    <t>apr, oct</t>
  </si>
  <si>
    <t>16 rooms daily allotment mid april - mid October</t>
  </si>
  <si>
    <t>70 % guarantee contract</t>
  </si>
  <si>
    <t>Plitvice National Park - NO FOC!!!</t>
  </si>
  <si>
    <t>p.p. TWIN</t>
  </si>
  <si>
    <t>period</t>
  </si>
  <si>
    <t>cancellation policy</t>
  </si>
  <si>
    <t>free CXL deadline until 30 days prior to arrival</t>
  </si>
  <si>
    <t>Angelo Prague (superior) MON - THUR</t>
  </si>
  <si>
    <t>29 - 15 days prior to arrival: 50 % CXL fees</t>
  </si>
  <si>
    <t>14 - 0 days prior to arrival: 100% CXl fees</t>
  </si>
  <si>
    <t>Angelo Prague (superior) MON -THU</t>
  </si>
  <si>
    <t>Occidental Praha 4</t>
  </si>
  <si>
    <t>Occidental Praha Five</t>
  </si>
  <si>
    <t xml:space="preserve">                            rates following</t>
  </si>
  <si>
    <t>free CXL deadline until 28 days prior to arrival</t>
  </si>
  <si>
    <t>27 - 15 days prior to arrival: 50% CXl fees</t>
  </si>
  <si>
    <t xml:space="preserve">14-7- days prior to arrival: 100% CXl deadline </t>
  </si>
  <si>
    <t>02.01.-31.03. 18 / 01.11. - 28.12.18</t>
  </si>
  <si>
    <t>01.04.-30.04.18 / 01.07. - 31.08.18</t>
  </si>
  <si>
    <t>01.05.-30.06. / 01.09.-31.10.18</t>
  </si>
  <si>
    <t>38.12. - 02.01.19 min. stay 3 nights</t>
  </si>
  <si>
    <t>01.04. - 30.06.2018 / 01.09. - 31.10.2018</t>
  </si>
  <si>
    <t>01.07. - 31.08.2018</t>
  </si>
  <si>
    <t>30.12. - 01.01.2019 --&gt; min. 3 nights</t>
  </si>
  <si>
    <t xml:space="preserve">                         on request</t>
  </si>
  <si>
    <t>02.04. - 12.04.18 / 01.07. - 10.08.18 / 21.12. - 23.12.2018</t>
  </si>
  <si>
    <t>30.03.-02.04. / 13.04.-26.04. / 02.05.-09.05. / 14.05.-17.05. / 22.05.-30.06. / 11.08.-27.09. / 04.10.-01.11. / 30.11. - 02.12. / 07.12. - 09.12. / 14.12. - 16.12.2018</t>
  </si>
  <si>
    <t xml:space="preserve">29.12. - 02.01.19 --&gt; mandatory Gala dinner: 95,00€ p.P. </t>
  </si>
  <si>
    <t>27.04. - 01.05.18 / 10.05. - 13.05.18 / 18.05. - 21.05.18 / 10.08. - 15.08.18 / 28.09 - 03.18.18</t>
  </si>
  <si>
    <t>02.01.-29.03. / 28.10.-27.12.</t>
  </si>
  <si>
    <t xml:space="preserve">03.04.-12.04. / 24.06.-31.08. </t>
  </si>
  <si>
    <t>30.03 - 02.04. / 13.04. - 23.06. / 01.09 - 27.1018</t>
  </si>
  <si>
    <t>28.12.-31.12.18 CXL Deadline 56 days</t>
  </si>
  <si>
    <t>7 - 1 days priro to arrival: 100% CXL fees</t>
  </si>
  <si>
    <t>max. 2 rooms can be cancelled FOC</t>
  </si>
  <si>
    <t>4 - 2 weeks prior to arrival: 25% CXL fees</t>
  </si>
  <si>
    <t>2 - 1 week prior to arrival: 50% CXL fees</t>
  </si>
  <si>
    <t>after that: 100% CXL fees</t>
  </si>
  <si>
    <t>Golf</t>
  </si>
  <si>
    <t>28.12. - 01.01.2019</t>
  </si>
  <si>
    <t>02.01. - 31.03.2018 / 01.11. - 29.11.2018</t>
  </si>
  <si>
    <t>free CXl deadlien until 30 days prior to arrival</t>
  </si>
  <si>
    <t>01.04. - 30.06.2018 / 01.09. - 31.10.2018                    starting rates on request</t>
  </si>
  <si>
    <t>01.07. - 31.08.2018 / 30.11. - 28.12.2018</t>
  </si>
  <si>
    <t>27 - 22 days prior to arrival: 10&amp; CXL fees</t>
  </si>
  <si>
    <t>21 - 15 days prior to arrival: 50 % CXL fees</t>
  </si>
  <si>
    <t>14 - 7 days prior to arrival: 80 % CXL fees , less tan 7 days: 100% CXL fees</t>
  </si>
  <si>
    <t>27 - 7 days prior to arrival: 50 % CXL fees</t>
  </si>
  <si>
    <t>until 6 days prior to arrival: 100 % CXL fees</t>
  </si>
  <si>
    <t>Olympik1</t>
  </si>
  <si>
    <t>if reductionis more then 15% of total booking amount: 50% CXL fees will be charged</t>
  </si>
  <si>
    <t>free CXL deadline until 31 days prior to arrival</t>
  </si>
  <si>
    <t>29.12. - 01.01.2019 --&gt; min. stay 3 nights</t>
  </si>
  <si>
    <t>January / February</t>
  </si>
  <si>
    <t>March, July, August, November, December                                    starting rates on request</t>
  </si>
  <si>
    <t>29 - 15 days prior to rrival: 50% CXL fees</t>
  </si>
  <si>
    <t>April, May, June, September, October</t>
  </si>
  <si>
    <t>14 - 8 days prior to arrival: 75%  CXL fees, after that 100% CXL fees</t>
  </si>
  <si>
    <t>01.11 - 27.12.17 / 02.01. - 28.03.18</t>
  </si>
  <si>
    <t>29.03. - 02.04.18 / 25.04. - 30.06.18 / 05.09. - 31.10.18</t>
  </si>
  <si>
    <t>03.04. - 24.04.18 / 01.07. - 04.09.18</t>
  </si>
  <si>
    <t>28.12.-01.01. min. stay 3 night</t>
  </si>
  <si>
    <t xml:space="preserve">02.01. - 13.01.2018 / 15.03. - 28.03.2018 </t>
  </si>
  <si>
    <t xml:space="preserve">02.01. - 13.0.1.2018 / 15.03. - 28.03.2018 </t>
  </si>
  <si>
    <t>14.01. - 14.03.2018</t>
  </si>
  <si>
    <t xml:space="preserve">14.01. - 14.03.2018 </t>
  </si>
  <si>
    <t>29.03. - 25.04.2018</t>
  </si>
  <si>
    <t>26.04. - 30.06.2018 / 30.08. - 31.10.2018</t>
  </si>
  <si>
    <t>01.07. - 29.08.2018                                                  starting rates on request</t>
  </si>
  <si>
    <t>01.07. - 29.08.2018</t>
  </si>
  <si>
    <t>01.11. - 28.11.2018</t>
  </si>
  <si>
    <t>29.11. - 20.12.2018</t>
  </si>
  <si>
    <t>21.12. - 27.12.2018</t>
  </si>
  <si>
    <t>08.01.-01.03.18 / 04.01.-28.02.2018</t>
  </si>
  <si>
    <t>01.03. - 31.03.18</t>
  </si>
  <si>
    <t>02.04. - 30.06.18 / 31.08 - 03.11.18                               starting rates on request</t>
  </si>
  <si>
    <t>01.07. - 30.08.18</t>
  </si>
  <si>
    <t>04.11 - 27.12.18</t>
  </si>
  <si>
    <t>28.12. - 02.01.19</t>
  </si>
  <si>
    <t>02.01. - 28.03.2018 / 17.12. - 27.12.2018</t>
  </si>
  <si>
    <t>29.03. - 01.04.2018  --&gt; min. stay of 3 nights</t>
  </si>
  <si>
    <t>29.03. - 01.04.2018 --&gt; min. stay of 3 nights</t>
  </si>
  <si>
    <t>02.04. - 28.04.2018</t>
  </si>
  <si>
    <t>02.04. - 28.04.2108                                                                                   starting rates on request</t>
  </si>
  <si>
    <t xml:space="preserve">29.04. - 28.06.2018 / 02.09. - 01.11.2018 </t>
  </si>
  <si>
    <t>29.06. - 01.09.2018 / 02.11. - 16.12.2018</t>
  </si>
  <si>
    <t xml:space="preserve">28,12, - 01.01.2019  --&gt; min. stay of 2 nights + Gala dinner </t>
  </si>
  <si>
    <t xml:space="preserve">02.01.-30.03.2018  </t>
  </si>
  <si>
    <t>free CXl deadline until 30 days prior to arrival</t>
  </si>
  <si>
    <t>01.04.-30.06.2018 / 01.09. - 31.10.2018</t>
  </si>
  <si>
    <t xml:space="preserve">01.07.-31.07.2018 </t>
  </si>
  <si>
    <t>14 - 5 days prior to arrival: 80% CXl fees</t>
  </si>
  <si>
    <t>01.08. - 31.08.2018</t>
  </si>
  <si>
    <t>01.11. - 29.12.2018</t>
  </si>
  <si>
    <t>30.12.-01.01.2019 min. stay 3 nights</t>
  </si>
  <si>
    <t>02.01. - 13.01. / 15.03. - 28.03. 2018</t>
  </si>
  <si>
    <t xml:space="preserve">02.01. - 13.01./ 15.03. - 28.03.2018 </t>
  </si>
  <si>
    <t xml:space="preserve">26.04. - 30.06.2018 / 30.08. - 31.10.2018 </t>
  </si>
  <si>
    <t>01.07. - 29.08.2018                                                                   starting rates on request</t>
  </si>
  <si>
    <t>28.12. - 01.01.2019 --&gt; min. 3 nights</t>
  </si>
  <si>
    <t>close out dates: 09.04.18 , 23.04.18, 25.06.18, 04.07. - 09.07.18, 16.07.18, 30.07.18, 13.08.18, 15.08.18, 27.08.18</t>
  </si>
  <si>
    <t xml:space="preserve"> free CXL deadline 14 days prior to arrival,        14-7 days prior to arrival: 40% CXl fees     less than 7 days: 100% CXL fees</t>
  </si>
  <si>
    <t>free CXl deadline until 29 days prior to arrival</t>
  </si>
  <si>
    <t>28 - 21 days prior to arrival: 20% CXl fees</t>
  </si>
  <si>
    <t>20 - 14 day sprior to arrival: 40% CXl fees</t>
  </si>
  <si>
    <t>13 - 7 days prior to arrival: 70% CXL fees, after that 100% CXL fees</t>
  </si>
  <si>
    <t>30 - 15 days prior to arrival: 25% CXL fees</t>
  </si>
  <si>
    <t>14 - 7 days prior to arrival: 50% CXL fess</t>
  </si>
  <si>
    <t>20 - 14 days prior to arrival: 40% CXL fees</t>
  </si>
  <si>
    <t>13 - 7 days prior to arrival: 70% CXL fees. After that 100% CXL fees</t>
  </si>
  <si>
    <t>CXL deadline 28 days prior to arrival</t>
  </si>
  <si>
    <t xml:space="preserve">02.01. - 30.04.2018 / 01.11. - 20.12.2018 </t>
  </si>
  <si>
    <t>01.04. - 31.10.2018</t>
  </si>
  <si>
    <t>29 - 15  days prior to arrival: 50% CXl fees</t>
  </si>
  <si>
    <t>01.05. - 30.06.2018</t>
  </si>
  <si>
    <t>01.09. - 31.10.2018</t>
  </si>
  <si>
    <t xml:space="preserve">less than 5 days prior to arrival: 100% CXl fees </t>
  </si>
  <si>
    <t>01.11. - 28.12.2018</t>
  </si>
  <si>
    <t>Mon-Thursd</t>
  </si>
  <si>
    <t>in 2018 only on request</t>
  </si>
  <si>
    <t>Don Giovanni Prague 4*</t>
  </si>
  <si>
    <t>surcharge 16 per room</t>
  </si>
  <si>
    <t>Ambassador  Zlata Husa 5*</t>
  </si>
  <si>
    <t>between 32.5-42.5</t>
  </si>
  <si>
    <t>Monday-Thursday</t>
  </si>
  <si>
    <t>Friday-Sunday</t>
  </si>
  <si>
    <t>whole week</t>
  </si>
  <si>
    <t>Cosmopolitan 5*</t>
  </si>
  <si>
    <t>Sunday-Wednesday</t>
  </si>
  <si>
    <t>Thursday-Saturday</t>
  </si>
  <si>
    <t>€5.50,-p.P.</t>
  </si>
  <si>
    <t>€ 2.70,-p.P.</t>
  </si>
  <si>
    <t>Salzberg hallstatt cablecar / Two way ride+viewing platform" Skywalk"</t>
  </si>
  <si>
    <t>Salt Mine ( Hallstatt ): Entrance with guide tour inc.two way ride cablecar and "Skywalk"</t>
  </si>
  <si>
    <t>St. Wolfgang</t>
  </si>
  <si>
    <t>Schafbergbahn</t>
  </si>
  <si>
    <t>&gt;10 P /   21.-€</t>
  </si>
  <si>
    <t>&gt;10 P /   19.-€</t>
  </si>
  <si>
    <t>&gt;10 P /   28.-€</t>
  </si>
  <si>
    <t xml:space="preserve">Fortress Hohensalzburg Basic Ticket (Museum+Cable Car) </t>
  </si>
  <si>
    <t>Mozart Birth House</t>
  </si>
  <si>
    <t xml:space="preserve">&gt;10P 9.00.- € </t>
  </si>
  <si>
    <t>&lt; 10 P 11.00 €</t>
  </si>
  <si>
    <t>Mozart Birth House and residence Combined Ticket</t>
  </si>
  <si>
    <t xml:space="preserve">&gt;10P 15.00.- € </t>
  </si>
  <si>
    <t>&lt;20P 12,50€</t>
  </si>
  <si>
    <t xml:space="preserve">Under &gt;25p 170.- € </t>
  </si>
  <si>
    <t>Under 40 p 430.- €</t>
  </si>
  <si>
    <t>&gt;25P   14,00.-€</t>
  </si>
  <si>
    <t xml:space="preserve">Under &gt;25p 350.- € </t>
  </si>
  <si>
    <t>&gt;10P    13,50.-€</t>
  </si>
  <si>
    <t>&gt;10P     11.00--€</t>
  </si>
  <si>
    <t>Hunderwasser Hous Museum</t>
  </si>
  <si>
    <t xml:space="preserve">9.00.-€ </t>
  </si>
  <si>
    <t xml:space="preserve">                                   VIP 105.-€</t>
  </si>
  <si>
    <t>VIP 99,00 €</t>
  </si>
  <si>
    <t>Cat.A 69.00€</t>
  </si>
  <si>
    <t>Cat.B 59.00€</t>
  </si>
  <si>
    <t>Cat.C 45.00€</t>
  </si>
  <si>
    <t>Carlsbad Inn 4*</t>
  </si>
  <si>
    <t>Imperial 5*</t>
  </si>
  <si>
    <t>Wellness Diamant (RRC) 5*</t>
  </si>
  <si>
    <t>free CXL deadline until 60 days prior to arrival!</t>
  </si>
  <si>
    <t>min. stay 3 nights</t>
  </si>
  <si>
    <t>Schillingshof</t>
  </si>
  <si>
    <t>Bad Kohlgrub</t>
  </si>
  <si>
    <t>Sep,Oct, Nov</t>
  </si>
  <si>
    <t>Feb-Aug</t>
  </si>
  <si>
    <t>Apr-Jul, Sep, Oct</t>
  </si>
  <si>
    <t>Jul, Aug</t>
  </si>
  <si>
    <t>Bamberger Hof Bellevue</t>
  </si>
  <si>
    <t>Bamberg</t>
  </si>
  <si>
    <t>Estrel</t>
  </si>
  <si>
    <t>weekend 6.5 EUR p.p. supplement ???</t>
  </si>
  <si>
    <t>02-03 May, 30.Jun-01.Jul</t>
  </si>
  <si>
    <t>08-09 Aug</t>
  </si>
  <si>
    <t>05-06 Aug</t>
  </si>
  <si>
    <t>Leonardo Berlin City Süd</t>
  </si>
  <si>
    <t>11-2 Jun</t>
  </si>
  <si>
    <t>Leonardo Berlin City West</t>
  </si>
  <si>
    <t>13-14 aug</t>
  </si>
  <si>
    <t>Leonardo Royal Berlin Alexanderplatz</t>
  </si>
  <si>
    <t>23-254May</t>
  </si>
  <si>
    <t>22-23Aug</t>
  </si>
  <si>
    <t>01-02 Oct</t>
  </si>
  <si>
    <t>21-22 Sep</t>
  </si>
  <si>
    <t>25-27 Oct</t>
  </si>
  <si>
    <t>Holiday Inn Dresden City South</t>
  </si>
  <si>
    <t>03-05 Jun, 25-26 Jul</t>
  </si>
  <si>
    <t>IntercityHotel Dresden</t>
  </si>
  <si>
    <t>02-03 Jun</t>
  </si>
  <si>
    <t>13-14 May, 03-04 Jun</t>
  </si>
  <si>
    <t>01-02 Jul, 04-05 Aug</t>
  </si>
  <si>
    <t>04-05 May</t>
  </si>
  <si>
    <t>Leonardo Royal</t>
  </si>
  <si>
    <t>Sheraton Frankfurt Airport</t>
  </si>
  <si>
    <t>27-28 Sep</t>
  </si>
  <si>
    <t>Welcome</t>
  </si>
  <si>
    <t>Schwärs Löwen</t>
  </si>
  <si>
    <t>May, Jun, July</t>
  </si>
  <si>
    <t>Sep, Oct</t>
  </si>
  <si>
    <t>30.Apr-01 May</t>
  </si>
  <si>
    <t>16-17 Jun</t>
  </si>
  <si>
    <t>Fulda Mitte Hotel</t>
  </si>
  <si>
    <t>Fulda</t>
  </si>
  <si>
    <t xml:space="preserve">Riessersee hotel </t>
  </si>
  <si>
    <t>31.Jan-01.Feb</t>
  </si>
  <si>
    <t>27-28 Apr</t>
  </si>
  <si>
    <t xml:space="preserve">Jun </t>
  </si>
  <si>
    <t>weekend suppl. 3.5 EUR p.p.??</t>
  </si>
  <si>
    <t>29-30 Jul</t>
  </si>
  <si>
    <t>weekend suppl. 4.5 EUR p.p.???</t>
  </si>
  <si>
    <t>Kempten</t>
  </si>
  <si>
    <t>Big Box</t>
  </si>
  <si>
    <t>Leonardo Köln Bonn Airport</t>
  </si>
  <si>
    <t>Leonardo Royal Koln</t>
  </si>
  <si>
    <t xml:space="preserve">30.Apr-01.May, Aug 06-07&amp;20-21, </t>
  </si>
  <si>
    <t>18-19 Jun, 05-06 July, 02-03 Aug, Sep 24-25&amp;29-30</t>
  </si>
  <si>
    <t>11-12 Aug</t>
  </si>
  <si>
    <t>weekdays 23 EUR p.p. suppl.???</t>
  </si>
  <si>
    <t>ACHAT Premium München Süd</t>
  </si>
  <si>
    <t>09-10 May</t>
  </si>
  <si>
    <t>27-28 Jun</t>
  </si>
  <si>
    <t>15-16 Mar</t>
  </si>
  <si>
    <t>Jan-Apr</t>
  </si>
  <si>
    <t>weekdays 6 EUR p.p. suppl.?</t>
  </si>
  <si>
    <t>avarage</t>
  </si>
  <si>
    <t>Jun, Aug, Sep</t>
  </si>
  <si>
    <t>Ramada Nuernberg</t>
  </si>
  <si>
    <t>weekdays 8 EUR p.p. suppl.???</t>
  </si>
  <si>
    <t>Prinz</t>
  </si>
  <si>
    <t>30-31 Jul</t>
  </si>
  <si>
    <t>Lindner Hotel Schloss Reichenmansdorf</t>
  </si>
  <si>
    <t>Schlüsselfeld</t>
  </si>
  <si>
    <t>Mercure Schweinfurt Maininsel</t>
  </si>
  <si>
    <t>Schweinfurt</t>
  </si>
  <si>
    <t>Holiday Inn Stuttgart</t>
  </si>
  <si>
    <t>Mar</t>
  </si>
  <si>
    <t>Jun, Oct</t>
  </si>
  <si>
    <t>Munich-Unteraching</t>
  </si>
  <si>
    <t>Holiday Inn München-Unteraching</t>
  </si>
  <si>
    <t>May, Apr, May, Jun, Aug</t>
  </si>
  <si>
    <t>Novotel Wurzburg</t>
  </si>
  <si>
    <t>Wurzburg</t>
  </si>
  <si>
    <t>Atlantic Parkhotel</t>
  </si>
  <si>
    <t>14-15 Apr</t>
  </si>
  <si>
    <t>Welcome Hotel Residenzschloss</t>
  </si>
  <si>
    <t>***Frankenland</t>
  </si>
  <si>
    <t>13-14 apr</t>
  </si>
  <si>
    <t>24-25 Jun, 16-17 Sep</t>
  </si>
  <si>
    <t>08-09 Jul</t>
  </si>
  <si>
    <t>09-10 Jul</t>
  </si>
  <si>
    <t>10 05-06</t>
  </si>
  <si>
    <t>02-03 Oct</t>
  </si>
  <si>
    <t>10-12 Jun</t>
  </si>
  <si>
    <t>Steigenberger</t>
  </si>
  <si>
    <t>28-29 may, 25-26 jun, 17-18 Sep</t>
  </si>
  <si>
    <t>09-10 jul, Oct 06-08, Aug 13-14</t>
  </si>
  <si>
    <t>InterCity Hotel Frankfurt Airport</t>
  </si>
  <si>
    <t>Mövenpick Frankfurt Oberursel</t>
  </si>
  <si>
    <t>25-28 Feb</t>
  </si>
  <si>
    <t>12-14 May</t>
  </si>
  <si>
    <t>Le Meridian</t>
  </si>
  <si>
    <t>Frankenalnd</t>
  </si>
  <si>
    <t>07-08 Jun</t>
  </si>
  <si>
    <t>15-16Feb</t>
  </si>
  <si>
    <t>18-19Sep</t>
  </si>
  <si>
    <t>30.Sep-01.Oct</t>
  </si>
  <si>
    <t xml:space="preserve">Le Meridien Grand </t>
  </si>
  <si>
    <t>HB 61</t>
  </si>
  <si>
    <t>31.Mar-01.Apr</t>
  </si>
  <si>
    <t>12-13Aug</t>
  </si>
  <si>
    <t>Leonardo Royal Mannheim</t>
  </si>
  <si>
    <t>11-12Aug</t>
  </si>
  <si>
    <t>Sheraton</t>
  </si>
  <si>
    <t>Westin</t>
  </si>
  <si>
    <t xml:space="preserve">Berlin </t>
  </si>
  <si>
    <t>Abion Hotel Berlin 4*</t>
  </si>
  <si>
    <t>Hotel Estrel Berlin</t>
  </si>
  <si>
    <t>Malia 4*</t>
  </si>
  <si>
    <t>Hilton FRA Airport 4* Hotel</t>
  </si>
  <si>
    <t>Le Meridien</t>
  </si>
  <si>
    <t>New Century hotel 4*</t>
  </si>
  <si>
    <t xml:space="preserve">Suggested by Mr.Lu </t>
  </si>
  <si>
    <t>City Krone</t>
  </si>
  <si>
    <t>Hotel am Hopfensee</t>
  </si>
  <si>
    <t xml:space="preserve">Fussen </t>
  </si>
  <si>
    <t xml:space="preserve">Hotel Sommer </t>
  </si>
  <si>
    <t xml:space="preserve">Sonne hotel </t>
  </si>
  <si>
    <t xml:space="preserve">Sonnebichl </t>
  </si>
  <si>
    <t xml:space="preserve">NH Mannheim Viernheim </t>
  </si>
  <si>
    <t xml:space="preserve">NH Hirschberg Heidelberg </t>
  </si>
  <si>
    <t xml:space="preserve">Mercure </t>
  </si>
  <si>
    <t>Cologne Marriott Hotel</t>
  </si>
  <si>
    <t>Excelsior Hotel Ernst am Dom</t>
  </si>
  <si>
    <t>Hotel Mondial am Dom Cologne - MGallery Collection</t>
  </si>
  <si>
    <t>Pullman Cologne</t>
  </si>
  <si>
    <t>Eurostars Book Hotel</t>
  </si>
  <si>
    <t>Marriott Sindelfigen</t>
  </si>
  <si>
    <t>NH Stuttgart Aiport</t>
  </si>
  <si>
    <t>NH Stuttgart Sindelfingen</t>
  </si>
  <si>
    <t xml:space="preserve">Stuttgart </t>
  </si>
  <si>
    <t xml:space="preserve">Parkhotel </t>
  </si>
  <si>
    <t>See hotel</t>
  </si>
  <si>
    <t>Hotel Lafonte</t>
  </si>
  <si>
    <t>Hotel Jalta</t>
  </si>
  <si>
    <t>The Mark 5*</t>
  </si>
  <si>
    <t>28-30 jan</t>
  </si>
  <si>
    <t>02-04 Mar, 30.Mar</t>
  </si>
  <si>
    <t xml:space="preserve">lowest </t>
  </si>
  <si>
    <t>11-13 Aug</t>
  </si>
  <si>
    <t>Jun, Sep, Oct</t>
  </si>
  <si>
    <t>06-08Feb</t>
  </si>
  <si>
    <t>lowest</t>
  </si>
  <si>
    <t>Frankanland</t>
  </si>
  <si>
    <t>Jan, Feb, Mar</t>
  </si>
  <si>
    <t>Apr-Jul</t>
  </si>
  <si>
    <t>Sep-Oct</t>
  </si>
  <si>
    <t>06-08 Feb</t>
  </si>
  <si>
    <t>(through Frankenalnd )</t>
  </si>
  <si>
    <t>low s. :01/11-31/03</t>
  </si>
  <si>
    <t>city tourist tax</t>
  </si>
  <si>
    <t>&gt;  5P    9,00 €</t>
  </si>
  <si>
    <t xml:space="preserve">  7,00 €</t>
  </si>
  <si>
    <t xml:space="preserve">Kapruner Hochgebirgsstauseen ( Transfer bussen and inclined elevator : down45 min + behind 45 min ) </t>
  </si>
  <si>
    <t>Kapruner Hochgebirgsstauseen : Dam tour : 60 min</t>
  </si>
  <si>
    <t>Wolfgangsee Schifffahrt</t>
  </si>
  <si>
    <t>St.Wolfgang-St.Gilgen (one way)</t>
  </si>
  <si>
    <t>€ 17,50.-</t>
  </si>
  <si>
    <t>€ 25,50.-</t>
  </si>
  <si>
    <t>Haus der Musik /</t>
  </si>
  <si>
    <t>€ 13.-</t>
  </si>
  <si>
    <t xml:space="preserve"> &gt; 15 PAX / VIP 105.- €</t>
  </si>
  <si>
    <t xml:space="preserve"> &gt; 15 PAX Cat.A  75.-€</t>
  </si>
  <si>
    <t xml:space="preserve"> &gt; 15 PAX Cat.B 65.-€</t>
  </si>
  <si>
    <t xml:space="preserve"> &gt; 15 PAX Cat.C 45.-€</t>
  </si>
  <si>
    <t>Package 1 / Dinner + Concert</t>
  </si>
  <si>
    <t>&gt; 15 PAX / VIP 139.- €</t>
  </si>
  <si>
    <t xml:space="preserve">  &gt; 15 PAX /Cat.A  112.-€</t>
  </si>
  <si>
    <t>&gt; 15 PAX /Cat.B 99.-€</t>
  </si>
  <si>
    <t>&gt; 15 PAX /Cat.C 81.-€</t>
  </si>
  <si>
    <t>Package 2 / Schlossbesichtigung + condert</t>
  </si>
  <si>
    <t>&gt; 15 PAX /VIP 123.- €</t>
  </si>
  <si>
    <t>&gt; 15 PAX Cat.A  96.-€</t>
  </si>
  <si>
    <t>&gt; 15 PAX Cat.B 83.-€</t>
  </si>
  <si>
    <t>&gt; 15 PaX Cat.C 65.-€</t>
  </si>
  <si>
    <t>Package 3 / Schlossbesichtigung + dinner + concert</t>
  </si>
  <si>
    <t xml:space="preserve"> &gt; 15 PAX VIP 157.- €</t>
  </si>
  <si>
    <t>&gt; 15 PAX Cat.A  130.-€</t>
  </si>
  <si>
    <t xml:space="preserve"> &gt; 15 PAX Cat.B 117.-€</t>
  </si>
  <si>
    <t xml:space="preserve"> &gt; 15 PAX Cat.C 99.-€</t>
  </si>
  <si>
    <t xml:space="preserve">Apfelstrudelshow Package </t>
  </si>
  <si>
    <t>Zilina</t>
  </si>
  <si>
    <t>Palace Hotel Polom 4*</t>
  </si>
  <si>
    <t>Scalaria Economy design rooms</t>
  </si>
  <si>
    <t>tourist tax</t>
  </si>
  <si>
    <t>Best Western Plus</t>
  </si>
  <si>
    <t>Friday,Saturday</t>
  </si>
  <si>
    <t>Wiener Musikverein Tour</t>
  </si>
  <si>
    <t>flat rate till 45pax - 185€</t>
  </si>
  <si>
    <t>Wieliczka - through Chinatown:</t>
  </si>
  <si>
    <t>* 75 EUR non-refundable booking fee within 3 days in advance at booking</t>
  </si>
  <si>
    <t>Oswieczim - through Chinatown:</t>
  </si>
  <si>
    <t>* 20 EUR/group handling fee</t>
  </si>
  <si>
    <t>Extra tour in Wieliczka or Oswieczim 100 EUR</t>
  </si>
  <si>
    <t>Pink Line</t>
  </si>
  <si>
    <t>Rock Experience</t>
  </si>
  <si>
    <t xml:space="preserve">10 CHF / </t>
  </si>
  <si>
    <t xml:space="preserve">     15 CHF /</t>
  </si>
  <si>
    <t>6,30 CHF / Blue 'small ' line</t>
  </si>
  <si>
    <t>high s 20/7-31/8</t>
  </si>
  <si>
    <t>mid s. 14/04-19/07; 01/09-15/11; 22-28/12</t>
  </si>
  <si>
    <t>Titlis Chinese</t>
  </si>
  <si>
    <t>33 CHF</t>
  </si>
  <si>
    <t xml:space="preserve">Titlis 3 Course </t>
  </si>
  <si>
    <t>23-33 CHF</t>
  </si>
  <si>
    <t xml:space="preserve">from 76 CHF </t>
  </si>
  <si>
    <t>Pilatus</t>
  </si>
  <si>
    <t>30-45 CHF</t>
  </si>
  <si>
    <t>Stanserhorn</t>
  </si>
  <si>
    <t>Chicken</t>
  </si>
  <si>
    <t>Pork:</t>
  </si>
  <si>
    <t>39 CHF - 40 CHF</t>
  </si>
  <si>
    <t>37 CHF -38 CHF</t>
  </si>
  <si>
    <t>Salmon</t>
  </si>
  <si>
    <t>41 CHF</t>
  </si>
  <si>
    <t>Luzern Area meals:</t>
  </si>
  <si>
    <t>Gornergrat</t>
  </si>
  <si>
    <t xml:space="preserve">Buffet: 28 CHF </t>
  </si>
  <si>
    <t>3 course 35-52 CHF</t>
  </si>
  <si>
    <t>Rothorn Montain Restaurant</t>
  </si>
  <si>
    <t>Klein Matterhorn</t>
  </si>
  <si>
    <t>30-35 CHF</t>
  </si>
  <si>
    <t>Spycher Restaurant with folklore show</t>
  </si>
  <si>
    <t>25-45 CHF</t>
  </si>
  <si>
    <t xml:space="preserve">Jungfraujoch </t>
  </si>
  <si>
    <t>Harder Lunch</t>
  </si>
  <si>
    <t>46 CHF</t>
  </si>
  <si>
    <t>Lugano Area</t>
  </si>
  <si>
    <t>Gandria Italian/Tessiner cuisine</t>
  </si>
  <si>
    <t>from 38 CHF</t>
  </si>
  <si>
    <t>Andermatt</t>
  </si>
  <si>
    <t>Chedi</t>
  </si>
  <si>
    <t>63 CHF</t>
  </si>
  <si>
    <t>Tirano</t>
  </si>
  <si>
    <t>Restaurant Ai Portici</t>
  </si>
  <si>
    <t>St Moritz</t>
  </si>
  <si>
    <t>Piz Nair</t>
  </si>
  <si>
    <t>40 CHF</t>
  </si>
  <si>
    <t>Kuklos</t>
  </si>
  <si>
    <t>38 CHF</t>
  </si>
  <si>
    <t>Cruise on Lake Geneva</t>
  </si>
  <si>
    <t>from 42 CHF</t>
  </si>
  <si>
    <t>Roomz</t>
  </si>
  <si>
    <t>GUIDE FEE</t>
  </si>
  <si>
    <t>HD GD:60€</t>
  </si>
  <si>
    <t>FD GD:120€</t>
  </si>
  <si>
    <t>Rates 2019</t>
  </si>
  <si>
    <t xml:space="preserve">F.O.C. </t>
  </si>
  <si>
    <t>Close-out</t>
  </si>
  <si>
    <t>high s. weekdays Mon-Thu</t>
  </si>
  <si>
    <t>high s. weekends fri-sun</t>
  </si>
  <si>
    <t>superior suppl. 10 /room</t>
  </si>
  <si>
    <t>21st in TWN</t>
  </si>
  <si>
    <t>SPA Vita</t>
  </si>
  <si>
    <t>deluxe suppl. 10/room</t>
  </si>
  <si>
    <t>deluxe suppl. 15/room</t>
  </si>
  <si>
    <t>HB dinner 10 for 3 course</t>
  </si>
  <si>
    <t>Free CXL 35 days</t>
  </si>
  <si>
    <t>from 2019 no indicative rates, all rates are on request for exact date</t>
  </si>
  <si>
    <t>winter 14/12-01/03</t>
  </si>
  <si>
    <t>ap, july, aug</t>
  </si>
  <si>
    <t>high s.: 29/apr-28/june, sept, oct</t>
  </si>
  <si>
    <t>19-22/04; 08-10/06; 07-13/08; 29/07-07/08; F-1: 02-04/08 min. 3 nights at special rate</t>
  </si>
  <si>
    <t>2019 - NO fix rates only on request upon availabilty</t>
  </si>
  <si>
    <t>Split-Solin</t>
  </si>
  <si>
    <t>Salona Palace 4*</t>
  </si>
  <si>
    <t>40 days free CXL</t>
  </si>
  <si>
    <t>Dalmina 4*</t>
  </si>
  <si>
    <t>may-sep</t>
  </si>
  <si>
    <t>25th in TWN</t>
  </si>
  <si>
    <t>21st free, less than 10 rooms: driver's room 50 %</t>
  </si>
  <si>
    <t>CXL: 45 days, 44-25: 2 rooms; less than 25 days no-show</t>
  </si>
  <si>
    <t>jan-14/may; 9/10-31/12</t>
  </si>
  <si>
    <t>18-31/5; 1-8/10</t>
  </si>
  <si>
    <t>01-14/06, 20-30/9</t>
  </si>
  <si>
    <t>15/6-08/7; 24/8-19/9</t>
  </si>
  <si>
    <t>jan-14/may; 16/10-31/12</t>
  </si>
  <si>
    <t>15/5-14/6; 20/9-15/10</t>
  </si>
  <si>
    <t>15/6-8/7; 24/8-19/9</t>
  </si>
  <si>
    <t>9/7-23/8</t>
  </si>
  <si>
    <t xml:space="preserve"> Bellevue 4*</t>
  </si>
  <si>
    <t>Habakuk 4* standard</t>
  </si>
  <si>
    <t>Habakuk 4* superior</t>
  </si>
  <si>
    <t>jan, febr, dec</t>
  </si>
  <si>
    <t>1/3-30/11</t>
  </si>
  <si>
    <t>Bohinj</t>
  </si>
  <si>
    <t>Jezero 4*</t>
  </si>
  <si>
    <t>HB incl. drinks (draught wine, beer, juice, water)</t>
  </si>
  <si>
    <t>low s weekd: Mon-Thu</t>
  </si>
  <si>
    <t>low s. weekend Fri-Sun</t>
  </si>
  <si>
    <t>high s Weekd: Mon-Thu</t>
  </si>
  <si>
    <t>high s. weeke: Fri-Sun</t>
  </si>
  <si>
    <t>Best Western Slon 4* economy rooms</t>
  </si>
  <si>
    <t>Best Western Slon 4* comfort rooms</t>
  </si>
  <si>
    <t>CXL: 30 days</t>
  </si>
  <si>
    <t>CXL: 60 days</t>
  </si>
  <si>
    <t>Lovec</t>
  </si>
  <si>
    <t>Rikli Balance (ex-Golf)</t>
  </si>
  <si>
    <t>Savica Garni 4*</t>
  </si>
  <si>
    <t>lake-view NOT avialable</t>
  </si>
  <si>
    <t>lake-view suppl.: 10 p.p.</t>
  </si>
  <si>
    <t>ON request only</t>
  </si>
  <si>
    <t xml:space="preserve">mid s.:01-18/4; 23-30/4; 1/7-14/8; 18-31/8; </t>
  </si>
  <si>
    <t>low s.: 3-29/11; 2-5/12; 9-12/12; 15-19/12; 22-28/12; 01/01-31/03 2020</t>
  </si>
  <si>
    <t>close-out: 9-12/4; 24-25/6; 4-7/12; 26/2-3/3 2020</t>
  </si>
  <si>
    <t>CXL: 28 days</t>
  </si>
  <si>
    <t>low s.: 1-2/12; 8-12/12; 15-19/12; 22-28/12; 01-06/01; 11-12/01; 18/01-11/02; 15/02-09/03; 16-27/03</t>
  </si>
  <si>
    <t xml:space="preserve">mid s.:01-07/4; 14-18/4; 23-30/4; 01/7-14/8; 18-30/8; 3-28/11; </t>
  </si>
  <si>
    <t xml:space="preserve">High S. 1-8/5; 12-21/5; 26-30/5; 4-6/6; 14-19/6; 26-30/6; 1-8/9; 13-14/9; 22-26/9; 1-31/10; </t>
  </si>
  <si>
    <t>kongress: 4-13/4; 9-11/5; 22-25/5; 31/5-3/6; 10-13/6; 22-25/6; 9-12/9; 15-21/9; 27-30/9; 3-6/12; 7-10/01; 13-17/1; 12-14/2; 10-15/3; 28-31/3</t>
  </si>
  <si>
    <t>min 2 nights</t>
  </si>
  <si>
    <t xml:space="preserve">holidays: 19-22/4; 7-9/6; 20-21/6; 15-17/8; 01-02/11; 29-30/11; 7-8/12; 13-14/12; 20-21/12; </t>
  </si>
  <si>
    <t>Close-out: New Year'S Eve</t>
  </si>
  <si>
    <t>Tauern SPA</t>
  </si>
  <si>
    <t>HB incl</t>
  </si>
  <si>
    <t>Kempinski Tyrol</t>
  </si>
  <si>
    <t>weekends + 10 p.p.</t>
  </si>
  <si>
    <t>Apr, nov, dec</t>
  </si>
  <si>
    <t>may, june, sep, oct</t>
  </si>
  <si>
    <t>jan-marc, july, aug</t>
  </si>
  <si>
    <t>event hotel, can take groups 2 month prior arrival</t>
  </si>
  <si>
    <t>only german DBL (2mattresses in 1 frame)</t>
  </si>
  <si>
    <t>A/C rooms 20 EUR/room suppl.</t>
  </si>
  <si>
    <t>EXTRA rooms contract</t>
  </si>
  <si>
    <t>Special price for Driver: 40/room</t>
  </si>
  <si>
    <t>Friday-Saturday min. 2 nights!</t>
  </si>
  <si>
    <t>16 TWIN only, rest is DBL</t>
  </si>
  <si>
    <t>01.11. - 21.12.; 07.01. - 30.04</t>
  </si>
  <si>
    <t>01.05. - 31.10</t>
  </si>
  <si>
    <t>22.12. - 06.01.&gt; diffrent CXL conditions: free CXL deadline until 60 days prior to arrival!</t>
  </si>
  <si>
    <t>congress period</t>
  </si>
  <si>
    <t>on request only - min 2 nights</t>
  </si>
  <si>
    <t>Free CXL: 35 days</t>
  </si>
  <si>
    <t>Hotel Savoy 5*</t>
  </si>
  <si>
    <t>porterage MANDATORY</t>
  </si>
  <si>
    <t>21 st in TWN</t>
  </si>
  <si>
    <t>low s.: 28/6-1/9; 20-28/12; 02/1-01/3</t>
  </si>
  <si>
    <t>mid s.: 1-23/4; 18/11-19/12; 02/3-14/4</t>
  </si>
  <si>
    <t>high s.: 24/4-27/6; 2/9-17/11</t>
  </si>
  <si>
    <t>weekends 01/4-27/6; 2/9-19/12</t>
  </si>
  <si>
    <t>close-out: 1-31/5; 1-3/6; 25-29/6; 1-5/7; 6-12/7; 22-24/7; 29/12-1/1</t>
  </si>
  <si>
    <t>Achat Premium Dresden</t>
  </si>
  <si>
    <t>sun-thu</t>
  </si>
  <si>
    <t>Frankf/Offenbach</t>
  </si>
  <si>
    <t>Achat Plaza</t>
  </si>
  <si>
    <t>mo-Thu</t>
  </si>
  <si>
    <t>July, Aug</t>
  </si>
  <si>
    <t>Mo-Thu</t>
  </si>
  <si>
    <t>Fr-Sun</t>
  </si>
  <si>
    <t>Achat Plaza Zum Hirschen</t>
  </si>
  <si>
    <t>low s: 2/1-31/3; 1/11-28/12</t>
  </si>
  <si>
    <t>mid s 1-30/4; 1-31/7</t>
  </si>
  <si>
    <t>High s 1/5-30/6; 1/8-31/10</t>
  </si>
  <si>
    <t>2019 - only on request, no indicative rates</t>
  </si>
  <si>
    <t>21st in the guesthouse</t>
  </si>
  <si>
    <t>2019- on request, NO indicative rates</t>
  </si>
  <si>
    <t>incl. amercian hot breakfast</t>
  </si>
  <si>
    <t>Romantik Schweizerhof 5*</t>
  </si>
  <si>
    <t>2019- NO indicative rates, only on request</t>
  </si>
  <si>
    <t>15/4-16/6; 19/8-31/10</t>
  </si>
  <si>
    <t>17/6-18/8</t>
  </si>
  <si>
    <t>1/1-14/4; 14-24/12</t>
  </si>
  <si>
    <t>taxes</t>
  </si>
  <si>
    <t>2019- only on request</t>
  </si>
  <si>
    <t>Bellevue 4*</t>
  </si>
  <si>
    <t>High s</t>
  </si>
  <si>
    <t xml:space="preserve">Zadar </t>
  </si>
  <si>
    <t>Ex 4 Opatija Flowers</t>
  </si>
  <si>
    <t>Amadria 4* NO name (Grand/Agava)</t>
  </si>
  <si>
    <t>Amadria 5* NO name (Milenij or Sv Jakov)</t>
  </si>
  <si>
    <t>Remisens Liburnia Ambassador 5*</t>
  </si>
  <si>
    <t>rates only ON request</t>
  </si>
  <si>
    <t>under reconstrucion till 01/june 2019</t>
  </si>
  <si>
    <t>-5 % commission on BB</t>
  </si>
  <si>
    <t xml:space="preserve">08/3-25/4; </t>
  </si>
  <si>
    <t>26/4-27/6; 15/9-19/10</t>
  </si>
  <si>
    <t>28/6-20/7; 25/8-14/9</t>
  </si>
  <si>
    <t>Plitvice / Licko Petrovo Selo</t>
  </si>
  <si>
    <t>Plitvicka Jezera 3*</t>
  </si>
  <si>
    <t>06/04-01/06; 28/9-16/11</t>
  </si>
  <si>
    <t>1-29/6; 31/8-28/9</t>
  </si>
  <si>
    <t>29/6-31/8</t>
  </si>
  <si>
    <t>min stay 2 nights</t>
  </si>
  <si>
    <t>free CXL: 60 days</t>
  </si>
  <si>
    <t>Arcadia Hotel 4*</t>
  </si>
  <si>
    <t>2019 prices</t>
  </si>
  <si>
    <t>20+1 FOC/30+2FOC</t>
  </si>
  <si>
    <t>Eiger</t>
  </si>
  <si>
    <t>St James Cathedral in Sibenik: 4,5€</t>
  </si>
  <si>
    <t>KRKA National Park - 2019 rates</t>
  </si>
  <si>
    <t>It is possible to book a boat service for a group ONLY at prior notification and extra charge, for one way</t>
  </si>
  <si>
    <t>Transport by ship "Guduca" capacity of 60 pax</t>
  </si>
  <si>
    <t xml:space="preserve">    Jan, Febr, March, Nov, Dec: 3,5€</t>
  </si>
  <si>
    <t xml:space="preserve">    April, May, Oct: 11€</t>
  </si>
  <si>
    <t xml:space="preserve">    June, July, Aug, Sept: 21,5€</t>
  </si>
  <si>
    <t xml:space="preserve">    280 € for one direction (April, May, October)</t>
  </si>
  <si>
    <t>Transport by ship "Necven" capacity of 134 pax</t>
  </si>
  <si>
    <t xml:space="preserve">    620 € for one direction (April, May, October)</t>
  </si>
  <si>
    <t xml:space="preserve">    370 € (June, July, Aug, Sept)</t>
  </si>
  <si>
    <t>Cruise to the Franciscan island/Visovac - 13€ + entrance fee</t>
  </si>
  <si>
    <t>Audio guide in Postojna cave: 2,7€</t>
  </si>
  <si>
    <t>Audio guide in Predjama cave: 1,7€</t>
  </si>
  <si>
    <t>seasons:</t>
  </si>
  <si>
    <t xml:space="preserve">Postojna cave: </t>
  </si>
  <si>
    <t xml:space="preserve">    medium: 20,16 €/pax; (up to 19 pax - 23,22 €/pax)</t>
  </si>
  <si>
    <t xml:space="preserve">    low: 18,72 €/pax; (up to 19 pax - 23,22 €/pax)</t>
  </si>
  <si>
    <t xml:space="preserve">    high: 21,87 €/pax; (up to 19 pax - 25,11 €/pax)</t>
  </si>
  <si>
    <t xml:space="preserve">    low: 9,18 €/pax; (up to 19 pax - 12,42 €/pax)</t>
  </si>
  <si>
    <t xml:space="preserve">    medium: 10,8 €/pax; (up to 19 pax - 12,42 €/pax)</t>
  </si>
  <si>
    <t xml:space="preserve">    high: 11,7 €/pax; (up to 19 pax - 13,41 €/pax)</t>
  </si>
  <si>
    <t>Predjama castle:</t>
  </si>
  <si>
    <t xml:space="preserve">    low: 23,04 €/pax; (up to 19 pax - 32,13 €/pax)</t>
  </si>
  <si>
    <t xml:space="preserve">    medium: 25,74 €/pax; (up to 19 pax - 32,13 €/pax)</t>
  </si>
  <si>
    <t xml:space="preserve">    high: 27,72 €/pax; (up to 19 pax - 34,65 €/pax)</t>
  </si>
  <si>
    <t>Postojna cave + Predjama castle:</t>
  </si>
  <si>
    <t xml:space="preserve">    low: 29,16 €/pax</t>
  </si>
  <si>
    <t xml:space="preserve">    medium: 30,51 €/pax</t>
  </si>
  <si>
    <t xml:space="preserve">    high: 31,86 €/pax</t>
  </si>
  <si>
    <t xml:space="preserve">    low: 32,04 €/pax</t>
  </si>
  <si>
    <t xml:space="preserve">    medium: 32,94 €/pax</t>
  </si>
  <si>
    <t xml:space="preserve">    high: 34,11 €/pax</t>
  </si>
  <si>
    <t xml:space="preserve">    high: 35,10 €/pax</t>
  </si>
  <si>
    <t xml:space="preserve">    low: 33,30 €/pax</t>
  </si>
  <si>
    <t xml:space="preserve">    medium: 34,20 €/pax</t>
  </si>
  <si>
    <t xml:space="preserve">Package visit of Postojna cave + lunch menu C: </t>
  </si>
  <si>
    <t xml:space="preserve">    low: 33,93 €/pax</t>
  </si>
  <si>
    <t xml:space="preserve">    medium: 34,83 €/pax</t>
  </si>
  <si>
    <t xml:space="preserve">    high: 35,91 €/pax</t>
  </si>
  <si>
    <t xml:space="preserve">    low: 36,81 €/pax</t>
  </si>
  <si>
    <t xml:space="preserve">    medium: 37,53 €/pax</t>
  </si>
  <si>
    <t xml:space="preserve">    high: 38,61 €/pax</t>
  </si>
  <si>
    <t xml:space="preserve">    low: 37,71 €/pax</t>
  </si>
  <si>
    <t xml:space="preserve">    medium: 38,61 €/pax</t>
  </si>
  <si>
    <t xml:space="preserve">    high: 39,51 €/pax</t>
  </si>
  <si>
    <t>Package visit of Postojna cave + Predjama castle + lunch menu C:</t>
  </si>
  <si>
    <t>Tourist tax in Budva: 3,5€ (included city wall of Budva as well)</t>
  </si>
  <si>
    <t>Gellert Thermal Bath: cabin 20€, locker 19€, visitor 9€</t>
  </si>
  <si>
    <t>Szecsenyi Thermal Bath: cabin 19€, locker 17,5€</t>
  </si>
  <si>
    <t>Dandar Spa: 7€ without wellness,  8,5€incl wellness</t>
  </si>
  <si>
    <t xml:space="preserve">Szekrényes/locker </t>
  </si>
  <si>
    <t>Kabinos/cabin</t>
  </si>
  <si>
    <t>hétköznap/weekdays</t>
  </si>
  <si>
    <t>hétvége/weekends</t>
  </si>
  <si>
    <t xml:space="preserve">hétköznap/weekdays </t>
  </si>
  <si>
    <t>Gellért</t>
  </si>
  <si>
    <t>Széchenyi</t>
  </si>
  <si>
    <t>Lukács</t>
  </si>
  <si>
    <t>Rudas</t>
  </si>
  <si>
    <t>Komplex (termál-uszoda-wellness) / Thermal-swimming pool-wellness</t>
  </si>
  <si>
    <t>Uszoda - Wellness / swimming pool - wellness</t>
  </si>
  <si>
    <t>Király</t>
  </si>
  <si>
    <t>Dandár</t>
  </si>
  <si>
    <t>Kombinált (termál-wellness) / combined thermal-wellness</t>
  </si>
  <si>
    <t>SPA in BUDAPEST</t>
  </si>
  <si>
    <t>Bled boat: 12,75€</t>
  </si>
  <si>
    <t xml:space="preserve">2 hours guiding 60€ </t>
  </si>
  <si>
    <t xml:space="preserve">FAIR:30/12-01/01; 27-29/02 2020 </t>
  </si>
  <si>
    <t>Roomz Vienna Gasometer</t>
  </si>
  <si>
    <t>Roomz Vienna Prater</t>
  </si>
  <si>
    <t>march; apr; july; aug</t>
  </si>
  <si>
    <t>A.T.H.Zoo (ex-Courtyard Wien Schoenbrunn)</t>
  </si>
  <si>
    <t>on request only, they want FIT business</t>
  </si>
  <si>
    <t>mid s. april; july, aug</t>
  </si>
  <si>
    <t>Harry's Home</t>
  </si>
  <si>
    <t>Thursday-Sunday</t>
  </si>
  <si>
    <t>Monday-Wednesday</t>
  </si>
  <si>
    <t xml:space="preserve">bathrooms renovated in 2018: rooms with shower only, no bathtub </t>
  </si>
  <si>
    <t>Loisium Tour 13 p.p.</t>
  </si>
  <si>
    <t>Elixhausen</t>
  </si>
  <si>
    <t>GMACHL</t>
  </si>
  <si>
    <t>excluive EETS partner, Oldest Austrian family business, GOURMET!</t>
  </si>
  <si>
    <t>max 20 TWN rooms, totally 60 rooms</t>
  </si>
  <si>
    <t>In 2019 only on request, dynamic rates</t>
  </si>
  <si>
    <t>Radisson Blu Park Royal Vienna 4*+</t>
  </si>
  <si>
    <t>in 2019 only on request</t>
  </si>
  <si>
    <t>NO Free place!!!!</t>
  </si>
  <si>
    <t xml:space="preserve">Low S.: 12-22/4; 24/5-1/6; 28/6-31/8; 13/12-27/02 2020; </t>
  </si>
  <si>
    <t>Mid S.: 1-11/4; 23-25/4; 14-22/6; 6-12/12; 28/02-02/04 2020</t>
  </si>
  <si>
    <t>High s.: 5-23/5; 2-13/6; 23-27/6; 1/9-5/12</t>
  </si>
  <si>
    <t>close-out: 26-30/6; 4-8/7; 11-15/7; 26-28/7; 9-11/8; 22-24/11; 19-22/03 2020</t>
  </si>
  <si>
    <t>Novotel City</t>
  </si>
  <si>
    <t xml:space="preserve">mid s.: 27/10-24/12; 16-31/03 2020 </t>
  </si>
  <si>
    <t>01/4-29/6; 2/9-26/10</t>
  </si>
  <si>
    <t>Mercure 4* rooms are renovated floor by floor winter 2018-2019</t>
  </si>
  <si>
    <t>Banana City 4*</t>
  </si>
  <si>
    <t>mainyl DBL rooms</t>
  </si>
  <si>
    <t>Krebs 4*</t>
  </si>
  <si>
    <t xml:space="preserve">Hotel Alex </t>
  </si>
  <si>
    <t>WAITING FOR MICHAEL</t>
  </si>
  <si>
    <t>no parking for busses</t>
  </si>
  <si>
    <t>Budva - Citadella 4.5 EUR</t>
  </si>
  <si>
    <t xml:space="preserve">Winter Season 01 Jan - 29 March 2019 </t>
  </si>
  <si>
    <t>EUROPE EXPRESS TRAVEL SERVICE INT’L CO.,LTD</t>
    <phoneticPr fontId="30" type="noConversion"/>
  </si>
  <si>
    <t xml:space="preserve">Address: RM. 1905,  METROPLE BLDG              </t>
    <phoneticPr fontId="30" type="noConversion"/>
  </si>
  <si>
    <t>416-438 KING'S ROAD ,NORTH POINT HONG KONG</t>
    <phoneticPr fontId="30" type="noConversion"/>
  </si>
  <si>
    <t>Tel: +86 21 53968086           Fax: +86 21 53968078</t>
    <phoneticPr fontId="30" type="noConversion"/>
  </si>
  <si>
    <r>
      <t>EMail: eets@eets.cn    Website: www.eetstravel.com</t>
    </r>
    <r>
      <rPr>
        <b/>
        <sz val="10"/>
        <color indexed="63"/>
        <rFont val="Arial Unicode MS"/>
        <family val="2"/>
      </rPr>
      <t xml:space="preserve">   </t>
    </r>
  </si>
  <si>
    <t>尊敬的         ，您好！下面是我们EETS提供的报价。</t>
    <phoneticPr fontId="30" type="noConversion"/>
  </si>
  <si>
    <t>(单位为欧元）</t>
    <phoneticPr fontId="30" type="noConversion"/>
  </si>
  <si>
    <t>一、地接报价（全程单房差=</t>
    <phoneticPr fontId="30" type="noConversion"/>
  </si>
  <si>
    <t>欧元，领队住单房，也需要支付单房差）</t>
    <phoneticPr fontId="30" type="noConversion"/>
  </si>
  <si>
    <t>2+0</t>
  </si>
  <si>
    <t>4+0</t>
  </si>
  <si>
    <t>5+0</t>
  </si>
  <si>
    <t>二、日期、城市及参考酒店</t>
    <phoneticPr fontId="30" type="noConversion"/>
  </si>
  <si>
    <t>三、包含内容</t>
    <phoneticPr fontId="30" type="noConversion"/>
  </si>
  <si>
    <t xml:space="preserve">1、含8晚四-五星酒店，含早含税
</t>
    <phoneticPr fontId="30" type="noConversion"/>
  </si>
  <si>
    <t>2、共含9个午餐，8个晚餐（含特色餐共），中餐4人以上6菜一汤，西餐三道式
（含特色餐：）</t>
    <phoneticPr fontId="30" type="noConversion"/>
  </si>
  <si>
    <t>3、全程中文全陪和外文司机，6-10人用15-18座车，11-24人用30-35座车，25-45人用45-49座车，含高速费，停车费，进城费；</t>
    <phoneticPr fontId="30" type="noConversion"/>
  </si>
  <si>
    <t xml:space="preserve">4、含门票：  </t>
    <phoneticPr fontId="30" type="noConversion"/>
  </si>
  <si>
    <t xml:space="preserve"> </t>
    <phoneticPr fontId="30" type="noConversion"/>
  </si>
  <si>
    <t>不含内容</t>
    <phoneticPr fontId="30" type="noConversion"/>
  </si>
  <si>
    <t>小费： 司机导游 60欧每天每团</t>
    <phoneticPr fontId="30" type="noConversion"/>
  </si>
  <si>
    <t>四、注意事项</t>
    <phoneticPr fontId="30" type="noConversion"/>
  </si>
  <si>
    <t>1、如遇到展会，EETS保留提高或更改报价的权利；</t>
    <phoneticPr fontId="30" type="noConversion"/>
  </si>
  <si>
    <t>2、西餐取消请提前48小时通知，中餐取消请提前24小时通知，否则收取100%取消费；</t>
    <phoneticPr fontId="30" type="noConversion"/>
  </si>
  <si>
    <t>3、司导工作时间为每天早9点到晚8点，含用餐时间11个小时，超时费为司机导游各50欧每小时；</t>
    <phoneticPr fontId="30" type="noConversion"/>
  </si>
  <si>
    <t>4、报价仅限于相应的指定时间段行程，遇到行程（景点或者拉车公里速以及时间）变更，则报价无效，请与OP联系跟进报价。</t>
    <phoneticPr fontId="30" type="noConversion"/>
  </si>
  <si>
    <t>5、购物、退税均属于客人个人行为，地接社只是协助，但不承担任何责任；</t>
    <phoneticPr fontId="30" type="noConversion"/>
  </si>
  <si>
    <t>6、请客人自行保管好个人财物，地接社不承担任何丢失责任。</t>
    <phoneticPr fontId="30" type="noConversion"/>
  </si>
  <si>
    <t>7、欧洲酒店一般6岁以上要求必须占床，6岁以下不占床收取成人价格60%，6岁以上12岁以下必须占床，收取成人价格80%，12岁（含）以上按成人计算。</t>
    <phoneticPr fontId="30" type="noConversion"/>
  </si>
  <si>
    <t>日期：</t>
    <phoneticPr fontId="30" type="noConversion"/>
  </si>
  <si>
    <t>416-438 KING'S ROAD,NORTH POINT HONG KONG</t>
    <phoneticPr fontId="30" type="noConversion"/>
  </si>
  <si>
    <t>10+2</t>
  </si>
  <si>
    <t>10+0</t>
    <phoneticPr fontId="30" type="noConversion"/>
  </si>
  <si>
    <t>15+2</t>
  </si>
  <si>
    <t>15+0</t>
    <phoneticPr fontId="30" type="noConversion"/>
  </si>
  <si>
    <t>20+2</t>
  </si>
  <si>
    <t>20+0</t>
    <phoneticPr fontId="30" type="noConversion"/>
  </si>
  <si>
    <t>25+2</t>
  </si>
  <si>
    <t>25+0</t>
    <phoneticPr fontId="30" type="noConversion"/>
  </si>
  <si>
    <t>30+1</t>
  </si>
  <si>
    <t>30+0</t>
    <phoneticPr fontId="30" type="noConversion"/>
  </si>
  <si>
    <t>35+1</t>
  </si>
  <si>
    <t>35+0</t>
    <phoneticPr fontId="30" type="noConversion"/>
  </si>
  <si>
    <t>其它人档</t>
    <phoneticPr fontId="30" type="noConversion"/>
  </si>
  <si>
    <t>17+1</t>
    <phoneticPr fontId="30" type="noConversion"/>
  </si>
  <si>
    <t>18+1</t>
    <phoneticPr fontId="30" type="noConversion"/>
  </si>
  <si>
    <t xml:space="preserve">1、含8晚四-五星酒店，8 x 酒店早餐 8 x午餐，8 x 晚餐（含特色餐共），中餐6菜一汤，西餐三道式
</t>
    <phoneticPr fontId="30" type="noConversion"/>
  </si>
  <si>
    <t>其中包含特色餐：</t>
    <phoneticPr fontId="30" type="noConversion"/>
  </si>
  <si>
    <t>2、全程中文全陪和外文司机，18-49座车，</t>
    <phoneticPr fontId="30" type="noConversion"/>
  </si>
  <si>
    <t>3、含高速费，进城费；</t>
    <phoneticPr fontId="30" type="noConversion"/>
  </si>
  <si>
    <t>4、含门票：</t>
    <phoneticPr fontId="30" type="noConversion"/>
  </si>
  <si>
    <t xml:space="preserve">5、 </t>
    <phoneticPr fontId="30" type="noConversion"/>
  </si>
  <si>
    <t xml:space="preserve">6、 </t>
    <phoneticPr fontId="30" type="noConversion"/>
  </si>
  <si>
    <t>不含内容：</t>
    <phoneticPr fontId="30" type="noConversion"/>
  </si>
  <si>
    <t>小费： 司机导游每人每天   6  欧/人</t>
    <phoneticPr fontId="30" type="noConversion"/>
  </si>
  <si>
    <t>客户签字确认：</t>
    <phoneticPr fontId="30" type="noConversion"/>
  </si>
  <si>
    <t>Mathias Church:4€</t>
  </si>
  <si>
    <t>Rudas:20€ cabin, 15€ locker</t>
  </si>
  <si>
    <t>Local meals: Varosliget Restaurant 19-23€</t>
  </si>
  <si>
    <t>Gutshof</t>
  </si>
  <si>
    <t>50 % guarantee contract</t>
  </si>
  <si>
    <t>may,june, sept, oct</t>
  </si>
  <si>
    <t>15 TWN, 2 SGL daily allotment 01/apr - 31/Oct</t>
  </si>
  <si>
    <t>july,aug, nov, dec</t>
  </si>
  <si>
    <t>bus parking 25 EUR</t>
  </si>
  <si>
    <t>Close-out: Moto GP</t>
  </si>
  <si>
    <t>close out dates: 10.03.-11.03.18 / 15.03. - 18.03.18 / 22.03. - 23.03.18; 4-5. 04; 9-13.10 + film festival</t>
  </si>
  <si>
    <t>02.01. - 31.03.19</t>
  </si>
  <si>
    <t>Angelo Prague (superior) FRI - SUN    allotment</t>
  </si>
  <si>
    <t xml:space="preserve">01.04. - 30.06.19 / 30.08. - 02.11.19 </t>
  </si>
  <si>
    <t>01.04. - 30.06.19 / 30.08. - 02.11.19 / 29.11. - 01.12. / 06.12 .- 08.12. (Easter 19.04. min. 3 nts, 20.04. min. 2 nts)</t>
  </si>
  <si>
    <t>01.07. - 29.08.19</t>
  </si>
  <si>
    <t>21st person free in TWIN/ DBLm max. 4 person or 2 rooms</t>
  </si>
  <si>
    <t>03.11. - 28.11.19 / 02.12. - 05.12.19 / 09.12. - 12.12.19 /  02.01. - 29.03.20</t>
  </si>
  <si>
    <t>03.11. - 28.11.19 / 13.12. - 28.12.19 / 02.01. - 29.03.20</t>
  </si>
  <si>
    <t>29.12.-01.01.20, min stay: 3 nights</t>
  </si>
  <si>
    <t xml:space="preserve">02.01.-31.03.19 </t>
  </si>
  <si>
    <t>22.04.-25.04.19 / 01.05.-29.05.19</t>
  </si>
  <si>
    <t>01.04.-17.04. / 02.06.-06.06.19 / 10.06.-19.06.19 / 23.06.-30.06.19 / 01.09.-31.10.19</t>
  </si>
  <si>
    <t>29 - 15 days prior to arrival: 25% CXL fees</t>
  </si>
  <si>
    <t xml:space="preserve">01.07.-31.07.19                                                                                                                                                starting rates </t>
  </si>
  <si>
    <t>14 - 7 days prior to arrival: 50% CXL fees, after that: 100%</t>
  </si>
  <si>
    <t>01.08.-31.08.19</t>
  </si>
  <si>
    <t>after 7 days prior to arrival: no partial cancellation possible</t>
  </si>
  <si>
    <t>18.04.-21.04.19 / 26.04.-30.04.19 / 30.05.-01.06.19  --&gt; min- stay 3 nights</t>
  </si>
  <si>
    <t>Occidental Praha 5</t>
  </si>
  <si>
    <t>07.06.-09.06.19 / 20.06.-22.06.19  --&gt; min- stay 3 nights</t>
  </si>
  <si>
    <t>28.12.18-01.01.19  --&gt; min- stay 3 nights</t>
  </si>
  <si>
    <t>01.04.-17.04. / 22.04.-25.04.19 / 01.05.-29.05.19 / 02.06.-06.06.19 / 10.06.-19.06.19 / 23.06.-30.06.19 / 01.09.-31.10.19</t>
  </si>
  <si>
    <t>18.04.-21.04.19 / 26.04.-30.04.19 / 30.05.-01.06.19 / 07.06.-09.06.19 / 20.06.-22.06.19 --&gt; min- stay 3 nights</t>
  </si>
  <si>
    <t>Clarion Congress hotel    (EETS allotment)</t>
  </si>
  <si>
    <t xml:space="preserve">01.04. - 30.06.19 / 30.08.-03.11.19 </t>
  </si>
  <si>
    <t>04.11. - 28.12.19</t>
  </si>
  <si>
    <t>29.12.19 - 01.01.20</t>
  </si>
  <si>
    <t>02.01. - 31.03.20</t>
  </si>
  <si>
    <t xml:space="preserve">every 21. pax free in twin </t>
  </si>
  <si>
    <t>ClarionCongress              ( EXTRA allotment)</t>
  </si>
  <si>
    <t xml:space="preserve">02.01. - 29.03.19  </t>
  </si>
  <si>
    <t>01.04. - 30.06.19 / 30.08. - 03.11.19</t>
  </si>
  <si>
    <t>Clarion Congress             ( EXTRA allotment)</t>
  </si>
  <si>
    <t>04.11. - 28.12.19 / 02.01. - 31.03.20</t>
  </si>
  <si>
    <t>29.12.19 - 01.01.20 --&gt; min stay 3 nights</t>
  </si>
  <si>
    <t xml:space="preserve">free CXL deadline until 30 days prior to arrival  29 - 15 days: 50% CXL fees                             14 - 5 days: 80% CXL fees                            less than 5 days: 100% CXl fees       
</t>
  </si>
  <si>
    <t>01.04.-30.06.19 / 01.09.-31.10.19</t>
  </si>
  <si>
    <t>01.07.-31.08.19</t>
  </si>
  <si>
    <t>01.11.-29.12.19</t>
  </si>
  <si>
    <t>30.12.19-01.01.20 --&gt; min stay 3 nights</t>
  </si>
  <si>
    <t>1 room can be cancelled FOC till 14 days, 1 room until 7 days prior</t>
  </si>
  <si>
    <t>every 21th person free of charge in double/ TWIN / bus driver stays free of charge on the same basis as a group</t>
  </si>
  <si>
    <t>Courtyard Prague Airport</t>
  </si>
  <si>
    <t xml:space="preserve">02.01. - 30.03.19 </t>
  </si>
  <si>
    <t xml:space="preserve">every 21 Pax free in TWIN </t>
  </si>
  <si>
    <t>up to 30 rooms:</t>
  </si>
  <si>
    <t xml:space="preserve">50% CXL fees until 29-15 days prior to aarival, after that 100% </t>
  </si>
  <si>
    <t>up to 90 rooms:</t>
  </si>
  <si>
    <t>free CXL deadline until 90 days prior to arrival</t>
  </si>
  <si>
    <t xml:space="preserve">50% CXL fees until 89-30 days prior to arrival, after that 100% </t>
  </si>
  <si>
    <t>Holiday Inn Prague Congress Center</t>
  </si>
  <si>
    <t>03.01.-28.02.19</t>
  </si>
  <si>
    <t>30 - 15 days prior to arrival  30% canecllation fees</t>
  </si>
  <si>
    <t>01.03.-31.03.19 / 01.07.-25.08.19 / 01.11.-28.12.19</t>
  </si>
  <si>
    <t>14 - 7 days prior to arrival  50% cancellation fees</t>
  </si>
  <si>
    <t>Holiday Inn Prague Congress Center   allotment</t>
  </si>
  <si>
    <t>01.04.-18.04.19 / 23.04.-30.06.19 / 26.08.-31.10.19</t>
  </si>
  <si>
    <t>6 days or less prior to arrival  100% cancellation fees</t>
  </si>
  <si>
    <t>19.04.-22.04.19 --&gt; min stay 3 nights</t>
  </si>
  <si>
    <t>5% of the total room block can be cancelled without charges till 3 days prior to arrival</t>
  </si>
  <si>
    <t>29.12.19-02.01.20</t>
  </si>
  <si>
    <t>every 21. pax free in twin (max. 4 pax)</t>
  </si>
  <si>
    <t>07.01.-24.03.19 / 03.11.-28.11.19 / 01.12.-05.12.19 / 08.12.-12.12.19 / 15.12.-29.12.19</t>
  </si>
  <si>
    <t>02.01.-06.01.19 / 25.03.-18.04.19 / 01.07.-31.08.19 / 01.11.-02.11.19 / 29.11.-30.11.19 / 06.12.-07.12.19 / 13.12.-14.12.19</t>
  </si>
  <si>
    <t>DUO SUPERIOR rooms        allotment</t>
  </si>
  <si>
    <t>22.04.-30.06.19 / 01.09.-31.10.19</t>
  </si>
  <si>
    <t>30.12.-01.01.20 --&gt; min. stay 3 nights,  CXL Deadline 56 days</t>
  </si>
  <si>
    <t>free CXL deadline until 4 weeks prior to arrival</t>
  </si>
  <si>
    <t>CXL charges are also apliciable if any reduction in the number of booked rooms that are above 5% of total reservatio</t>
  </si>
  <si>
    <t>for each 20 guests: 1 person free of charge in DBL / TWIN</t>
  </si>
  <si>
    <t>01.04.-27.06.19 / 02.09.-31.10.19</t>
  </si>
  <si>
    <t>28.06.-01.09.19 / 29.11.-30.11.19 / 06.12.-07.12.19 / 13.12.-14.12.19</t>
  </si>
  <si>
    <t>nH Prague          allotment</t>
  </si>
  <si>
    <t>01.12.-05.12.19 / 08.12.-12.12.19 / 15.12.-26.12.19 / 12.01.-01.03.20</t>
  </si>
  <si>
    <t>01.11.-28.11.19 / 02.01.-11.01.20 / 02.03.-31.03.20</t>
  </si>
  <si>
    <t xml:space="preserve">27.12.19-01.01.20 min. stay 3 nights </t>
  </si>
  <si>
    <t>01.01.-06.01. / 03.03.-01.04.19</t>
  </si>
  <si>
    <t>06.01.-03.03.19</t>
  </si>
  <si>
    <t>Olympik 1              allotment</t>
  </si>
  <si>
    <t>01.04.-19.04. / 22.04.-01.05. / 05.05.-30.05. / 02.06.-07.06. / 10.06.-20.06. / 15.08.-03.10.19</t>
  </si>
  <si>
    <t>23.06.-15.08. / 06.10.-03.11. / 29.11.-15.12.19</t>
  </si>
  <si>
    <t>03.11.-29.11. / 15.12.-28.12.19</t>
  </si>
  <si>
    <t xml:space="preserve">30.05.-02.06. / 07.06.-10.06. / 20.06.-23.06. / 03.10.-06.10.19 (Top Periods) </t>
  </si>
  <si>
    <t xml:space="preserve">19.04.-22.04. / 01.05.-05.05. / 28.12.19 - 01.01.2020 (Top Periods) </t>
  </si>
  <si>
    <t>03.01.-31.03.19</t>
  </si>
  <si>
    <t>01.04.-17.04.19 / 01.07.-01.09.19</t>
  </si>
  <si>
    <t xml:space="preserve">if the purchaser reduces the number of reserved rooms by less than 25% before 30 days prior to arrival </t>
  </si>
  <si>
    <t>18.04.-30.06.19 / 02.09.-19.10.19</t>
  </si>
  <si>
    <t>the purchaser may in addition reduce up to 10% of the reserved rooms till 4 days prior to arrival</t>
  </si>
  <si>
    <t xml:space="preserve">20.10.-28.11.19 </t>
  </si>
  <si>
    <t xml:space="preserve">if the purchaser reduces the number of reserved rooms by more than 25% before 30 days prior to arrival </t>
  </si>
  <si>
    <t>29.11.-29.12.19 midweek</t>
  </si>
  <si>
    <t>the purchaser may in addition reduce up to 1 room of the reserved rooms till 8 days prior to arrival</t>
  </si>
  <si>
    <t>29.11.-29.12.19 weekend</t>
  </si>
  <si>
    <t>over above mentioned rule following cancellation fees aply:</t>
  </si>
  <si>
    <t>30.12.19-01.01.20 --&gt; min. stay 3 nights</t>
  </si>
  <si>
    <t>30 -15 days prior to arrival 50% cancellation fees</t>
  </si>
  <si>
    <t xml:space="preserve">07.05.-11.05.19 --&gt; EVENT </t>
  </si>
  <si>
    <t>14 -8 days prior to arrival 90% cancellation fees</t>
  </si>
  <si>
    <t>7 -0 days prior to arrival 100% cancellation fees</t>
  </si>
  <si>
    <t xml:space="preserve">03.01.-06.01.19 </t>
  </si>
  <si>
    <t>07.01.-24.03.19</t>
  </si>
  <si>
    <t>25.03.-18.04.19 / 22.04.-29.05.19 / 02.06.-06.06.19 / 10.06.-30.06.19</t>
  </si>
  <si>
    <t>01.07.-08.08.19 / 18.08.-31.08.19</t>
  </si>
  <si>
    <t>Pyramida              allotment</t>
  </si>
  <si>
    <t>01.09.-17.09.19 / 22.09.-02.10.19 / 06.10.-26.10.19</t>
  </si>
  <si>
    <t>27.10.-28.11.19 / 01.12.-05.12.19 / 08.12.-12.12.19 /  16.12.-27.12.19</t>
  </si>
  <si>
    <t xml:space="preserve">free CXL deadline until 30 days prior to arrival </t>
  </si>
  <si>
    <t xml:space="preserve">19.04.-21.04.19 / 30.05.-01.06.19 / 07.06.-09.06.19 / 09.08.-17.08.19 / 18.09.-21.09.19 / 03.10.-05.10.19 </t>
  </si>
  <si>
    <t>29.11.-30.11.19 / 06.12.-07.12.19 / 13.12.-15.12.19</t>
  </si>
  <si>
    <t>Hotel Green Paradise</t>
  </si>
  <si>
    <t>every 21 Pax free in TWIN</t>
  </si>
  <si>
    <t>01.04.-27.12.19</t>
  </si>
  <si>
    <t>30 - 15 days prior to arrival: 50% CXL frrd</t>
  </si>
  <si>
    <t>14 - 5 days prior to arrival: 80% CXL fees</t>
  </si>
  <si>
    <t>after that 100% CXL fees</t>
  </si>
  <si>
    <t>every 21 Person FOC in TWIN</t>
  </si>
  <si>
    <t>every 21st person free in TWIN/ DBL</t>
  </si>
  <si>
    <t xml:space="preserve">Pupp Comfort ( GROUP ) min 10 rooms   </t>
  </si>
  <si>
    <t>07.01.-31.03.19</t>
  </si>
  <si>
    <r>
      <t xml:space="preserve">Pupp Comfort ( GROUP ) min 10 rooms   </t>
    </r>
    <r>
      <rPr>
        <b/>
        <sz val="10"/>
        <rFont val="Arial"/>
        <family val="2"/>
      </rPr>
      <t>allotment</t>
    </r>
  </si>
  <si>
    <t xml:space="preserve">01.04.-31.10.19 / 07.01.-11.01.20 (21.12.19-06.01.20 on request) </t>
  </si>
  <si>
    <t>01.11.-20.12.19 / 12.01.-31.03.20</t>
  </si>
  <si>
    <r>
      <t xml:space="preserve">Pupp Comfort ( GROUP ) min 10 rooms   </t>
    </r>
    <r>
      <rPr>
        <b/>
        <sz val="10"/>
        <rFont val="Arial"/>
        <family val="2"/>
      </rPr>
      <t>extra</t>
    </r>
  </si>
  <si>
    <t xml:space="preserve">21.12.19-06.01.20 </t>
  </si>
  <si>
    <t>every 21st person free in TWIN</t>
  </si>
  <si>
    <t>Parkhotel Carlsbad Inn</t>
  </si>
  <si>
    <t>01.04.-31.10.19</t>
  </si>
  <si>
    <t>2 rooms can be cancelled until 2 week sprior to arrival</t>
  </si>
  <si>
    <t>01.11.-27.12.19</t>
  </si>
  <si>
    <t>1 room can be cancelled until 2 days prior to arrival</t>
  </si>
  <si>
    <t>Every 21 Pax free in TWIN</t>
  </si>
  <si>
    <t>every 21st Person free in DBL/ TWIN</t>
  </si>
  <si>
    <t>02.01.-17.04.19</t>
  </si>
  <si>
    <t>18.04.-31.05.19</t>
  </si>
  <si>
    <t>01.06.-31.07.19</t>
  </si>
  <si>
    <t>01.08.-31.10.19</t>
  </si>
  <si>
    <t>every 20. person in SGL room FOC</t>
  </si>
  <si>
    <t>12.01.-10.01.19</t>
  </si>
  <si>
    <t>11.01.-31.03.19</t>
  </si>
  <si>
    <t>01.04.-31.05.19</t>
  </si>
  <si>
    <t>Vienna House Easy (ex. Angelo) Pilsen</t>
  </si>
  <si>
    <t>Primavera hotel Plzen</t>
  </si>
  <si>
    <t>Parkhotel Plzen</t>
  </si>
  <si>
    <t>PLZEN</t>
  </si>
  <si>
    <t>01.04.-30.04.19</t>
  </si>
  <si>
    <t xml:space="preserve">01.05.-30.06.19 </t>
  </si>
  <si>
    <t>01.09.-31.10.19</t>
  </si>
  <si>
    <t>2 rooms can be cancelled FOC till 7 days, 1 room until one day prior</t>
  </si>
  <si>
    <t>01.11.-28.12.19</t>
  </si>
  <si>
    <t xml:space="preserve">every 15th person free of charge in double/ TWIN </t>
  </si>
  <si>
    <t>bus driver stays free of charge on the same basis as a group with min. 15 rooms</t>
  </si>
  <si>
    <t xml:space="preserve"> FRI - SUN    allotment</t>
  </si>
  <si>
    <t xml:space="preserve"> ( EXTRA allotment)</t>
  </si>
  <si>
    <t>ClarionCongress ( EXTRA allotment)</t>
  </si>
  <si>
    <t>Clarion Congress 4* EETS allotment</t>
  </si>
  <si>
    <t>01-05.12., 08.-12.12, 15.-26.12.,12.01.-01.03.20</t>
  </si>
  <si>
    <t>DUO SUPERIOR rooms allotment</t>
  </si>
  <si>
    <t>Green Paradise</t>
  </si>
  <si>
    <t xml:space="preserve">01.04. - 27.12. </t>
  </si>
  <si>
    <t>01.01. - 31.03.</t>
  </si>
  <si>
    <t>allotment</t>
  </si>
  <si>
    <t>extra</t>
  </si>
  <si>
    <r>
      <t xml:space="preserve">Pupp Comfort ( GROUP ) min 10 rooms   </t>
    </r>
    <r>
      <rPr>
        <b/>
        <sz val="10"/>
        <color rgb="FFFF0000"/>
        <rFont val="Arial"/>
        <family val="2"/>
      </rPr>
      <t>allotment</t>
    </r>
  </si>
  <si>
    <r>
      <t xml:space="preserve">Pupp Comfort ( GROUP ) min 10 rooms   </t>
    </r>
    <r>
      <rPr>
        <b/>
        <sz val="10"/>
        <color rgb="FFFF0000"/>
        <rFont val="Arial"/>
        <family val="2"/>
      </rPr>
      <t>extra</t>
    </r>
  </si>
  <si>
    <t>Radisson (ex-Sheraton Charles Square)</t>
  </si>
  <si>
    <t>mid s. 01-16/4; 30/6-01/9; +ADVENT weekends</t>
  </si>
  <si>
    <t>High s.</t>
  </si>
  <si>
    <t>MIDDLE coach: 355 EUR/day + costs (HU, CZ, SK, AU)</t>
  </si>
  <si>
    <t>SMALL coach: 335 EUR/day + costs (HU, CZ, SK, AU)</t>
  </si>
  <si>
    <t>BIG coach: 390 EUR/day + costs (HU, CZ, SK, AU)</t>
  </si>
  <si>
    <t>MIDDLE  coach: 360 EUR/day + costs (HU, CZ, SK, AU)</t>
  </si>
  <si>
    <t>SMALL coach: 345 EUR/day + costs (HU, CZ, SK, AU)</t>
  </si>
  <si>
    <t>BIG coach: 400 EUR/day + highway fees</t>
  </si>
  <si>
    <t>MIDDLE coach: 370 EUR/day + highway fees</t>
  </si>
  <si>
    <t>SMALL coach: 350 EUR/day + highway fees</t>
  </si>
  <si>
    <t>If only SWITZERLAND, than local coach is 1.000 CHF/day</t>
  </si>
  <si>
    <t xml:space="preserve">- Innsbruck 30 EUR/day </t>
  </si>
  <si>
    <t>When we give empty run, we need to pay hotel fee as well. 50 EUR/night</t>
  </si>
  <si>
    <t>BIG coach: 390 EUR/day + highway fees (50 EUR per day)</t>
  </si>
  <si>
    <t>MIDDLE coach: 370 EUR/day + highway fees (50 EUR per day</t>
  </si>
  <si>
    <t>SMALL coach: 350 EUR/day + highway fees (50 EUR per day)</t>
  </si>
  <si>
    <t>Tours only in Germany: (Hungarian coaches, if agent inisit on german coach than 450-550 EUR /day + road tax + parking fee)</t>
  </si>
  <si>
    <t>NH HOTEL GROUP</t>
  </si>
  <si>
    <t>GROUP RATES</t>
  </si>
  <si>
    <t>DESCRIPTION OF SEASONS</t>
  </si>
  <si>
    <t>PP IN DBL</t>
  </si>
  <si>
    <t>3rd PAX Discount</t>
  </si>
  <si>
    <t>TEL / FAX (+ COUNTRY CODE) / E-MAIL</t>
  </si>
  <si>
    <t>HIGH SEASON</t>
  </si>
  <si>
    <t>MIDDLE SEASON</t>
  </si>
  <si>
    <t>LOW SEASON</t>
  </si>
  <si>
    <t xml:space="preserve">    Week: Mon-Thurs / Weekend Fri-Sun</t>
  </si>
  <si>
    <t>Period 1</t>
  </si>
  <si>
    <t>Period 2</t>
  </si>
  <si>
    <t>Period 3</t>
  </si>
  <si>
    <t>Period 4</t>
  </si>
  <si>
    <t>Period 5</t>
  </si>
  <si>
    <t>Period 6</t>
  </si>
  <si>
    <t>Week</t>
  </si>
  <si>
    <t>Weekend</t>
  </si>
  <si>
    <t>NH COLLECTION</t>
  </si>
  <si>
    <t xml:space="preserve">MIDDLE SEASON </t>
  </si>
  <si>
    <t>N/A</t>
  </si>
  <si>
    <t>Bingen</t>
  </si>
  <si>
    <t>Deggendorf</t>
  </si>
  <si>
    <t>Essen</t>
  </si>
  <si>
    <t>Erlangen</t>
  </si>
  <si>
    <t>Fürth</t>
  </si>
  <si>
    <t>Magdeburg</t>
  </si>
  <si>
    <t>Mannheim Viernheim</t>
  </si>
  <si>
    <t>München</t>
  </si>
  <si>
    <t>Nördlingen</t>
  </si>
  <si>
    <t>Nürnberg</t>
  </si>
  <si>
    <t>Oberhausen</t>
  </si>
  <si>
    <t>Weinheim</t>
  </si>
  <si>
    <t>Wiesbaden</t>
  </si>
  <si>
    <t>Schwerin</t>
  </si>
  <si>
    <t>Frankenland share allotment</t>
  </si>
  <si>
    <t>EETS +Frankenl. allotment</t>
  </si>
  <si>
    <t>05.01.-31.03.19 / 01.11.-20.12.19</t>
  </si>
  <si>
    <t>11.01.-14.03.19</t>
  </si>
  <si>
    <t>15.03.-24.04.19</t>
  </si>
  <si>
    <t>25.04.-14.10.19</t>
  </si>
  <si>
    <t>15.10.-14.11.19</t>
  </si>
  <si>
    <t>15.11.-26.12.19 / 11.01.-14.03.20</t>
  </si>
  <si>
    <t>27.12.-30.12.19 / 01.01.-10.01.20 (31.12. on request)</t>
  </si>
  <si>
    <t>15.03.19-14.10.19</t>
  </si>
  <si>
    <t>15.10.19-26.12.19</t>
  </si>
  <si>
    <t>27.12.19-01.01.20</t>
  </si>
  <si>
    <t>11.01.20-14.03.20</t>
  </si>
  <si>
    <t>Diocletian Palace: 45 Kuna ~ 6,16€ (spot pay by local guide)</t>
  </si>
  <si>
    <t xml:space="preserve">3 course: 11€            4 course: 13€      </t>
  </si>
  <si>
    <t>Prague castle circuit B: 12€</t>
  </si>
  <si>
    <t>National Museum: 11€</t>
  </si>
  <si>
    <t>Old Town Clock Tower: 10€</t>
  </si>
  <si>
    <t xml:space="preserve">              In a public boat, 11€ (1 hour) </t>
  </si>
  <si>
    <t xml:space="preserve">Konopiste Castle: 15€      </t>
  </si>
  <si>
    <t xml:space="preserve">Karlstejn Castle: 15€     </t>
  </si>
  <si>
    <t>Punkva cave with boat and train: 15.5€</t>
  </si>
  <si>
    <r>
      <t>English speaking guide in Krumlov/EETS BUD (Sarka Simeckova)</t>
    </r>
    <r>
      <rPr>
        <b/>
        <sz val="11"/>
        <rFont val="Arial"/>
        <family val="2"/>
        <charset val="238"/>
      </rPr>
      <t>:</t>
    </r>
  </si>
  <si>
    <t>2 hours: 60€</t>
  </si>
  <si>
    <t>- Cesky Krumlov: each pick-up or drop-off is 30 EUR, so 1 visit in Krumlov is 60 EUR + parking fee (100 CZK/hour, overnight 24 EUR)</t>
  </si>
  <si>
    <t xml:space="preserve">half day guiding 90€ </t>
  </si>
  <si>
    <t>St Donat Church: 3€ (spot pay by local guide)</t>
  </si>
  <si>
    <t xml:space="preserve">Marko Polo house: 12kn ~ 1,65€ </t>
  </si>
  <si>
    <t>guiding 100€</t>
  </si>
  <si>
    <t>Franciscan Monastery: 40kn ~ 5,4€ for FIT, 35kn ~ 4,7€ for groups</t>
  </si>
  <si>
    <t>City wall: 200 Kuna ~ 27 € SPOT PAY from 2016!!!!</t>
  </si>
  <si>
    <t>Dominican Monastery: 30 Kuna ~ 4€ FIT, 20 Kuna ~ 2,7€ for groups</t>
  </si>
  <si>
    <t>Rectors Palace: 100 Kuna ~ 13,5€ SPOT PAY</t>
  </si>
  <si>
    <t>Matyas Pince: 28€</t>
  </si>
  <si>
    <t>up to 3 hours guiding in KRKA 70€</t>
  </si>
  <si>
    <t>guiding in Sibenik + KRKA 110€</t>
  </si>
  <si>
    <t>Drvenik-Sucuraj/Sucuraj-Drvenik: 89 (01.01-30.05 &amp; 30.09-31.12.2019) and 107€ (31.05-29.09.2019)</t>
  </si>
  <si>
    <t>Coach till 54 seats</t>
  </si>
  <si>
    <t>guiding in Kotor or Budva or Podgorica 70€</t>
  </si>
  <si>
    <t>Lady of the rocks: 2€</t>
  </si>
  <si>
    <t>Tourist tax in Cetinje: 1,5€</t>
  </si>
  <si>
    <t>Tourist tax in Kotor: 1,5€</t>
  </si>
  <si>
    <t>Ice Cave or Mammut Cave</t>
  </si>
  <si>
    <t xml:space="preserve">&gt;20P   € 33,90 .- </t>
  </si>
  <si>
    <t>&lt; 20 PAX € 36,30.-</t>
  </si>
  <si>
    <t>&gt; 20 P € 29,70.-</t>
  </si>
  <si>
    <t>&lt; 20 PAX € 32,00.-</t>
  </si>
  <si>
    <t>&gt;20P/  10.00,-€ + € 50 Guide fee (max. 30 pax)</t>
  </si>
  <si>
    <t>12.00,- €</t>
  </si>
  <si>
    <t>Haydn-Haus Eisenstadt without guide</t>
  </si>
  <si>
    <r>
      <t xml:space="preserve">                 </t>
    </r>
    <r>
      <rPr>
        <b/>
        <sz val="10"/>
        <color indexed="10"/>
        <rFont val="Arial"/>
        <family val="2"/>
      </rPr>
      <t>&gt;20 P : € 4,50.-</t>
    </r>
  </si>
  <si>
    <t>&lt;20 P: € 5,00.-</t>
  </si>
  <si>
    <t>Combination ticket Haydn-Haus Eisenstadt / Landesmuseum Burgenland</t>
  </si>
  <si>
    <t xml:space="preserve">&gt;25P:   8.00,-€ </t>
  </si>
  <si>
    <t>&gt;10 P: up 2,50,-€/down 2,50,-€</t>
  </si>
  <si>
    <t>&gt; 10 P: Up and down :5,00.-.- €</t>
  </si>
  <si>
    <t xml:space="preserve">Schlossberglift  </t>
  </si>
  <si>
    <t>Up: €1,60.- / Down € 1,60.-</t>
  </si>
  <si>
    <t>&gt;12 P:  8,00.--€</t>
  </si>
  <si>
    <t>€ 10,- p.P.</t>
  </si>
  <si>
    <t>€13.-p.P</t>
  </si>
  <si>
    <t>€ 5,70.- p.P</t>
  </si>
  <si>
    <t xml:space="preserve">€1,80.- p.P </t>
  </si>
  <si>
    <t>EETS special price: &gt; 20 p / €18,00.-, (officia price: € 21.-p.P  )</t>
  </si>
  <si>
    <t xml:space="preserve">&lt;20 P: € 23,00.- </t>
  </si>
  <si>
    <t xml:space="preserve"> EETS special price:   &gt; 20 P / € 15,50.- (officia price: €16,50.- ) </t>
  </si>
  <si>
    <t>&lt; 20 P : €18,,00.-</t>
  </si>
  <si>
    <t xml:space="preserve">EETS special price:   &gt; 20 P / € 28,00.-, (officea price: € 31.- p.P  ) </t>
  </si>
  <si>
    <t xml:space="preserve">€ 34.- </t>
  </si>
  <si>
    <t>&gt;15 P20,00.- €</t>
  </si>
  <si>
    <t>€ 23,00.-</t>
  </si>
  <si>
    <t>&gt;15 P 26,00.--.-€</t>
  </si>
  <si>
    <t>€ 29,00.-</t>
  </si>
  <si>
    <t>Kapruner power plant tour ( about 3 hours)</t>
  </si>
  <si>
    <t xml:space="preserve">&gt;15 P20,00.- € + € 240.- </t>
  </si>
  <si>
    <t>&gt;20 P € 41.-</t>
  </si>
  <si>
    <t xml:space="preserve">  9,80.- €</t>
  </si>
  <si>
    <t xml:space="preserve">&gt; 10 P  € 36,30.- </t>
  </si>
  <si>
    <t>&lt; € 39,60.-</t>
  </si>
  <si>
    <t>&gt; 10 P € 7.50,-</t>
  </si>
  <si>
    <t>€ 8,00.-</t>
  </si>
  <si>
    <t>Castle Hochosterwitz with Lift</t>
  </si>
  <si>
    <t>&gt; 15 P 23.00.- €</t>
  </si>
  <si>
    <t>&lt; 10 P 24.00 €</t>
  </si>
  <si>
    <t xml:space="preserve">Castle Hochosterwitz without Lift </t>
  </si>
  <si>
    <t>&gt;15 P 14.00.-€</t>
  </si>
  <si>
    <t>&lt; 10 P 15.00.-€</t>
  </si>
  <si>
    <t>Uphill ( from Jenbach to Seespitz )</t>
  </si>
  <si>
    <t xml:space="preserve"> € 24,00.-</t>
  </si>
  <si>
    <t>downhill ( from Seespitz to Jenbach</t>
  </si>
  <si>
    <t xml:space="preserve">  € 31,00.-</t>
  </si>
  <si>
    <t xml:space="preserve">Achensee ship:  Scholastika bis Seespitz </t>
  </si>
  <si>
    <t>&gt;10 P : € 15,60.-</t>
  </si>
  <si>
    <t>&lt; 10 P: € 18,00.-</t>
  </si>
  <si>
    <t>&gt;20P    € 14.00.--  (with guided tour)</t>
  </si>
  <si>
    <t>&lt; 20P 12,50€ + 60€ flat rate for guide</t>
  </si>
  <si>
    <t>€ 12,00.- ( without guided tour )</t>
  </si>
  <si>
    <t>12,50,</t>
  </si>
  <si>
    <t>&gt;10P 25,20 € ( from 25 PAX is T/L free )</t>
  </si>
  <si>
    <t>&lt; 10 P 27,70.-€</t>
  </si>
  <si>
    <t xml:space="preserve">&gt;10P 42,40.-€  </t>
  </si>
  <si>
    <t>&lt; 10 P 52,00.-€</t>
  </si>
  <si>
    <t>&gt; 10 P 11.90€</t>
  </si>
  <si>
    <t>&lt; 10P 13,00€</t>
  </si>
  <si>
    <t>Salzburger Festungskonzerte+ Dinner ( incl. Cable car )</t>
  </si>
  <si>
    <t xml:space="preserve">                                 Cat.VIP 78,00€</t>
  </si>
  <si>
    <t>Cat.I 64.00€</t>
  </si>
  <si>
    <t>Cat. II 60,00€</t>
  </si>
  <si>
    <t>Cat.I 36,00 €</t>
  </si>
  <si>
    <t>Mozart Dinner Concert ( in Stiftskeller St.peter Restaurant ):</t>
  </si>
  <si>
    <t xml:space="preserve"> € 66.-</t>
  </si>
  <si>
    <t>€43,00.-</t>
  </si>
  <si>
    <t>Exclusive</t>
  </si>
  <si>
    <t xml:space="preserve">  € 115.- </t>
  </si>
  <si>
    <t>€5,50.-</t>
  </si>
  <si>
    <t>Salzburg Bus parking fee per day / per hour</t>
  </si>
  <si>
    <t>24€ per day / 4,00 € pay hour</t>
  </si>
  <si>
    <t xml:space="preserve">          </t>
  </si>
  <si>
    <t>&gt;25P   6,70 € / under 25 Pax: € 170.- Per Group</t>
  </si>
  <si>
    <t>8,00.-€</t>
  </si>
  <si>
    <t xml:space="preserve">&gt; 40 P 10,80.- € </t>
  </si>
  <si>
    <t>DDSG Blue Danube Cruise: Krems -Dürnstein</t>
  </si>
  <si>
    <t>&gt;20P   14,00.- €</t>
  </si>
  <si>
    <t>DDSG Blue Danube Cruise: Krems- Spitz or Spitz-Krems</t>
  </si>
  <si>
    <t>&gt;20P   18,00- €</t>
  </si>
  <si>
    <t>DDSG Blue Danube Cruise: Melk-Spitz oder Spitz-Melk</t>
  </si>
  <si>
    <t>DDSG Blue Danube Cruise: Dürnstein- Krems</t>
  </si>
  <si>
    <t>DDSG Blue Danube Cruise: Krems- Melk or Melk-Krems</t>
  </si>
  <si>
    <t>&gt;20P   26,00- €</t>
  </si>
  <si>
    <t>&gt;10p   €17.-</t>
  </si>
  <si>
    <t>Kunsthistorisches Museum with Guide</t>
  </si>
  <si>
    <t>&gt;10P   12,00.- €</t>
  </si>
  <si>
    <t>16,00.- €</t>
  </si>
  <si>
    <t>with gudio guide</t>
  </si>
  <si>
    <t>&gt;10P   15,00.- €</t>
  </si>
  <si>
    <t>16,00- €</t>
  </si>
  <si>
    <t>14,00,- €</t>
  </si>
  <si>
    <t>14,00.- €</t>
  </si>
  <si>
    <t>15,50.- € / 16,00- €</t>
  </si>
  <si>
    <t>17,50.-€ / 18,50-€</t>
  </si>
  <si>
    <t>12,00.-€ / 14,00.-€</t>
  </si>
  <si>
    <t xml:space="preserve">&gt;20 P   8,00.-€ </t>
  </si>
  <si>
    <t>12.- €</t>
  </si>
  <si>
    <t>&gt; 15 PAX :€ 94.- p.P</t>
  </si>
  <si>
    <t>officia price: Cat. A 65.00 €  ( EETS Price : € 32,00.- )</t>
  </si>
  <si>
    <t>officia price:Cat. B 45.00 € ( EETS price: € 22,00.-)</t>
  </si>
  <si>
    <t>officia price: Cat. VIP: 65,00.- ( EETS Price: € 32,00.-)</t>
  </si>
  <si>
    <t>officia price: Cat. A : 55.- ( EETS Price: € 27,00.- )</t>
  </si>
  <si>
    <t>officia price: Cat B. 45.- ( EETS Price: € 22,00.- )</t>
  </si>
  <si>
    <t>Church of Assumption: 6€ FIT, 5,5€ for groups (from 20 pax)</t>
  </si>
  <si>
    <t>New York Cafe : cake + drink 20€</t>
  </si>
  <si>
    <t xml:space="preserve">                     Trofea Restaurants: 15 € for lunch  - 21 € for  dinner (weekday)  / 23€ on weekends</t>
  </si>
  <si>
    <t>- each day in Switzerland: 13 EUR (local coach incl. in the price)</t>
  </si>
  <si>
    <t>- Croatia: local coaches including in the daily rate, all others 20 EUR/day</t>
  </si>
  <si>
    <t>&gt;20P  25,50 €</t>
  </si>
  <si>
    <t>2018/11/01 - 2019/04/30 closed</t>
  </si>
  <si>
    <t xml:space="preserve">  99,90 €</t>
  </si>
  <si>
    <t xml:space="preserve">  69,30 €</t>
  </si>
  <si>
    <t>&gt;20P   7,70 €</t>
  </si>
  <si>
    <t xml:space="preserve">   4,20 €</t>
  </si>
  <si>
    <t>&gt;10P    11,00 €</t>
  </si>
  <si>
    <t xml:space="preserve">          14,00 €</t>
  </si>
  <si>
    <t xml:space="preserve">  14,00 €</t>
  </si>
  <si>
    <t>&gt;25P    9,00 €</t>
  </si>
  <si>
    <t>&gt;15P  13,50 €</t>
  </si>
  <si>
    <t>2,50 €</t>
  </si>
  <si>
    <t>Up and Down 3,00 €</t>
  </si>
  <si>
    <t>1,50 €</t>
  </si>
  <si>
    <t>3,50 €</t>
  </si>
  <si>
    <t>15,50 €</t>
  </si>
  <si>
    <t xml:space="preserve">  8,00 €</t>
  </si>
  <si>
    <r>
      <t xml:space="preserve"> Mainau Flower Garden</t>
    </r>
    <r>
      <rPr>
        <b/>
        <sz val="9"/>
        <color indexed="12"/>
        <rFont val="Arial"/>
        <family val="2"/>
      </rPr>
      <t xml:space="preserve"> </t>
    </r>
    <r>
      <rPr>
        <b/>
        <sz val="9"/>
        <color indexed="62"/>
        <rFont val="Arial"/>
        <family val="2"/>
      </rPr>
      <t>(2018.10.22- 2019.03.21)</t>
    </r>
  </si>
  <si>
    <r>
      <t xml:space="preserve"> Mainau Flower Garden</t>
    </r>
    <r>
      <rPr>
        <b/>
        <sz val="9"/>
        <color indexed="12"/>
        <rFont val="Arial"/>
        <family val="2"/>
      </rPr>
      <t xml:space="preserve"> </t>
    </r>
    <r>
      <rPr>
        <b/>
        <sz val="9"/>
        <color indexed="62"/>
        <rFont val="Arial"/>
        <family val="2"/>
      </rPr>
      <t>(2019.03.22 - 2019.10.20)</t>
    </r>
  </si>
  <si>
    <t>&gt;10P  17,00 €</t>
  </si>
  <si>
    <t>21,50 €</t>
  </si>
  <si>
    <t>&gt;20P  8,00 €</t>
  </si>
  <si>
    <t>Daily 10:00-17:30</t>
  </si>
  <si>
    <t xml:space="preserve">   7,50 €</t>
  </si>
  <si>
    <t>2019.04.19-10.13</t>
  </si>
  <si>
    <t>&gt;20P  16,00 €</t>
  </si>
  <si>
    <t>It takes 5-7 hours.</t>
  </si>
  <si>
    <t>&gt;20P    7,00 €</t>
  </si>
  <si>
    <t>30,50 €</t>
  </si>
  <si>
    <t>34,50 €</t>
  </si>
  <si>
    <t>37,00 €</t>
  </si>
  <si>
    <t>&gt;20P    8,50 €</t>
  </si>
  <si>
    <t xml:space="preserve">  10,60 €</t>
  </si>
  <si>
    <t xml:space="preserve"> Zugspitze</t>
  </si>
  <si>
    <t xml:space="preserve"> 58,00 €</t>
  </si>
  <si>
    <t xml:space="preserve">Prices EETS Wien/Budapest/TPE 2019 </t>
  </si>
  <si>
    <t xml:space="preserve">High Season 08 June - 15 Sept 2019 </t>
  </si>
  <si>
    <t xml:space="preserve">High Season 01 June - 29 Sept 2019 </t>
  </si>
  <si>
    <r>
      <t xml:space="preserve">Winter Season </t>
    </r>
    <r>
      <rPr>
        <sz val="8"/>
        <color rgb="FF000000"/>
        <rFont val="Arial"/>
        <family val="2"/>
        <charset val="238"/>
      </rPr>
      <t xml:space="preserve">01 Jan - 01 March and 28 Oct - 09 Dec </t>
    </r>
  </si>
  <si>
    <t xml:space="preserve">Gotthard Express </t>
  </si>
  <si>
    <t xml:space="preserve">Mont Blanc Express </t>
  </si>
  <si>
    <t xml:space="preserve">Interlaken Ost-Lucerne </t>
  </si>
  <si>
    <t xml:space="preserve">High Season 28 May - 27 Oct 2019 </t>
  </si>
  <si>
    <t xml:space="preserve">High Season July &amp; August </t>
  </si>
  <si>
    <t xml:space="preserve">Stans-Stanserhorn-Stans </t>
  </si>
  <si>
    <r>
      <t xml:space="preserve">Glacier 3000 </t>
    </r>
    <r>
      <rPr>
        <sz val="9"/>
        <color rgb="FF000000"/>
        <rFont val="Arial"/>
        <family val="2"/>
        <charset val="238"/>
      </rPr>
      <t xml:space="preserve">inkl. Peak Walk/Ice Express (chairlift)/Fun Park/Glacier Walk </t>
    </r>
    <r>
      <rPr>
        <b/>
        <sz val="9"/>
        <color rgb="FF000000"/>
        <rFont val="Arial"/>
        <family val="2"/>
        <charset val="238"/>
      </rPr>
      <t xml:space="preserve">(no free pax) </t>
    </r>
  </si>
  <si>
    <r>
      <t xml:space="preserve">Lake Lucerne / Saphir Panorama Yacht (1 h - </t>
    </r>
    <r>
      <rPr>
        <b/>
        <sz val="8"/>
        <color rgb="FF000000"/>
        <rFont val="Arial"/>
        <family val="2"/>
        <charset val="238"/>
      </rPr>
      <t>1 free per group</t>
    </r>
    <r>
      <rPr>
        <sz val="9"/>
        <color rgb="FF000000"/>
        <rFont val="Arial"/>
        <family val="2"/>
        <charset val="238"/>
      </rPr>
      <t xml:space="preserve">) </t>
    </r>
  </si>
  <si>
    <r>
      <t xml:space="preserve">Trümmelbach Waterfalls </t>
    </r>
    <r>
      <rPr>
        <sz val="9"/>
        <color rgb="FF000000"/>
        <rFont val="Arial"/>
        <family val="2"/>
        <charset val="238"/>
      </rPr>
      <t xml:space="preserve">Entrance fee </t>
    </r>
    <r>
      <rPr>
        <sz val="8"/>
        <color rgb="FF000000"/>
        <rFont val="Arial"/>
        <family val="2"/>
        <charset val="238"/>
      </rPr>
      <t>(</t>
    </r>
    <r>
      <rPr>
        <b/>
        <sz val="8"/>
        <color rgb="FF000000"/>
        <rFont val="Arial"/>
        <family val="2"/>
        <charset val="238"/>
      </rPr>
      <t>1 free per group</t>
    </r>
    <r>
      <rPr>
        <sz val="8"/>
        <color rgb="FF000000"/>
        <rFont val="Arial"/>
        <family val="2"/>
        <charset val="238"/>
      </rPr>
      <t xml:space="preserve">) </t>
    </r>
  </si>
  <si>
    <t>G:\al Preislisten und Tarife\ac Stammkundenpreise\EETS\2019 Preislisten\Pricelist EETS for 2019.xlsx Gedruckt am 09.11.2018</t>
  </si>
  <si>
    <t>Parliament: 20,5€</t>
  </si>
  <si>
    <t>Siraly  13-14€</t>
  </si>
  <si>
    <t>Renaissance knight Menu : 21-25€</t>
  </si>
  <si>
    <t>Fogas 10,5€-15€</t>
  </si>
  <si>
    <t>Palotahaz 11,5€</t>
  </si>
  <si>
    <t>Fishermas Bastion: 3,1€ (March-October)</t>
  </si>
  <si>
    <t>* 18 EUR p.p. for polish guide EF; other lagnuage 24 EUR p.p.</t>
  </si>
  <si>
    <t>* 1-10 pax: 115 EUR / 11-20 pax 140 EUR / 21-30 pax 153 EUR</t>
  </si>
  <si>
    <t xml:space="preserve">19/7-24/8; 29-30/11; 6-7/12; 13-14/12; 27/12-01/01 2020 </t>
  </si>
  <si>
    <t>NH 4*</t>
  </si>
  <si>
    <t>Chinese meal 5 dishes - 8,5€</t>
  </si>
  <si>
    <t>Chinese meal 6 dishes - 9,5€</t>
  </si>
  <si>
    <t>Chinese meal 7 dishes - 10,5€</t>
  </si>
  <si>
    <t>Chinese meal 8 dishes - 11,5€</t>
  </si>
  <si>
    <r>
      <t xml:space="preserve">funicular: 4€ for FIT, 3€ for group (15 pax or more) - </t>
    </r>
    <r>
      <rPr>
        <sz val="10"/>
        <color rgb="FFFF0000"/>
        <rFont val="Arial"/>
        <family val="2"/>
        <charset val="238"/>
      </rPr>
      <t>SPOT PAY by T/L or T/G</t>
    </r>
  </si>
  <si>
    <t>funicular: 5 Kuna ~ 0,7€ (SPOT PAY by T/L, if paid by guide then 1 Euro p.p.)</t>
  </si>
  <si>
    <t>Lotršćak tower: 20 Kuna ~ 3€ pp SPOT PAY (if paid by us 25 Kuna)</t>
  </si>
  <si>
    <t xml:space="preserve">full day guiding 140€ </t>
  </si>
  <si>
    <t>SERBIA</t>
  </si>
  <si>
    <t>Belgrad</t>
  </si>
  <si>
    <t>assistant guide 2 hours 50€</t>
  </si>
  <si>
    <t>transfer airport-hotel one way 50 €</t>
  </si>
  <si>
    <t>Military Museum: 2€</t>
  </si>
  <si>
    <t>Ethnographic museum: 2€</t>
  </si>
  <si>
    <t>Museum Nikola Tesla: 5€</t>
  </si>
  <si>
    <t>Tito's Memorial Center: 4€</t>
  </si>
  <si>
    <t>guiding half day (up to 4 hours) 80€</t>
  </si>
  <si>
    <t>guiding (up to 6 hours) 100€</t>
  </si>
  <si>
    <t>guiding full day 120€</t>
  </si>
  <si>
    <t>Avala Tower: 3€</t>
  </si>
  <si>
    <t>Kalemegdan fortress: free</t>
  </si>
  <si>
    <t>St. Sava Temple: free</t>
  </si>
  <si>
    <t>Saborna Church: 1,5€</t>
  </si>
  <si>
    <t>Nebojsa Tower: 3,5€</t>
  </si>
  <si>
    <t>Museums are closed on Monday</t>
  </si>
  <si>
    <t>guiding Opatija: 70€</t>
  </si>
  <si>
    <t>guiding Rovinj/Pula/Porec: 70 €</t>
  </si>
  <si>
    <r>
      <t>funicular + castle ticket: 10€ for FIT, 7€ for groups(from 15 pax) - included top of the tower and a film or visit to one exibition -</t>
    </r>
    <r>
      <rPr>
        <sz val="10"/>
        <color rgb="FFFF0000"/>
        <rFont val="Arial"/>
        <family val="2"/>
        <charset val="238"/>
      </rPr>
      <t xml:space="preserve"> SPOT PAY by T/L or T/G</t>
    </r>
  </si>
  <si>
    <t>Ljubljana Cathedral/St Nicholas church: 2€ - SPOT pay by T/L</t>
  </si>
  <si>
    <t>Tourist tax in Budva: 1,5€ from 20th May 2019</t>
  </si>
  <si>
    <t>apr,oct,nov,dec</t>
  </si>
  <si>
    <t>Rates 2020</t>
  </si>
  <si>
    <t>Sun-Wed</t>
  </si>
  <si>
    <t>Thur-Sat</t>
  </si>
  <si>
    <t>new year 30/12-02/01/2021 min 3 nights</t>
  </si>
  <si>
    <t>High S. 01/05-30/09</t>
  </si>
  <si>
    <t>Low s 03/01-30/04, 01/10-23/12</t>
  </si>
  <si>
    <t>1 night</t>
  </si>
  <si>
    <t>Bad Hofgastein</t>
  </si>
  <si>
    <t>Das Alpenhause Gasteinertal 4*</t>
  </si>
  <si>
    <t>18/03-24/04, 10/10-11/11</t>
  </si>
  <si>
    <t>25/04-09/05, 18/09-06/10</t>
  </si>
  <si>
    <t>10/05-05/06</t>
  </si>
  <si>
    <t>06-21/06, 06-17/09</t>
  </si>
  <si>
    <t>City tax</t>
  </si>
  <si>
    <t>Hotel Golf 4*</t>
  </si>
  <si>
    <t>city tax incl</t>
  </si>
  <si>
    <t>low s.: 01/11-31/3</t>
  </si>
  <si>
    <t>Simm's Hotel 4*</t>
  </si>
  <si>
    <t>min 2 night stay</t>
  </si>
  <si>
    <t>min 3 night stay</t>
  </si>
  <si>
    <t>Das Alpenhaus Kaprun 4*</t>
  </si>
  <si>
    <t>Amadria Park Ivan 4*/Juve 4* (ex-Solaris Resort)/Jure 4*+</t>
  </si>
  <si>
    <t>10% commission on BB</t>
  </si>
  <si>
    <t>Holiday Inn Vienna South</t>
  </si>
  <si>
    <t>2/1-23/2</t>
  </si>
  <si>
    <t>24/02-3/05; 29/06-30/08</t>
  </si>
  <si>
    <t>04/05-28/06;31/08-01/11</t>
  </si>
  <si>
    <t xml:space="preserve">mainly DBL rooms -8 TWN standard, 26 tw is possibel for supplement </t>
  </si>
  <si>
    <t>low s.  01/01-27/03; 24-28/Dec</t>
  </si>
  <si>
    <t xml:space="preserve">mid s. 28/03-19/04; 01/07-06/09; </t>
  </si>
  <si>
    <t>high s. 20/04-30/06; 07/09-23/10</t>
  </si>
  <si>
    <t>advent   27-28/11, 04-05/12, 11-12/12, 18-19/12</t>
  </si>
  <si>
    <t>min. 3 nights stay in  new year</t>
  </si>
  <si>
    <t>advent  29/12-02/Jan</t>
  </si>
  <si>
    <t>Chinese New Year price 17/01-15/02</t>
  </si>
  <si>
    <t>NH Budapest City</t>
  </si>
  <si>
    <t>close-out: F-1: 24-26/07, 31/07-02/08, 07-09/08, UEFA: 12/06-01/07; 10-12/04, 30/12-02/01 New Year, 13-20/09 IEA, SZIGET 03-17/08</t>
  </si>
  <si>
    <t>NH Poznan</t>
  </si>
  <si>
    <t>HB 3 CRS 17€P.P</t>
  </si>
  <si>
    <t>HB 3 CRS 25P.P.</t>
  </si>
  <si>
    <t>HB 3 CRS 20€P.P.</t>
  </si>
  <si>
    <t>close out: AGO 22-25/04, ÖKG 03-05/06, ÖGGH, ESHNR 10-12/09, ÖGIM, GAST, ÖDG 18-20/11, AUTOZUM 20-23/01/2021, Festspiele 17/07-30/08, EASTER, 10-12/04, NYE 30/12-01/01 2021</t>
  </si>
  <si>
    <t>HB 3 CRS 25€P.P.</t>
  </si>
  <si>
    <t>close-out:  WSO-ESOC:11-16/05; EFFORT/ESPD 10-13/6; ERS 04-09/9, ECPN 12-15/09, EASD- EADV 21-27/09, 30-31/12, ECR 27/02-01/03 2021, advent weekend 27-28/11, 04-05/12, 11-12/12, 18-19/12, NYE 30-31/12</t>
  </si>
  <si>
    <t>NYE supplemnt 25€p.p</t>
  </si>
  <si>
    <t xml:space="preserve">min 2 night stay in  Advent weekends supplement A1- A2: 16€p.p., A3- A4: 10€p.p, min 3 night stay NYE suplement 42.5€pp. </t>
  </si>
  <si>
    <t>ITO GROUP RATES: 1st OF APRIL 2020 - 31st OF MARCH 2021</t>
  </si>
  <si>
    <t xml:space="preserve"> ALL RATES ARE IN EURO, NET PER PERSON &amp; NIGHT, INCLUSIVE OF BREAKFAST &amp; VAT</t>
  </si>
  <si>
    <t xml:space="preserve">  *VAT included. If VAT regulations change, rates will be modified according to the new VAT regulation law.           </t>
  </si>
  <si>
    <t xml:space="preserve"> **In case of city tax changes, new city tax will apply.</t>
  </si>
  <si>
    <t>CITY NAME</t>
  </si>
  <si>
    <t>SUPPLEMENTS</t>
  </si>
  <si>
    <t>SGL SUPL.</t>
  </si>
  <si>
    <t xml:space="preserve">DSU SUPL. </t>
  </si>
  <si>
    <r>
      <t xml:space="preserve">SUPERIOR ROOM SUPL. 
</t>
    </r>
    <r>
      <rPr>
        <b/>
        <sz val="7"/>
        <rFont val="Arial"/>
        <family val="2"/>
      </rPr>
      <t>(per room, per night) 
(Premium room in case of Collection Hotel)</t>
    </r>
  </si>
  <si>
    <t>H/B 3 CRS P/P
(always on request)</t>
  </si>
  <si>
    <t>PORTER IN+OUT P.PIECE (3) 
(always on request)</t>
  </si>
  <si>
    <t>NH Berlin Alexanderplatz (4*)</t>
  </si>
  <si>
    <t>5% inclusive</t>
  </si>
  <si>
    <t>Landsberger Allee 26-32, 12049 Berlin                                                              TEL: +49 304226130, FAX: +49 30422613300</t>
  </si>
  <si>
    <t xml:space="preserve">
nhberlinalexanderplatz@nh-hotels.com</t>
  </si>
  <si>
    <r>
      <t xml:space="preserve">NH Collection Berlin Friedrichstrasse (4*)
</t>
    </r>
    <r>
      <rPr>
        <b/>
        <sz val="10"/>
        <color rgb="FFFF0000"/>
        <rFont val="Arial"/>
        <family val="2"/>
      </rPr>
      <t>Superior rooms</t>
    </r>
  </si>
  <si>
    <t>Friedrichstrasse 96, 10117 Berlin
Tel: +49 30 2062660 Fax: +49 30 206266999</t>
  </si>
  <si>
    <t>nhcollectionberlinfriedrich@nh-hotels.com</t>
  </si>
  <si>
    <r>
      <t xml:space="preserve">NH Collection Berlin Mitte am Checkpoint Charlie (4*)
</t>
    </r>
    <r>
      <rPr>
        <b/>
        <sz val="10"/>
        <color rgb="FFFF0000"/>
        <rFont val="Arial"/>
        <family val="2"/>
      </rPr>
      <t>Superior rooms</t>
    </r>
  </si>
  <si>
    <t>Leipziger Straße 106-111, 10117 Berlin
Tel: +49 30 203760 Fax: +49 30 20376600</t>
  </si>
  <si>
    <t>nhberlinmitte@nh-hotels.com</t>
  </si>
  <si>
    <t xml:space="preserve">NH Berlin City Ost (4*)
</t>
  </si>
  <si>
    <t>Rathausstraße 2-3, 10717 Berlin                                                                       TEL: +49 3055750, FAX: +49 305575 7272</t>
  </si>
  <si>
    <t xml:space="preserve">
nhberlincityost@nh-hotels.com</t>
  </si>
  <si>
    <t>NH Berlin City West (4*)</t>
  </si>
  <si>
    <t>Bundesallee 36/37,  10717 Berlin                                                                                                   TEL: +49 30-860040, FAX: 0049 30-86004200</t>
  </si>
  <si>
    <t xml:space="preserve">
nhberlincitywest@nh-hotels.com</t>
  </si>
  <si>
    <t xml:space="preserve">NH Berlin Kurfürstendamm (4*)
</t>
  </si>
  <si>
    <t>Grolmannstrasse 41-43, 10623 Berlin                                                                              TEL: +49 30-884260, FAX: 0049 30-88426-500</t>
  </si>
  <si>
    <t xml:space="preserve">
nhberlinkurfuerstendamm@nh-hotels.com</t>
  </si>
  <si>
    <t>Kleinmachnow
(Berlin)</t>
  </si>
  <si>
    <t>NH Berlin-Potsdam Conference Center (4*)</t>
  </si>
  <si>
    <t>Zehlendorfer Damm 190, 14532 Kleinmachnow                                                                                  TEL: +49 33203-490, FAX: 0049 3303-49900</t>
  </si>
  <si>
    <t xml:space="preserve">
nhberlinpotsdamconferencecenter@nh-hotels.com</t>
  </si>
  <si>
    <t>NH Bingen (4*)</t>
  </si>
  <si>
    <t>Am Rhein Nahe Eck,  55411 Bingen
TEL: 0049 6721-7960, FAX: 0049 6721-796500</t>
  </si>
  <si>
    <t> nhbingen@nh-hotels.com</t>
  </si>
  <si>
    <t>NH Deggendorf (4*)</t>
  </si>
  <si>
    <t>Edlmaierstr. 4, 94469 Deggendorf
Tel: +49 (0) 991 34460 Fax: +49 (0) 991 3446423</t>
  </si>
  <si>
    <t>ONLY SEASON</t>
  </si>
  <si>
    <t>nhdeggendorf@nh-hotels.com</t>
  </si>
  <si>
    <r>
      <t xml:space="preserve">NH Collection Dresden Altmarkt (4*)
</t>
    </r>
    <r>
      <rPr>
        <b/>
        <sz val="10"/>
        <color rgb="FFFF0000"/>
        <rFont val="Arial"/>
        <family val="2"/>
      </rPr>
      <t>Superior rooms</t>
    </r>
  </si>
  <si>
    <t>6% exclusive</t>
  </si>
  <si>
    <t>An der Kreuzkirche 2, 01067 Dresden                                                           TEL: +49 351-501550, FAX: 0049 351-50155100</t>
  </si>
  <si>
    <t xml:space="preserve">
nhcollectiondresdenaltmarkt@nh-hotels.com</t>
  </si>
  <si>
    <t xml:space="preserve">NH Dresden Neustadt (4*)
</t>
  </si>
  <si>
    <t>Hansastrasse 43, 01097 Dresden                                                                 TEL: +49 351-84240, FAX: 0049 351-8424200</t>
  </si>
  <si>
    <t xml:space="preserve">
nhdresdenneustadt@nh-hotels.com</t>
  </si>
  <si>
    <t>Düsseldorf</t>
  </si>
  <si>
    <t>NH Düsseldorf City (4*)</t>
  </si>
  <si>
    <t>01.04.2020</t>
  </si>
  <si>
    <t>31.03.2021</t>
  </si>
  <si>
    <t>Kölner Str. 186-188, 40227 Düsseldorf
Tel: +49 (0)211 78110 Fax: +49 (0)211 7811800</t>
  </si>
  <si>
    <t>nhduesseldorf@nh-hotels.com</t>
  </si>
  <si>
    <t>NH Erlangen (4*)</t>
  </si>
  <si>
    <t>Beethovenstr. 3, 91052 Erlangen
Tel: +49 (0) 913189120 Fax: +49 (0) 9131 8912107</t>
  </si>
  <si>
    <t>nherlangen@nh-hotels.com</t>
  </si>
  <si>
    <t>NH Essen (4*)</t>
  </si>
  <si>
    <t>Am Porscheplatz 9, 45127 Essen
Tel: +49 (0)201 379210 Fax: +49 (0)201 37921600</t>
  </si>
  <si>
    <t>nhessen@nh-hotels.com</t>
  </si>
  <si>
    <t>NH Frankfurt Airport West (4*)</t>
  </si>
  <si>
    <t>€2,00 p.p.p.n Exclusive</t>
  </si>
  <si>
    <t xml:space="preserve">Kelsterbacher Strasse 19-2, 65479 Raunheim
Tel: 0049 61429900, Fax: 0049 614990100  </t>
  </si>
  <si>
    <t>nhfrankfurtairportwest@nh-hotels.com</t>
  </si>
  <si>
    <t>NH Frankfurt Mörfelden Conference Center (4*)</t>
  </si>
  <si>
    <t>Hessenring 9, 64546 Mörfelden
Tel: 0049 61052040, FAX: 0049 6105204100</t>
  </si>
  <si>
    <t>nhfrankfurtmoerfelden@nh-hotels.com</t>
  </si>
  <si>
    <t>NH Frankfurt Niederrad (4*)</t>
  </si>
  <si>
    <t>Lyoner Strasse 5, 60528 Frankfurt
TEL: 0049 69666080, Fax: 0049 6966608100</t>
  </si>
  <si>
    <r>
      <t xml:space="preserve">NH Fürth Nürnberg (4*)
</t>
    </r>
    <r>
      <rPr>
        <b/>
        <sz val="10"/>
        <color rgb="FFFF0000"/>
        <rFont val="Arial"/>
        <family val="2"/>
      </rPr>
      <t>Suites</t>
    </r>
  </si>
  <si>
    <t>Königstr. 140 90762 Fürth
Tel: + 49 (0) 91174040</t>
  </si>
  <si>
    <t>nhfuerthnuernberg@nh-hotels.com</t>
  </si>
  <si>
    <t>NH Hamburg Altona (4*)</t>
  </si>
  <si>
    <t>5% Inclusive</t>
  </si>
  <si>
    <t>31.10.2020</t>
  </si>
  <si>
    <t>Stresemannstraße 363-369, 22761 Hamburg
Tel: +49(0)40 4210600 Fax: +49 (0)40 421060100</t>
  </si>
  <si>
    <t>01.11.2020</t>
  </si>
  <si>
    <t>nhhamburgaltona@nh-hotels.com</t>
  </si>
  <si>
    <t>NH Hamburg Horner Rennbahn (4*)</t>
  </si>
  <si>
    <t>Rennbahnstraße 90, 22111 Hamburg
Tel: +49 (0)40 655970, Fax: +49 (0)40 65597100</t>
  </si>
  <si>
    <t>nhhornerrennbahn@nh-hotels.com</t>
  </si>
  <si>
    <t xml:space="preserve">Hirschberg </t>
  </si>
  <si>
    <t>NH Hirschberg Heidelberg (4*)</t>
  </si>
  <si>
    <t>Brandenburger Strasse 30, 69493 Hirschberg
TEL: 0049 6201-5020, FAX: 0049 6201-57176</t>
  </si>
  <si>
    <t>nhhirschbergheidelberg@nh-hotels.com</t>
  </si>
  <si>
    <t>NH Ingolstadt (4*)</t>
  </si>
  <si>
    <t>Goethestr. 153, 85055 Ingolstadt
Tel: +49 (0) 841-5030, Fax: +49 (0) 841-5037</t>
  </si>
  <si>
    <t>nhingolstadt@nh-hotels.com</t>
  </si>
  <si>
    <t>Köln/Cologne</t>
  </si>
  <si>
    <t>NH Köln Altstadt (4*)</t>
  </si>
  <si>
    <t>5%
Exclusive</t>
  </si>
  <si>
    <t>10.08.2020</t>
  </si>
  <si>
    <t>18.12.2020</t>
  </si>
  <si>
    <t>Holzmarkt 47, 50676 Köln
Tel: +49 (0)221 2722880 Fax: +49 (0)221 272288100</t>
  </si>
  <si>
    <t>05.04.2020</t>
  </si>
  <si>
    <t>20.04.2020</t>
  </si>
  <si>
    <t>05.07.2020</t>
  </si>
  <si>
    <t>11.01.2021</t>
  </si>
  <si>
    <t>nhkoelnaltstadt@nh-hotels.com</t>
  </si>
  <si>
    <t>06.04.2020</t>
  </si>
  <si>
    <t>19.04.2020</t>
  </si>
  <si>
    <t>06.07.2020</t>
  </si>
  <si>
    <t>09.08.2020</t>
  </si>
  <si>
    <t>19.12.2020</t>
  </si>
  <si>
    <t>10.01.2021</t>
  </si>
  <si>
    <r>
      <t xml:space="preserve">NH Collection Köln Mediapark (4*) 
</t>
    </r>
    <r>
      <rPr>
        <b/>
        <sz val="8"/>
        <color rgb="FFFF0000"/>
        <rFont val="Arial"/>
        <family val="2"/>
      </rPr>
      <t>Superior rooms</t>
    </r>
  </si>
  <si>
    <t>Im Mediapark 8B, 50670 Köln 
Tel: +49 (0)221 27150 Fax: +49 (0)221 2715999</t>
  </si>
  <si>
    <t>nhcollectionkoelnmediapark@nh-hotels.com</t>
  </si>
  <si>
    <t>NH Klösterle Nördlingen (4*)</t>
  </si>
  <si>
    <t>Beim Klösterle 1, 86720 Nördlingen
Tel: + 49 9081 87080 Fax: +49 (0) 9081 8708100</t>
  </si>
  <si>
    <t>nhkloesterlenoerdlingen@nh-hotels.com</t>
  </si>
  <si>
    <t>NH Leipzig Messe (4*)</t>
  </si>
  <si>
    <t>Overnight rate below 30 € pp = 1 € p.p.p.n. 
Overnight rate above 30 € pp = 3 € p.p.p.n. 
Exclusive</t>
  </si>
  <si>
    <t>Fuggerstraße 2, 04158 Leipzig                                                                            Tel: +49 34152510 Fax: +49 3415251300</t>
  </si>
  <si>
    <t>nhleipzigmesse@nh-hotels.com</t>
  </si>
  <si>
    <t>NH Leipzig Zentrum (4*)</t>
  </si>
  <si>
    <t>Burgplatz 5, 04109 Leipzig                                                                                  Tel: N/A , Fax: N/A</t>
  </si>
  <si>
    <t>nhleipzigzentrum@nh-hotels.com</t>
  </si>
  <si>
    <t xml:space="preserve">NH Magdeburg (4*)
</t>
  </si>
  <si>
    <t>Olvenstedter Strasse 2a, 39179 Berleben OT Ebendorf                                                                                TEL: +49 39203-700, FAX: 0049 39203-70100</t>
  </si>
  <si>
    <t xml:space="preserve">
nhmagdeburg@nh-hotels.com</t>
  </si>
  <si>
    <t>NH Mannheim (4*)</t>
  </si>
  <si>
    <t>Seckenheimer Strasse 146, 68165 Mannheim
TEL: 0049 621 172920</t>
  </si>
  <si>
    <t>nhmannheim@nh-hotels.com</t>
  </si>
  <si>
    <t>NH Mannheim Viernheim (4*)</t>
  </si>
  <si>
    <t>Bürgermeister Neff Strasse 12, 68519 Viernheim
TEL: 0049 6204-6090, FAX: 0049 6204-609222</t>
  </si>
  <si>
    <t xml:space="preserve">nhmannheimviernheim@nh-hotels.com </t>
  </si>
  <si>
    <t>NH München Messe (4*)</t>
  </si>
  <si>
    <t>€5,00*</t>
  </si>
  <si>
    <t xml:space="preserve">only possible in standard XL with supplement </t>
  </si>
  <si>
    <t>Eggenfeldenerstrasse 100, 81929 München
Tel: +49 (0) 89 993450 Fax: +49 (0) 89 99345400</t>
  </si>
  <si>
    <t>nhmuenchenmesse@nh-hotels.com</t>
  </si>
  <si>
    <t>NH München Ost Conference Center (4*)</t>
  </si>
  <si>
    <t>Einsteinring 20, 85609 Ascheim-Dornach
Tel: +49 (0( 89 9400960 Fax: +49 (0) 89 940096100</t>
  </si>
  <si>
    <t>nhmuenchenost@nh-hotels.com</t>
  </si>
  <si>
    <t>NH Collection Nürnberg City (4*)
Superior rooms</t>
  </si>
  <si>
    <t>€ 0,00*</t>
  </si>
  <si>
    <t xml:space="preserve">*only possible in family room with supplement </t>
  </si>
  <si>
    <t>Bahnhofstrasse 17-19, 90402 Nürnberg
Tel: +49 (0) 911 99990, Fax: +49 (0) 911 9999100</t>
  </si>
  <si>
    <t>nhcollectionnuernbergcity@nh-hotels.com</t>
  </si>
  <si>
    <t>NH Oberhausen (4*)</t>
  </si>
  <si>
    <t>Düppelstr. 2, 46045 Oberhausen
Tel: +49 (0)208 82440 Fax: +49 (0)208 8244200</t>
  </si>
  <si>
    <t>nhoberhausen@nh-hotels.com</t>
  </si>
  <si>
    <t>NH Stuttgart Airport  (4*)</t>
  </si>
  <si>
    <t>*only allowed in superior room with supplement</t>
  </si>
  <si>
    <t>Bonländer Hauptstrasse 145, 70794 Filderstadt
Tel: +49 (0) 711 77810 Fax: +49 (0) 711 7781174</t>
  </si>
  <si>
    <t>nhstuttgartairport@nh-hotels.com</t>
  </si>
  <si>
    <t xml:space="preserve">NH Stuttgart Sindelfingen  (4*)
</t>
  </si>
  <si>
    <t>Riedmühlestrasse 18-20, 71063 Sindelfingen
Tel: +49 (0) 7031 6980 Fax: +49 (0) 7031 698600</t>
  </si>
  <si>
    <t>nhstuttgartsindelfingen@nh-hotels.com</t>
  </si>
  <si>
    <t xml:space="preserve">NH Schwerin (4*)
</t>
  </si>
  <si>
    <t>Zum Schulacker 1, 19061 Schwerin                                                                   Tel: +49 38563700 Fax: +49 3856370500</t>
  </si>
  <si>
    <t>nhschwerin@nh-hotels.com</t>
  </si>
  <si>
    <t>NH Weinheim (4*)</t>
  </si>
  <si>
    <t>Breslauer Strasse 52, 69469 Weinheim
TEL: 0049 6201-1030, FAX: 0049 6201-103300</t>
  </si>
  <si>
    <t> nhweinheim@nh-hotels.com</t>
  </si>
  <si>
    <t>29.02.2021</t>
  </si>
  <si>
    <t>NH Wiesbaden (4*)</t>
  </si>
  <si>
    <t>Exclusive 3€ /room/night</t>
  </si>
  <si>
    <t>Aukamm Allee 31,  65191 Wiesbaden
TEL: 0049 611-5760, FAX:  0049 611-576264</t>
  </si>
  <si>
    <t xml:space="preserve">nhwiesbaden@nh-hotels.com </t>
  </si>
  <si>
    <t>high s. week  19/04-02/07, 30/08-28/11</t>
  </si>
  <si>
    <t>high s. weekend  19/04-02/07, 30/08-28/11</t>
  </si>
  <si>
    <t>low s. week 08-18/04, 01-29/08, 18/12-15/03</t>
  </si>
  <si>
    <t>low s.weekend  08-18/04, 01-29/08, 18/12-15/03</t>
  </si>
  <si>
    <t>HB 3CRS 32CHF p.p</t>
  </si>
  <si>
    <t>price is in CHF</t>
  </si>
  <si>
    <t>low s. 01/07-31/08, 01/12-28/02</t>
  </si>
  <si>
    <t>high s. weekend Fri-Sun 01/04-30/06, 01/09-30/11, 01-31/03 2021</t>
  </si>
  <si>
    <t>high s. week Mon-Thurs  01/04-30/06, 01/09-30/11, 01-31/03 2021</t>
  </si>
  <si>
    <t xml:space="preserve">EXTRA CONTRACT INFORMATION </t>
  </si>
  <si>
    <t>NH Berlin Alexanderplatz</t>
  </si>
  <si>
    <t>Triple Room description (upon request)</t>
  </si>
  <si>
    <t>Standard room / Superior room / Superior XL / Family room with rollaway bed</t>
  </si>
  <si>
    <t>Upgrade Supplement: Superior room  (upon request)</t>
  </si>
  <si>
    <t>Upgrade Supplement: Superior room XL (upon request)</t>
  </si>
  <si>
    <t>Upgrade Supplement: Family room (upon request)</t>
  </si>
  <si>
    <t>NH Collection Berlin Friedrichstrasse</t>
  </si>
  <si>
    <t xml:space="preserve">Triple Room description </t>
  </si>
  <si>
    <t>only possible in Junior Suite or Family room</t>
  </si>
  <si>
    <t>Upgrade Supplement: Junior Suite room</t>
  </si>
  <si>
    <t>NHC Berlin Mitte am Checkpoint Charlie</t>
  </si>
  <si>
    <t xml:space="preserve">Superior room with extra bed / Junior Suite or Family room </t>
  </si>
  <si>
    <t>Upgrade Supplement: Family new style double room (upon request)</t>
  </si>
  <si>
    <t>NH Berlin City Ost</t>
  </si>
  <si>
    <t>Only possible in Superior room with rollaway bed</t>
  </si>
  <si>
    <t xml:space="preserve"> NH Berlin City West</t>
  </si>
  <si>
    <t>on request, standard double room with extra bed or rollaway bed</t>
  </si>
  <si>
    <t>on request, 25€ per room per night</t>
  </si>
  <si>
    <t>NH Berlin Kurfürstendamm</t>
  </si>
  <si>
    <t>on request, standard double with rollaway bed</t>
  </si>
  <si>
    <t>on request, 20€ per room per night</t>
  </si>
  <si>
    <t>NH Berlin Potsdam Conference Center</t>
  </si>
  <si>
    <t>on request, standard double and Family rooms with rollaway bed</t>
  </si>
  <si>
    <t>on request, €10 per room, per night</t>
  </si>
  <si>
    <t>NH Bingen</t>
  </si>
  <si>
    <t>Superior Room description</t>
  </si>
  <si>
    <t xml:space="preserve">Standard new style </t>
  </si>
  <si>
    <t>NH Deggendorf</t>
  </si>
  <si>
    <t>Only possible in Junior Suite category with rollaway bed, on request only</t>
  </si>
  <si>
    <t>NH Collection Dresden Altmarkt</t>
  </si>
  <si>
    <t>On request</t>
  </si>
  <si>
    <t>HB Supplement Christmas</t>
  </si>
  <si>
    <t>Christmasbuffet 24.12.2020: 44,50€ p.p.</t>
  </si>
  <si>
    <t>HB Supplement NYE</t>
  </si>
  <si>
    <t>New Years Eve Buffet 31.12.2020: 49,5€ p.p.</t>
  </si>
  <si>
    <t>NH Dresden Neustadt</t>
  </si>
  <si>
    <t>On Request</t>
  </si>
  <si>
    <t>NH Düsseldorf City</t>
  </si>
  <si>
    <t>only possible in Standard room with extra bed</t>
  </si>
  <si>
    <t>NH Erlangen</t>
  </si>
  <si>
    <t>Only possible in Superior room category with rollaway bed, on request only</t>
  </si>
  <si>
    <t>NH Essen</t>
  </si>
  <si>
    <t>NH Frankfurt Niederrad</t>
  </si>
  <si>
    <t>NH Fürth</t>
  </si>
  <si>
    <t>Possible in all rooms (all suites), with existing bed type plus pull out couch</t>
  </si>
  <si>
    <t>NH Hamburg Altona</t>
  </si>
  <si>
    <t>NH Hamburg Horner Rennbahn</t>
  </si>
  <si>
    <t>Superior =  Standard with View</t>
  </si>
  <si>
    <t>Upgrade category is not Superior but Standard with View</t>
  </si>
  <si>
    <t>Possible in Standard room with extra bed &amp; Standard View room with extra bed</t>
  </si>
  <si>
    <t>NH Ingolstadt</t>
  </si>
  <si>
    <t>only possible in standard category with rollaway bed, on request only</t>
  </si>
  <si>
    <t>NH Klösterle Nördlingen</t>
  </si>
  <si>
    <t>Only possible in Superior or Family room category with rollaway bed, on request only</t>
  </si>
  <si>
    <t>Upgrade Supplement: Family room</t>
  </si>
  <si>
    <t>3rd pax discount Family room:</t>
  </si>
  <si>
    <t>NH Collection Köln Mediapark</t>
  </si>
  <si>
    <t>only possible in Superior room with extra bed</t>
  </si>
  <si>
    <t>NH Köln Altstadt</t>
  </si>
  <si>
    <t>NH Leipzig Messe</t>
  </si>
  <si>
    <t>NH Leipzig Zentrum</t>
  </si>
  <si>
    <t>on request, only possible in Family Room</t>
  </si>
  <si>
    <t>on request, €25 per room, per night</t>
  </si>
  <si>
    <t xml:space="preserve">NH Mannheim </t>
  </si>
  <si>
    <t xml:space="preserve">Triple room description </t>
  </si>
  <si>
    <t>NH Mannheim Viernheim</t>
  </si>
  <si>
    <t>NH Munich Messe</t>
  </si>
  <si>
    <t>Only possible in Standard XL room category with rollaway bed, on request only</t>
  </si>
  <si>
    <t>Upgrade Supplement: Standard XL room</t>
  </si>
  <si>
    <t>NH Munich Ost Conference Center</t>
  </si>
  <si>
    <t>HB Description</t>
  </si>
  <si>
    <t>regular 3 Course Menu, buffet depending on number of pax in hotel</t>
  </si>
  <si>
    <t>NH Collection Nürnberg City</t>
  </si>
  <si>
    <t>only possible in Family Rooms category with rollaway bed, on request only</t>
  </si>
  <si>
    <t>NH Oberhausen</t>
  </si>
  <si>
    <t>NH Stuttgart Airport</t>
  </si>
  <si>
    <t>Only possible in Standard room category with rollaway bed, on request only</t>
  </si>
  <si>
    <t>NH Schwerin</t>
  </si>
  <si>
    <t>only possible in Family room with extra bed</t>
  </si>
  <si>
    <t>NH Wiesbaden</t>
  </si>
  <si>
    <t>06/01-29/02</t>
  </si>
  <si>
    <t>HB 3 CRS 32€p.p, 4 CRS 41€p.p.</t>
  </si>
  <si>
    <t>27/03-20/05, 01/11-25/11</t>
  </si>
  <si>
    <t>21/05-02/07, 30/08-31/10</t>
  </si>
  <si>
    <t xml:space="preserve">03-23/07, </t>
  </si>
  <si>
    <t xml:space="preserve">03-27/03, </t>
  </si>
  <si>
    <t>24/07-22/08</t>
  </si>
  <si>
    <t xml:space="preserve">23-29/08, </t>
  </si>
  <si>
    <t>HB 3 CRS 32€p.p, 4 CRS 41€p.p. Room+dinner reduce 2€p.p</t>
  </si>
  <si>
    <t>mid s. Sun-Wed  01/04-31/05; 01/09-31/10</t>
  </si>
  <si>
    <t>mid s. Thur-sun  01/04-31/05; 01/09-31/10</t>
  </si>
  <si>
    <t>high s. Sun-Wed 01/06-16/07</t>
  </si>
  <si>
    <t>Peak s.  17/07-31/08, 20/12-10/01/2021</t>
  </si>
  <si>
    <t>high s. Thur-Sun 01/06-16/07</t>
  </si>
  <si>
    <t>low s.Mon-Sun  01/11-19/12; 11/01-31/03 2021</t>
  </si>
  <si>
    <t>free CXL: 29 days</t>
  </si>
  <si>
    <t>Free CXL</t>
  </si>
  <si>
    <t>low s 11/01-31/03</t>
  </si>
  <si>
    <t>mid s. 01/apr-19/dec</t>
  </si>
  <si>
    <t>high s Christmas&amp;NYE 24/12-06/01/2021</t>
  </si>
  <si>
    <t>Classic style "traditional Salzkammergut style" -only german DBL</t>
  </si>
  <si>
    <t>low s. 03/01-28/03/2021</t>
  </si>
  <si>
    <t>mid s. 28/03-16/04, 28/06-30/08, 01/11-02/01/2021</t>
  </si>
  <si>
    <t>high s. 17/04-27/06, 31/08-31/10</t>
  </si>
  <si>
    <t>free CXL: until 30 days</t>
  </si>
  <si>
    <t>high s. 31/08-31/10</t>
  </si>
  <si>
    <t>close-out: 28-31/03, 03-05/04,10-11/04, 01-02/05, 04-09/05, 11-16/05, 28-30/05, 09-13/06, 04-08/09, 16-26/09, 20-21/11, 27-28/11, 04-05/12, 11-12/12, 18-9/12, 25-26/12, 30/12-02/01/2021,02/01/2021, 03-06/03/2021</t>
  </si>
  <si>
    <t>close-out: 28-31/03, 03-06/04,10-11/04, 01-02/05, 04-09/05, 11-16/05, 29-30/05, 09-11/06, 04-08/09, 10-15/09, 19-26/09, 27-28/11, 04-05/12, 11-12/12, 18-9/12, 25-26/12, 30/12-02/01/2021,02-06/03/2021</t>
  </si>
  <si>
    <t>close-out: 28-31/03, 03-07/04,10-11/04,17-18/04, 01-02/05, 03-08/05, 12-15/05, 21-22/05, 29-30/05, 09-12/06, 04-09/09, 21-22/09, 23-27/09, 20-21/11, 27-28/11, 04-05/12, 11-12/12, 18-19/12, 24-26/12, 30/12-02/01/2021,03-06/03/2021</t>
  </si>
  <si>
    <t>low s.03/01-28/03/2021</t>
  </si>
  <si>
    <t>close-out: 28-31/03, 03-07/04,10-11/04, 03-08/05, 12-15/05,  09-12/06, 04-09/09, 20-22/09, 23-27/09, 27-28/11, 04-05/12, 11-12/12, 18-19/12, 31/12-01/01/2021,03-06/03/2021</t>
  </si>
  <si>
    <t>close-out: 28-31/03, 01-07/04,10-12/04,18-19/04,  01-07/05, 12-14/05,  18-22/05, 29-31/05, 31/05-05/06, 09-12/06, 01-09/09,11-16/09,  20-25/09, 23-27/09, 05-09/10, 17-20/10, 27-28/11, 04-05/12, 11-12/12, 18-19/12,25-26/12,  29/12-02/01/2021,03-06/03/2021</t>
  </si>
  <si>
    <t>close-out: 28-31/03, 03-05/04,10-11/04, 01-02/05,04-09/05, 11-16/05, 28-30/05,  09-13/06, 04-08/09, 19-26/09, 20-21/11,  27-28/11, 04-05/12, 11-12/12, 18-19/12,25-26/12, 30/12-02/01/2021,03-06/03/2021</t>
  </si>
  <si>
    <t>close-out: 28-31/03, 03-07/04,10-11/04, 03-08/05, 12-15/05,21-22/05, 29-31/05,  09-12/06, 25-29/06, 04-09/09, 20-22/09, 23-27/09, 07-09/10, 27-28/11, 04-05/12, 11-12/12, 18-19/12, 30/12-01/01/2021,03-06/03/2021</t>
  </si>
  <si>
    <t>A.T.H. Schloss Wilhelminenberg</t>
  </si>
  <si>
    <t>close-out: 28-31/03, 03-07/04,10-12/04, 03-08/05, 12-15/05, 09-12/06, 04-09/09, 20-22/09, 23-27/09, 20-21/11, 27-28/11, 04-05/12, 11-12/12, 18-19/12,  30/12-01/01/2021,03-06/03/2021</t>
  </si>
  <si>
    <t>Intercontinental Wien</t>
  </si>
  <si>
    <t>low s.: 02/01-29/03; 30/11-29/12</t>
  </si>
  <si>
    <t>high s. 04/05-28/06, 07/09-30/10</t>
  </si>
  <si>
    <t>advent 27-29/11, 04-05/12, 11-13/12</t>
  </si>
  <si>
    <t>min 2 nights stay in advent</t>
  </si>
  <si>
    <t>fair dates 11-15/03, 29/03-07/04, 12-15/05</t>
  </si>
  <si>
    <t>free CXL 28 days prior arrival</t>
  </si>
  <si>
    <t>close out:NYE 31/12</t>
  </si>
  <si>
    <t>close-out:12-15/02, 09-11/06, 04-09/09, 11-16/09, 20-26/09, 17-21/10</t>
  </si>
  <si>
    <t>free CXL : 60 days</t>
  </si>
  <si>
    <t>close out: The Nightrace Schladming 28/Jan, Formula1 Spielberg 03-05/Jul, Ennstal Classic 15-26/Jul,Christmas&amp;NYE  24/Dec-10/Jan</t>
  </si>
  <si>
    <t>low s. 02-20/11, 06/01-31/03/2021</t>
  </si>
  <si>
    <t>mid s. 31/03-05/07, 30/08-02/11, 20/11-20/12</t>
  </si>
  <si>
    <t>high s. 05/07-07/08, 19/08-30/08, 20-27/12, 03/01-06/01/2021</t>
  </si>
  <si>
    <t>peak s.  07/08-19/08, 27/12-03/01/2021</t>
  </si>
  <si>
    <t>free CXL: free till 4 weeks before arrival date</t>
  </si>
  <si>
    <t>HB3 CRS 15€p.p</t>
  </si>
  <si>
    <t>close out: Index 01-02/04, ELCC:14-16/04, SIHH 26-29/04, EBACE 25-27/05, VITAFOODS 04-06/05, 11-13/05, EAS 31/05-03/06, EPHJ 16-18/06</t>
  </si>
  <si>
    <t>low s. 02-23/01, 31/01-31/03, 01/11-29/12</t>
  </si>
  <si>
    <t>mid s. 24-30/01, 01/04-09/04</t>
  </si>
  <si>
    <t>high s.10/04-18/06, 21/06-16/07, 19/07-06/08, 09/08-24/09, 27/09-31/10</t>
  </si>
  <si>
    <t>medieval dinner is 15 EUR suppl. to HB, 25€ to BB rate</t>
  </si>
  <si>
    <t>every 21 pax in DBL free, max 2 person , except in peak season</t>
  </si>
  <si>
    <t>free CXL 6 weeks</t>
  </si>
  <si>
    <t>free CXL 8 weeks</t>
  </si>
  <si>
    <t>mid s. 24-30/01, 01-09/04</t>
  </si>
  <si>
    <t>high s. 10/04-18/06, 21/06-16/07, 19/07-06/08, 09/08-24/09, 27/09-31/10</t>
  </si>
  <si>
    <t>peak s. 19-20/06, 17-18/07, 07-08/08, 25-26/09, 30/12-01/01/2021</t>
  </si>
  <si>
    <t>HB buffet 15€p.p, HB 3 CRS 18€p.p.</t>
  </si>
  <si>
    <t xml:space="preserve">free CXL 6 weeks </t>
  </si>
  <si>
    <t xml:space="preserve">free CXL 8 weeks </t>
  </si>
  <si>
    <t>No A/C,  in high s. 2 night stay on Fri-Sat arrival</t>
  </si>
  <si>
    <t>No A/C, peak s. 2 night stay only</t>
  </si>
  <si>
    <t>every 21st pax in DBL free,  max 2 pax in group , excluded from PEAK season</t>
  </si>
  <si>
    <t>Close out: 07-11/06, 19-21/06</t>
  </si>
  <si>
    <t>HB rate- 3 course</t>
  </si>
  <si>
    <t>close out:07-11/06, 19-21/06</t>
  </si>
  <si>
    <t>No A/C, in peak s. 2 night stay only</t>
  </si>
  <si>
    <t>free CXL 30 day</t>
  </si>
  <si>
    <t>low s. Jan, Febr, Marc, Jul, Aug , Nov, Dec , all weekends (Fri, Sat, Sun)</t>
  </si>
  <si>
    <t>high s. April, May, Jun, Sept, Oct</t>
  </si>
  <si>
    <t>Sheraton Fuschlsee Salz Hotel Jagdhof (Arabella Sheraton)</t>
  </si>
  <si>
    <t>free CXL: until 45 days</t>
  </si>
  <si>
    <t>free CXL: until 60 days</t>
  </si>
  <si>
    <t xml:space="preserve">Fair/ADVENT </t>
  </si>
  <si>
    <t>Fair/ADVENT</t>
  </si>
  <si>
    <t>free CXL: until30 days</t>
  </si>
  <si>
    <t>free CXL: until 60/90 days</t>
  </si>
  <si>
    <t>on request, min 2 night stay</t>
  </si>
  <si>
    <t>on request/ min 2 night stay</t>
  </si>
  <si>
    <t>free CXL:30 days</t>
  </si>
  <si>
    <t>low s. 02/11-29/12, 02/01-28/03/2021</t>
  </si>
  <si>
    <t>mid s. 01-30/04, 06/07-30/08</t>
  </si>
  <si>
    <t>high s. 01/05-05/07, 31/08-01/11</t>
  </si>
  <si>
    <t>Advent weekends 27/11-29/11; 04-06/12; 11-13/12; 18-20/12</t>
  </si>
  <si>
    <t>free CXL: 21 days</t>
  </si>
  <si>
    <t>free CXL:28/days</t>
  </si>
  <si>
    <t>free CXL: 28/days</t>
  </si>
  <si>
    <t>free CXL: 60/days</t>
  </si>
  <si>
    <t>free CXL: 35/days</t>
  </si>
  <si>
    <t>HB 3 CRS 18€p.p</t>
  </si>
  <si>
    <t xml:space="preserve">Schloss Pichlarn </t>
  </si>
  <si>
    <t>Schloss Pichlarn</t>
  </si>
  <si>
    <t>only 17 tw rooms</t>
  </si>
  <si>
    <t>high s. Sun-Thur '01/04-31/10</t>
  </si>
  <si>
    <t>high s. Fri-Sat '01/04-31/10</t>
  </si>
  <si>
    <t>low s. Fri-Sat 01/11/2019-31/03/2020 except 24/dec-01/Jan</t>
  </si>
  <si>
    <t>Standard rooms</t>
  </si>
  <si>
    <t>low s. Sun-Thur 01/11/2019-31/03/2020, 06/01-10/02, 01/11-31/03/2021 (except 24/dec-01/Jan)</t>
  </si>
  <si>
    <t>low s Fri-Sat 01/11-31/03/21 (except 24/dec-01/Jan)</t>
  </si>
  <si>
    <t>2 nights stay</t>
  </si>
  <si>
    <t>Mid s. 01/07-31/08, 29-30/11, 06-07/12, 13-14/12</t>
  </si>
  <si>
    <t>High s. 01/04-30/06, 01/09-31/10</t>
  </si>
  <si>
    <t>Peak s. 09-12/04,01-02/05,08-09/05, 21-23/05, 29-31/05, 11-13/06</t>
  </si>
  <si>
    <t xml:space="preserve">low s. Mon-Sun 03/01-30/03, </t>
  </si>
  <si>
    <t>HB 3CRS  22€p.p</t>
  </si>
  <si>
    <t>mid s Mon-Thur 01-19/04, 05/07-30/08, 30/10-02/01/2021</t>
  </si>
  <si>
    <t>mid s Fri-Sun 01-19/04, 05/07-30/08, 30/10-02/01/2021</t>
  </si>
  <si>
    <t>high s.Mon-Sun 20/04-04/07, 31/08-29/10</t>
  </si>
  <si>
    <t>HB 3CRS  23€p.p</t>
  </si>
  <si>
    <t>HB 3CRS  24€p.p</t>
  </si>
  <si>
    <t>free CXL:28 days prior arrival</t>
  </si>
  <si>
    <t>city tax excluded</t>
  </si>
  <si>
    <t>low s. Mon-Thur  01/12-28/02/2021</t>
  </si>
  <si>
    <t>mid s. Mon-Thurs 01/07-31/08, 01-30/11, 01/03-28/02/2021</t>
  </si>
  <si>
    <t>high s. Mon-Thur 01/04-30/06, 01/09-31/10</t>
  </si>
  <si>
    <t>all s. Fri-Sun</t>
  </si>
  <si>
    <t>1 pax free for 15 paying guest</t>
  </si>
  <si>
    <t>high s. Fri-Sun 27/04-09/07, 07/09-22/10</t>
  </si>
  <si>
    <t>high s. Mon-Thur 27/04-09/07, 07/09-22/10</t>
  </si>
  <si>
    <t xml:space="preserve">mid s. Fri-Sun 01-26/04; 23/10-20/12,02-31/03/2021 </t>
  </si>
  <si>
    <t xml:space="preserve">mid s. Mon-Thur 01-26/04; 23/10-20/12,02-31/03/2021 </t>
  </si>
  <si>
    <t>low s. Mon-Sun 10/07-06/09, 21/12-01/03/2021</t>
  </si>
  <si>
    <t>free CXL: 28 days prior arrival</t>
  </si>
  <si>
    <t>mid s. Mon-Sun 01-30/04; 26/10-01/01/2021</t>
  </si>
  <si>
    <t>low s. Mon-Thur 01/07-31/08,  02/01-31/03 2021</t>
  </si>
  <si>
    <t>low s. Fri-Sun 01/07-31/08,  02/01-31/03 2021</t>
  </si>
  <si>
    <t>high s.Mon-Thur 01/05-30/06; 01/09-25/10</t>
  </si>
  <si>
    <t>high s. Fri-Sun 01/05-30/06; 01/09-25/10</t>
  </si>
  <si>
    <t>low s. Mon-Sun 03/01-03/31/2021</t>
  </si>
  <si>
    <t>mid s. Fri-Sun 04/01-30/04,  05/10-19/11</t>
  </si>
  <si>
    <t>mid s. Mon-Thur 04/01-30/04,  05/10-19/11</t>
  </si>
  <si>
    <t>high s.Mon-Thur 01/05-04/10; 20/11-02/01/2021</t>
  </si>
  <si>
    <t>high s. Fri-Sun 01/05-04/10; 20/11-02/01/2021</t>
  </si>
  <si>
    <t xml:space="preserve">free CXL </t>
  </si>
  <si>
    <t>close out: AGO 22-25/04, ÖKG 03-05/06, ÖGGH, ESHNR 10-12/09, ÖGIM, GAST, ÖDG 18-20/11, AUTOZUM 20-23/01/2021, Festspiele 17/07-30/08, Weekend 01/05-04/10, EASTER, 10-12/04, Christmas Markets weekend 20/11-27/12, NYE 30/12-01/01 2021</t>
  </si>
  <si>
    <t>min. 2 nights stay on festspiele, Easter,weekends 01/05-04/10, Christmas Market, Easter, NyE, Festspiele</t>
  </si>
  <si>
    <t>festspiele Sun-Thur  17/07-30/08</t>
  </si>
  <si>
    <t>supplement 40€p.p/night min. 2 nights stay on festspiele, Easter,weekends 01/05-04/10, Christmas Market, Easter, NyE, Festspiele</t>
  </si>
  <si>
    <t>supplement 75€p.p./n, min. 2 nights stay on festspiele, Easter,weekends 01/05-04/10, Christmas Market, Easter, NyE, Festspiele</t>
  </si>
  <si>
    <t>festspiele Fri-Sat 17/07-30/08, NYE</t>
  </si>
  <si>
    <t>mid. s. week 01-07/04, 03-31/07, 29/11-17/12, 16-31/03 2021</t>
  </si>
  <si>
    <t>mid s.weekend 01-07/04, 03-31/07, 29/11-17/12, 16-31/03 2021</t>
  </si>
  <si>
    <t xml:space="preserve">NO Allotment </t>
  </si>
  <si>
    <t>free CXL: 28 days prior arrival, NYE:8 weeks prior arrival</t>
  </si>
  <si>
    <t>Low s. 02/01-28/02</t>
  </si>
  <si>
    <t>Mid s. 01-30/04, 01-31/07</t>
  </si>
  <si>
    <t>Low s. 01/03-31/03, 01/11-27/12</t>
  </si>
  <si>
    <t>High s. 01/05-30/06, 01/08-31/10</t>
  </si>
  <si>
    <t>Peak s. F1, NYE</t>
  </si>
  <si>
    <t>tax included</t>
  </si>
  <si>
    <t>HB 3CRS 14€p.p.</t>
  </si>
  <si>
    <t>Free CXL: 30 days prior arrival</t>
  </si>
  <si>
    <t>Child:1 child under age 12 can stay free, 1 Chld+1 adult in one rooms charged as sgl room</t>
  </si>
  <si>
    <t>Fair dates.: 08-11/01, 20-24/01, 03-05/02, Winter dogshow,12-15/02, 26-29/02, 19-21/03, 31/03-04/04, 19-21/04, H.Ch. Of Agriculture, 05-06/05, 04-07/05, Autoch Future, 02-07/06, 15-16/06, 19-20/06, 23-24/06, 27-28/06, 21-25/07, F1, 05-11/07,11-20/09, OMÉK in Sept, 28/09-30/10, Dental Word in Oct, HUngaromed in Oct,Automotive in Oct, Ponty Show in Nov, Meoe Dog in NOV&amp;Dec, NYE30/12-02/01/2021</t>
  </si>
  <si>
    <t>low s.:01/01-31/03</t>
  </si>
  <si>
    <t>01/11-23/12</t>
  </si>
  <si>
    <t>01/04-31/05, 01/09-31/10</t>
  </si>
  <si>
    <t>01/06-31/07</t>
  </si>
  <si>
    <t>23-31/12</t>
  </si>
  <si>
    <t>lake view suppl. 18€/room</t>
  </si>
  <si>
    <t>01-31/Aug</t>
  </si>
  <si>
    <t>not available in aug</t>
  </si>
  <si>
    <t>lake view room 99€p.p./n/tw, sgl 151</t>
  </si>
  <si>
    <t>Free CXL:28 days</t>
  </si>
  <si>
    <t>Groups receive a discount of EUR 10 per room on the 2night, if they stay for 2 nights. Discount available all year except of August</t>
  </si>
  <si>
    <t>high s. apr,may,june,sept,oct</t>
  </si>
  <si>
    <t>low s. jan, feb, mar, jul, aug, nov, dec and all weekend(Fri-Sun)</t>
  </si>
  <si>
    <t>every 21 pax free in  DBL/TW</t>
  </si>
  <si>
    <t>Free CXL: 30days prior arrival</t>
  </si>
  <si>
    <t>mid s-01/04-30/04, 16-31/10</t>
  </si>
  <si>
    <t>high s.01/05-15/06, 01/10-15/10</t>
  </si>
  <si>
    <t>low s. 01/11-31/03</t>
  </si>
  <si>
    <t>peak s. 16/06-30/09</t>
  </si>
  <si>
    <t>21st in twin</t>
  </si>
  <si>
    <t>HB supplement 25€</t>
  </si>
  <si>
    <t>city tax included</t>
  </si>
  <si>
    <t>21st pax free</t>
  </si>
  <si>
    <t xml:space="preserve">Mid s.week 01/11-27/12 </t>
  </si>
  <si>
    <t>Low s.&amp; weekends 01/01-28/02, 01/07-31/08</t>
  </si>
  <si>
    <t>High s. week 01/03-30/06, 01/09-31/10, 28-31/12</t>
  </si>
  <si>
    <t>01/04/2020-31/03/2021</t>
  </si>
  <si>
    <t>Free CXL:4 weeks prior arrival</t>
  </si>
  <si>
    <t>low s. 01/11-31/03/2021</t>
  </si>
  <si>
    <t>high s.Mon-Thur : 01/05-31/10</t>
  </si>
  <si>
    <t>high s Fri-Sat.: 01/05-31/10</t>
  </si>
  <si>
    <t>Mid s.01-30/04</t>
  </si>
  <si>
    <t>HB mandatory on Fri-Sat</t>
  </si>
  <si>
    <t>Free CXL:1 nigh 28days prior arrival, 2 nights stay 42 days before arrival</t>
  </si>
  <si>
    <t>HB 3CRS 19€p.p, 4CRS 24€p.p</t>
  </si>
  <si>
    <t>Free CXL:4-6 weeks prior arrival</t>
  </si>
  <si>
    <t xml:space="preserve">low s.: </t>
  </si>
  <si>
    <t xml:space="preserve">high S. </t>
  </si>
  <si>
    <t>low s. 01/01-31/03, 01-30/11</t>
  </si>
  <si>
    <t>mid.s 01-30/04, 01/07-31/08, 01/12-29/12</t>
  </si>
  <si>
    <t>high s 01/05-30/06, 01/09-31/10</t>
  </si>
  <si>
    <t>Free CXL:30 days prior arrival</t>
  </si>
  <si>
    <t>city tax&amp;registration&amp;insurace</t>
  </si>
  <si>
    <t>low: 01/11-28/12; 02/01-31/03/2021</t>
  </si>
  <si>
    <t>high s.: 01/04-30/06,01/09-31/10</t>
  </si>
  <si>
    <t>peak s.29/12-01/01/2021</t>
  </si>
  <si>
    <t>mid s.01/07-31/08</t>
  </si>
  <si>
    <t>Free CXL: 28 days prior arrival</t>
  </si>
  <si>
    <t>Low s. 07/01-29/03</t>
  </si>
  <si>
    <t>Mid s.26/10-22/12</t>
  </si>
  <si>
    <t>Peak s. 30/04-31/05, 03/08-01/10, 23-25/10</t>
  </si>
  <si>
    <t>HB included</t>
  </si>
  <si>
    <t>for FRI-SAT 7.6 € p.p. suppl. Except in low season and min 3 night stay</t>
  </si>
  <si>
    <t xml:space="preserve">High s.30/03-29/04, 01/06-02/08, 02-22/10 </t>
  </si>
  <si>
    <t>EASTER suppl.78€p.p, for FRI-SAT 7.6 € p.p. suppl. Except in low season and min 3 night stay</t>
  </si>
  <si>
    <t>43368224440200</t>
  </si>
  <si>
    <t>HB 3CRS 17,5€ p.p.</t>
  </si>
  <si>
    <t>High s. 01/04-30/06, 01-09-31/10, 29/12-01/01/2021</t>
  </si>
  <si>
    <t>Mid s. 01/07-31/08</t>
  </si>
  <si>
    <t>Low s. 01/11-28/12, 02/01-31/03/2021</t>
  </si>
  <si>
    <t>Free CXl: 30 days prior arrial</t>
  </si>
  <si>
    <t>HB Buffet style 15€p.p</t>
  </si>
  <si>
    <t>HB buffet stlye 15€p.p</t>
  </si>
  <si>
    <t>Low s1. 02/01-08/04</t>
  </si>
  <si>
    <t>Low s2. 23/10-29/12 advent weekends excl</t>
  </si>
  <si>
    <t>advent weekend excl.</t>
  </si>
  <si>
    <t>Free CXL:29 days prior arrival</t>
  </si>
  <si>
    <t>rates for other season  offered on ad-hoc basis</t>
  </si>
  <si>
    <t>NO allotment on 16-19/03, 23-25/05,11-13/06, 05-08/09</t>
  </si>
  <si>
    <t>Low s1.02/01-08/04</t>
  </si>
  <si>
    <t>High s.09/04-25/06</t>
  </si>
  <si>
    <t>Mid s. 04/09-22/10</t>
  </si>
  <si>
    <t>Low s2. 26/06-03/09</t>
  </si>
  <si>
    <t xml:space="preserve">ADVENT weekend 27-29/11, 04-06/12, </t>
  </si>
  <si>
    <t>Event 23-25/05</t>
  </si>
  <si>
    <t>NYE 30/12-01/01/2021</t>
  </si>
  <si>
    <t>Weekend: Fri-Sun</t>
  </si>
  <si>
    <t>No allotment:16-19/03, 05-08/09</t>
  </si>
  <si>
    <t>16th pax free</t>
  </si>
  <si>
    <t>Close -out:12-15/09, 21-26/09, 17-21/10</t>
  </si>
  <si>
    <t>Low s. 01-09/04</t>
  </si>
  <si>
    <t>High s. 10/04-25/06, 04/09-31/10</t>
  </si>
  <si>
    <t>Mid s. 26/06-03/09</t>
  </si>
  <si>
    <t>min 2 night stay on 10-13/04, 21-23/05, 11-13/06</t>
  </si>
  <si>
    <t>allotment 15 tw, 2sgl</t>
  </si>
  <si>
    <t>free CXL: 30 days prior arrival</t>
  </si>
  <si>
    <t>free CXL: 29 days prior arrival</t>
  </si>
  <si>
    <t>Sun-Thur 13-29/04, 03-28/05, 01/06-19/07, 23/08-30/09</t>
  </si>
  <si>
    <t>Sun-Thur 03/01-09/04, 01-21/10, 25-23/12</t>
  </si>
  <si>
    <t>Fri-Sat 13-29/04, 03-28/05, 01/06-19/07, 23/08-30/09</t>
  </si>
  <si>
    <t>Fri-Sat 03/01-09/04, 01-21/10, 25-23/12</t>
  </si>
  <si>
    <t>close-out: 10-13/04, 30/04-03/05, 29/05-01/06, 19/06-23/08, 22-25/10, 23/12-02/01/2021</t>
  </si>
  <si>
    <t>free CXL:30 days prior arrival</t>
  </si>
  <si>
    <t>19/july-23/aug closeout for groups: can try on request</t>
  </si>
  <si>
    <t>Local tax included</t>
  </si>
  <si>
    <t>19/july-23/aug close out for groups: can try on request</t>
  </si>
  <si>
    <t>16th pax free, max 3 person, not include city tax</t>
  </si>
  <si>
    <t>Jan, Feb, Mar, Apr, May, Jun, Sept, Oct, Nov, Dec</t>
  </si>
  <si>
    <t>Jul-Aug (Mon-Thur), Sept-Jun (Fri-Sun)</t>
  </si>
  <si>
    <t>Jul-Aug (Fri-Sun), Sept-Jun (Mon-Thur)</t>
  </si>
  <si>
    <t>free CXL: 45 days prior arrival</t>
  </si>
  <si>
    <t xml:space="preserve">Standard rooms  </t>
  </si>
  <si>
    <t>Closed for renovation on06/01-10/02</t>
  </si>
  <si>
    <t>Low s. 02/01-10/04, 04/10-28/12</t>
  </si>
  <si>
    <t>Mid s. 13/04-21/05, 06/09-04/10,</t>
  </si>
  <si>
    <t>Peak s.31/07-16/08</t>
  </si>
  <si>
    <t>H/Pension included, deduction for BB 8,00€</t>
  </si>
  <si>
    <t>H/Pension included, deduction for BB 5,00€</t>
  </si>
  <si>
    <t>. 10/04-13/04, 21/05-10/07, 23/08-06/09</t>
  </si>
  <si>
    <t>High s 10/07-31/07, 16/08-23/08</t>
  </si>
  <si>
    <t>High s. 10/07-31/07, 16/08-23/08</t>
  </si>
  <si>
    <t>festive dates NO groups are possible for 1 or 2 night! Only long stay!!!10/04-13/04, 30/04-03/05, 29/05-01/06, 20-23/08, 22-25/10</t>
  </si>
  <si>
    <t>Low S. 08/01-10/04, 27/09-20/12</t>
  </si>
  <si>
    <t>High S. 10/04-27/09</t>
  </si>
  <si>
    <t>Low s.01/01-31/03</t>
  </si>
  <si>
    <t>High s. 01/04-31/10</t>
  </si>
  <si>
    <t>Mid s. 01/11-31/12</t>
  </si>
  <si>
    <t>HB 3CRS 16€, 4CRS 21€</t>
  </si>
  <si>
    <t xml:space="preserve">Fourside Hotel Salz (Arena City </t>
  </si>
  <si>
    <t>A.T.H. Schillerpark</t>
  </si>
  <si>
    <t>Sheraton Grand Salz 5*</t>
  </si>
  <si>
    <t>low s.04/01-31/01, 01/03-30/04, 12/10-24/12</t>
  </si>
  <si>
    <t>mid s.: 01-29/02, 01/05-03/07, 24/08-11/10</t>
  </si>
  <si>
    <t>high s 24/12/19-04/01/20, 04/07-23/08</t>
  </si>
  <si>
    <t>city tax&amp; insurace</t>
  </si>
  <si>
    <t>2.60-4</t>
  </si>
  <si>
    <t>mid s. 03/04-09/07, 13/09-31/10, 21/12-28/12</t>
  </si>
  <si>
    <t>low s. 05/01-02/04, 01/11-20/12</t>
  </si>
  <si>
    <t>high s. 10/07-12/09, 29/12-09/01/21</t>
  </si>
  <si>
    <t>free CXL: 35 days prior arrival</t>
  </si>
  <si>
    <t>Close-out: UEFA 15-17/06, 19-21/06, 23-25/06, 27-29/06</t>
  </si>
  <si>
    <t>low s. 06/01-09/04; 19/10-03/12, 14-23/12</t>
  </si>
  <si>
    <t>mid s. 03-05/01, 10/04-25/06, 07/09-18/10, 04-13/12, 24-27/12</t>
  </si>
  <si>
    <t>high s. 26/06-06/09, 28/12-03/01/2021</t>
  </si>
  <si>
    <t>Close Out:10.01-19.01.20, 31.01-02.02.20, 04.03-07.03.20, 06.05-08.05.20, 21.09-24.09.20</t>
  </si>
  <si>
    <t>Sun-Thur 01-28/11/19, 06/01-30/04, 17/04-04/09</t>
  </si>
  <si>
    <t>Fri-Sat 01-28/11/19, 06/01-30/04, 17/04-04/09</t>
  </si>
  <si>
    <t>FIT RATE, No group rates on contract only on request</t>
  </si>
  <si>
    <t>Mon-Sun 29/11-19/12/19, 01/05-11/06, 05/09-31/11</t>
  </si>
  <si>
    <t>Mon-Sun 20/12-05/01, 12/06-16/20</t>
  </si>
  <si>
    <t>Low s.11/01-29/02, 15/11-22/12</t>
  </si>
  <si>
    <t>mid s.01/01-10/01, 01/03-31/05, 01/10-14/11</t>
  </si>
  <si>
    <t>high s.01/06, 23/1230/12</t>
  </si>
  <si>
    <t>21st in twin+ Driver</t>
  </si>
  <si>
    <t>free CXL: 21 days prior arrival</t>
  </si>
  <si>
    <t>free CXL: 10 days prior arrival</t>
  </si>
  <si>
    <t xml:space="preserve">NO arrival/departure on 31/Dec </t>
  </si>
  <si>
    <t>min 2 nights stay in  advent</t>
  </si>
  <si>
    <t>low s. Mon-Thur 01/01-31/03, 01/07-31/08, 01/11-31/03</t>
  </si>
  <si>
    <t xml:space="preserve">Fri-Sun </t>
  </si>
  <si>
    <t>free CXL:6 weeks prior arrival</t>
  </si>
  <si>
    <t>low s.; 02/01-31/03; 01/07-31/08, 01-03/12,  6-10/12, 13-29/12</t>
  </si>
  <si>
    <t>mid s.01/04-30/06, 01-30/11</t>
  </si>
  <si>
    <t>high s.01/09-31/10, 04-05/12, 11-12/12, 30/12-01/01/21</t>
  </si>
  <si>
    <t>2 night stay in Advent weekend, 3 night stay on NYE</t>
  </si>
  <si>
    <t>free CXL: 4 week prior arrival</t>
  </si>
  <si>
    <t>20th in twin</t>
  </si>
  <si>
    <t>Grand Hotel Neum</t>
  </si>
  <si>
    <t>04/01-25/04, 17/10-23/12</t>
  </si>
  <si>
    <t>Peak s. 11/07-22/08</t>
  </si>
  <si>
    <t>High s. 27/06-11/07, 22/08-05/09</t>
  </si>
  <si>
    <t>Mid s. 06/06-27/06, 05/09-26/09</t>
  </si>
  <si>
    <t>Low s.25/04-06/06, 26/09-17/10</t>
  </si>
  <si>
    <t>25th in twin</t>
  </si>
  <si>
    <t>0.6~0.8</t>
  </si>
  <si>
    <t>1~0.8</t>
  </si>
  <si>
    <t>Close-out:21-25/05., 09-14/06</t>
  </si>
  <si>
    <t>Sun, Mon night only</t>
  </si>
  <si>
    <t>Tue- Fri on request</t>
  </si>
  <si>
    <t>Tue - Fri on request</t>
  </si>
  <si>
    <t>high s.: May-June, Aug-Oct</t>
  </si>
  <si>
    <t>peak s. 16/05-30/09</t>
  </si>
  <si>
    <t>high s. 16/04-15/05, 01-25/10</t>
  </si>
  <si>
    <t>low s. 01/01-15/03, 16/11-31/12</t>
  </si>
  <si>
    <t>mid.s 16/03-15/04, 26/10-15/11</t>
  </si>
  <si>
    <t xml:space="preserve">free CXL: 45 days </t>
  </si>
  <si>
    <t>HB supplement 18€</t>
  </si>
  <si>
    <t>low s. 01/01-10/04, 30/10-31/12</t>
  </si>
  <si>
    <t>mid s. 11/04-01-05, 17-29/10</t>
  </si>
  <si>
    <t>high s. 02/05-05/06-25/09-16/10</t>
  </si>
  <si>
    <t>Peak s 11/07-28/08</t>
  </si>
  <si>
    <t>high  s. 06/06-10/07, 29/08-24/09</t>
  </si>
  <si>
    <t>all rooms are renovated</t>
  </si>
  <si>
    <t>high s. 18/05-07/06</t>
  </si>
  <si>
    <t>mid s. 23/03-17/05; 21-27/09</t>
  </si>
  <si>
    <t>low s. 03/01-22/03; 28/09-22/12</t>
  </si>
  <si>
    <t>free CXL: 43 days</t>
  </si>
  <si>
    <t>free CXL:42 days</t>
  </si>
  <si>
    <t>low s. 02/01-27/03, 03/10-30/12</t>
  </si>
  <si>
    <t>peak s. 30/05-19/06, 29/08-04/09</t>
  </si>
  <si>
    <t>high s. 25/04-29/05, 05/09-11/09</t>
  </si>
  <si>
    <t>mid s. 28/03-24/04, 12/09-02/10</t>
  </si>
  <si>
    <t>20/06-28/08</t>
  </si>
  <si>
    <t xml:space="preserve">free CXL: 43 days </t>
  </si>
  <si>
    <t>free CXL: 30 days from 02/01-27/03</t>
  </si>
  <si>
    <t>2/1 for a group over 20 pax, 1/1 for a group from 15 to 19 pax</t>
  </si>
  <si>
    <t>Pre payment</t>
  </si>
  <si>
    <t>pre-payement: 7 days before the group arrives</t>
  </si>
  <si>
    <t>Low s.</t>
  </si>
  <si>
    <t>free CXL:5 weeks</t>
  </si>
  <si>
    <t>High s.only on request</t>
  </si>
  <si>
    <t>Easter:03-13/04 min 3 night stay, Whitsun:29/05-01/06, Summer fest: 17/07-31/08, Adv weekends min 2 nights stay, NYE:31/12-02/01/21, Mozart week 21/01-01/02/21</t>
  </si>
  <si>
    <t>27/01-17/03, 12-29/11</t>
  </si>
  <si>
    <t>NO commission</t>
  </si>
  <si>
    <t>High s. 22/06-18/07, 23/08-05/09</t>
  </si>
  <si>
    <t>High s. 19/07-22/08</t>
  </si>
  <si>
    <t>Close out:22/12-01/01/21</t>
  </si>
  <si>
    <t>Low s. 01/01-21/07, 01/09-28/11, 02/01/21-31/03/21</t>
  </si>
  <si>
    <t>High s. 22/07-31/08, 29/11-22/12</t>
  </si>
  <si>
    <t>low s. 01/01-31/03; 01/11-31/12</t>
  </si>
  <si>
    <t>mid s. 01-30/04, 21-31/10</t>
  </si>
  <si>
    <t xml:space="preserve">high s. 01-31/05, 07-20/10, </t>
  </si>
  <si>
    <t>peak s 01-30/06, 23/09-06/10</t>
  </si>
  <si>
    <t>deluxe</t>
  </si>
  <si>
    <t>deluxe sea view</t>
  </si>
  <si>
    <t>HB 17€</t>
  </si>
  <si>
    <t>HB 20€</t>
  </si>
  <si>
    <t>HB 15€</t>
  </si>
  <si>
    <t>Low s. 21/05-11/06; 11/10-18/12</t>
  </si>
  <si>
    <t>Mid s. 12-18/06; 23/08-10/10</t>
  </si>
  <si>
    <t>High s. 19/06-22/08</t>
  </si>
  <si>
    <t>free CXL:60 days prior arrival</t>
  </si>
  <si>
    <t>rates are in CHF,incl. amercian hot breakfast</t>
  </si>
  <si>
    <t>rates are in CHF, incl. amercian hot breakfast</t>
  </si>
  <si>
    <t>Closed: 13/04-20/05</t>
  </si>
  <si>
    <t>HB 3CRS 30CHF, 4CRS 40CHF</t>
  </si>
  <si>
    <t>Low s. 02/01-31/03</t>
  </si>
  <si>
    <t>Mid s. 01/04-16/07; 01/09-19/11; 22-26/11; 29/11-03/12, 06-10/12, 20-28/12</t>
  </si>
  <si>
    <t>High s.17/07-31/08, 20-21/11, 27-28/11, 04-05/12, 11-12/12,29/12-19/01/21</t>
  </si>
  <si>
    <t>No contract, 2020 rate</t>
  </si>
  <si>
    <t>Jan, Feb, Mar, Nov, Dec 01-27</t>
  </si>
  <si>
    <t>Apr, May, Jun, Aug, Sept, Oct, Dec 28-31</t>
  </si>
  <si>
    <t>Mot GP, MSV</t>
  </si>
  <si>
    <t xml:space="preserve">Min. 2 nights stay </t>
  </si>
  <si>
    <t>free CXL: 21 day prior arrival</t>
  </si>
  <si>
    <t>26th  in twin</t>
  </si>
  <si>
    <t>Payment in advance by pro-forma invoice</t>
  </si>
  <si>
    <r>
      <rPr>
        <sz val="12"/>
        <color theme="1"/>
        <rFont val="Times New Roman"/>
        <family val="1"/>
      </rPr>
      <t>NO allotment in 2020</t>
    </r>
    <r>
      <rPr>
        <sz val="12"/>
        <color rgb="FFFF0000"/>
        <rFont val="Times New Roman"/>
        <family val="1"/>
        <charset val="238"/>
      </rPr>
      <t xml:space="preserve"> </t>
    </r>
  </si>
  <si>
    <r>
      <rPr>
        <sz val="12"/>
        <color theme="1"/>
        <rFont val="Times New Roman"/>
        <family val="1"/>
      </rPr>
      <t>NO allotment in 2021</t>
    </r>
    <r>
      <rPr>
        <sz val="12"/>
        <color rgb="FFFF0000"/>
        <rFont val="Times New Roman"/>
        <family val="1"/>
        <charset val="238"/>
      </rPr>
      <t/>
    </r>
  </si>
  <si>
    <r>
      <rPr>
        <sz val="12"/>
        <color theme="1"/>
        <rFont val="Times New Roman"/>
        <family val="1"/>
      </rPr>
      <t>NO allotment in 2022</t>
    </r>
    <r>
      <rPr>
        <sz val="12"/>
        <color rgb="FFFF0000"/>
        <rFont val="Times New Roman"/>
        <family val="1"/>
        <charset val="238"/>
      </rPr>
      <t/>
    </r>
  </si>
  <si>
    <t>16th in twin</t>
  </si>
  <si>
    <t>free CXL:.28 days prior arrival</t>
  </si>
  <si>
    <t>low-s.: 26/10-03/12, 07-10/12, 14-27/12, 04/01-31/30/21</t>
  </si>
  <si>
    <t>FRI-SUN</t>
  </si>
  <si>
    <t>high s. 27-28/06, 24/08-25/10, 04-06/12, 11-12/12, 28/12-03/01/20</t>
  </si>
  <si>
    <t>mid s.:01-26/04, 29/06-23/08</t>
  </si>
  <si>
    <t>Low s.: 06/01-10/04, 08/11-23/12</t>
  </si>
  <si>
    <t>Mid s.02-05/01, 11/04-04/06, 11/10-07/11, 24/12-02/01/21</t>
  </si>
  <si>
    <t>High s.05/06-10/10</t>
  </si>
  <si>
    <t xml:space="preserve">free CXL: 31 days </t>
  </si>
  <si>
    <t>Peak s. July- Aug, NYE(27/12-06/01)</t>
  </si>
  <si>
    <t>Low s. Jan-Apr, Nov. 1-19</t>
  </si>
  <si>
    <t>Mid s. Nov.20-30&amp; Dec, FRI-SAT min2nights stay+10%surcharge</t>
  </si>
  <si>
    <t>High s. May-Jun, Sep-Oct</t>
  </si>
  <si>
    <t>31th in twin</t>
  </si>
  <si>
    <t>14 days prior arrival 100%</t>
  </si>
  <si>
    <t>low s.01/04-30/04, 01/11-31/03/21</t>
  </si>
  <si>
    <t>high s. Sun-Thur. 01/05-31/10</t>
  </si>
  <si>
    <t>high s. Fri-Sat. 01/05-31/10</t>
  </si>
  <si>
    <t>Fri-Sat</t>
  </si>
  <si>
    <t xml:space="preserve">free CXL: 45 days prior arrival </t>
  </si>
  <si>
    <t>HB 3 CRS 20€-22€, 4CRS 26€-28€</t>
  </si>
  <si>
    <t>low s.10-20/01/21, 31/01-15/03/21</t>
  </si>
  <si>
    <t>mid s.28-31/03, 01-02/04, 14/04-28/05, 02/06-16/07, 01/09-22/12, 07-09/01, 21-30/01, 16-25/03</t>
  </si>
  <si>
    <t>high s.: 03-13/04, 29/05-01/06, 17/07-31/08, 27-28/11, 04-07/12, 11-12/12, 18-19/12, 23/12-06/01/21, 26-28/03/21</t>
  </si>
  <si>
    <t>mid s. 28-31/03, 01/04-16/07, 01/09-27/12, 16-28/03/21</t>
  </si>
  <si>
    <t>low s. 03/01-15/03/21</t>
  </si>
  <si>
    <t>high s. 17/07-31/08, 27-28/11, 04-07/12, 11-12/12, 18-19/12, 28/12-02/01/21</t>
  </si>
  <si>
    <t>excl.Advent</t>
  </si>
  <si>
    <t>free CXL:4 weeks prior arrival</t>
  </si>
  <si>
    <t>low s. 16/05-04/07, 24/08-11/10, 16/05/01/06, 28/09-11/10</t>
  </si>
  <si>
    <t>high s. 04/07-24/08</t>
  </si>
  <si>
    <t>dinner in neighbour restaurant</t>
  </si>
  <si>
    <t>Low s. Jan-Mar; Nov-Dec</t>
  </si>
  <si>
    <t>Mid s. Apr, Oct</t>
  </si>
  <si>
    <t>High s. May-June, Sept</t>
  </si>
  <si>
    <t>Peak s. Jul-Aug</t>
  </si>
  <si>
    <t>pre payment:7 days peior arrival</t>
  </si>
  <si>
    <t>pre payment:7 days prior arrival</t>
  </si>
  <si>
    <t>HB 12</t>
  </si>
  <si>
    <t>Low s. 02/01-09/04, 18/10-28/12</t>
  </si>
  <si>
    <t>Grand Hotel Adriatic I 4*</t>
  </si>
  <si>
    <t>Mid s. 10/04-20/05, 03/10-17/10</t>
  </si>
  <si>
    <t>High s. 21/05-18/06, 12/09-02/10</t>
  </si>
  <si>
    <t>Peak s. 19/06-16/07, 23/08-11/09</t>
  </si>
  <si>
    <t>HB buffet style included</t>
  </si>
  <si>
    <t>Peak s.17/07-22/08, 29/12-02/01/21</t>
  </si>
  <si>
    <t>22nd in twin</t>
  </si>
  <si>
    <t>free CXL:45 days prior arrival</t>
  </si>
  <si>
    <t>free CXL: 4 weeks prior arrival</t>
  </si>
  <si>
    <t>May, Oct</t>
  </si>
  <si>
    <t>Jun, Sept</t>
  </si>
  <si>
    <t>Jan-Mar, Nov-Dec</t>
  </si>
  <si>
    <t>26th in twin</t>
  </si>
  <si>
    <t>Bonvital 4*</t>
  </si>
  <si>
    <t>SPA tax</t>
  </si>
  <si>
    <t>Low s. 03/11-20/12/19</t>
  </si>
  <si>
    <t>Mid s. 02/01-26/06, 04/10-24/12, 02/01-31/03/21</t>
  </si>
  <si>
    <t>High s. 26/06-04/10</t>
  </si>
  <si>
    <t>Peak s. 10-13/04, 30/04-03/05, 29/05-01/06, 22-25/10, 24-27/12</t>
  </si>
  <si>
    <t>Adults only,from age 14 year</t>
  </si>
  <si>
    <t>5 % discount for groups</t>
  </si>
  <si>
    <t xml:space="preserve"> weekend rate reduction Fri-Sun,  No arrival/departure on 31/dec</t>
  </si>
  <si>
    <t>B.W. Plus Amedia Art Salz</t>
  </si>
  <si>
    <t>low s. 02/01-30/04</t>
  </si>
  <si>
    <t>excl.Advent weekend&amp;NYE</t>
  </si>
  <si>
    <t>mid s.01/05-18/07, 03/09-28/12</t>
  </si>
  <si>
    <t>high s.19/07-02/09, adv weekends&amp;NYE</t>
  </si>
  <si>
    <t>fee CXL:30 days prior arrival</t>
  </si>
  <si>
    <t>21st in twin, max 3 pax</t>
  </si>
  <si>
    <t>low s. 27/11-23/12,06/01-31/03/21</t>
  </si>
  <si>
    <t>high s.01/06-30/09</t>
  </si>
  <si>
    <t>HB 3CRS 24.5€</t>
  </si>
  <si>
    <t>free CXL:35 days prior arrival</t>
  </si>
  <si>
    <t>50% has to pay 35 days prior arrival, rest 10 days prior arrival</t>
  </si>
  <si>
    <t>Mid s. 28/06-31/08, 25/okt-02/11</t>
  </si>
  <si>
    <t>Low s. 02/01-10/03, 15-31/03</t>
  </si>
  <si>
    <t>High s. 05-17/04, 19-22/04, 25-30/04, 03-24/11, 29/11-03/12, 06-10/12, 13-29/29</t>
  </si>
  <si>
    <t>Peak s. 01-03/05, 09-11/05, 15/05-08/06, 12-27/06, 06-10/09, 15-20/09, 28/09-16/10, 21-24/10</t>
  </si>
  <si>
    <t>Fair period 11-14/03, 01-04/04, 18/04, 23-24/04, 04-08/05, 12-14/05, 09-11/06, 01-05/09, 11-14/09, 21-27/09, 17-20/10, 20-21/11, 25-28/11, 04-05/12, 11-12/12, 30/12-01/01, 02-05/03/21, 23-25/03/21</t>
  </si>
  <si>
    <t>HB 3CRS27€</t>
  </si>
  <si>
    <t>Week: Mon-Thurs</t>
  </si>
  <si>
    <t>free CXL: 40 days before arrival</t>
  </si>
  <si>
    <t>25th in sgl</t>
  </si>
  <si>
    <t>low s1. 21/03-17/04, 07/11-28/12</t>
  </si>
  <si>
    <t>low s2. 18/04-08/05, 03/10-06/11</t>
  </si>
  <si>
    <t>mid s1. 09/05-29/05, 05/09-02/10</t>
  </si>
  <si>
    <t>mid s2. 30/05-12/06,11/08-04/09</t>
  </si>
  <si>
    <t>high s1. 13/06-03/07, 08/08-21/08</t>
  </si>
  <si>
    <t>high s2. 04/07-07/08</t>
  </si>
  <si>
    <t>no porterage</t>
  </si>
  <si>
    <t>Pre payment: 20% 30 days, 60%-14days, 80%-7days</t>
  </si>
  <si>
    <t>De France</t>
  </si>
  <si>
    <t>Jan-Feb</t>
  </si>
  <si>
    <t>Jun/Sept</t>
  </si>
  <si>
    <t>Jul/Aug</t>
  </si>
  <si>
    <t>close-out:10-15/02; 09-12/06; 04-09/09; 12-14/09, 20-26/09</t>
  </si>
  <si>
    <t>1/2 in group</t>
  </si>
  <si>
    <t>01/11-28/12</t>
  </si>
  <si>
    <t>29/12/20-01/01/21</t>
  </si>
  <si>
    <t>02/01-30/04/21</t>
  </si>
  <si>
    <t>Porterage 3€ / 1 piece of luggage / 1 way – hotel lobby or hotel rooms.</t>
  </si>
  <si>
    <t>low s.03/01-10/30, 01-26/11, 29/11-03/12, 09-10/12, 13-17/12, 20-28/12</t>
  </si>
  <si>
    <t>high s. 01/04-30/06, 01-11/09, 16-20/09,28/09-31/10, 27-28/11, 04-05/12, 11-12/12,18-19/12</t>
  </si>
  <si>
    <t>mid s. 01/07-31/08, 15-31/03</t>
  </si>
  <si>
    <t>Peak s. 11-14/03, 12-15/09, 21-27/09</t>
  </si>
  <si>
    <t>peak s. min 3 nights stay -NYE supplemnt 8.5€p.p</t>
  </si>
  <si>
    <t>free CXL:28 days</t>
  </si>
  <si>
    <t>HB3CRS 21€p.p</t>
  </si>
  <si>
    <t>free CXL: 45 days before arrival</t>
  </si>
  <si>
    <t>pre payment: 30% in 45 days prior arrival, rest 7 days before arrival</t>
  </si>
  <si>
    <t>prepayment: 50% one months prior, rest after departure</t>
  </si>
  <si>
    <t>Mon-Thur 01/04-09/07, 07/09-29/10</t>
  </si>
  <si>
    <t>01/04-09/07, 07/09-29/10, 10/07-06/09</t>
  </si>
  <si>
    <t>Fri-Sun 30/10-31/12</t>
  </si>
  <si>
    <t>Mon-Thur 30/10-31/12</t>
  </si>
  <si>
    <t>Fri-Sun 07/09-29/10</t>
  </si>
  <si>
    <t>Fri-Sun 10/07-06/09</t>
  </si>
  <si>
    <t>Mon-Thur 01/04-09/07</t>
  </si>
  <si>
    <t>Mon-Sun 10/07-06/09</t>
  </si>
  <si>
    <t>Mon-Thur 07/09-29/10, 30/10-31/12</t>
  </si>
  <si>
    <t>Mon-Thur 01/04-09/07, 07/09-15/10</t>
  </si>
  <si>
    <t>Fri-Sun 01/04-09/07, 07/09-15/10</t>
  </si>
  <si>
    <t>Fri-Sun 01/04-09/07, 07/09-31/12</t>
  </si>
  <si>
    <t>CXL:30 days prior arrival</t>
  </si>
  <si>
    <t>bus can park for 19 EUR/night</t>
  </si>
  <si>
    <t>21st in sgl</t>
  </si>
  <si>
    <t>21st in twin+1 sgl for T/L or driver</t>
  </si>
  <si>
    <t>03/05-12/09</t>
  </si>
  <si>
    <t>06/01-02/05, 13/09-22/10</t>
  </si>
  <si>
    <t>02/11-19/12</t>
  </si>
  <si>
    <t>23/10-01/11, 20/12/20-05/01/21</t>
  </si>
  <si>
    <t>min.stay: 2 nights on weekends!! 3 nights on public holidays and long weekends: (30/04-03/05, 21-24/05, 29/05-01/06, 11-14/06, 13-14/Aug, 23/10-01/11, 20/12-05/01</t>
  </si>
  <si>
    <t>include</t>
  </si>
  <si>
    <t>pre payment: 5-7 days</t>
  </si>
  <si>
    <t>15% commission</t>
  </si>
  <si>
    <t>Low s. 20/05-04/07, 05/09-01/11</t>
  </si>
  <si>
    <t>Mid s. 04/07-25/07, 22/08-05/09</t>
  </si>
  <si>
    <t>High s. 25/07-22/08</t>
  </si>
  <si>
    <t>free CXL:7 days prior arrival</t>
  </si>
  <si>
    <t>min 3 nights stay</t>
  </si>
  <si>
    <t>11 pax in twin</t>
  </si>
  <si>
    <t>pre paymnet:100% in 3 working days prior arrival</t>
  </si>
  <si>
    <t>Low s. 06/01-31/03; 01/11-22/12</t>
  </si>
  <si>
    <t>Mid s. 01-30/04; 01-31/10</t>
  </si>
  <si>
    <t>Highs . 01/05-30/09; 23/12/20-06/01/21</t>
  </si>
  <si>
    <t>Bus parking: 10CHF/bus/n</t>
  </si>
  <si>
    <t xml:space="preserve">free CXL: 4 weeks automatic release </t>
  </si>
  <si>
    <t>pre payment: 7 days before arrival</t>
  </si>
  <si>
    <t>Fri-Sun</t>
  </si>
  <si>
    <t xml:space="preserve">free CXL:28 days prior </t>
  </si>
  <si>
    <t>close out:Cardio17-20/05, MotoGP07-09/08, MSV 05-09/10</t>
  </si>
  <si>
    <t>low s.Jan-Feb, Dec</t>
  </si>
  <si>
    <t>high s. Marc-Nov</t>
  </si>
  <si>
    <t>Mon-Thurs</t>
  </si>
  <si>
    <t>Close-out: Kardio 17-20/05, Moto Gp07-09/08, MSV05-09/10</t>
  </si>
  <si>
    <t>pre payment:100% before group arrival</t>
  </si>
  <si>
    <t>low s. Oct-Dec, Jan-Mar</t>
  </si>
  <si>
    <t>high s. Apr-Sept</t>
  </si>
  <si>
    <t>low s.02/1-31/03, 10-13/04, 01/07-01/09, 31/10-28/12</t>
  </si>
  <si>
    <t>high s. 01/01, 01/04-30/06, 02/09-30/10</t>
  </si>
  <si>
    <t>free CXL: 30 days</t>
  </si>
  <si>
    <t>31/12-01/01 rate on request</t>
  </si>
  <si>
    <t>Oberammergau passion</t>
  </si>
  <si>
    <t>high s.16/05-04/10</t>
  </si>
  <si>
    <t>low s.  01/01-28/02, 01/12-31/12</t>
  </si>
  <si>
    <t>mid s. 01/04-31/05, 01/10-30/11</t>
  </si>
  <si>
    <t>high s.01-30/06</t>
  </si>
  <si>
    <t>peak s. 01/07-30/09</t>
  </si>
  <si>
    <t>pre payment: 60 days prior arrival 50%, rest 14 days before arrival</t>
  </si>
  <si>
    <t>shoulder s. 01-31/03</t>
  </si>
  <si>
    <t>close out:01-22/08, 03-17/11, 27-28/11, 04-07/12, 11-12/12, 18-19/12, 30/12-01/01/21</t>
  </si>
  <si>
    <t>close out:01-22/08, 03-17/11, 27-28/11, 04-07/12, 11-12/12, 18-19/12, 30/12-01/01/22</t>
  </si>
  <si>
    <t>close out:01-22/08, 03-17/11, 27-28/11, 04-07/12, 11-12/12, 18-19/12, 30/12-01/01/23</t>
  </si>
  <si>
    <t>close out: 01/08, 08/08, 15/08, 22/08, 06-10/11, 27-28/11, 04-07/12, 11-12/12, 18-19/12, 30/12-01/01/21</t>
  </si>
  <si>
    <t>close out: 01/08, 08/08, 15/08, 22/08, 06-10/11, 27-28/11, 04-07/12, 11-12/12, 18-19/12, 30/12-01/01/22</t>
  </si>
  <si>
    <t>close out: 01/08, 08/08, 15/08, 22/08, 06-10/11, 27-28/11, 04-07/12, 11-12/12, 18-19/12, 30/12-01/01/23</t>
  </si>
  <si>
    <t>close out:17-18/07, 24-25/07, 01/08, 08/08, 15/08, 22/08, 31/08-01/09, 27-28/11, 04-07/12, 11-12/12, 18-19/12, 23/12-06/01/21</t>
  </si>
  <si>
    <t>close out:17-18/07, 24-25/07, 01/08, 08/08, 15/08, 22/08, 31/08-01/09, 27-28/11, 04-07/12, 11-12/12, 18-19/12, 23/12-06/01/22</t>
  </si>
  <si>
    <t>close out:17-18/07, 24-25/07, 01/08, 08/08, 15/08, 22/08, 31/08-01/09, 27-28/11, 04-07/12, 11-12/12, 18-19/12, 23/12-06/01/23</t>
  </si>
  <si>
    <t>19th in sgl</t>
  </si>
  <si>
    <t>21st in twin,  max 2 pax</t>
  </si>
  <si>
    <t>21th in twin</t>
  </si>
  <si>
    <t>pre payment:1 week prior arrival</t>
  </si>
  <si>
    <t>low s. Nov-Mar</t>
  </si>
  <si>
    <t>high s. Apr-Oct</t>
  </si>
  <si>
    <t>high s. 01/04-31/10, 29/12/20-01/01/21</t>
  </si>
  <si>
    <t>low s.01/11-28/12, 02/01/21-31/03/2021</t>
  </si>
  <si>
    <t>no portarge</t>
  </si>
  <si>
    <t>H/Pension 3CRS 18€p.p</t>
  </si>
  <si>
    <t>H/Pension 3 CRS 14,5€p.p</t>
  </si>
  <si>
    <t>H/Pension 3 CRS 34€, 4CRS 44€</t>
  </si>
  <si>
    <t>H/Pension supplament 14€</t>
  </si>
  <si>
    <t xml:space="preserve">H/Pension 3 CRS 35€p.p. </t>
  </si>
  <si>
    <t>Closed for renovation:16/11/19-01/04/20</t>
  </si>
  <si>
    <t>Closed for renovation till 15/May2020</t>
  </si>
  <si>
    <t>No contract -Ad hoc request rate :29-32 p.p.</t>
  </si>
  <si>
    <t>No contract -Ad hoc request rate :26-28 p.p.</t>
  </si>
  <si>
    <t>Hilton Imperial 5*</t>
  </si>
  <si>
    <t>No contract, request upon avalibility</t>
  </si>
  <si>
    <t>low s. 01-17/04, 19-31/10</t>
  </si>
  <si>
    <t>shoulder s. 18/04-08/05, 05-18/10</t>
  </si>
  <si>
    <t>mid s.09-29/05, 28/09-04/10</t>
  </si>
  <si>
    <t>high x. 30/05-03/07, 21-27/09</t>
  </si>
  <si>
    <t>peak s. 04/07-20/09</t>
  </si>
  <si>
    <t>Classic room</t>
  </si>
  <si>
    <t>pre payment:30% at group confirmation, rest 14 days prior arrival</t>
  </si>
  <si>
    <t>Superior room, sea view</t>
  </si>
  <si>
    <t>Classic room, sea view</t>
  </si>
  <si>
    <t>Premium room, sea view</t>
  </si>
  <si>
    <t xml:space="preserve">Exclesior 5* </t>
  </si>
  <si>
    <t>Valamar Dubrovnik/Argosy 4*</t>
  </si>
  <si>
    <t>agency 5% discount</t>
  </si>
  <si>
    <t xml:space="preserve"> 50% for driver and T/L room, driver in Babin kuk </t>
  </si>
  <si>
    <t>no use</t>
  </si>
  <si>
    <t>50% non refund deposit 60days prior</t>
  </si>
  <si>
    <t xml:space="preserve">free CXL: 60 days </t>
  </si>
  <si>
    <t>Will be closed 15/12/19-01/03/20</t>
  </si>
  <si>
    <t>Drei Könige3*</t>
  </si>
  <si>
    <t>HB4CRS 20€</t>
  </si>
  <si>
    <t>gearman dbl</t>
  </si>
  <si>
    <t>Buffet style dinner 22</t>
  </si>
  <si>
    <t>19/04-28/05 Restaurant is closed HB 3CRS 32CHF, 4CRS 38CHF</t>
  </si>
  <si>
    <t>free CXL:30 days prior</t>
  </si>
  <si>
    <t>pre payment:100%10 days prior</t>
  </si>
  <si>
    <t>low s.01/11-20/12/19, 13/04-23/05, 26-31/10</t>
  </si>
  <si>
    <t>mid s. winter 05/01-07/02, 08/03-12/04</t>
  </si>
  <si>
    <t>mid s. summer 24/05-21/06, 16/08-25/10</t>
  </si>
  <si>
    <t>high s. winter 21/12/19-04/01/20, 08/02-07-03</t>
  </si>
  <si>
    <t>high s. summer 22/06-15/08</t>
  </si>
  <si>
    <t>eiger view supl 10CHF</t>
  </si>
  <si>
    <t>pre payment: 100% 21 day prior arrival</t>
  </si>
  <si>
    <t>No fix rates, request upon avalibility</t>
  </si>
  <si>
    <t>No contract/fix rate, request upon avalibility</t>
  </si>
  <si>
    <t>No fix rate, request upon avalibility</t>
  </si>
  <si>
    <t>No contract/fix rate, request upon availabilty</t>
  </si>
  <si>
    <t xml:space="preserve"> Porterage 3.5/way/luggage (max 20 kg); late chcek-in after 20:00 extra 100 EUR</t>
  </si>
  <si>
    <t>HB dinner 19€ p.p., NO tablewater!</t>
  </si>
  <si>
    <t>free CXL: 3 month prior</t>
  </si>
  <si>
    <t>low s. 02-10/01, 13/01-20/02, 24/02-02/03, 08/03-31/03</t>
  </si>
  <si>
    <t>mid s. 01-02/04, 07-09/04, 12-16/04, 20-30/04, 01/07-03/09, 01-26/11, 29/11-03/12, 06-09/12, 13-27/12</t>
  </si>
  <si>
    <t>high s. 10-11/04, 17-19/04, 01-11/05, 15-01/06, 06-08/06, 12-30/06, 10-11/09, 15-19/09, 28/09-02/10, 08-15/10, 21-31/10, 27-28/11, 04-05/12, 10-12/12, 28-29/12, 21-23/02</t>
  </si>
  <si>
    <t>Hilton Vienna Plaza</t>
  </si>
  <si>
    <t>low s.02-10/01, 13/01-02/03, 08-31/3</t>
  </si>
  <si>
    <t>mid s. 01-02/04, 07-09/04, 12-16/04, 20-30/04, 01/07-03/09, 01-26/11, 29/11-03/12, 06-10/12, 13-27/12</t>
  </si>
  <si>
    <t>high s. 10-11/04, 17-19/04, 01-11/05, 15/05-08/06,  12-30/06, 10-11/09, 15-19/09, 28/09-02/10, 08-15/10, 21-31/10, 27-28/11, 04-05/12, 11-12/12, 28-29/12, 21-23/02</t>
  </si>
  <si>
    <t>low s.01-02/04, 07-09/04, 12-16/04, 20-30/04, 02/01-02/03/21, 08-31/03/21</t>
  </si>
  <si>
    <t>mid s. 01/07-03/09, 01-26/11, 29/11-03/12, 06-10/12, 13-27/12</t>
  </si>
  <si>
    <t>high s.01-11/05, 15/05-08/06, 12-30/06, 10-11/09, 15-19/09, 28/09-02/10, 08-15/10, 21-31/10, 27-28/11, 04/12-05/12, 11-12/12, 28-29/12</t>
  </si>
  <si>
    <t>close out:03-06/04, 12-14/05, 02-05/06, 09-11/06, 04-09/09, 12-14/09, 20-27/09</t>
  </si>
  <si>
    <t>close out:03-06/04, 12-14/05, 09-11/06, 04-09/09, 12-14/09, 20-27/09, 03-07/10</t>
  </si>
  <si>
    <t>close out:03-06/04, 12-14/05, 04-09/09, 12-14/09, 20-27/09, 03-07/10, 16-20/10</t>
  </si>
  <si>
    <t xml:space="preserve">Advent weekend min 2 night stay </t>
  </si>
  <si>
    <t>NYE min 3 nights stay</t>
  </si>
  <si>
    <t>18 rooms allotment from 01/04/20-31/03/21</t>
  </si>
  <si>
    <t>low s.01/01-29/02, 01/11-28/12</t>
  </si>
  <si>
    <t>high s.Sun-Thur</t>
  </si>
  <si>
    <t>Low s.Sun-Thur 01/01/21-28/02/21</t>
  </si>
  <si>
    <t>Low s. Fri-Sat 01/01/21-28/02/21</t>
  </si>
  <si>
    <t>high s2. Fri- Sat 23-31/03</t>
  </si>
  <si>
    <t>shoulder s..Sun-Thur 01-30/11, 13-31/12, 01-21/03/21</t>
  </si>
  <si>
    <t>shoulder s.Fri-Sat 01-30/11, 13-31/12, 01-21/03/21</t>
  </si>
  <si>
    <t>Mid s. Sun-Thur 01-13/04, 05/07-23/08, 01-12/12, 22-31/03</t>
  </si>
  <si>
    <t>Mid s. Fri- Sat 01-13/04, 05/07-23/08, 01-12/12,22-31/03/21</t>
  </si>
  <si>
    <t>free CXL: 6 weeks prior arrival</t>
  </si>
  <si>
    <t>close out:10-13/04, 23-25/04, 30/04-02/05, WTCR, 21-23/05, 29/05-02/06, 06/05-10/06, congress, 11-14/06, 15-16/06, 19-20/06,23-24/06, 23-24/0626-28/06, 22-26/07, 30/07-02/08, 05-11/08, 25-30/08, wizzair, 07-11/09, 12-20/09, 29/09-03/10, Bp marathon(sept-oct), Congress(sept oct), Event(sept-oct),  26-27/11, 03-05/12, 17-19/12, 29/12-01/01/21, 02-06/01/21</t>
  </si>
  <si>
    <t>low s.01/11-30/12/19, 01/01-31/03/20</t>
  </si>
  <si>
    <t>mid s. 01-30/04-01-31/10</t>
  </si>
  <si>
    <t>high s.01/05-30/09, 31/12</t>
  </si>
  <si>
    <t>pre payment:50% 14 days prior arrival</t>
  </si>
  <si>
    <t>low s. Sun-Wed03/01-26/04, 22/10-28/12</t>
  </si>
  <si>
    <t>low s. Thur-Sat 03/01-26/04, 22/10-28/12</t>
  </si>
  <si>
    <t>mid s Sun-Wed 27/04-21/06; 24/09-21/10</t>
  </si>
  <si>
    <t>mid s Thu-Sat 27/04-21/06; 24/09-21/10</t>
  </si>
  <si>
    <t>High s Sun-Wed 22/06-23/09; 29/12-02/01</t>
  </si>
  <si>
    <t>High s Thu-Sat 22/06-23/09; 29/12-2/01</t>
  </si>
  <si>
    <t>min. 3 nights stay NYE</t>
  </si>
  <si>
    <t>min 2 night stay Easter</t>
  </si>
  <si>
    <t>free CXL: 45 days, NYE:60 days</t>
  </si>
  <si>
    <t>pre payment:30%deposit at the end of cancellation period</t>
  </si>
  <si>
    <t>low s. 02/01-01/05, 03/10-28/12</t>
  </si>
  <si>
    <t>shoulder s.02/05-29/05, 19/09-02/10</t>
  </si>
  <si>
    <t>mid s. 30/05-19/06, 12-18/09</t>
  </si>
  <si>
    <t>high s. 20/06-10/07, 22/08-11/09</t>
  </si>
  <si>
    <t>peak s, 11/07-21/08</t>
  </si>
  <si>
    <t>pre payment:30%before 30-14 days, peak season60-14 days</t>
  </si>
  <si>
    <t>Fair Thur-Sun</t>
  </si>
  <si>
    <t>Fair Mon-Wen</t>
  </si>
  <si>
    <t>21st in sgl, max 2 room</t>
  </si>
  <si>
    <t>low s Thur-Sun 01/01-28/02, 01/07-31/08, 11/12-31/12</t>
  </si>
  <si>
    <t>low s. Mon-Wen 01/01-28/02, 01/07-31/08,11/12-31/12</t>
  </si>
  <si>
    <t>mid s Thur-Sun 01/03-30/04, 01/09-30/09</t>
  </si>
  <si>
    <t>mid s. Mon-Wen 01/03-30/04, 01/09-30/09</t>
  </si>
  <si>
    <t>high s Thur-Sun 01/05-30/06, 01/10-10/12</t>
  </si>
  <si>
    <t>high s. Mon-Wen 01/05-30/06, 01/10-10/12</t>
  </si>
  <si>
    <t>cloes out:13-15/03, 02-06/09, 15-18/09, 23/10-/10, EUSAAT, Automotive, Linz Triathlon, AEC Festival</t>
  </si>
  <si>
    <t>free CXL: 5 weeks prior arrival</t>
  </si>
  <si>
    <t>free CXL: 8 weeks prior arrival</t>
  </si>
  <si>
    <t>pre payment: 75%4 weeks prior</t>
  </si>
  <si>
    <t>pre payment: 75%5 weeks prior</t>
  </si>
  <si>
    <t>pre payment: 75%8 weeks prior</t>
  </si>
  <si>
    <t>fair Mon-Wen</t>
  </si>
  <si>
    <t>free CXL: 5week prior arrival</t>
  </si>
  <si>
    <t>free CXL: 4week prior arrival</t>
  </si>
  <si>
    <t>free CXL: 8 week prior arrival</t>
  </si>
  <si>
    <t>low s Thur-Sun 02/01-31/03, 01-29/12</t>
  </si>
  <si>
    <t>low s Mon-Wen 02/01-31/03, 01-29/12</t>
  </si>
  <si>
    <t>mid s Thur-Sun 01/04-31/07, 01-30/11</t>
  </si>
  <si>
    <t>mid s Mon-Wen 01/04-31/07, 01-30/11</t>
  </si>
  <si>
    <t>high s Thur-Sun 01/08-31/10</t>
  </si>
  <si>
    <t>high s Mon-Wen 01/08-31/10</t>
  </si>
  <si>
    <t>Close out:26-28/06, 03-05/07, 07-09/08, 14-16/08</t>
  </si>
  <si>
    <t>pre payment:75%4weeks prior</t>
  </si>
  <si>
    <t>pre payment:75%5weeks prior</t>
  </si>
  <si>
    <t>pre payment:75%8weeks prior</t>
  </si>
  <si>
    <t>high s. Fri-Sun. 01/04-12/07, 01/09-02/10, 30/12-31/12</t>
  </si>
  <si>
    <t>high s.Mon-Thur 01/04-12/07, 01/09-02/10, 30/12-31/12</t>
  </si>
  <si>
    <t>low s.Fri-Sun 01/01-31/03, 13/07-31/08, 03/10-29/12</t>
  </si>
  <si>
    <t>low s.Mon-Thur 01/01-31/03, 13/07-31/08, 03/10-29/12</t>
  </si>
  <si>
    <t>free CXL:4 weeks prior</t>
  </si>
  <si>
    <t>pre payment:75%4 week prior</t>
  </si>
  <si>
    <t>21st in sgl, max 2 rooms</t>
  </si>
  <si>
    <t>close out:09-16/06, 18-21/06, 26/04, 08/08, 24/09-04/10</t>
  </si>
  <si>
    <t>No onsite coach parking</t>
  </si>
  <si>
    <t>Dornbin</t>
  </si>
  <si>
    <t>low s. Thur-Sun 01/01-30/04, 01/11-31/12</t>
  </si>
  <si>
    <t>low s. Mon-Wen 01/01-30/04, 01/11-31/12</t>
  </si>
  <si>
    <t>mid s Thur-Sun 01/05-17/07, 20/08-31/10</t>
  </si>
  <si>
    <t>mid s Mon-Wen  01/05-17/07, 20/08-31/10</t>
  </si>
  <si>
    <t>high s Thur-Sun 18/07-19/08</t>
  </si>
  <si>
    <t>high s Mon-Wen 18/07-19/08</t>
  </si>
  <si>
    <t>22nd in sgl, max 2 rooms</t>
  </si>
  <si>
    <t>23rd in sgl, max 2 rooms</t>
  </si>
  <si>
    <t>21nd in sgl, max 2 rooms</t>
  </si>
  <si>
    <t>close-out:01-06/01, 14/16/02, 21-23/02, 01-03/03, 17-19/06, 22/07-16/08, 21-24/09, 12-16/10, 30/12-06/01</t>
  </si>
  <si>
    <t>close-out:01-06/01, 14/16/02, 21-23/02, 01-03/03, 17-19/06, 22/07-16/08, 21-24/09, 12-16/10, 30/12-06/02</t>
  </si>
  <si>
    <t>close-out:01-06/01, 14/16/02, 21-23/02, 01-03/03, 17-19/06, 22/07-16/08, 21-24/09, 12-16/10, 30/12-06/03</t>
  </si>
  <si>
    <t>close-out:01-06/01, 14/16/02, 21-23/02, 01-03/03, 17-19/06, 22/07-16/08, 21-24/09, 12-16/10, 30/12-06/04</t>
  </si>
  <si>
    <t>close-out:01-06/01, 14/16/02, 21-23/02, 01-03/03, 17-19/06, 22/07-16/08, 21-24/09, 12-16/10, 30/12-06/05</t>
  </si>
  <si>
    <t>close-out:01-06/01, 14/16/02, 21-23/02, 01-03/03, 17-19/06, 22/07-16/08, 21-24/09, 12-16/10, 30/12-06/06</t>
  </si>
  <si>
    <t>free CXL:5 weeks prior arrival</t>
  </si>
  <si>
    <t>free CXL:8 weeks prior arrival</t>
  </si>
  <si>
    <t>23rd in twin</t>
  </si>
  <si>
    <t xml:space="preserve">close out:19-22/03, 16-23/08, 31/08-01/09, </t>
  </si>
  <si>
    <t>pre payment:50% 30 days before, left at 15 days before</t>
  </si>
  <si>
    <t>low s. 01/01-31/03</t>
  </si>
  <si>
    <t>20th in twin, max 2 pax</t>
  </si>
  <si>
    <t>high s. 01/04-31/10</t>
  </si>
  <si>
    <t>Agava</t>
  </si>
  <si>
    <t>high s. 13/06-27/06, 29/08-12/09</t>
  </si>
  <si>
    <t>peak s. 27/06-29/08</t>
  </si>
  <si>
    <t>mid s. 23/05-13/06, 12/09-03/10</t>
  </si>
  <si>
    <t>low s. 01/01-23/05, 03/10-31/12</t>
  </si>
  <si>
    <t>mid s. 01/03-30/04, 01-31/08</t>
  </si>
  <si>
    <t>high s 01/05-30/06, 01/09-30/10</t>
  </si>
  <si>
    <t>Close out:10-13/04, 1-16/05, 29/05-01/06, 19-22/06, 26-29/06, 30/07-03/08, 05-11/08, 18-21/08, 23-25/10, 24-26/12, 28/12-02/01/21</t>
  </si>
  <si>
    <t>Close out:10-13/04, 1-16/05, 29/05-01/06, 19-22/06, 26-29/06, 30/07-03/08, 05-11/08, 18-21/08, 23-25/10, 24-26/12, 28/12-02/01/22</t>
  </si>
  <si>
    <t>Close out:10-13/04, 1-16/05, 29/05-01/06, 19-22/06, 26-29/06, 30/07-03/08, 05-11/08, 18-21/08, 23-25/10, 24-26/12, 28/12-02/01/23</t>
  </si>
  <si>
    <t>Cortina D'ampezzo</t>
  </si>
  <si>
    <t>Parkhotel Victoria</t>
  </si>
  <si>
    <t>10/07-30/07</t>
  </si>
  <si>
    <t>31/07-27/08</t>
  </si>
  <si>
    <t>14/04-09/07, 28/08-27/09</t>
  </si>
  <si>
    <t xml:space="preserve">free CXL:30 days </t>
  </si>
  <si>
    <t>high s. 13/04-25/06, 04/09/01/11, 27/11-28/11, 04-05/12, 11-12/12</t>
  </si>
  <si>
    <t xml:space="preserve">mid s. 27/03-09/04, 26/06-03/09, 23-28/12, </t>
  </si>
  <si>
    <t>low s. 03/01-26/03, 02-26/11, 29/11-03/12, 06-10/12, 13-22/12</t>
  </si>
  <si>
    <t xml:space="preserve">NYE+Easter </t>
  </si>
  <si>
    <t>free CXL: 42 days</t>
  </si>
  <si>
    <t>29/02-01/05</t>
  </si>
  <si>
    <t>30/05-21/08</t>
  </si>
  <si>
    <t>22/08-25/09</t>
  </si>
  <si>
    <t>02-29/05, 26/09-24/10</t>
  </si>
  <si>
    <t>03/01-28/02</t>
  </si>
  <si>
    <t>25/10-18/12</t>
  </si>
  <si>
    <t>19/12-03/01/2021</t>
  </si>
  <si>
    <t>groups on request</t>
  </si>
  <si>
    <t xml:space="preserve">mid s. </t>
  </si>
  <si>
    <t>low s. 01/01-30/04-01/11-31/12</t>
  </si>
  <si>
    <t>mid s. 01/05-30/06, 01/09-31/10</t>
  </si>
  <si>
    <t>Bellevue 2*</t>
  </si>
  <si>
    <t>Grabovac 3*</t>
  </si>
  <si>
    <t xml:space="preserve">Bellevue 2* </t>
  </si>
  <si>
    <t>low s. 01/01-30/04, 01/11-31/12</t>
  </si>
  <si>
    <t>high s. 01/07-31/08</t>
  </si>
  <si>
    <t>peak s. 01/07-31/08</t>
  </si>
  <si>
    <t>high s. 01/05-30/06, 01/09-31/10</t>
  </si>
  <si>
    <t>mid s. 21/03-30/04, 01/11-14/11</t>
  </si>
  <si>
    <t>low s. 01/01-20/03, 15/11-31/12</t>
  </si>
  <si>
    <t>low s. 01/01-31/03, 01/07-31/08, 01/11-31/12</t>
  </si>
  <si>
    <t>high s. 01/04-30/06, 01/09-31/10</t>
  </si>
  <si>
    <t>free CXL:1 months prior arrival</t>
  </si>
  <si>
    <t>Close out:18-28/01, 29/04-05/05, 22-24/05, 03-05/07, 14-18/08, 14-23/09, 30/12-02/01</t>
  </si>
  <si>
    <t>Close out:18-28/01, 29/04-05/05, 22-24/05, 03-05/07, 14-18/08, 14-23/09, 30/12-02/02</t>
  </si>
  <si>
    <t>low s.02/01-31/03</t>
  </si>
  <si>
    <t>high s. 29/05-13/07; 27/08-24/09</t>
  </si>
  <si>
    <t>low s. Jan- Feb, Jul-Aug, Nov-Dec</t>
  </si>
  <si>
    <t>high s. Mar-Jun, Szept-Oct</t>
  </si>
  <si>
    <t>FIT breakfast extra 5€ p.p.</t>
  </si>
  <si>
    <t>free CXL:3 weeks prior arrival</t>
  </si>
  <si>
    <t>groups on request only</t>
  </si>
  <si>
    <t>high s.Sun 01/05-15/10</t>
  </si>
  <si>
    <t>high s. Mon-Thur 01/05-15/10</t>
  </si>
  <si>
    <t>high s.Fri-Sat 01/05-15/10</t>
  </si>
  <si>
    <t>low s.Mon-Sun 01/01-31/03</t>
  </si>
  <si>
    <t>mid s.Mon-Sun 01/04-30/04, 16/10-31/10</t>
  </si>
  <si>
    <t>shoulder s.Mon-Sun 01/11-31/12</t>
  </si>
  <si>
    <t>02/11-06/11</t>
  </si>
  <si>
    <t>03-09/04, 14-29/04, 03-09/05, 29/09-01/11</t>
  </si>
  <si>
    <t>.10-20/05</t>
  </si>
  <si>
    <t>10-13/04, 30/04-02/05, 21-29/05, 12-25/09</t>
  </si>
  <si>
    <t>30/05-12/06</t>
  </si>
  <si>
    <t>13/06-09/07</t>
  </si>
  <si>
    <t>free CXL:till 20 room 30 days, 21-35 room 42 days</t>
  </si>
  <si>
    <t>.18/04-22/05, 12/09-16/10</t>
  </si>
  <si>
    <t>23/05-05/06, 05/09-11/09</t>
  </si>
  <si>
    <t>06/06-26/06, 22/08-04/09</t>
  </si>
  <si>
    <t>free CXL:20 room 30 days, 21-35 room 42 days</t>
  </si>
  <si>
    <t>prepayment: 50% 30 days, rest 14 days</t>
  </si>
  <si>
    <t>02/01-03/04</t>
  </si>
  <si>
    <t>.02/11-29/12</t>
  </si>
  <si>
    <t>04-09/04, 14-29/04, 03-09/05, 26/09-01/11</t>
  </si>
  <si>
    <t>10-13/04,30/04-02/05, 21-29/05, 12-25/09</t>
  </si>
  <si>
    <t>pre payment:50% 30/42 days, rest 14 days</t>
  </si>
  <si>
    <t>03/01-07/01, 14/02-03/04</t>
  </si>
  <si>
    <t>.04-09/04, 14-24/04, 31/10-28/12</t>
  </si>
  <si>
    <t>10-13/04, 25/04-15/05, 03-30/10</t>
  </si>
  <si>
    <t>16-29/05, 19/09-02/10</t>
  </si>
  <si>
    <t>30/05-03/07, 29/08-18/09</t>
  </si>
  <si>
    <t>.04-17/07</t>
  </si>
  <si>
    <t>18/07-21/08</t>
  </si>
  <si>
    <t>renovated room price</t>
  </si>
  <si>
    <t>supl for deluxe seaside room 20</t>
  </si>
  <si>
    <t>supl for deluxe seaside room 21</t>
  </si>
  <si>
    <t>supl for deluxe seaside room 22</t>
  </si>
  <si>
    <t>supl for deluxe seaside room 30</t>
  </si>
  <si>
    <t>supl for deluxe seaside room 31</t>
  </si>
  <si>
    <t>supl for deluxe seaside room 40</t>
  </si>
  <si>
    <t>supl for deluxe seaside room 41</t>
  </si>
  <si>
    <t>HB supl 20</t>
  </si>
  <si>
    <t>HB supl 30</t>
  </si>
  <si>
    <t>06/01-14/03</t>
  </si>
  <si>
    <t>15/03/30/04</t>
  </si>
  <si>
    <t>.01-15/05</t>
  </si>
  <si>
    <t>05/10-31/10</t>
  </si>
  <si>
    <t>01/11-22/12</t>
  </si>
  <si>
    <t>16/05-04/10, 23/12-31/12</t>
  </si>
  <si>
    <t>HB suppl 15</t>
  </si>
  <si>
    <t>HB suppl 20</t>
  </si>
  <si>
    <t>HB suppl 25</t>
  </si>
  <si>
    <t>free CXL: 35 days</t>
  </si>
  <si>
    <t>low s. 01/03-31/03, 21/10-29/12</t>
  </si>
  <si>
    <t>shoulder s. '1/4-5/5</t>
  </si>
  <si>
    <t>mid s. 6-31/5; 7-20/10</t>
  </si>
  <si>
    <t>high s. 1-30/6; 16/9-6/10</t>
  </si>
  <si>
    <t>peak s. 1/7-15/9</t>
  </si>
  <si>
    <t>weekdays Mon-Thur</t>
  </si>
  <si>
    <t>weekends Fri-Sun</t>
  </si>
  <si>
    <t>superior room supl 10€</t>
  </si>
  <si>
    <t>peak dates 29/12-01/01</t>
  </si>
  <si>
    <t>HB buffet 12</t>
  </si>
  <si>
    <t xml:space="preserve">prepayment:100% in 28 days prior </t>
  </si>
  <si>
    <t>low: Fri-Sat 02/1-28/3; 27/10-22/11</t>
  </si>
  <si>
    <t>low: Sun-Thur 02/1-28/3; 27/10-22/11</t>
  </si>
  <si>
    <t>mid Sun-Thur 29/03-31/05, 01/07-17/07; 01/09-26/10; 06/11-10/12, 13-17/11, 23-26/11, 29/11-03/12</t>
  </si>
  <si>
    <t>mid Fri Sat 29/03-31/05, 01/07-17/07; 01/09-26/10; 06/11-10/12, 13-17/11, 23-26/11, 29/11-03/12</t>
  </si>
  <si>
    <t>high Sun-Thur 01-30/06, 18/07-31/08, 27-28/11, 04-05/12, 11/12/12, 18-31/12</t>
  </si>
  <si>
    <t>high Fri-Sat 01-30/06, 18/07-31/08, 27-28/11, 04-05/12, 11/12/12, 18-31/13</t>
  </si>
  <si>
    <t>HB suppl. 22€</t>
  </si>
  <si>
    <t>min 3 night stay in NYE</t>
  </si>
  <si>
    <t>low s. 01/11-27/12, 03/01-31/03/21</t>
  </si>
  <si>
    <t>mid s. 01/07-31/08</t>
  </si>
  <si>
    <t>high s. 01/04-30/06, 01/09-31/10, 26-28/11, 03-05/12, 10-12/12, 17-19/12</t>
  </si>
  <si>
    <t>peak s. 09-12/04, 27-30/04, 21-23/05, 11-14/06, 28/12-03/01</t>
  </si>
  <si>
    <t>free CXL:31 days prior arrival</t>
  </si>
  <si>
    <t>low s. 07/01-29/02, 01-31/03, 01/11-27/12</t>
  </si>
  <si>
    <t>no porterage service</t>
  </si>
  <si>
    <t>free CXL:low&amp;mid s.30 days , high s 60 days prior arrival</t>
  </si>
  <si>
    <t>prepayment:100%low&amp;mid s 30 days, high s 60 days</t>
  </si>
  <si>
    <t>01-18/04, 24-28/04, 02/05-30/06, 01/09-31/10</t>
  </si>
  <si>
    <t>01-18/04, 24-28/04, 02/05-30/06, 01/09-31/10(min2nights), 01/07-31/08</t>
  </si>
  <si>
    <t>02/01-31/03, 01/11-28/12</t>
  </si>
  <si>
    <t xml:space="preserve">01/07-31/08/ </t>
  </si>
  <si>
    <t>19-23/04, 29/04-01/05</t>
  </si>
  <si>
    <t>19-23/04, 29/04-01/06</t>
  </si>
  <si>
    <t>29/12-01/01/21</t>
  </si>
  <si>
    <t>Academic4*</t>
  </si>
  <si>
    <t>free CXl:31 days prior arrival</t>
  </si>
  <si>
    <t>Blue Orange4*</t>
  </si>
  <si>
    <t>01/01-31/12</t>
  </si>
  <si>
    <t>low s. 02/01-21/03, 26/10-30/12</t>
  </si>
  <si>
    <t>high s 22/06-18/07, 22/08-12/09</t>
  </si>
  <si>
    <t>shoulder s. 22/03-30/04</t>
  </si>
  <si>
    <t>mid s. 01/05-21/06, 13/09-25/10</t>
  </si>
  <si>
    <t>peak s 19/07-21/08</t>
  </si>
  <si>
    <t>No commision</t>
  </si>
  <si>
    <t>HB  suppl. 10€</t>
  </si>
  <si>
    <t>pre payment:20% 60 days prior non refundable, rest 14 days prior</t>
  </si>
  <si>
    <t xml:space="preserve">20% non refundable 60 days prior </t>
  </si>
  <si>
    <t>low s. 02/01-1/02, 16/02-01/03, 04/07-10/08, 17/08-01/09, 20-28/12</t>
  </si>
  <si>
    <t>high s 12-15/02, 02-10/03, 14/03-02/05, 14/03-02/05, 08/05-25/06,29/06-03/07, 06-11/09, 16-20/09, 26/09-06/10, 10-16/10, 22/10-26/11, 29/11-03/12, 06-10/12, 13-17/12</t>
  </si>
  <si>
    <t>peak s 11-13/03, 03-07/05, 26-28/06, 11-16/08, 02-05/06, 12-15/09, 21-25/09, 07-09/10, 17-21/10, 27-28/11, 04-05/12, 11-12/12, 18-19/12</t>
  </si>
  <si>
    <t>free CXL:4 weeks</t>
  </si>
  <si>
    <t>free CXL:8 weeks</t>
  </si>
  <si>
    <t>prepayment: 70% in 4weeks</t>
  </si>
  <si>
    <t>prepayment: 70% in 5 weeks</t>
  </si>
  <si>
    <t>prepayment: 70% in 8weeks</t>
  </si>
  <si>
    <t>prepayment: 70% in 5weeks</t>
  </si>
  <si>
    <t>Peak s. Mon- Thur 01-03/05, 09-11/05, 15/05-08/06, 12-27/06, 06-10/09, 15-20/09, 28/09-16/10, 21-24/10</t>
  </si>
  <si>
    <t>Peak s. Fri-Sun 01-03/05, 09-11/05, 15/05-08/06, 12-27/06, 06-10/09, 15-20/09, 28/09-16/10, 21-24/10</t>
  </si>
  <si>
    <t>Fair period 11-14/03, 01-04/04, 18/04, 23-24/04, 04-08/05, 12-14/05, 09-11/06, 01-05/09, 11-14/09, 21-27/09, 17-20/10, 20-21/11, 25-28/11, 04-05/12, 11-12/12, 30/12-01/01 NYE3 nights, 02-05/03/21, 23-25/03/21</t>
  </si>
  <si>
    <t>Low s. 02/01-10/03, 15-31/03, 02/01-01/03/21, 06-22/03/21, 26-31/03/21</t>
  </si>
  <si>
    <t>Mid s. 28/06-31/08, 25/10-02/11</t>
  </si>
  <si>
    <t>Allotment: 15dbl+2 Sgl</t>
  </si>
  <si>
    <t>preapyment 75% 4 weeks prior</t>
  </si>
  <si>
    <t>low s. Thur-Sun 01/01-31/01, 21-30/12</t>
  </si>
  <si>
    <t>low s Mon-Wen 01/01-31/01, 21-30/12</t>
  </si>
  <si>
    <t>mid s. Thur-Sun 01/02-30/04, 01-31/08, 15/11-20/12</t>
  </si>
  <si>
    <t>mid s. Mon-Wen  01/02-30/04, 01-31/08, 15/11-20/12</t>
  </si>
  <si>
    <t>high s. Thur -Sun 01/05-31/07, 01/09-14/11, 31/12-01/01/21</t>
  </si>
  <si>
    <t>high s.Mon-Wen 01/05-31/07, 01/09-14/11, 31/12-01/01/21</t>
  </si>
  <si>
    <t>close out: 10-11/01, 26-28/01, 31/03-02/04, 04-07/05, 16-25/06, 02-04/07, 28-31/07, 19/09-09/10, 10-12/11</t>
  </si>
  <si>
    <t>high s 01/04-31/10</t>
  </si>
  <si>
    <t>low s .02/01-31/03, 01/11-01/01/21</t>
  </si>
  <si>
    <t>15.04.-15.10. Sun-Thur</t>
  </si>
  <si>
    <t>porterage: 3/suitcase/way max 30 kg; late arrivel is extra 20/hour</t>
  </si>
  <si>
    <t xml:space="preserve"> 3€/suitcase/way max 30 kg; late arrivel is extra 20/hour</t>
  </si>
  <si>
    <t>close out:07/jun, 11/jun, 28/jun, 06/aug, 28/sept, 08/oct</t>
  </si>
  <si>
    <t>HB3 CRS 14€, BBQdinner with mediaval 22€, pork knuckle 18€</t>
  </si>
  <si>
    <t xml:space="preserve">15 rooms allotment </t>
  </si>
  <si>
    <t>Orangerie 4*</t>
  </si>
  <si>
    <t>Eventpyramida</t>
  </si>
  <si>
    <t>HB Obligatory</t>
  </si>
  <si>
    <t xml:space="preserve">HB Obligatory - 2 nigh stay price 97.5€p.p/n </t>
  </si>
  <si>
    <t>Jenny prefers to use Hotel Pleger in this area</t>
  </si>
  <si>
    <t>new management</t>
  </si>
  <si>
    <t>dynamic rates, on request upon availbality</t>
  </si>
  <si>
    <t>exact hotel name 30 prior</t>
  </si>
  <si>
    <t>driver or guide in sgl 50 pp</t>
  </si>
  <si>
    <t>HB dinner 12</t>
  </si>
  <si>
    <t>17-20/3; 30/3-4/4; 20-23/4; 30/4-3/5; 17-21/5; 10-11/7; 2-9/10; 21-22/10; 18-19/11</t>
  </si>
  <si>
    <t>HB dinner obligatory</t>
  </si>
  <si>
    <t>Etno Garden  4*</t>
  </si>
  <si>
    <t xml:space="preserve">Etno Garden  4* </t>
  </si>
  <si>
    <t>HB 15-28</t>
  </si>
  <si>
    <t>Amphora 4*</t>
  </si>
  <si>
    <t>park view/seaview +10 pp</t>
  </si>
  <si>
    <t>fully revonated</t>
  </si>
  <si>
    <t>Princess</t>
  </si>
  <si>
    <t>30 km from Zagreb</t>
  </si>
  <si>
    <r>
      <rPr>
        <b/>
        <sz val="12"/>
        <color theme="3" tint="0.39997558519241921"/>
        <rFont val="Times New Roman"/>
        <family val="1"/>
        <charset val="238"/>
      </rPr>
      <t xml:space="preserve">blue - rates before 2017, </t>
    </r>
    <r>
      <rPr>
        <b/>
        <sz val="12"/>
        <color rgb="FF00B050"/>
        <rFont val="Times New Roman"/>
        <family val="1"/>
        <charset val="238"/>
      </rPr>
      <t>green - 2017 rates,</t>
    </r>
    <r>
      <rPr>
        <b/>
        <sz val="12"/>
        <color theme="3" tint="0.39997558519241921"/>
        <rFont val="Times New Roman"/>
        <family val="1"/>
        <charset val="238"/>
      </rPr>
      <t xml:space="preserve"> </t>
    </r>
    <r>
      <rPr>
        <b/>
        <sz val="12"/>
        <color rgb="FF7030A0"/>
        <rFont val="Times New Roman"/>
        <family val="1"/>
        <charset val="238"/>
      </rPr>
      <t xml:space="preserve">purple - 2018 rates, </t>
    </r>
    <r>
      <rPr>
        <b/>
        <sz val="12"/>
        <color rgb="FFFF0000"/>
        <rFont val="Times New Roman"/>
        <family val="1"/>
        <charset val="238"/>
      </rPr>
      <t xml:space="preserve">red - 2019 rates, </t>
    </r>
    <r>
      <rPr>
        <b/>
        <sz val="12"/>
        <rFont val="Times New Roman"/>
        <family val="1"/>
        <charset val="238"/>
      </rPr>
      <t>black - 2020 rates</t>
    </r>
  </si>
  <si>
    <t xml:space="preserve">    1 Jan - 31 March and 1 Nov - 31 Dec: 75 Kuna ~ 10,14 € - 10% comm</t>
  </si>
  <si>
    <t xml:space="preserve">    1 Jan - 31 March and 1 Nov - 31 Dec: 80 Kuna ~ 10,81 € - 10% comm</t>
  </si>
  <si>
    <t xml:space="preserve">    1 Apr - 31 May and 1-31 Oct: 160 Kuna ~ 21,62 € - 10% comm</t>
  </si>
  <si>
    <t xml:space="preserve">    1 Apr - 31 May and 1-31 Oct: 180 Kuna ~ 24,32 € - 10% comm</t>
  </si>
  <si>
    <t xml:space="preserve">    1 June - 30 Sept: 300 Kuna ~ 40,54 € - 10% comm</t>
  </si>
  <si>
    <t xml:space="preserve"> low:                                06.01.2020-03.04.2020 &amp; 02.11.2020-04.12.2020 &amp; 14.12.2020-24.12.2020</t>
  </si>
  <si>
    <t>medium:                          04.04.2020-26.06.2020 &amp; 07.09.2020-01.11.2020 &amp; 05.12.2020-13.12.2020</t>
  </si>
  <si>
    <t>high:                                       01.01.2020-05.01.2020 &amp; 27.06.2020-06.09.2020 &amp; 25.12.2020-03.01.2021</t>
  </si>
  <si>
    <t>Please pay attention!                                                                                                                                                                                                  A parking fee is charged to buses and vans that bring visitors to the Predjama Castle with the sole purpose of having a photo stop. The parking fee is EUR 100 per bus and EUR 50 per van. If  agroup of visitors has previously cisited Postojna Cave, it is entitled to a discount of 50%. For buses and vans carrying groups of visitors that tour the Predjama Castle, parking is free of charge.</t>
  </si>
  <si>
    <t>Package visit of Postojna cave + lunch menu A1-A4:</t>
  </si>
  <si>
    <t>Package visit of Postojna cave + Predjama castle + lunch menu A1-A4:</t>
  </si>
  <si>
    <t>Package visit of Postojna cave + lunch menu B:</t>
  </si>
  <si>
    <t>Package visit of Postojna cave + Predjama castle + lunch menu B:</t>
  </si>
  <si>
    <t xml:space="preserve">Package visit of Postojna cave + lunch menu D: </t>
  </si>
  <si>
    <t xml:space="preserve">    low: 34,20 €/pax</t>
  </si>
  <si>
    <t xml:space="preserve">    medium: 35,10 €/pax</t>
  </si>
  <si>
    <t xml:space="preserve">    high: 35,6,00 €/pax</t>
  </si>
  <si>
    <t>Package visit of Postojna cave + Predjama castle + lunch menu D:</t>
  </si>
  <si>
    <t xml:space="preserve">    low: 38,61 €/pax</t>
  </si>
  <si>
    <t xml:space="preserve">    medium: 39,51 €/pax</t>
  </si>
  <si>
    <t xml:space="preserve">    high: 40,41 €/pax</t>
  </si>
  <si>
    <t>Bled Castle: 13€ for FIT, 10,5€ for groups or included if group have lunch or dinner in Castle</t>
  </si>
  <si>
    <t>Cable car: 145 Kuna ~ 19,59€ - rate valid from 1st April 2020 till 31th March 2021</t>
  </si>
  <si>
    <t>BIG coach: 380 EUR/day + costs (HU, CZ, SK, AU)</t>
  </si>
  <si>
    <t>- Hallstatt 40 EUR/day (may increase  in 2020)</t>
  </si>
  <si>
    <t xml:space="preserve">- Salzburg 50 EUR/day </t>
  </si>
  <si>
    <t>Coach rates 2020 - please use the worksheet coach rate 2019</t>
  </si>
  <si>
    <t>Spirit</t>
    <phoneticPr fontId="111" type="noConversion"/>
  </si>
  <si>
    <t xml:space="preserve"> </t>
    <phoneticPr fontId="111" type="noConversion"/>
  </si>
  <si>
    <r>
      <t>Lazarlovaspark: 31</t>
    </r>
    <r>
      <rPr>
        <sz val="11"/>
        <rFont val="新細明體"/>
        <family val="3"/>
        <charset val="136"/>
        <scheme val="minor"/>
      </rPr>
      <t>€</t>
    </r>
    <r>
      <rPr>
        <sz val="11"/>
        <rFont val="新細明體"/>
        <family val="1"/>
        <charset val="136"/>
        <scheme val="minor"/>
      </rPr>
      <t xml:space="preserve"> incl. goose liver (2020)</t>
    </r>
    <phoneticPr fontId="26" type="noConversion"/>
  </si>
  <si>
    <r>
      <t>Lazarlovaspark: 28</t>
    </r>
    <r>
      <rPr>
        <sz val="11"/>
        <rFont val="新細明體"/>
        <family val="3"/>
        <charset val="136"/>
        <scheme val="minor"/>
      </rPr>
      <t>€</t>
    </r>
    <r>
      <rPr>
        <sz val="11"/>
        <rFont val="新細明體"/>
        <family val="1"/>
        <charset val="136"/>
        <scheme val="minor"/>
      </rPr>
      <t xml:space="preserve"> without goose liver (2020)</t>
    </r>
    <phoneticPr fontId="26" type="noConversion"/>
  </si>
  <si>
    <r>
      <t>Cruise:</t>
    </r>
    <r>
      <rPr>
        <b/>
        <sz val="11"/>
        <rFont val="Arial"/>
        <family val="2"/>
        <charset val="238"/>
      </rPr>
      <t xml:space="preserve"> in a private boat, 9€ (1 hour included 1 drink), min. 25pax /group</t>
    </r>
    <phoneticPr fontId="37" type="noConversion"/>
  </si>
  <si>
    <t>mid s. 30/03-03/05, 29/06-06/09, 01/11-27/11</t>
  </si>
  <si>
    <t>mid s. 01/04-31/05, 01/10-01/11</t>
  </si>
  <si>
    <t>If stay for 1 night only, than HB is obligatory!!</t>
  </si>
  <si>
    <t>In high season 01/06-30/09 they have different price for 1 night saty and for 2 nights stay.</t>
  </si>
  <si>
    <t>lake-view suppl.: 10 p.p. in TWN, 15 p.p. in SGL</t>
  </si>
  <si>
    <t>lake-view suppl.: 15 p.p. in TWN, 20 p.p. in SGL</t>
  </si>
  <si>
    <t>lake-view suppl.: 10 p.p. in TWN, 20 p.p. in SGL</t>
  </si>
  <si>
    <t>lake-view suppl.: 20 p.p. in TWN, 30 p.p. in SGL</t>
  </si>
  <si>
    <t>&gt;20P   8,20  €</t>
  </si>
  <si>
    <t xml:space="preserve">    9,50 €</t>
  </si>
  <si>
    <t xml:space="preserve">  5,50 €</t>
  </si>
  <si>
    <t xml:space="preserve">  17,50 €</t>
  </si>
  <si>
    <t xml:space="preserve">  9,70 €</t>
  </si>
  <si>
    <t>&gt;20P  30,00 €</t>
  </si>
  <si>
    <t>2019/11/01 - 2020/04/30 closed</t>
  </si>
  <si>
    <t xml:space="preserve"> Berliner Dom</t>
  </si>
  <si>
    <r>
      <t xml:space="preserve"> Pergamonmuseum </t>
    </r>
    <r>
      <rPr>
        <b/>
        <sz val="9"/>
        <color indexed="12"/>
        <rFont val="Arial"/>
        <family val="2"/>
      </rPr>
      <t xml:space="preserve"> (English Guide:  90.- € )</t>
    </r>
  </si>
  <si>
    <t xml:space="preserve"> Pergamonmuseum with Panorama</t>
  </si>
  <si>
    <t xml:space="preserve"> Neues Museum</t>
  </si>
  <si>
    <t xml:space="preserve"> Museum-Day-Ticket</t>
  </si>
  <si>
    <t>&gt;20P   8,90 €</t>
  </si>
  <si>
    <t xml:space="preserve">    9,90 €</t>
  </si>
  <si>
    <t xml:space="preserve">   4,90 €</t>
  </si>
  <si>
    <t>&gt;10P  12,50 €</t>
  </si>
  <si>
    <t xml:space="preserve"> Kombi-Ticket for 2 Gewölbes</t>
  </si>
  <si>
    <t xml:space="preserve">          24,50 €</t>
  </si>
  <si>
    <t xml:space="preserve">  24,50 €</t>
  </si>
  <si>
    <t>&gt;25P    10,00 €</t>
  </si>
  <si>
    <t xml:space="preserve">    11,00 €</t>
  </si>
  <si>
    <t xml:space="preserve">    12,00 €</t>
  </si>
  <si>
    <t>&gt;15P  15,50 €</t>
  </si>
  <si>
    <t xml:space="preserve">  18,50 €</t>
  </si>
  <si>
    <t xml:space="preserve">   10,00 €</t>
  </si>
  <si>
    <t xml:space="preserve"> Heidelberg Castle: (incl. funicular railway, Castle</t>
  </si>
  <si>
    <t>&gt;15P  14,50 €</t>
  </si>
  <si>
    <t xml:space="preserve">  16,50 €</t>
  </si>
  <si>
    <t>3,00 €</t>
  </si>
  <si>
    <t>Up and Down 4,00 €</t>
  </si>
  <si>
    <t>4,00 €</t>
  </si>
  <si>
    <r>
      <t xml:space="preserve">                                     </t>
    </r>
    <r>
      <rPr>
        <b/>
        <sz val="10"/>
        <rFont val="Arial"/>
        <family val="2"/>
      </rPr>
      <t>2019  Entrance  Fee  Germany - 2</t>
    </r>
  </si>
  <si>
    <t>&gt;20P  15,00 €</t>
  </si>
  <si>
    <t>16,50 €</t>
  </si>
  <si>
    <t xml:space="preserve">  8,50 €</t>
  </si>
  <si>
    <r>
      <t xml:space="preserve"> Mainau Flower Garden</t>
    </r>
    <r>
      <rPr>
        <b/>
        <sz val="9"/>
        <color indexed="12"/>
        <rFont val="Arial"/>
        <family val="2"/>
      </rPr>
      <t xml:space="preserve"> </t>
    </r>
    <r>
      <rPr>
        <b/>
        <sz val="9"/>
        <color indexed="62"/>
        <rFont val="Arial"/>
        <family val="2"/>
      </rPr>
      <t>(2019.10.21- 2020.03.19)</t>
    </r>
  </si>
  <si>
    <t>&gt;10P    8,50 €</t>
  </si>
  <si>
    <t>10,50 €</t>
  </si>
  <si>
    <r>
      <t xml:space="preserve"> Mainau Flower Garden</t>
    </r>
    <r>
      <rPr>
        <b/>
        <sz val="9"/>
        <color indexed="12"/>
        <rFont val="Arial"/>
        <family val="2"/>
      </rPr>
      <t xml:space="preserve"> </t>
    </r>
    <r>
      <rPr>
        <b/>
        <sz val="9"/>
        <color indexed="62"/>
        <rFont val="Arial"/>
        <family val="2"/>
      </rPr>
      <t>(2020.03.20 - 2020.10.25)</t>
    </r>
  </si>
  <si>
    <t>&gt;10P  17,50 €</t>
  </si>
  <si>
    <t>22,00 €</t>
  </si>
  <si>
    <t>&gt;20P   9,00 €</t>
  </si>
  <si>
    <t>11,00 €</t>
  </si>
  <si>
    <t>&gt;20P  9,00 €</t>
  </si>
  <si>
    <t xml:space="preserve"> Schloss Cecilienhof</t>
  </si>
  <si>
    <t>&lt;20P    160 €</t>
  </si>
  <si>
    <t xml:space="preserve">    14,00 €</t>
  </si>
  <si>
    <t xml:space="preserve"> Schloss Cecilienhof </t>
  </si>
  <si>
    <t xml:space="preserve"> up to 40P  320 €</t>
  </si>
  <si>
    <t>&gt;20P  17,00 €</t>
  </si>
  <si>
    <t>&gt;20P    8,00 €</t>
  </si>
  <si>
    <t>32,90 €</t>
  </si>
  <si>
    <t>35,90 €</t>
  </si>
  <si>
    <t>35,40 €</t>
  </si>
  <si>
    <t>38,40 €</t>
  </si>
  <si>
    <t xml:space="preserve">             TBA by Budapest</t>
  </si>
  <si>
    <t xml:space="preserve"> 2020 Entrance  Fee  Germany - 1</t>
    <phoneticPr fontId="26" type="noConversion"/>
  </si>
  <si>
    <t xml:space="preserve"> + Hotel Dinner</t>
    <phoneticPr fontId="26" type="noConversion"/>
  </si>
  <si>
    <t>END OF SERVICE</t>
    <phoneticPr fontId="111" type="noConversion"/>
  </si>
  <si>
    <t xml:space="preserve"> </t>
    <phoneticPr fontId="21" type="noConversion"/>
  </si>
  <si>
    <t xml:space="preserve">      </t>
    <phoneticPr fontId="21" type="noConversion"/>
  </si>
  <si>
    <t xml:space="preserve"> + Hotel Dinner </t>
    <phoneticPr fontId="26" type="noConversion"/>
  </si>
  <si>
    <t xml:space="preserve"> </t>
    <phoneticPr fontId="111" type="noConversion"/>
  </si>
  <si>
    <t xml:space="preserve">City tax </t>
    <phoneticPr fontId="111" type="noConversion"/>
  </si>
  <si>
    <t xml:space="preserve">Porterage </t>
    <phoneticPr fontId="111" type="noConversion"/>
  </si>
  <si>
    <t>City Tax</t>
    <phoneticPr fontId="111" type="noConversion"/>
  </si>
  <si>
    <t xml:space="preserve"> </t>
    <phoneticPr fontId="26" type="noConversion"/>
  </si>
  <si>
    <t xml:space="preserve">   </t>
    <phoneticPr fontId="111" type="noConversion"/>
  </si>
  <si>
    <t xml:space="preserve">     </t>
    <phoneticPr fontId="111" type="noConversion"/>
  </si>
  <si>
    <t xml:space="preserve">No </t>
    <phoneticPr fontId="26" type="noConversion"/>
  </si>
  <si>
    <t xml:space="preserve">Podgorica </t>
    <phoneticPr fontId="26" type="noConversion"/>
  </si>
  <si>
    <t>Note :</t>
  </si>
  <si>
    <t>Arr. Zagerb Apt. HD SS + ESG ( Funicular Railway arrange by T/L)</t>
    <phoneticPr fontId="26" type="noConversion"/>
  </si>
  <si>
    <t>Pm transfer to LJU SS + ESG ( Cable Car + Castle arrange by T/L)</t>
    <phoneticPr fontId="26" type="noConversion"/>
  </si>
  <si>
    <t xml:space="preserve">Pm transfer to Opatija SS NO GD </t>
    <phoneticPr fontId="26" type="noConversion"/>
  </si>
  <si>
    <t xml:space="preserve">Pm transfer to Zadar SS + ESG </t>
    <phoneticPr fontId="26" type="noConversion"/>
  </si>
  <si>
    <t>Split - Stari Grad/Stari Grad-Split: 268 (01.01-30.05 &amp; 30.09-31.12.2019) and 322€ (31.05-29.09.2019)</t>
    <phoneticPr fontId="26" type="noConversion"/>
  </si>
  <si>
    <t xml:space="preserve">Pm transfer to Dubrovnik </t>
    <phoneticPr fontId="26" type="noConversion"/>
  </si>
  <si>
    <t xml:space="preserve"> + Suckling Pig Lunch </t>
    <phoneticPr fontId="26" type="noConversion"/>
  </si>
  <si>
    <t xml:space="preserve"> + Grilled Squid Lunch </t>
    <phoneticPr fontId="26" type="noConversion"/>
  </si>
  <si>
    <t xml:space="preserve"> </t>
    <phoneticPr fontId="26" type="noConversion"/>
  </si>
  <si>
    <t xml:space="preserve"> + Hotel Dinner </t>
    <phoneticPr fontId="26" type="noConversion"/>
  </si>
  <si>
    <t xml:space="preserve"> NIL</t>
    <phoneticPr fontId="26" type="noConversion"/>
  </si>
  <si>
    <r>
      <t xml:space="preserve">Am </t>
    </r>
    <r>
      <rPr>
        <b/>
        <sz val="12"/>
        <rFont val="Times New Roman"/>
        <family val="1"/>
      </rPr>
      <t xml:space="preserve">EF + Postojna Cave+Audio guide </t>
    </r>
    <phoneticPr fontId="26" type="noConversion"/>
  </si>
  <si>
    <r>
      <t>Am</t>
    </r>
    <r>
      <rPr>
        <b/>
        <sz val="12"/>
        <rFont val="Times New Roman"/>
        <family val="1"/>
      </rPr>
      <t xml:space="preserve"> EF + Krka National Park + ESG </t>
    </r>
    <phoneticPr fontId="26" type="noConversion"/>
  </si>
  <si>
    <r>
      <t xml:space="preserve">Am </t>
    </r>
    <r>
      <rPr>
        <b/>
        <sz val="12"/>
        <rFont val="Times New Roman"/>
        <family val="1"/>
      </rPr>
      <t xml:space="preserve">EF + Split - Stari Grad Ferry </t>
    </r>
    <phoneticPr fontId="26" type="noConversion"/>
  </si>
  <si>
    <r>
      <t xml:space="preserve">Am </t>
    </r>
    <r>
      <rPr>
        <b/>
        <sz val="12"/>
        <rFont val="Times New Roman"/>
        <family val="1"/>
      </rPr>
      <t>EF + Sucuraj - Drvenik Ferry</t>
    </r>
    <r>
      <rPr>
        <sz val="12"/>
        <rFont val="Times New Roman"/>
        <family val="1"/>
      </rPr>
      <t xml:space="preserve"> then tranfser to ston </t>
    </r>
    <phoneticPr fontId="26" type="noConversion"/>
  </si>
  <si>
    <r>
      <t xml:space="preserve">Am SS in DBV + ESG </t>
    </r>
    <r>
      <rPr>
        <b/>
        <sz val="12"/>
        <rFont val="Times New Roman"/>
        <family val="1"/>
      </rPr>
      <t xml:space="preserve">EF + Dominican + Parking fee </t>
    </r>
    <phoneticPr fontId="26" type="noConversion"/>
  </si>
  <si>
    <t>/LJU</t>
    <phoneticPr fontId="111" type="noConversion"/>
  </si>
  <si>
    <t xml:space="preserve">Plitvice </t>
    <phoneticPr fontId="111" type="noConversion"/>
  </si>
  <si>
    <t xml:space="preserve">Split </t>
    <phoneticPr fontId="111" type="noConversion"/>
  </si>
  <si>
    <t>Hvar</t>
    <phoneticPr fontId="111" type="noConversion"/>
  </si>
  <si>
    <t xml:space="preserve">Dubrovnik </t>
    <phoneticPr fontId="111" type="noConversion"/>
  </si>
  <si>
    <t xml:space="preserve">Dubrovnik </t>
    <phoneticPr fontId="111" type="noConversion"/>
  </si>
  <si>
    <t xml:space="preserve">Podgorica/ </t>
    <phoneticPr fontId="111" type="noConversion"/>
  </si>
  <si>
    <t xml:space="preserve">Amfora 4* or similar </t>
    <phoneticPr fontId="111" type="noConversion"/>
  </si>
  <si>
    <t>??</t>
    <phoneticPr fontId="111" type="noConversion"/>
  </si>
  <si>
    <t>x</t>
    <phoneticPr fontId="111" type="noConversion"/>
  </si>
  <si>
    <t>??</t>
    <phoneticPr fontId="111" type="noConversion"/>
  </si>
  <si>
    <t>??</t>
    <phoneticPr fontId="111" type="noConversion"/>
  </si>
  <si>
    <t xml:space="preserve">Pm SS in Hvar + ESG </t>
    <phoneticPr fontId="26" type="noConversion"/>
  </si>
  <si>
    <r>
      <t xml:space="preserve">Pm transfer to Split SS + ESG </t>
    </r>
    <r>
      <rPr>
        <b/>
        <sz val="12"/>
        <rFont val="Times New Roman"/>
        <family val="1"/>
      </rPr>
      <t>EF + Parking fee</t>
    </r>
    <phoneticPr fontId="26" type="noConversion"/>
  </si>
  <si>
    <t>DBV Parking fee on Day 10</t>
    <phoneticPr fontId="21" type="noConversion"/>
  </si>
  <si>
    <t>Split Parking fee on Day 07</t>
    <phoneticPr fontId="111" type="noConversion"/>
  </si>
  <si>
    <t>INCL</t>
    <phoneticPr fontId="111" type="noConversion"/>
  </si>
  <si>
    <t>Quotation included :</t>
    <phoneticPr fontId="26" type="noConversion"/>
  </si>
  <si>
    <t>Quotation excluded :</t>
  </si>
  <si>
    <t xml:space="preserve">2. The entrance is not incl. in QT, if the group request to visit, Please pay on invoice or pay </t>
    <phoneticPr fontId="26" type="noConversion"/>
  </si>
  <si>
    <t>Zagreb</t>
    <phoneticPr fontId="26" type="noConversion"/>
  </si>
  <si>
    <t xml:space="preserve">1.5 D empty run </t>
    <phoneticPr fontId="111" type="noConversion"/>
  </si>
  <si>
    <t>Cola / Ms.Sue                                   TEL : 02-2567-2898 #1882</t>
    <phoneticPr fontId="26" type="noConversion"/>
  </si>
  <si>
    <t xml:space="preserve">EETS/TPE/Jerry </t>
    <phoneticPr fontId="26" type="noConversion"/>
  </si>
  <si>
    <t>DATE:</t>
    <phoneticPr fontId="26" type="noConversion"/>
  </si>
  <si>
    <t>Am transfer to Vintgar Gorge pay by T/L</t>
    <phoneticPr fontId="26" type="noConversion"/>
  </si>
  <si>
    <t xml:space="preserve"> + Hotel Dinner </t>
    <phoneticPr fontId="26" type="noConversion"/>
  </si>
  <si>
    <t>EF + Plitvice National Park + ESG  ( upper lake )</t>
    <phoneticPr fontId="26" type="noConversion"/>
  </si>
  <si>
    <t>Am Visit Plitvice National Park + ESG</t>
    <phoneticPr fontId="26" type="noConversion"/>
  </si>
  <si>
    <r>
      <rPr>
        <sz val="12"/>
        <color theme="1"/>
        <rFont val="Times New Roman"/>
        <family val="1"/>
      </rPr>
      <t xml:space="preserve">Pm </t>
    </r>
    <r>
      <rPr>
        <b/>
        <sz val="12"/>
        <color theme="1"/>
        <rFont val="Times New Roman"/>
        <family val="1"/>
      </rPr>
      <t xml:space="preserve">EF + Cable car(tripe), </t>
    </r>
    <r>
      <rPr>
        <sz val="12"/>
        <color theme="1"/>
        <rFont val="Times New Roman"/>
        <family val="1"/>
        <charset val="238"/>
      </rPr>
      <t>City Wall pay on spot by T/L</t>
    </r>
    <phoneticPr fontId="26" type="noConversion"/>
  </si>
  <si>
    <r>
      <t>Am transfer to Plitvice Via Rastoke</t>
    </r>
    <r>
      <rPr>
        <sz val="12"/>
        <color theme="1"/>
        <rFont val="Times New Roman"/>
        <family val="1"/>
        <charset val="238"/>
      </rPr>
      <t xml:space="preserve"> pay by T/L</t>
    </r>
    <phoneticPr fontId="26" type="noConversion"/>
  </si>
  <si>
    <r>
      <t>Am</t>
    </r>
    <r>
      <rPr>
        <b/>
        <sz val="12"/>
        <color theme="1"/>
        <rFont val="Times New Roman"/>
        <family val="1"/>
      </rPr>
      <t xml:space="preserve"> EF+ Kamenari-Lepetane Ferry</t>
    </r>
    <r>
      <rPr>
        <sz val="12"/>
        <color theme="1"/>
        <rFont val="Times New Roman"/>
        <family val="1"/>
      </rPr>
      <t xml:space="preserve"> transfer to Kotor SS + ESG </t>
    </r>
    <phoneticPr fontId="26" type="noConversion"/>
  </si>
  <si>
    <t xml:space="preserve">Pm transfer to Podgorica Apt. departure Via Sveti Stefan  </t>
    <phoneticPr fontId="26" type="noConversion"/>
  </si>
  <si>
    <t xml:space="preserve"> </t>
    <phoneticPr fontId="26" type="noConversion"/>
  </si>
  <si>
    <t xml:space="preserve"> </t>
    <phoneticPr fontId="26" type="noConversion"/>
  </si>
  <si>
    <r>
      <t>1. City Tax per person</t>
    </r>
    <r>
      <rPr>
        <sz val="12"/>
        <rFont val="細明體"/>
        <family val="3"/>
        <charset val="136"/>
      </rPr>
      <t>。</t>
    </r>
    <phoneticPr fontId="26" type="noConversion"/>
  </si>
  <si>
    <r>
      <t xml:space="preserve">2. High way fee + Day 07 Split Parking fee + Day 10 Dubrovnik Parking fee </t>
    </r>
    <r>
      <rPr>
        <sz val="12"/>
        <rFont val="細明體"/>
        <family val="3"/>
        <charset val="136"/>
      </rPr>
      <t>。</t>
    </r>
    <phoneticPr fontId="26" type="noConversion"/>
  </si>
  <si>
    <r>
      <t xml:space="preserve">3. Driver's meal and accommodation </t>
    </r>
    <r>
      <rPr>
        <sz val="12"/>
        <rFont val="細明體"/>
        <family val="3"/>
        <charset val="136"/>
      </rPr>
      <t>。</t>
    </r>
    <phoneticPr fontId="26" type="noConversion"/>
  </si>
  <si>
    <r>
      <t>1. Porterage service at Hotel/Airport/Train Station</t>
    </r>
    <r>
      <rPr>
        <sz val="12"/>
        <rFont val="細明體"/>
        <family val="3"/>
        <charset val="136"/>
      </rPr>
      <t>。</t>
    </r>
    <phoneticPr fontId="26" type="noConversion"/>
  </si>
  <si>
    <r>
      <t xml:space="preserve">     on spot</t>
    </r>
    <r>
      <rPr>
        <sz val="12"/>
        <rFont val="細明體"/>
        <family val="3"/>
        <charset val="136"/>
      </rPr>
      <t>。</t>
    </r>
    <phoneticPr fontId="26" type="noConversion"/>
  </si>
  <si>
    <t>Parking fee 50 euro x 9 days</t>
    <phoneticPr fontId="111" type="noConversion"/>
  </si>
  <si>
    <t xml:space="preserve"> </t>
    <phoneticPr fontId="111" type="noConversion"/>
  </si>
  <si>
    <t xml:space="preserve"> </t>
    <phoneticPr fontId="111" type="noConversion"/>
  </si>
  <si>
    <t>High way fee</t>
    <phoneticPr fontId="111" type="noConversion"/>
  </si>
  <si>
    <t xml:space="preserve">Grand Plaza 5* or similar </t>
    <phoneticPr fontId="21" type="noConversion"/>
  </si>
  <si>
    <t xml:space="preserve">Jezero 3* or similar </t>
    <phoneticPr fontId="111" type="noConversion"/>
  </si>
  <si>
    <t xml:space="preserve">Zadar </t>
    <phoneticPr fontId="111" type="noConversion"/>
  </si>
  <si>
    <t xml:space="preserve">Sun Garden 5*, President Valamar 5* or similar </t>
    <phoneticPr fontId="111" type="noConversion"/>
  </si>
  <si>
    <t xml:space="preserve">                     + Veal &amp; Chicken Lunch </t>
    <phoneticPr fontId="26" type="noConversion"/>
  </si>
  <si>
    <t>MH Handling fee</t>
    <phoneticPr fontId="111" type="noConversion"/>
  </si>
  <si>
    <t xml:space="preserve"> + Lamb in Slunj </t>
    <phoneticPr fontId="26" type="noConversion"/>
  </si>
  <si>
    <t xml:space="preserve">         </t>
    <phoneticPr fontId="26" type="noConversion"/>
  </si>
  <si>
    <t>Kotor Tourist Tax</t>
    <phoneticPr fontId="111" type="noConversion"/>
  </si>
  <si>
    <t xml:space="preserve">Falkensteiner Diadora 5* or Iadera 5* or similar </t>
    <phoneticPr fontId="21" type="noConversion"/>
  </si>
  <si>
    <t xml:space="preserve">driver's meal 15 euro X 16 meal </t>
    <phoneticPr fontId="111" type="noConversion"/>
  </si>
  <si>
    <r>
      <t xml:space="preserve">Pm SS in Bled </t>
    </r>
    <r>
      <rPr>
        <b/>
        <sz val="12"/>
        <rFont val="Times New Roman"/>
        <family val="1"/>
      </rPr>
      <t xml:space="preserve">EF + Pletna Boat + Castle </t>
    </r>
    <phoneticPr fontId="26" type="noConversion"/>
  </si>
  <si>
    <t xml:space="preserve"> </t>
    <phoneticPr fontId="26" type="noConversion"/>
  </si>
  <si>
    <t xml:space="preserve"> + Chinese 7 dishes </t>
    <phoneticPr fontId="26" type="noConversion"/>
  </si>
  <si>
    <t xml:space="preserve"> </t>
    <phoneticPr fontId="26" type="noConversion"/>
  </si>
  <si>
    <t xml:space="preserve"> + Castle + Bled Cake </t>
    <phoneticPr fontId="26" type="noConversion"/>
  </si>
  <si>
    <t xml:space="preserve"> + Local Dinner</t>
    <phoneticPr fontId="26" type="noConversion"/>
  </si>
  <si>
    <t xml:space="preserve"> + Fish Dinner </t>
    <phoneticPr fontId="26" type="noConversion"/>
  </si>
  <si>
    <t xml:space="preserve"> + Local Lunch </t>
    <phoneticPr fontId="26" type="noConversion"/>
  </si>
  <si>
    <t xml:space="preserve"> + Oyster + Fish Lunch </t>
    <phoneticPr fontId="26" type="noConversion"/>
  </si>
  <si>
    <t xml:space="preserve"> + Beef Steak Dinner </t>
    <phoneticPr fontId="26" type="noConversion"/>
  </si>
  <si>
    <t xml:space="preserve"> </t>
    <phoneticPr fontId="26" type="noConversion"/>
  </si>
  <si>
    <t xml:space="preserve"> + 1/2 Lobster Dinner </t>
    <phoneticPr fontId="26" type="noConversion"/>
  </si>
  <si>
    <t xml:space="preserve"> + Squid Pasta Lunch </t>
    <phoneticPr fontId="26" type="noConversion"/>
  </si>
  <si>
    <t xml:space="preserve"> + Local Lunch </t>
    <phoneticPr fontId="26" type="noConversion"/>
  </si>
  <si>
    <t xml:space="preserve">#0413 Zagreb-Podgorica 12D TK CSM </t>
    <phoneticPr fontId="26" type="noConversion"/>
  </si>
  <si>
    <t>2023/DEC/21</t>
    <phoneticPr fontId="26" type="noConversion"/>
  </si>
  <si>
    <t xml:space="preserve">  14 / 4</t>
    <phoneticPr fontId="111" type="noConversion"/>
  </si>
  <si>
    <t xml:space="preserve">  15 / 4</t>
  </si>
  <si>
    <t xml:space="preserve">  16 / 4</t>
  </si>
  <si>
    <t xml:space="preserve">  17 / 4</t>
  </si>
  <si>
    <t xml:space="preserve">  18 / 4</t>
  </si>
  <si>
    <t xml:space="preserve">  19 / 4</t>
  </si>
  <si>
    <t xml:space="preserve">  20 / 4</t>
  </si>
  <si>
    <t xml:space="preserve">  21 / 4</t>
  </si>
  <si>
    <t xml:space="preserve">  22 / 4</t>
  </si>
  <si>
    <t xml:space="preserve">  23 / 4</t>
  </si>
  <si>
    <t xml:space="preserve">Bled </t>
    <phoneticPr fontId="111" type="noConversion"/>
  </si>
  <si>
    <t xml:space="preserve">Rikli 4* ( Lake View ) or similar </t>
    <phoneticPr fontId="21" type="noConversion"/>
  </si>
  <si>
    <t xml:space="preserve">Opatija </t>
    <phoneticPr fontId="111" type="noConversion"/>
  </si>
  <si>
    <t xml:space="preserve"> </t>
    <phoneticPr fontId="111" type="noConversion"/>
  </si>
  <si>
    <t>HB</t>
    <phoneticPr fontId="111" type="noConversion"/>
  </si>
  <si>
    <t xml:space="preserve">Grand Adriatici 4* or similar </t>
    <phoneticPr fontId="111" type="noConversion"/>
  </si>
  <si>
    <t xml:space="preserve">AC by Marriott 4*, Amphora 4* or similar </t>
    <phoneticPr fontId="21" type="noConversion"/>
  </si>
  <si>
    <t xml:space="preserve"> + Cordon Bleu Chicken </t>
    <phoneticPr fontId="26" type="noConversion"/>
  </si>
  <si>
    <t>1942.-</t>
    <phoneticPr fontId="111" type="noConversion"/>
  </si>
  <si>
    <t>642.-</t>
    <phoneticPr fontId="111" type="noConversion"/>
  </si>
  <si>
    <t>2279.-</t>
    <phoneticPr fontId="111" type="noConversion"/>
  </si>
  <si>
    <t>2056.-</t>
    <phoneticPr fontId="111" type="noConversion"/>
  </si>
  <si>
    <t>1970.-</t>
    <phoneticPr fontId="111" type="noConversion"/>
  </si>
  <si>
    <r>
      <t>1. The QT only for group 0413</t>
    </r>
    <r>
      <rPr>
        <sz val="12"/>
        <rFont val="細明體"/>
        <family val="3"/>
        <charset val="136"/>
      </rPr>
      <t>。</t>
    </r>
    <phoneticPr fontId="26" type="noConversion"/>
  </si>
  <si>
    <t>13/Apr/24</t>
    <phoneticPr fontId="26" type="noConversion"/>
  </si>
  <si>
    <t xml:space="preserve"> </t>
    <phoneticPr fontId="26" type="noConversion"/>
  </si>
  <si>
    <t>23/Apr/24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</si>
</sst>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176" formatCode="_(&quot;$&quot;* #,##0.00_);_(&quot;$&quot;* \(#,##0.00\);_(&quot;$&quot;* &quot;-&quot;??_);_(@_)"/>
    <numFmt numFmtId="177" formatCode="0_);[Red]\(0\)"/>
    <numFmt numFmtId="178" formatCode="0_ "/>
    <numFmt numFmtId="179" formatCode="0.0_);[Red]\(0.0\)"/>
    <numFmt numFmtId="180" formatCode="0.00_);[Red]\(0.00\)"/>
    <numFmt numFmtId="181" formatCode="#,##0.00\ &quot;€&quot;"/>
    <numFmt numFmtId="182" formatCode="#,##0\ [$€-1];[Red]\-#,##0\ [$€-1]"/>
    <numFmt numFmtId="183" formatCode="#,##0.00\ [$€-1];[Red]\-#,##0.00\ [$€-1]"/>
    <numFmt numFmtId="184" formatCode="#,##0\ &quot;zł&quot;;[Red]\-#,##0\ &quot;zł&quot;"/>
    <numFmt numFmtId="185" formatCode="#,##0.00\ &quot;zł&quot;;[Red]\-#,##0.00\ &quot;zł&quot;"/>
    <numFmt numFmtId="186" formatCode="_-&quot;€&quot;\ * #,##0.00_-;\-&quot;€&quot;\ * #,##0.00_-;_-&quot;€&quot;\ * &quot;-&quot;??_-;_-@_-"/>
    <numFmt numFmtId="187" formatCode="#,##0.00_ ;[Red]\-#,##0.00\ "/>
    <numFmt numFmtId="188" formatCode="#,##0.00\ &quot;€&quot;;[Red]\-#,##0.00\ &quot;€&quot;"/>
    <numFmt numFmtId="189" formatCode="_-* #,##0.00\ &quot;€&quot;_-;\-* #,##0.00\ &quot;€&quot;_-;_-* &quot;-&quot;??\ &quot;€&quot;_-;_-@_-"/>
    <numFmt numFmtId="190" formatCode="yyyy/m/d;@"/>
    <numFmt numFmtId="191" formatCode="&quot;€&quot;\ #,##0.00"/>
    <numFmt numFmtId="192" formatCode="&quot;€&quot;\ #,##0.00;[Red]&quot;€&quot;\ #,##0.00"/>
    <numFmt numFmtId="193" formatCode="dd\.mm\.yyyy;@"/>
    <numFmt numFmtId="194" formatCode="#,##0.00\ &quot;€&quot;;[Red]#,##0.00\ &quot;€&quot;"/>
    <numFmt numFmtId="195" formatCode="[$€-2]\ #,##0.00;[Red]\-[$€-2]\ #,##0.00"/>
  </numFmts>
  <fonts count="247">
    <font>
      <sz val="12"/>
      <name val="Times New Roman"/>
      <family val="1"/>
    </font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238"/>
      <scheme val="minor"/>
    </font>
    <font>
      <sz val="11"/>
      <color theme="1"/>
      <name val="新細明體"/>
      <family val="2"/>
      <scheme val="minor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2"/>
      <name val="Times New Roman"/>
      <family val="1"/>
    </font>
    <font>
      <sz val="12"/>
      <color indexed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sz val="12"/>
      <color indexed="8"/>
      <name val="Times New Roman"/>
      <family val="1"/>
    </font>
    <font>
      <sz val="12"/>
      <color indexed="12"/>
      <name val="Times New Roman"/>
      <family val="1"/>
    </font>
    <font>
      <b/>
      <sz val="12"/>
      <color indexed="8"/>
      <name val="Times New Roman"/>
      <family val="1"/>
    </font>
    <font>
      <b/>
      <u/>
      <sz val="12"/>
      <color indexed="8"/>
      <name val="Times New Roman"/>
      <family val="1"/>
    </font>
    <font>
      <b/>
      <sz val="12"/>
      <color indexed="10"/>
      <name val="Times New Roman"/>
      <family val="1"/>
    </font>
    <font>
      <sz val="14"/>
      <name val="Times New Roman"/>
      <family val="1"/>
    </font>
    <font>
      <sz val="12"/>
      <color indexed="9"/>
      <name val="Times New Roman"/>
      <family val="1"/>
    </font>
    <font>
      <b/>
      <i/>
      <sz val="14"/>
      <name val="Times New Roman"/>
      <family val="1"/>
    </font>
    <font>
      <sz val="12"/>
      <name val="新細明體"/>
      <family val="1"/>
      <charset val="136"/>
    </font>
    <font>
      <b/>
      <i/>
      <sz val="14"/>
      <name val="新細明體"/>
      <family val="1"/>
      <charset val="136"/>
    </font>
    <font>
      <sz val="9"/>
      <name val="新細明體"/>
      <family val="1"/>
      <charset val="136"/>
    </font>
    <font>
      <sz val="12"/>
      <name val="細明體"/>
      <family val="3"/>
      <charset val="136"/>
    </font>
    <font>
      <b/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細明體"/>
      <family val="3"/>
      <charset val="136"/>
    </font>
    <font>
      <sz val="9"/>
      <name val="細明體"/>
      <family val="3"/>
      <charset val="136"/>
    </font>
    <font>
      <sz val="14"/>
      <name val="細明體"/>
      <family val="3"/>
      <charset val="136"/>
    </font>
    <font>
      <b/>
      <i/>
      <sz val="12"/>
      <name val="細明體"/>
      <family val="3"/>
      <charset val="136"/>
    </font>
    <font>
      <b/>
      <i/>
      <sz val="12"/>
      <color indexed="8"/>
      <name val="Times New Roman"/>
      <family val="1"/>
    </font>
    <font>
      <b/>
      <sz val="12"/>
      <color indexed="56"/>
      <name val="Times New Roman"/>
      <family val="1"/>
    </font>
    <font>
      <b/>
      <sz val="12"/>
      <color indexed="10"/>
      <name val="細明體"/>
      <family val="3"/>
      <charset val="136"/>
    </font>
    <font>
      <sz val="14"/>
      <color indexed="12"/>
      <name val="Times New Roman"/>
      <family val="1"/>
    </font>
    <font>
      <b/>
      <sz val="14"/>
      <color indexed="10"/>
      <name val="Times New Roman"/>
      <family val="1"/>
    </font>
    <font>
      <b/>
      <sz val="14"/>
      <color indexed="10"/>
      <name val="細明體"/>
      <family val="3"/>
      <charset val="136"/>
    </font>
    <font>
      <b/>
      <sz val="14"/>
      <color indexed="12"/>
      <name val="Times New Roman"/>
      <family val="1"/>
    </font>
    <font>
      <b/>
      <sz val="14"/>
      <color indexed="12"/>
      <name val="細明體"/>
      <family val="3"/>
      <charset val="136"/>
    </font>
    <font>
      <sz val="8"/>
      <name val="Times New Roman"/>
      <family val="1"/>
    </font>
    <font>
      <sz val="10"/>
      <color indexed="81"/>
      <name val="Tahoma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u/>
      <sz val="12"/>
      <name val="Times New Roman"/>
      <family val="1"/>
    </font>
    <font>
      <b/>
      <sz val="14"/>
      <name val="細明體"/>
      <family val="3"/>
      <charset val="136"/>
    </font>
    <font>
      <b/>
      <i/>
      <u/>
      <sz val="12"/>
      <name val="Arial"/>
      <family val="2"/>
    </font>
    <font>
      <sz val="11"/>
      <color rgb="FF006100"/>
      <name val="新細明體"/>
      <family val="1"/>
      <charset val="136"/>
      <scheme val="minor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b/>
      <sz val="10"/>
      <color theme="1"/>
      <name val="Arial"/>
      <family val="2"/>
    </font>
    <font>
      <b/>
      <u/>
      <sz val="12"/>
      <color rgb="FFFF0000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8"/>
      <color rgb="FFFF0000"/>
      <name val="Times New Roman"/>
      <family val="1"/>
    </font>
    <font>
      <b/>
      <sz val="10"/>
      <color rgb="FFFF0000"/>
      <name val="Arial"/>
      <family val="2"/>
    </font>
    <font>
      <sz val="12"/>
      <color rgb="FFFF0000"/>
      <name val="細明體"/>
      <family val="3"/>
      <charset val="136"/>
    </font>
    <font>
      <b/>
      <i/>
      <sz val="12"/>
      <color rgb="FFFF0000"/>
      <name val="Times New Roman"/>
      <family val="1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7030A0"/>
      <name val="Arial"/>
      <family val="2"/>
    </font>
    <font>
      <sz val="10"/>
      <color theme="3" tint="0.39997558519241921"/>
      <name val="Arial"/>
      <family val="2"/>
    </font>
    <font>
      <sz val="11"/>
      <color rgb="FFFF0000"/>
      <name val="新細明體"/>
      <family val="1"/>
      <charset val="136"/>
      <scheme val="minor"/>
    </font>
    <font>
      <b/>
      <sz val="8"/>
      <color rgb="FFFF0000"/>
      <name val="Times New Roman"/>
      <family val="1"/>
    </font>
    <font>
      <i/>
      <sz val="12"/>
      <name val="Times New Roman"/>
      <family val="1"/>
    </font>
    <font>
      <u/>
      <sz val="12"/>
      <name val="Times New Roman"/>
      <family val="1"/>
    </font>
    <font>
      <u/>
      <sz val="12"/>
      <name val="Times New Roman"/>
      <family val="1"/>
      <charset val="238"/>
    </font>
    <font>
      <sz val="12"/>
      <name val="Times New Roman"/>
      <family val="1"/>
      <charset val="238"/>
    </font>
    <font>
      <u/>
      <sz val="10"/>
      <color indexed="12"/>
      <name val="Arial"/>
      <family val="2"/>
    </font>
    <font>
      <b/>
      <sz val="12"/>
      <color rgb="FFFF0000"/>
      <name val="Times New Roman"/>
      <family val="1"/>
      <charset val="238"/>
    </font>
    <font>
      <sz val="8"/>
      <color theme="3" tint="0.39997558519241921"/>
      <name val="Times New Roman"/>
      <family val="1"/>
    </font>
    <font>
      <sz val="11"/>
      <color theme="3" tint="0.39997558519241921"/>
      <name val="Times New Roman"/>
      <family val="1"/>
    </font>
    <font>
      <sz val="12"/>
      <color theme="3" tint="0.39997558519241921"/>
      <name val="Times New Roman"/>
      <family val="1"/>
    </font>
    <font>
      <sz val="10"/>
      <color theme="3" tint="0.39997558519241921"/>
      <name val="Times New Roman"/>
      <family val="1"/>
    </font>
    <font>
      <b/>
      <sz val="12"/>
      <color theme="3" tint="0.39997558519241921"/>
      <name val="Times New Roman"/>
      <family val="1"/>
    </font>
    <font>
      <sz val="10"/>
      <color theme="3" tint="0.39997558519241921"/>
      <name val="細明體"/>
      <family val="3"/>
      <charset val="136"/>
    </font>
    <font>
      <b/>
      <sz val="8"/>
      <color theme="3" tint="0.39997558519241921"/>
      <name val="Times New Roman"/>
      <family val="1"/>
    </font>
    <font>
      <b/>
      <sz val="10"/>
      <color rgb="FFFF0000"/>
      <name val="Times New Roman"/>
      <family val="1"/>
      <charset val="238"/>
    </font>
    <font>
      <b/>
      <sz val="8"/>
      <color rgb="FFFF0000"/>
      <name val="Times New Roman"/>
      <family val="1"/>
      <charset val="238"/>
    </font>
    <font>
      <sz val="12"/>
      <color rgb="FF000000"/>
      <name val="Times New Roman"/>
      <family val="1"/>
    </font>
    <font>
      <b/>
      <sz val="11"/>
      <color theme="1"/>
      <name val="Czcionka tekstu podstawowego"/>
      <family val="2"/>
      <charset val="238"/>
    </font>
    <font>
      <b/>
      <sz val="11"/>
      <color theme="1"/>
      <name val="宋体"/>
      <charset val="134"/>
    </font>
    <font>
      <sz val="11"/>
      <color theme="1"/>
      <name val="Czcionka tekstu podstawowego"/>
      <family val="2"/>
      <charset val="238"/>
    </font>
    <font>
      <sz val="11"/>
      <color theme="1"/>
      <name val="宋体"/>
      <charset val="134"/>
    </font>
    <font>
      <sz val="8"/>
      <color theme="1"/>
      <name val="Czcionka tekstu podstawowego"/>
      <family val="2"/>
      <charset val="238"/>
    </font>
    <font>
      <sz val="11"/>
      <color indexed="8"/>
      <name val="宋体"/>
      <charset val="134"/>
    </font>
    <font>
      <b/>
      <sz val="24"/>
      <color rgb="FFFF0000"/>
      <name val="Times New Roman"/>
      <family val="1"/>
      <charset val="238"/>
    </font>
    <font>
      <sz val="12"/>
      <color rgb="FF7030A0"/>
      <name val="Times New Roman"/>
      <family val="1"/>
    </font>
    <font>
      <sz val="10"/>
      <name val="Times New Roman"/>
      <family val="1"/>
      <charset val="238"/>
    </font>
    <font>
      <b/>
      <sz val="12"/>
      <name val="Times New Roman"/>
      <family val="1"/>
      <charset val="238"/>
    </font>
    <font>
      <sz val="12"/>
      <color theme="3" tint="0.39997558519241921"/>
      <name val="Times New Roman"/>
      <family val="1"/>
      <charset val="238"/>
    </font>
    <font>
      <b/>
      <sz val="12"/>
      <color theme="3" tint="0.39997558519241921"/>
      <name val="Times New Roman"/>
      <family val="1"/>
      <charset val="238"/>
    </font>
    <font>
      <b/>
      <sz val="8"/>
      <color rgb="FFFF0000"/>
      <name val="Arial"/>
      <family val="2"/>
    </font>
    <font>
      <sz val="10.5"/>
      <color rgb="FF1F497D"/>
      <name val="Calibri"/>
      <family val="2"/>
      <charset val="238"/>
    </font>
    <font>
      <sz val="12"/>
      <color rgb="FF9C6500"/>
      <name val="新細明體"/>
      <family val="2"/>
      <charset val="238"/>
      <scheme val="minor"/>
    </font>
    <font>
      <sz val="11"/>
      <name val="Calibri"/>
      <family val="2"/>
      <charset val="238"/>
    </font>
    <font>
      <sz val="9"/>
      <color rgb="FF7030A0"/>
      <name val="Arial"/>
      <family val="2"/>
    </font>
    <font>
      <sz val="9"/>
      <name val="Arial"/>
      <family val="2"/>
    </font>
    <font>
      <sz val="11"/>
      <color theme="3" tint="0.39997558519241921"/>
      <name val="新細明體"/>
      <family val="1"/>
      <charset val="136"/>
      <scheme val="minor"/>
    </font>
    <font>
      <sz val="10"/>
      <name val="Arial"/>
      <family val="2"/>
    </font>
    <font>
      <sz val="10"/>
      <color rgb="FFFF0000"/>
      <name val="Arial"/>
      <family val="2"/>
      <charset val="238"/>
    </font>
    <font>
      <sz val="12"/>
      <color theme="0"/>
      <name val="Times New Roman"/>
      <family val="1"/>
    </font>
    <font>
      <sz val="11"/>
      <color theme="0"/>
      <name val="Times New Roman"/>
      <family val="1"/>
    </font>
    <font>
      <b/>
      <sz val="12"/>
      <color theme="0"/>
      <name val="Times New Roman"/>
      <family val="1"/>
    </font>
    <font>
      <sz val="9"/>
      <name val="新細明體"/>
      <family val="2"/>
      <charset val="136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B050"/>
      <name val="Times New Roman"/>
      <family val="1"/>
    </font>
    <font>
      <b/>
      <sz val="12"/>
      <color rgb="FF00B050"/>
      <name val="Times New Roman"/>
      <family val="1"/>
      <charset val="238"/>
    </font>
    <font>
      <sz val="10"/>
      <color rgb="FF00B050"/>
      <name val="Times New Roman"/>
      <family val="1"/>
    </font>
    <font>
      <sz val="11"/>
      <color rgb="FF00B050"/>
      <name val="Times New Roman"/>
      <family val="1"/>
    </font>
    <font>
      <i/>
      <sz val="12"/>
      <color rgb="FF00B050"/>
      <name val="Times New Roman"/>
      <family val="1"/>
    </font>
    <font>
      <b/>
      <sz val="12"/>
      <color rgb="FF00B050"/>
      <name val="Times New Roman"/>
      <family val="1"/>
    </font>
    <font>
      <sz val="8"/>
      <color rgb="FF00B050"/>
      <name val="Times New Roman"/>
      <family val="1"/>
    </font>
    <font>
      <sz val="10"/>
      <color rgb="FF00B050"/>
      <name val="細明體"/>
      <family val="3"/>
      <charset val="136"/>
    </font>
    <font>
      <sz val="11"/>
      <name val="新細明體"/>
      <family val="1"/>
      <charset val="136"/>
      <scheme val="minor"/>
    </font>
    <font>
      <sz val="9"/>
      <color theme="1"/>
      <name val="Arial"/>
      <family val="2"/>
    </font>
    <font>
      <sz val="10"/>
      <color rgb="FF7030A0"/>
      <name val="Arial"/>
      <family val="2"/>
      <charset val="238"/>
    </font>
    <font>
      <sz val="10"/>
      <color rgb="FF00B050"/>
      <name val="Arial"/>
      <family val="2"/>
    </font>
    <font>
      <sz val="12"/>
      <color theme="7" tint="-0.249977111117893"/>
      <name val="Times New Roman"/>
      <family val="1"/>
    </font>
    <font>
      <sz val="10"/>
      <color theme="7" tint="-0.249977111117893"/>
      <name val="Times New Roman"/>
      <family val="1"/>
    </font>
    <font>
      <sz val="11"/>
      <color theme="7" tint="-0.249977111117893"/>
      <name val="Times New Roman"/>
      <family val="1"/>
    </font>
    <font>
      <b/>
      <sz val="12"/>
      <color theme="7" tint="-0.249977111117893"/>
      <name val="Times New Roman"/>
      <family val="1"/>
    </font>
    <font>
      <sz val="10"/>
      <color theme="7" tint="-0.249977111117893"/>
      <name val="Times New Roman"/>
      <family val="1"/>
      <charset val="238"/>
    </font>
    <font>
      <sz val="12"/>
      <color theme="7" tint="-0.249977111117893"/>
      <name val="Times New Roman"/>
      <family val="1"/>
      <charset val="238"/>
    </font>
    <font>
      <b/>
      <sz val="12"/>
      <color theme="7" tint="-0.249977111117893"/>
      <name val="Times New Roman"/>
      <family val="1"/>
      <charset val="238"/>
    </font>
    <font>
      <sz val="10"/>
      <color rgb="FF7030A0"/>
      <name val="Times New Roman"/>
      <family val="1"/>
    </font>
    <font>
      <sz val="11"/>
      <color rgb="FF7030A0"/>
      <name val="Times New Roman"/>
      <family val="1"/>
    </font>
    <font>
      <b/>
      <sz val="12"/>
      <color rgb="FF7030A0"/>
      <name val="Times New Roman"/>
      <family val="1"/>
    </font>
    <font>
      <sz val="8"/>
      <color rgb="FF7030A0"/>
      <name val="Times New Roman"/>
      <family val="1"/>
    </font>
    <font>
      <b/>
      <sz val="11"/>
      <color rgb="FFFA7D00"/>
      <name val="新細明體"/>
      <family val="2"/>
      <scheme val="minor"/>
    </font>
    <font>
      <sz val="12"/>
      <color rgb="FF7030A0"/>
      <name val="Times New Roman"/>
      <family val="1"/>
      <charset val="238"/>
    </font>
    <font>
      <b/>
      <sz val="12"/>
      <color rgb="FF7030A0"/>
      <name val="Times New Roman"/>
      <family val="1"/>
      <charset val="238"/>
    </font>
    <font>
      <b/>
      <sz val="10"/>
      <color rgb="FF000000"/>
      <name val="Arial"/>
      <family val="2"/>
      <charset val="238"/>
    </font>
    <font>
      <b/>
      <sz val="9"/>
      <color rgb="FF000000"/>
      <name val="Arial"/>
      <family val="2"/>
      <charset val="238"/>
    </font>
    <font>
      <sz val="8"/>
      <color rgb="FF000000"/>
      <name val="Arial"/>
      <family val="2"/>
      <charset val="238"/>
    </font>
    <font>
      <sz val="9"/>
      <color rgb="FF0070C0"/>
      <name val="Arial"/>
      <family val="2"/>
      <charset val="238"/>
    </font>
    <font>
      <sz val="9"/>
      <color rgb="FF00B050"/>
      <name val="Arial"/>
      <family val="2"/>
      <charset val="238"/>
    </font>
    <font>
      <sz val="9"/>
      <color rgb="FFC00000"/>
      <name val="Arial"/>
      <family val="2"/>
      <charset val="238"/>
    </font>
    <font>
      <sz val="9"/>
      <color rgb="FF000000"/>
      <name val="Arial"/>
      <family val="2"/>
      <charset val="238"/>
    </font>
    <font>
      <b/>
      <i/>
      <sz val="8"/>
      <color rgb="FF000000"/>
      <name val="Arial"/>
      <family val="2"/>
      <charset val="238"/>
    </font>
    <font>
      <sz val="7"/>
      <color rgb="FF000000"/>
      <name val="Arial"/>
      <family val="2"/>
      <charset val="238"/>
    </font>
    <font>
      <b/>
      <sz val="11"/>
      <color theme="0"/>
      <name val="新細明體"/>
      <family val="1"/>
      <charset val="136"/>
      <scheme val="minor"/>
    </font>
    <font>
      <i/>
      <sz val="9"/>
      <name val="Times New Roman"/>
      <family val="1"/>
      <charset val="238"/>
    </font>
    <font>
      <b/>
      <i/>
      <sz val="11"/>
      <color theme="0"/>
      <name val="新細明體"/>
      <family val="2"/>
      <charset val="238"/>
      <scheme val="minor"/>
    </font>
    <font>
      <b/>
      <sz val="15"/>
      <name val="Monotype Corsiva"/>
      <family val="4"/>
      <charset val="238"/>
    </font>
    <font>
      <sz val="12"/>
      <name val="Arial"/>
      <family val="2"/>
      <charset val="238"/>
    </font>
    <font>
      <b/>
      <u/>
      <sz val="13"/>
      <name val="Arial"/>
      <family val="2"/>
      <charset val="238"/>
    </font>
    <font>
      <b/>
      <u/>
      <sz val="14"/>
      <name val="Arial"/>
      <family val="2"/>
      <charset val="238"/>
    </font>
    <font>
      <b/>
      <sz val="8"/>
      <name val="Arial"/>
      <family val="2"/>
      <charset val="238"/>
    </font>
    <font>
      <b/>
      <u/>
      <sz val="11"/>
      <name val="Arial"/>
      <family val="2"/>
      <charset val="238"/>
    </font>
    <font>
      <b/>
      <sz val="11"/>
      <name val="Arial"/>
      <family val="2"/>
      <charset val="238"/>
    </font>
    <font>
      <sz val="8"/>
      <name val="Arial"/>
      <family val="2"/>
      <charset val="238"/>
    </font>
    <font>
      <sz val="11"/>
      <name val="Arial"/>
      <family val="2"/>
      <charset val="238"/>
    </font>
    <font>
      <sz val="7"/>
      <name val="Times New Roman"/>
      <family val="1"/>
      <charset val="238"/>
    </font>
    <font>
      <b/>
      <sz val="13"/>
      <name val="Arial"/>
      <family val="2"/>
      <charset val="238"/>
    </font>
    <font>
      <sz val="12"/>
      <color rgb="FF00B050"/>
      <name val="細明體"/>
      <family val="3"/>
      <charset val="136"/>
    </font>
    <font>
      <sz val="8"/>
      <color rgb="FF00B050"/>
      <name val="Times New Roman"/>
      <family val="1"/>
      <charset val="238"/>
    </font>
    <font>
      <sz val="11"/>
      <color rgb="FF00B050"/>
      <name val="新細明體"/>
      <family val="1"/>
      <charset val="136"/>
      <scheme val="minor"/>
    </font>
    <font>
      <b/>
      <sz val="9"/>
      <name val="Arial"/>
      <family val="2"/>
    </font>
    <font>
      <b/>
      <sz val="9"/>
      <color indexed="12"/>
      <name val="Arial"/>
      <family val="2"/>
    </font>
    <font>
      <sz val="9"/>
      <color indexed="8"/>
      <name val="Arial"/>
      <family val="2"/>
    </font>
    <font>
      <b/>
      <sz val="9"/>
      <color indexed="62"/>
      <name val="Arial"/>
      <family val="2"/>
    </font>
    <font>
      <sz val="9"/>
      <color indexed="62"/>
      <name val="Arial"/>
      <family val="2"/>
    </font>
    <font>
      <b/>
      <sz val="9"/>
      <color rgb="FF3333CC"/>
      <name val="Arial"/>
      <family val="2"/>
    </font>
    <font>
      <sz val="9"/>
      <color indexed="10"/>
      <name val="Arial"/>
      <family val="2"/>
    </font>
    <font>
      <b/>
      <sz val="9"/>
      <color rgb="FFFF0000"/>
      <name val="Arial"/>
      <family val="2"/>
    </font>
    <font>
      <b/>
      <sz val="11"/>
      <name val="Arial"/>
      <family val="2"/>
    </font>
    <font>
      <b/>
      <sz val="10"/>
      <color theme="4"/>
      <name val="Arial"/>
      <family val="2"/>
    </font>
    <font>
      <b/>
      <sz val="10"/>
      <color theme="3" tint="0.39997558519241921"/>
      <name val="Arial"/>
      <family val="2"/>
    </font>
    <font>
      <sz val="11"/>
      <color rgb="FF00B050"/>
      <name val="細明體"/>
      <family val="3"/>
      <charset val="136"/>
    </font>
    <font>
      <sz val="10"/>
      <color theme="4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0"/>
      <color rgb="FFFF000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rgb="FF9C0006"/>
      <name val="新細明體"/>
      <family val="2"/>
      <charset val="238"/>
      <scheme val="minor"/>
    </font>
    <font>
      <b/>
      <sz val="10"/>
      <color rgb="FF04797C"/>
      <name val="Arial"/>
      <family val="2"/>
    </font>
    <font>
      <b/>
      <sz val="11"/>
      <color theme="1"/>
      <name val="新細明體"/>
      <family val="2"/>
      <charset val="238"/>
      <scheme val="minor"/>
    </font>
    <font>
      <i/>
      <sz val="12"/>
      <color rgb="FFFF0000"/>
      <name val="Times New Roman"/>
      <family val="1"/>
    </font>
    <font>
      <sz val="12"/>
      <color theme="9" tint="-0.249977111117893"/>
      <name val="Times New Roman"/>
      <family val="1"/>
    </font>
    <font>
      <sz val="9"/>
      <color rgb="FFFF0000"/>
      <name val="Arial"/>
      <family val="2"/>
    </font>
    <font>
      <b/>
      <sz val="11"/>
      <name val="Arial Unicode MS"/>
      <family val="2"/>
    </font>
    <font>
      <b/>
      <sz val="10"/>
      <name val="Arial Unicode MS"/>
      <family val="2"/>
    </font>
    <font>
      <b/>
      <sz val="10"/>
      <color indexed="63"/>
      <name val="Arial Unicode MS"/>
      <family val="2"/>
    </font>
    <font>
      <b/>
      <sz val="9"/>
      <name val="Arial Unicode MS"/>
      <family val="2"/>
    </font>
    <font>
      <sz val="12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indexed="1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1"/>
      <name val="Arial"/>
      <family val="2"/>
    </font>
    <font>
      <b/>
      <sz val="11"/>
      <color rgb="FFFFC000"/>
      <name val="Arial"/>
      <family val="2"/>
    </font>
    <font>
      <u/>
      <sz val="10"/>
      <name val="Arial"/>
      <family val="2"/>
    </font>
    <font>
      <sz val="8"/>
      <color theme="1"/>
      <name val="新細明體"/>
      <family val="2"/>
      <scheme val="minor"/>
    </font>
    <font>
      <b/>
      <sz val="7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10"/>
      <name val="新細明體"/>
      <family val="2"/>
      <scheme val="minor"/>
    </font>
    <font>
      <b/>
      <sz val="8"/>
      <color theme="0"/>
      <name val="Arial"/>
      <family val="2"/>
    </font>
    <font>
      <b/>
      <sz val="8"/>
      <color rgb="FFFF0000"/>
      <name val="新細明體"/>
      <family val="2"/>
      <scheme val="minor"/>
    </font>
    <font>
      <sz val="11"/>
      <color theme="0"/>
      <name val="新細明體"/>
      <family val="2"/>
      <scheme val="minor"/>
    </font>
    <font>
      <b/>
      <sz val="11"/>
      <color rgb="FF000000"/>
      <name val="Arial"/>
      <family val="2"/>
      <charset val="238"/>
    </font>
    <font>
      <b/>
      <sz val="8"/>
      <color rgb="FF000000"/>
      <name val="Arial"/>
      <family val="2"/>
      <charset val="238"/>
    </font>
    <font>
      <sz val="10"/>
      <color rgb="FF00CCFF"/>
      <name val="Times New Roman"/>
      <family val="1"/>
    </font>
    <font>
      <sz val="12"/>
      <color rgb="FF00CCFF"/>
      <name val="Times New Roman"/>
      <family val="1"/>
    </font>
    <font>
      <sz val="11"/>
      <color rgb="FF00CCFF"/>
      <name val="Times New Roman"/>
      <family val="1"/>
    </font>
    <font>
      <b/>
      <sz val="12"/>
      <color rgb="FF00CCFF"/>
      <name val="Times New Roman"/>
      <family val="1"/>
    </font>
    <font>
      <sz val="8"/>
      <color rgb="FF00CCFF"/>
      <name val="Times New Roman"/>
      <family val="1"/>
    </font>
    <font>
      <sz val="10"/>
      <color rgb="FF00CCFF"/>
      <name val="細明體"/>
      <family val="3"/>
      <charset val="136"/>
    </font>
    <font>
      <b/>
      <i/>
      <sz val="12"/>
      <color rgb="FF00CCFF"/>
      <name val="Times New Roman"/>
      <family val="1"/>
    </font>
    <font>
      <sz val="12"/>
      <color rgb="FF04797C"/>
      <name val="Times New Roman"/>
      <family val="1"/>
    </font>
    <font>
      <sz val="11"/>
      <color rgb="FF00CCFF"/>
      <name val="Times New Roman"/>
      <family val="1"/>
      <charset val="238"/>
    </font>
    <font>
      <sz val="12"/>
      <color rgb="FF00CCFF"/>
      <name val="Times New Roman"/>
      <family val="1"/>
      <charset val="238"/>
    </font>
    <font>
      <b/>
      <sz val="12"/>
      <color theme="1"/>
      <name val="Times New Roman"/>
      <family val="1"/>
    </font>
    <font>
      <sz val="11"/>
      <color theme="1"/>
      <name val="Times New Roman"/>
      <family val="1"/>
      <charset val="238"/>
    </font>
    <font>
      <sz val="10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b/>
      <sz val="10"/>
      <color theme="1" tint="0.14999847407452621"/>
      <name val="Arial"/>
      <family val="2"/>
    </font>
    <font>
      <u/>
      <sz val="11"/>
      <color theme="10"/>
      <name val="新細明體"/>
      <family val="2"/>
      <scheme val="minor"/>
    </font>
    <font>
      <u/>
      <sz val="8"/>
      <color theme="10"/>
      <name val="Arial"/>
      <family val="2"/>
    </font>
    <font>
      <sz val="8"/>
      <color theme="10"/>
      <name val="Arial"/>
      <family val="2"/>
    </font>
    <font>
      <sz val="10"/>
      <color theme="1" tint="0.14999847407452621"/>
      <name val="Arial"/>
      <family val="2"/>
    </font>
    <font>
      <b/>
      <sz val="10"/>
      <color theme="1" tint="4.9989318521683403E-2"/>
      <name val="Arial"/>
      <family val="2"/>
    </font>
    <font>
      <sz val="8"/>
      <name val="新細明體"/>
      <family val="2"/>
      <scheme val="minor"/>
    </font>
    <font>
      <sz val="8"/>
      <color rgb="FFFF0000"/>
      <name val="新細明體"/>
      <family val="2"/>
      <scheme val="minor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  <font>
      <sz val="8"/>
      <color theme="1"/>
      <name val="Times New Roman"/>
      <family val="1"/>
    </font>
    <font>
      <sz val="11"/>
      <name val="Calibri"/>
      <family val="2"/>
    </font>
    <font>
      <b/>
      <sz val="11"/>
      <color theme="1"/>
      <name val="Times New Roman"/>
      <family val="1"/>
    </font>
    <font>
      <sz val="11"/>
      <name val="新細明體"/>
      <family val="2"/>
      <scheme val="minor"/>
    </font>
    <font>
      <sz val="11"/>
      <name val="新細明體"/>
      <family val="3"/>
      <charset val="136"/>
      <scheme val="minor"/>
    </font>
    <font>
      <sz val="12"/>
      <color rgb="FF000000"/>
      <name val="Calibri"/>
      <family val="2"/>
    </font>
    <font>
      <sz val="12"/>
      <color indexed="56"/>
      <name val="Times New Roman"/>
      <family val="1"/>
    </font>
  </fonts>
  <fills count="5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FFEB9C"/>
      </patternFill>
    </fill>
    <fill>
      <patternFill patternType="solid">
        <fgColor rgb="FFCC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7" tint="0.59999389629810485"/>
        <bgColor indexed="64"/>
      </patternFill>
    </fill>
  </fills>
  <borders count="1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</borders>
  <cellStyleXfs count="24">
    <xf numFmtId="0" fontId="0" fillId="0" borderId="0"/>
    <xf numFmtId="0" fontId="42" fillId="0" borderId="0"/>
    <xf numFmtId="0" fontId="42" fillId="0" borderId="0"/>
    <xf numFmtId="0" fontId="54" fillId="18" borderId="0" applyNumberFormat="0" applyBorder="0" applyAlignment="0" applyProtection="0"/>
    <xf numFmtId="9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0" fontId="42" fillId="0" borderId="0"/>
    <xf numFmtId="0" fontId="101" fillId="27" borderId="0" applyNumberFormat="0" applyBorder="0" applyAlignment="0" applyProtection="0"/>
    <xf numFmtId="0" fontId="106" fillId="0" borderId="0"/>
    <xf numFmtId="186" fontId="106" fillId="0" borderId="0" applyFont="0" applyFill="0" applyBorder="0" applyAlignment="0" applyProtection="0"/>
    <xf numFmtId="0" fontId="75" fillId="0" borderId="0" applyNumberFormat="0" applyFill="0" applyBorder="0" applyAlignment="0" applyProtection="0">
      <alignment vertical="top"/>
      <protection locked="0"/>
    </xf>
    <xf numFmtId="0" fontId="42" fillId="0" borderId="0"/>
    <xf numFmtId="0" fontId="6" fillId="0" borderId="0"/>
    <xf numFmtId="0" fontId="42" fillId="0" borderId="0"/>
    <xf numFmtId="0" fontId="138" fillId="36" borderId="74" applyNumberFormat="0" applyAlignment="0" applyProtection="0"/>
    <xf numFmtId="0" fontId="3" fillId="37" borderId="0" applyNumberFormat="0" applyBorder="0" applyAlignment="0" applyProtection="0"/>
    <xf numFmtId="0" fontId="2" fillId="38" borderId="0" applyNumberFormat="0" applyBorder="0" applyAlignment="0" applyProtection="0"/>
    <xf numFmtId="0" fontId="42" fillId="0" borderId="0"/>
    <xf numFmtId="0" fontId="187" fillId="43" borderId="0" applyNumberFormat="0" applyBorder="0" applyAlignment="0" applyProtection="0"/>
    <xf numFmtId="0" fontId="42" fillId="0" borderId="0"/>
    <xf numFmtId="0" fontId="42" fillId="0" borderId="0"/>
    <xf numFmtId="0" fontId="42" fillId="0" borderId="0"/>
    <xf numFmtId="0" fontId="212" fillId="46" borderId="0" applyNumberFormat="0" applyBorder="0" applyAlignment="0" applyProtection="0"/>
    <xf numFmtId="0" fontId="231" fillId="0" borderId="0" applyNumberFormat="0" applyFill="0" applyBorder="0" applyAlignment="0" applyProtection="0"/>
  </cellStyleXfs>
  <cellXfs count="3068">
    <xf numFmtId="0" fontId="0" fillId="0" borderId="0" xfId="0"/>
    <xf numFmtId="0" fontId="0" fillId="0" borderId="0" xfId="0" applyBorder="1" applyProtection="1">
      <protection locked="0"/>
    </xf>
    <xf numFmtId="0" fontId="4" fillId="0" borderId="0" xfId="0" applyFont="1" applyBorder="1" applyProtection="1">
      <protection locked="0"/>
    </xf>
    <xf numFmtId="0" fontId="4" fillId="0" borderId="1" xfId="0" applyFont="1" applyBorder="1" applyProtection="1">
      <protection locked="0"/>
    </xf>
    <xf numFmtId="0" fontId="9" fillId="0" borderId="2" xfId="0" applyFont="1" applyBorder="1" applyProtection="1">
      <protection locked="0"/>
    </xf>
    <xf numFmtId="0" fontId="9" fillId="0" borderId="3" xfId="0" applyFont="1" applyBorder="1" applyProtection="1">
      <protection locked="0"/>
    </xf>
    <xf numFmtId="0" fontId="9" fillId="0" borderId="4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9" fillId="0" borderId="1" xfId="0" applyFont="1" applyBorder="1" applyProtection="1">
      <protection locked="0"/>
    </xf>
    <xf numFmtId="0" fontId="9" fillId="0" borderId="6" xfId="0" applyFont="1" applyBorder="1" applyProtection="1">
      <protection locked="0"/>
    </xf>
    <xf numFmtId="177" fontId="4" fillId="0" borderId="0" xfId="0" applyNumberFormat="1" applyFont="1" applyProtection="1">
      <protection locked="0"/>
    </xf>
    <xf numFmtId="177" fontId="5" fillId="0" borderId="0" xfId="0" applyNumberFormat="1" applyFont="1" applyProtection="1">
      <protection locked="0"/>
    </xf>
    <xf numFmtId="177" fontId="0" fillId="0" borderId="0" xfId="0" applyNumberFormat="1" applyProtection="1">
      <protection locked="0"/>
    </xf>
    <xf numFmtId="177" fontId="4" fillId="0" borderId="1" xfId="0" applyNumberFormat="1" applyFont="1" applyBorder="1" applyProtection="1">
      <protection locked="0"/>
    </xf>
    <xf numFmtId="177" fontId="0" fillId="2" borderId="1" xfId="0" applyNumberFormat="1" applyFill="1" applyBorder="1" applyProtection="1">
      <protection locked="0"/>
    </xf>
    <xf numFmtId="177" fontId="0" fillId="2" borderId="0" xfId="0" applyNumberFormat="1" applyFill="1" applyProtection="1">
      <protection locked="0"/>
    </xf>
    <xf numFmtId="177" fontId="6" fillId="2" borderId="0" xfId="0" applyNumberFormat="1" applyFont="1" applyFill="1" applyProtection="1">
      <protection locked="0"/>
    </xf>
    <xf numFmtId="177" fontId="4" fillId="2" borderId="0" xfId="0" applyNumberFormat="1" applyFont="1" applyFill="1" applyBorder="1" applyProtection="1">
      <protection locked="0"/>
    </xf>
    <xf numFmtId="177" fontId="0" fillId="0" borderId="0" xfId="0" applyNumberFormat="1" applyBorder="1" applyProtection="1">
      <protection locked="0"/>
    </xf>
    <xf numFmtId="0" fontId="0" fillId="0" borderId="0" xfId="0" applyProtection="1">
      <protection locked="0"/>
    </xf>
    <xf numFmtId="177" fontId="0" fillId="0" borderId="0" xfId="0" applyNumberFormat="1" applyAlignment="1" applyProtection="1">
      <alignment horizontal="left"/>
      <protection locked="0"/>
    </xf>
    <xf numFmtId="177" fontId="19" fillId="0" borderId="0" xfId="0" applyNumberFormat="1" applyFont="1" applyProtection="1">
      <protection locked="0"/>
    </xf>
    <xf numFmtId="177" fontId="0" fillId="2" borderId="0" xfId="0" applyNumberFormat="1" applyFill="1" applyBorder="1" applyProtection="1">
      <protection locked="0"/>
    </xf>
    <xf numFmtId="177" fontId="10" fillId="3" borderId="0" xfId="0" applyNumberFormat="1" applyFont="1" applyFill="1" applyProtection="1"/>
    <xf numFmtId="177" fontId="8" fillId="3" borderId="0" xfId="0" applyNumberFormat="1" applyFont="1" applyFill="1" applyProtection="1"/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5" xfId="0" applyBorder="1" applyProtection="1">
      <protection locked="0"/>
    </xf>
    <xf numFmtId="0" fontId="4" fillId="0" borderId="8" xfId="0" applyFont="1" applyBorder="1" applyProtection="1">
      <protection locked="0"/>
    </xf>
    <xf numFmtId="0" fontId="4" fillId="0" borderId="9" xfId="0" applyFont="1" applyBorder="1" applyProtection="1">
      <protection locked="0"/>
    </xf>
    <xf numFmtId="0" fontId="0" fillId="0" borderId="10" xfId="0" applyBorder="1" applyProtection="1">
      <protection locked="0"/>
    </xf>
    <xf numFmtId="177" fontId="4" fillId="0" borderId="0" xfId="0" applyNumberFormat="1" applyFont="1" applyBorder="1" applyProtection="1">
      <protection locked="0"/>
    </xf>
    <xf numFmtId="177" fontId="4" fillId="0" borderId="11" xfId="0" applyNumberFormat="1" applyFont="1" applyBorder="1" applyProtection="1">
      <protection locked="0"/>
    </xf>
    <xf numFmtId="0" fontId="0" fillId="4" borderId="8" xfId="0" applyFill="1" applyBorder="1" applyProtection="1"/>
    <xf numFmtId="0" fontId="10" fillId="4" borderId="8" xfId="0" applyFont="1" applyFill="1" applyBorder="1" applyProtection="1"/>
    <xf numFmtId="0" fontId="10" fillId="4" borderId="9" xfId="0" applyFont="1" applyFill="1" applyBorder="1" applyProtection="1"/>
    <xf numFmtId="0" fontId="10" fillId="4" borderId="10" xfId="0" applyFont="1" applyFill="1" applyBorder="1" applyProtection="1"/>
    <xf numFmtId="1" fontId="0" fillId="4" borderId="8" xfId="0" applyNumberFormat="1" applyFill="1" applyBorder="1" applyProtection="1"/>
    <xf numFmtId="177" fontId="0" fillId="5" borderId="11" xfId="0" applyNumberFormat="1" applyFill="1" applyBorder="1" applyProtection="1">
      <protection locked="0"/>
    </xf>
    <xf numFmtId="0" fontId="15" fillId="0" borderId="0" xfId="0" applyFont="1"/>
    <xf numFmtId="0" fontId="7" fillId="0" borderId="0" xfId="0" applyFont="1" applyBorder="1" applyAlignment="1" applyProtection="1">
      <alignment horizontal="left"/>
      <protection locked="0"/>
    </xf>
    <xf numFmtId="0" fontId="6" fillId="0" borderId="3" xfId="0" applyFont="1" applyBorder="1" applyProtection="1">
      <protection locked="0"/>
    </xf>
    <xf numFmtId="0" fontId="6" fillId="0" borderId="1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15" fillId="0" borderId="1" xfId="0" applyFont="1" applyBorder="1" applyProtection="1">
      <protection locked="0"/>
    </xf>
    <xf numFmtId="0" fontId="6" fillId="0" borderId="2" xfId="0" applyFont="1" applyBorder="1" applyAlignment="1" applyProtection="1">
      <alignment horizontal="left"/>
      <protection locked="0"/>
    </xf>
    <xf numFmtId="0" fontId="6" fillId="0" borderId="7" xfId="0" applyFont="1" applyBorder="1" applyAlignment="1" applyProtection="1">
      <alignment horizontal="left"/>
      <protection locked="0"/>
    </xf>
    <xf numFmtId="0" fontId="6" fillId="0" borderId="3" xfId="0" quotePrefix="1" applyFont="1" applyBorder="1" applyAlignment="1" applyProtection="1">
      <alignment horizontal="left"/>
      <protection locked="0"/>
    </xf>
    <xf numFmtId="0" fontId="6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left"/>
      <protection locked="0"/>
    </xf>
    <xf numFmtId="0" fontId="6" fillId="0" borderId="1" xfId="0" quotePrefix="1" applyFont="1" applyBorder="1" applyAlignment="1" applyProtection="1">
      <alignment horizontal="left"/>
      <protection locked="0"/>
    </xf>
    <xf numFmtId="0" fontId="0" fillId="0" borderId="2" xfId="0" applyBorder="1" applyAlignment="1" applyProtection="1">
      <alignment horizontal="left"/>
      <protection locked="0"/>
    </xf>
    <xf numFmtId="180" fontId="10" fillId="6" borderId="8" xfId="0" applyNumberFormat="1" applyFont="1" applyFill="1" applyBorder="1" applyProtection="1">
      <protection locked="0"/>
    </xf>
    <xf numFmtId="180" fontId="4" fillId="5" borderId="8" xfId="0" applyNumberFormat="1" applyFont="1" applyFill="1" applyBorder="1" applyProtection="1">
      <protection locked="0"/>
    </xf>
    <xf numFmtId="180" fontId="4" fillId="6" borderId="8" xfId="0" applyNumberFormat="1" applyFont="1" applyFill="1" applyBorder="1" applyProtection="1">
      <protection locked="0"/>
    </xf>
    <xf numFmtId="180" fontId="4" fillId="7" borderId="12" xfId="0" applyNumberFormat="1" applyFont="1" applyFill="1" applyBorder="1" applyProtection="1">
      <protection locked="0"/>
    </xf>
    <xf numFmtId="180" fontId="4" fillId="7" borderId="13" xfId="0" applyNumberFormat="1" applyFont="1" applyFill="1" applyBorder="1" applyProtection="1">
      <protection locked="0"/>
    </xf>
    <xf numFmtId="180" fontId="4" fillId="0" borderId="0" xfId="0" applyNumberFormat="1" applyFont="1" applyProtection="1">
      <protection locked="0"/>
    </xf>
    <xf numFmtId="179" fontId="4" fillId="8" borderId="1" xfId="0" applyNumberFormat="1" applyFont="1" applyFill="1" applyBorder="1" applyProtection="1">
      <protection locked="0"/>
    </xf>
    <xf numFmtId="0" fontId="0" fillId="0" borderId="1" xfId="0" applyBorder="1" applyProtection="1">
      <protection locked="0"/>
    </xf>
    <xf numFmtId="177" fontId="0" fillId="0" borderId="1" xfId="0" applyNumberFormat="1" applyBorder="1" applyProtection="1">
      <protection locked="0"/>
    </xf>
    <xf numFmtId="180" fontId="10" fillId="6" borderId="10" xfId="0" applyNumberFormat="1" applyFont="1" applyFill="1" applyBorder="1" applyProtection="1">
      <protection locked="0"/>
    </xf>
    <xf numFmtId="180" fontId="10" fillId="6" borderId="14" xfId="0" applyNumberFormat="1" applyFont="1" applyFill="1" applyBorder="1" applyProtection="1">
      <protection locked="0"/>
    </xf>
    <xf numFmtId="0" fontId="10" fillId="4" borderId="15" xfId="0" applyFont="1" applyFill="1" applyBorder="1" applyProtection="1"/>
    <xf numFmtId="0" fontId="6" fillId="0" borderId="0" xfId="0" applyFont="1" applyBorder="1" applyAlignment="1" applyProtection="1">
      <alignment horizontal="left"/>
      <protection locked="0"/>
    </xf>
    <xf numFmtId="0" fontId="6" fillId="0" borderId="0" xfId="0" quotePrefix="1" applyFont="1" applyBorder="1" applyAlignment="1" applyProtection="1">
      <alignment horizontal="left"/>
      <protection locked="0"/>
    </xf>
    <xf numFmtId="0" fontId="4" fillId="0" borderId="0" xfId="0" applyFont="1" applyBorder="1" applyAlignment="1" applyProtection="1">
      <alignment horizontal="left"/>
      <protection locked="0"/>
    </xf>
    <xf numFmtId="177" fontId="30" fillId="2" borderId="1" xfId="0" applyNumberFormat="1" applyFont="1" applyFill="1" applyBorder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4" fillId="0" borderId="2" xfId="0" applyFont="1" applyBorder="1" applyProtection="1">
      <protection locked="0"/>
    </xf>
    <xf numFmtId="0" fontId="6" fillId="0" borderId="4" xfId="0" applyFont="1" applyBorder="1" applyProtection="1">
      <protection locked="0"/>
    </xf>
    <xf numFmtId="0" fontId="6" fillId="0" borderId="5" xfId="0" applyFont="1" applyBorder="1" applyProtection="1">
      <protection locked="0"/>
    </xf>
    <xf numFmtId="0" fontId="6" fillId="0" borderId="6" xfId="0" applyFont="1" applyBorder="1" applyProtection="1">
      <protection locked="0"/>
    </xf>
    <xf numFmtId="0" fontId="11" fillId="2" borderId="0" xfId="0" applyFont="1" applyFill="1"/>
    <xf numFmtId="180" fontId="13" fillId="2" borderId="9" xfId="0" quotePrefix="1" applyNumberFormat="1" applyFont="1" applyFill="1" applyBorder="1" applyAlignment="1" applyProtection="1">
      <alignment horizontal="left"/>
      <protection hidden="1"/>
    </xf>
    <xf numFmtId="180" fontId="14" fillId="2" borderId="16" xfId="0" applyNumberFormat="1" applyFont="1" applyFill="1" applyBorder="1" applyProtection="1">
      <protection hidden="1"/>
    </xf>
    <xf numFmtId="0" fontId="11" fillId="2" borderId="0" xfId="0" applyFont="1" applyFill="1" applyProtection="1">
      <protection hidden="1"/>
    </xf>
    <xf numFmtId="0" fontId="13" fillId="2" borderId="0" xfId="0" applyFont="1" applyFill="1" applyProtection="1">
      <protection hidden="1"/>
    </xf>
    <xf numFmtId="0" fontId="11" fillId="2" borderId="17" xfId="0" applyFont="1" applyFill="1" applyBorder="1" applyProtection="1">
      <protection hidden="1"/>
    </xf>
    <xf numFmtId="0" fontId="0" fillId="0" borderId="0" xfId="0" applyProtection="1">
      <protection hidden="1"/>
    </xf>
    <xf numFmtId="0" fontId="11" fillId="2" borderId="8" xfId="0" applyFont="1" applyFill="1" applyBorder="1" applyProtection="1">
      <protection hidden="1"/>
    </xf>
    <xf numFmtId="0" fontId="11" fillId="2" borderId="9" xfId="0" applyFont="1" applyFill="1" applyBorder="1" applyProtection="1">
      <protection hidden="1"/>
    </xf>
    <xf numFmtId="0" fontId="11" fillId="2" borderId="18" xfId="0" applyFont="1" applyFill="1" applyBorder="1" applyProtection="1">
      <protection hidden="1"/>
    </xf>
    <xf numFmtId="0" fontId="13" fillId="6" borderId="8" xfId="0" applyFont="1" applyFill="1" applyBorder="1" applyProtection="1">
      <protection hidden="1"/>
    </xf>
    <xf numFmtId="0" fontId="13" fillId="8" borderId="8" xfId="0" applyFont="1" applyFill="1" applyBorder="1" applyProtection="1">
      <protection hidden="1"/>
    </xf>
    <xf numFmtId="0" fontId="13" fillId="5" borderId="8" xfId="0" applyFont="1" applyFill="1" applyBorder="1" applyProtection="1">
      <protection hidden="1"/>
    </xf>
    <xf numFmtId="0" fontId="13" fillId="2" borderId="9" xfId="0" applyFont="1" applyFill="1" applyBorder="1" applyProtection="1">
      <protection hidden="1"/>
    </xf>
    <xf numFmtId="1" fontId="13" fillId="2" borderId="8" xfId="0" applyNumberFormat="1" applyFont="1" applyFill="1" applyBorder="1" applyProtection="1">
      <protection hidden="1"/>
    </xf>
    <xf numFmtId="0" fontId="13" fillId="2" borderId="8" xfId="0" applyFont="1" applyFill="1" applyBorder="1" applyProtection="1">
      <protection hidden="1"/>
    </xf>
    <xf numFmtId="0" fontId="11" fillId="5" borderId="8" xfId="0" applyFont="1" applyFill="1" applyBorder="1" applyProtection="1">
      <protection hidden="1"/>
    </xf>
    <xf numFmtId="0" fontId="11" fillId="6" borderId="19" xfId="0" applyFont="1" applyFill="1" applyBorder="1" applyProtection="1">
      <protection hidden="1"/>
    </xf>
    <xf numFmtId="0" fontId="13" fillId="3" borderId="19" xfId="0" applyFont="1" applyFill="1" applyBorder="1" applyProtection="1">
      <protection hidden="1"/>
    </xf>
    <xf numFmtId="0" fontId="11" fillId="2" borderId="19" xfId="0" applyFont="1" applyFill="1" applyBorder="1" applyProtection="1">
      <protection hidden="1"/>
    </xf>
    <xf numFmtId="1" fontId="11" fillId="2" borderId="19" xfId="0" applyNumberFormat="1" applyFont="1" applyFill="1" applyBorder="1" applyProtection="1">
      <protection hidden="1"/>
    </xf>
    <xf numFmtId="1" fontId="11" fillId="2" borderId="8" xfId="0" applyNumberFormat="1" applyFont="1" applyFill="1" applyBorder="1" applyProtection="1">
      <protection hidden="1"/>
    </xf>
    <xf numFmtId="0" fontId="11" fillId="4" borderId="8" xfId="0" applyFont="1" applyFill="1" applyBorder="1" applyProtection="1">
      <protection hidden="1"/>
    </xf>
    <xf numFmtId="0" fontId="29" fillId="2" borderId="8" xfId="0" applyFont="1" applyFill="1" applyBorder="1" applyProtection="1">
      <protection hidden="1"/>
    </xf>
    <xf numFmtId="177" fontId="13" fillId="2" borderId="8" xfId="0" applyNumberFormat="1" applyFont="1" applyFill="1" applyBorder="1" applyProtection="1">
      <protection hidden="1"/>
    </xf>
    <xf numFmtId="0" fontId="0" fillId="2" borderId="8" xfId="0" applyFill="1" applyBorder="1" applyProtection="1">
      <protection hidden="1"/>
    </xf>
    <xf numFmtId="0" fontId="0" fillId="0" borderId="8" xfId="0" applyBorder="1" applyProtection="1">
      <protection hidden="1"/>
    </xf>
    <xf numFmtId="177" fontId="11" fillId="2" borderId="0" xfId="0" applyNumberFormat="1" applyFont="1" applyFill="1" applyProtection="1">
      <protection hidden="1"/>
    </xf>
    <xf numFmtId="177" fontId="0" fillId="0" borderId="0" xfId="0" applyNumberFormat="1" applyProtection="1">
      <protection hidden="1"/>
    </xf>
    <xf numFmtId="0" fontId="0" fillId="2" borderId="0" xfId="0" applyFill="1" applyProtection="1">
      <protection hidden="1"/>
    </xf>
    <xf numFmtId="177" fontId="0" fillId="2" borderId="0" xfId="0" applyNumberFormat="1" applyFill="1" applyProtection="1">
      <protection hidden="1"/>
    </xf>
    <xf numFmtId="0" fontId="11" fillId="2" borderId="10" xfId="0" applyFont="1" applyFill="1" applyBorder="1" applyProtection="1">
      <protection hidden="1"/>
    </xf>
    <xf numFmtId="0" fontId="11" fillId="6" borderId="8" xfId="0" applyFont="1" applyFill="1" applyBorder="1" applyProtection="1">
      <protection hidden="1"/>
    </xf>
    <xf numFmtId="0" fontId="11" fillId="8" borderId="8" xfId="0" applyFont="1" applyFill="1" applyBorder="1" applyProtection="1">
      <protection hidden="1"/>
    </xf>
    <xf numFmtId="0" fontId="13" fillId="3" borderId="8" xfId="0" applyFont="1" applyFill="1" applyBorder="1" applyProtection="1">
      <protection hidden="1"/>
    </xf>
    <xf numFmtId="0" fontId="13" fillId="2" borderId="10" xfId="0" applyFont="1" applyFill="1" applyBorder="1" applyProtection="1">
      <protection hidden="1"/>
    </xf>
    <xf numFmtId="0" fontId="17" fillId="9" borderId="17" xfId="0" applyFont="1" applyFill="1" applyBorder="1" applyProtection="1">
      <protection hidden="1"/>
    </xf>
    <xf numFmtId="0" fontId="17" fillId="9" borderId="18" xfId="0" applyFont="1" applyFill="1" applyBorder="1" applyProtection="1">
      <protection hidden="1"/>
    </xf>
    <xf numFmtId="0" fontId="13" fillId="4" borderId="8" xfId="0" applyFont="1" applyFill="1" applyBorder="1" applyProtection="1">
      <protection hidden="1"/>
    </xf>
    <xf numFmtId="0" fontId="11" fillId="4" borderId="19" xfId="0" applyFont="1" applyFill="1" applyBorder="1" applyProtection="1">
      <protection hidden="1"/>
    </xf>
    <xf numFmtId="0" fontId="13" fillId="4" borderId="5" xfId="0" applyFont="1" applyFill="1" applyBorder="1" applyProtection="1">
      <protection hidden="1"/>
    </xf>
    <xf numFmtId="0" fontId="11" fillId="4" borderId="6" xfId="0" applyFont="1" applyFill="1" applyBorder="1" applyProtection="1">
      <protection hidden="1"/>
    </xf>
    <xf numFmtId="0" fontId="13" fillId="10" borderId="8" xfId="0" applyFont="1" applyFill="1" applyBorder="1" applyProtection="1">
      <protection hidden="1"/>
    </xf>
    <xf numFmtId="0" fontId="32" fillId="0" borderId="20" xfId="0" applyFont="1" applyBorder="1"/>
    <xf numFmtId="0" fontId="12" fillId="0" borderId="21" xfId="0" applyFont="1" applyBorder="1"/>
    <xf numFmtId="0" fontId="12" fillId="0" borderId="22" xfId="0" applyFont="1" applyBorder="1"/>
    <xf numFmtId="0" fontId="32" fillId="0" borderId="23" xfId="0" applyFont="1" applyBorder="1"/>
    <xf numFmtId="0" fontId="12" fillId="0" borderId="15" xfId="0" applyFont="1" applyBorder="1"/>
    <xf numFmtId="0" fontId="12" fillId="0" borderId="24" xfId="0" applyFont="1" applyBorder="1"/>
    <xf numFmtId="0" fontId="32" fillId="0" borderId="25" xfId="0" applyFont="1" applyBorder="1"/>
    <xf numFmtId="0" fontId="12" fillId="0" borderId="3" xfId="0" applyFont="1" applyBorder="1"/>
    <xf numFmtId="0" fontId="12" fillId="0" borderId="26" xfId="0" applyFont="1" applyBorder="1"/>
    <xf numFmtId="0" fontId="32" fillId="0" borderId="27" xfId="0" applyFont="1" applyBorder="1"/>
    <xf numFmtId="0" fontId="12" fillId="0" borderId="11" xfId="0" applyFont="1" applyBorder="1"/>
    <xf numFmtId="0" fontId="12" fillId="0" borderId="28" xfId="0" applyFont="1" applyBorder="1"/>
    <xf numFmtId="180" fontId="4" fillId="11" borderId="8" xfId="0" applyNumberFormat="1" applyFont="1" applyFill="1" applyBorder="1" applyProtection="1">
      <protection locked="0"/>
    </xf>
    <xf numFmtId="180" fontId="4" fillId="6" borderId="9" xfId="0" applyNumberFormat="1" applyFont="1" applyFill="1" applyBorder="1" applyProtection="1">
      <protection locked="0"/>
    </xf>
    <xf numFmtId="180" fontId="4" fillId="6" borderId="9" xfId="0" quotePrefix="1" applyNumberFormat="1" applyFont="1" applyFill="1" applyBorder="1" applyAlignment="1" applyProtection="1">
      <alignment horizontal="left"/>
      <protection locked="0"/>
    </xf>
    <xf numFmtId="180" fontId="4" fillId="6" borderId="10" xfId="0" applyNumberFormat="1" applyFont="1" applyFill="1" applyBorder="1" applyProtection="1">
      <protection locked="0"/>
    </xf>
    <xf numFmtId="180" fontId="5" fillId="7" borderId="8" xfId="0" applyNumberFormat="1" applyFont="1" applyFill="1" applyBorder="1" applyProtection="1">
      <protection locked="0"/>
    </xf>
    <xf numFmtId="180" fontId="5" fillId="7" borderId="9" xfId="0" applyNumberFormat="1" applyFont="1" applyFill="1" applyBorder="1" applyAlignment="1" applyProtection="1">
      <alignment horizontal="left"/>
      <protection locked="0"/>
    </xf>
    <xf numFmtId="180" fontId="4" fillId="6" borderId="29" xfId="0" applyNumberFormat="1" applyFont="1" applyFill="1" applyBorder="1" applyProtection="1">
      <protection locked="0"/>
    </xf>
    <xf numFmtId="180" fontId="4" fillId="6" borderId="30" xfId="0" applyNumberFormat="1" applyFont="1" applyFill="1" applyBorder="1" applyProtection="1">
      <protection locked="0"/>
    </xf>
    <xf numFmtId="180" fontId="4" fillId="6" borderId="13" xfId="0" applyNumberFormat="1" applyFont="1" applyFill="1" applyBorder="1" applyProtection="1">
      <protection locked="0"/>
    </xf>
    <xf numFmtId="180" fontId="16" fillId="0" borderId="0" xfId="0" applyNumberFormat="1" applyFont="1" applyProtection="1">
      <protection locked="0"/>
    </xf>
    <xf numFmtId="0" fontId="24" fillId="0" borderId="3" xfId="0" applyFont="1" applyBorder="1" applyProtection="1">
      <protection locked="0"/>
    </xf>
    <xf numFmtId="0" fontId="0" fillId="0" borderId="4" xfId="0" applyBorder="1" applyProtection="1">
      <protection locked="0"/>
    </xf>
    <xf numFmtId="0" fontId="24" fillId="0" borderId="0" xfId="0" applyFont="1" applyBorder="1" applyProtection="1">
      <protection locked="0"/>
    </xf>
    <xf numFmtId="0" fontId="0" fillId="0" borderId="31" xfId="0" applyBorder="1" applyProtection="1">
      <protection locked="0"/>
    </xf>
    <xf numFmtId="0" fontId="0" fillId="0" borderId="32" xfId="0" applyBorder="1" applyProtection="1">
      <protection locked="0"/>
    </xf>
    <xf numFmtId="0" fontId="20" fillId="0" borderId="11" xfId="0" applyFont="1" applyBorder="1" applyProtection="1">
      <protection locked="0"/>
    </xf>
    <xf numFmtId="0" fontId="0" fillId="0" borderId="11" xfId="0" applyBorder="1" applyProtection="1">
      <protection locked="0"/>
    </xf>
    <xf numFmtId="0" fontId="4" fillId="0" borderId="11" xfId="0" applyFont="1" applyBorder="1" applyProtection="1">
      <protection locked="0"/>
    </xf>
    <xf numFmtId="0" fontId="0" fillId="0" borderId="33" xfId="0" applyBorder="1" applyProtection="1">
      <protection locked="0"/>
    </xf>
    <xf numFmtId="0" fontId="4" fillId="6" borderId="0" xfId="0" applyFont="1" applyFill="1" applyBorder="1" applyProtection="1">
      <protection locked="0"/>
    </xf>
    <xf numFmtId="0" fontId="4" fillId="6" borderId="31" xfId="0" applyFont="1" applyFill="1" applyBorder="1" applyProtection="1">
      <protection locked="0"/>
    </xf>
    <xf numFmtId="0" fontId="0" fillId="6" borderId="0" xfId="0" applyFill="1" applyBorder="1" applyProtection="1">
      <protection locked="0"/>
    </xf>
    <xf numFmtId="14" fontId="0" fillId="6" borderId="0" xfId="0" applyNumberFormat="1" applyFill="1" applyBorder="1" applyProtection="1">
      <protection locked="0"/>
    </xf>
    <xf numFmtId="0" fontId="4" fillId="6" borderId="1" xfId="0" applyFont="1" applyFill="1" applyBorder="1" applyProtection="1">
      <protection locked="0"/>
    </xf>
    <xf numFmtId="0" fontId="4" fillId="0" borderId="6" xfId="0" applyFont="1" applyBorder="1" applyAlignment="1" applyProtection="1">
      <alignment horizontal="left"/>
      <protection locked="0"/>
    </xf>
    <xf numFmtId="0" fontId="4" fillId="0" borderId="2" xfId="0" quotePrefix="1" applyFont="1" applyBorder="1" applyAlignment="1" applyProtection="1">
      <alignment horizontal="left"/>
      <protection locked="0"/>
    </xf>
    <xf numFmtId="0" fontId="4" fillId="0" borderId="3" xfId="0" applyFont="1" applyBorder="1" applyProtection="1">
      <protection locked="0"/>
    </xf>
    <xf numFmtId="0" fontId="4" fillId="0" borderId="3" xfId="0" quotePrefix="1" applyFont="1" applyBorder="1" applyAlignment="1" applyProtection="1">
      <alignment horizontal="left"/>
      <protection locked="0"/>
    </xf>
    <xf numFmtId="0" fontId="4" fillId="0" borderId="5" xfId="0" quotePrefix="1" applyFont="1" applyBorder="1" applyAlignment="1" applyProtection="1">
      <alignment horizontal="left"/>
      <protection locked="0"/>
    </xf>
    <xf numFmtId="0" fontId="0" fillId="0" borderId="6" xfId="0" applyBorder="1" applyProtection="1">
      <protection locked="0"/>
    </xf>
    <xf numFmtId="0" fontId="6" fillId="0" borderId="2" xfId="0" applyFont="1" applyBorder="1" applyProtection="1">
      <protection locked="0"/>
    </xf>
    <xf numFmtId="0" fontId="6" fillId="2" borderId="3" xfId="0" applyFont="1" applyFill="1" applyBorder="1" applyProtection="1">
      <protection locked="0"/>
    </xf>
    <xf numFmtId="0" fontId="4" fillId="0" borderId="5" xfId="0" applyFont="1" applyBorder="1" applyProtection="1">
      <protection locked="0"/>
    </xf>
    <xf numFmtId="0" fontId="6" fillId="0" borderId="6" xfId="0" quotePrefix="1" applyFont="1" applyBorder="1" applyAlignment="1" applyProtection="1">
      <alignment horizontal="left"/>
      <protection locked="0"/>
    </xf>
    <xf numFmtId="0" fontId="6" fillId="2" borderId="0" xfId="0" applyFont="1" applyFill="1" applyBorder="1" applyProtection="1">
      <protection locked="0"/>
    </xf>
    <xf numFmtId="0" fontId="6" fillId="0" borderId="31" xfId="0" applyFont="1" applyBorder="1" applyProtection="1"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13" fillId="0" borderId="1" xfId="0" applyFont="1" applyBorder="1" applyProtection="1">
      <protection locked="0"/>
    </xf>
    <xf numFmtId="0" fontId="6" fillId="0" borderId="7" xfId="0" applyFont="1" applyBorder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  <protection locked="0"/>
    </xf>
    <xf numFmtId="0" fontId="4" fillId="0" borderId="7" xfId="0" applyFont="1" applyBorder="1" applyProtection="1">
      <protection locked="0"/>
    </xf>
    <xf numFmtId="177" fontId="6" fillId="0" borderId="0" xfId="0" applyNumberFormat="1" applyFont="1" applyProtection="1">
      <protection locked="0"/>
    </xf>
    <xf numFmtId="177" fontId="0" fillId="0" borderId="0" xfId="0" quotePrefix="1" applyNumberFormat="1" applyAlignment="1" applyProtection="1">
      <alignment horizontal="left"/>
      <protection locked="0"/>
    </xf>
    <xf numFmtId="49" fontId="0" fillId="5" borderId="1" xfId="0" applyNumberFormat="1" applyFill="1" applyBorder="1" applyProtection="1">
      <protection locked="0"/>
    </xf>
    <xf numFmtId="177" fontId="0" fillId="2" borderId="11" xfId="0" applyNumberFormat="1" applyFill="1" applyBorder="1" applyProtection="1">
      <protection locked="0"/>
    </xf>
    <xf numFmtId="0" fontId="0" fillId="5" borderId="11" xfId="0" applyFill="1" applyBorder="1" applyProtection="1">
      <protection locked="0"/>
    </xf>
    <xf numFmtId="0" fontId="4" fillId="5" borderId="11" xfId="0" applyFont="1" applyFill="1" applyBorder="1" applyProtection="1">
      <protection locked="0"/>
    </xf>
    <xf numFmtId="177" fontId="15" fillId="0" borderId="0" xfId="0" applyNumberFormat="1" applyFont="1" applyProtection="1">
      <protection locked="0"/>
    </xf>
    <xf numFmtId="0" fontId="7" fillId="0" borderId="0" xfId="0" applyFont="1" applyProtection="1">
      <protection locked="0"/>
    </xf>
    <xf numFmtId="177" fontId="7" fillId="0" borderId="0" xfId="0" applyNumberFormat="1" applyFont="1" applyProtection="1">
      <protection locked="0"/>
    </xf>
    <xf numFmtId="0" fontId="7" fillId="0" borderId="0" xfId="0" applyFont="1" applyBorder="1" applyProtection="1">
      <protection locked="0"/>
    </xf>
    <xf numFmtId="177" fontId="7" fillId="0" borderId="0" xfId="0" applyNumberFormat="1" applyFont="1" applyBorder="1" applyProtection="1">
      <protection locked="0"/>
    </xf>
    <xf numFmtId="0" fontId="15" fillId="0" borderId="0" xfId="0" applyFont="1" applyProtection="1">
      <protection locked="0"/>
    </xf>
    <xf numFmtId="0" fontId="15" fillId="0" borderId="0" xfId="0" applyFont="1" applyBorder="1" applyProtection="1">
      <protection locked="0"/>
    </xf>
    <xf numFmtId="177" fontId="4" fillId="8" borderId="0" xfId="0" applyNumberFormat="1" applyFont="1" applyFill="1" applyBorder="1" applyProtection="1"/>
    <xf numFmtId="177" fontId="0" fillId="8" borderId="0" xfId="0" applyNumberFormat="1" applyFill="1" applyProtection="1"/>
    <xf numFmtId="177" fontId="4" fillId="8" borderId="1" xfId="0" applyNumberFormat="1" applyFont="1" applyFill="1" applyBorder="1" applyProtection="1"/>
    <xf numFmtId="177" fontId="0" fillId="3" borderId="0" xfId="0" applyNumberFormat="1" applyFill="1" applyProtection="1"/>
    <xf numFmtId="0" fontId="11" fillId="0" borderId="0" xfId="0" applyFont="1" applyBorder="1" applyAlignment="1" applyProtection="1">
      <alignment horizontal="left"/>
      <protection locked="0"/>
    </xf>
    <xf numFmtId="0" fontId="4" fillId="0" borderId="0" xfId="0" applyFont="1" applyProtection="1">
      <protection locked="0"/>
    </xf>
    <xf numFmtId="0" fontId="11" fillId="0" borderId="5" xfId="0" applyFont="1" applyBorder="1" applyProtection="1">
      <protection locked="0"/>
    </xf>
    <xf numFmtId="0" fontId="15" fillId="0" borderId="1" xfId="0" applyFont="1" applyBorder="1" applyAlignment="1" applyProtection="1">
      <alignment horizontal="left"/>
      <protection locked="0"/>
    </xf>
    <xf numFmtId="0" fontId="6" fillId="0" borderId="7" xfId="0" quotePrefix="1" applyFont="1" applyBorder="1" applyAlignment="1" applyProtection="1">
      <alignment horizontal="left"/>
      <protection locked="0"/>
    </xf>
    <xf numFmtId="0" fontId="0" fillId="0" borderId="0" xfId="0" applyBorder="1" applyProtection="1">
      <protection hidden="1"/>
    </xf>
    <xf numFmtId="0" fontId="11" fillId="2" borderId="0" xfId="0" applyFont="1" applyFill="1" applyBorder="1" applyProtection="1">
      <protection hidden="1"/>
    </xf>
    <xf numFmtId="178" fontId="13" fillId="2" borderId="0" xfId="0" applyNumberFormat="1" applyFont="1" applyFill="1" applyBorder="1" applyProtection="1">
      <protection hidden="1"/>
    </xf>
    <xf numFmtId="178" fontId="0" fillId="0" borderId="0" xfId="0" applyNumberFormat="1" applyBorder="1" applyProtection="1">
      <protection hidden="1"/>
    </xf>
    <xf numFmtId="0" fontId="0" fillId="0" borderId="34" xfId="0" applyBorder="1"/>
    <xf numFmtId="0" fontId="0" fillId="0" borderId="35" xfId="0" applyBorder="1"/>
    <xf numFmtId="0" fontId="11" fillId="2" borderId="35" xfId="0" applyFont="1" applyFill="1" applyBorder="1" applyProtection="1">
      <protection hidden="1"/>
    </xf>
    <xf numFmtId="0" fontId="13" fillId="2" borderId="35" xfId="0" applyFont="1" applyFill="1" applyBorder="1" applyProtection="1">
      <protection hidden="1"/>
    </xf>
    <xf numFmtId="0" fontId="11" fillId="2" borderId="36" xfId="0" applyFont="1" applyFill="1" applyBorder="1" applyProtection="1">
      <protection hidden="1"/>
    </xf>
    <xf numFmtId="0" fontId="17" fillId="9" borderId="36" xfId="0" applyFont="1" applyFill="1" applyBorder="1" applyProtection="1">
      <protection hidden="1"/>
    </xf>
    <xf numFmtId="177" fontId="11" fillId="2" borderId="35" xfId="0" applyNumberFormat="1" applyFont="1" applyFill="1" applyBorder="1" applyProtection="1">
      <protection hidden="1"/>
    </xf>
    <xf numFmtId="0" fontId="0" fillId="0" borderId="35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8" xfId="0" applyBorder="1" applyProtection="1">
      <protection hidden="1"/>
    </xf>
    <xf numFmtId="0" fontId="11" fillId="2" borderId="39" xfId="0" applyFont="1" applyFill="1" applyBorder="1" applyProtection="1">
      <protection hidden="1"/>
    </xf>
    <xf numFmtId="177" fontId="11" fillId="2" borderId="0" xfId="0" applyNumberFormat="1" applyFont="1" applyFill="1" applyBorder="1" applyProtection="1">
      <protection hidden="1"/>
    </xf>
    <xf numFmtId="0" fontId="0" fillId="0" borderId="40" xfId="0" applyBorder="1" applyProtection="1">
      <protection hidden="1"/>
    </xf>
    <xf numFmtId="0" fontId="11" fillId="2" borderId="41" xfId="0" applyFont="1" applyFill="1" applyBorder="1" applyProtection="1">
      <protection hidden="1"/>
    </xf>
    <xf numFmtId="0" fontId="29" fillId="2" borderId="41" xfId="0" applyFont="1" applyFill="1" applyBorder="1" applyProtection="1">
      <protection hidden="1"/>
    </xf>
    <xf numFmtId="0" fontId="13" fillId="2" borderId="23" xfId="0" quotePrefix="1" applyFont="1" applyFill="1" applyBorder="1" applyAlignment="1" applyProtection="1">
      <alignment horizontal="left"/>
      <protection hidden="1"/>
    </xf>
    <xf numFmtId="0" fontId="13" fillId="2" borderId="27" xfId="0" applyFont="1" applyFill="1" applyBorder="1" applyProtection="1">
      <protection hidden="1"/>
    </xf>
    <xf numFmtId="0" fontId="13" fillId="2" borderId="11" xfId="0" quotePrefix="1" applyFont="1" applyFill="1" applyBorder="1" applyAlignment="1" applyProtection="1">
      <alignment horizontal="left"/>
      <protection hidden="1"/>
    </xf>
    <xf numFmtId="0" fontId="13" fillId="2" borderId="11" xfId="0" applyFont="1" applyFill="1" applyBorder="1" applyProtection="1">
      <protection hidden="1"/>
    </xf>
    <xf numFmtId="0" fontId="0" fillId="0" borderId="11" xfId="0" applyBorder="1" applyProtection="1">
      <protection hidden="1"/>
    </xf>
    <xf numFmtId="0" fontId="0" fillId="0" borderId="28" xfId="0" applyBorder="1" applyProtection="1">
      <protection hidden="1"/>
    </xf>
    <xf numFmtId="0" fontId="33" fillId="0" borderId="0" xfId="0" applyFont="1"/>
    <xf numFmtId="0" fontId="35" fillId="0" borderId="0" xfId="0" applyFont="1"/>
    <xf numFmtId="179" fontId="4" fillId="8" borderId="11" xfId="0" applyNumberFormat="1" applyFont="1" applyFill="1" applyBorder="1" applyProtection="1"/>
    <xf numFmtId="179" fontId="4" fillId="8" borderId="1" xfId="0" applyNumberFormat="1" applyFont="1" applyFill="1" applyBorder="1" applyProtection="1"/>
    <xf numFmtId="180" fontId="5" fillId="7" borderId="29" xfId="0" applyNumberFormat="1" applyFont="1" applyFill="1" applyBorder="1" applyProtection="1">
      <protection locked="0"/>
    </xf>
    <xf numFmtId="180" fontId="5" fillId="7" borderId="30" xfId="0" applyNumberFormat="1" applyFont="1" applyFill="1" applyBorder="1" applyAlignment="1" applyProtection="1">
      <alignment horizontal="left"/>
      <protection locked="0"/>
    </xf>
    <xf numFmtId="180" fontId="4" fillId="4" borderId="4" xfId="0" applyNumberFormat="1" applyFont="1" applyFill="1" applyBorder="1" applyProtection="1">
      <protection locked="0"/>
    </xf>
    <xf numFmtId="180" fontId="4" fillId="4" borderId="17" xfId="0" applyNumberFormat="1" applyFont="1" applyFill="1" applyBorder="1" applyProtection="1">
      <protection locked="0"/>
    </xf>
    <xf numFmtId="180" fontId="4" fillId="4" borderId="8" xfId="0" applyNumberFormat="1" applyFont="1" applyFill="1" applyBorder="1" applyProtection="1">
      <protection locked="0"/>
    </xf>
    <xf numFmtId="177" fontId="23" fillId="12" borderId="8" xfId="0" applyNumberFormat="1" applyFont="1" applyFill="1" applyBorder="1" applyProtection="1">
      <protection hidden="1"/>
    </xf>
    <xf numFmtId="1" fontId="23" fillId="12" borderId="8" xfId="0" applyNumberFormat="1" applyFont="1" applyFill="1" applyBorder="1" applyProtection="1">
      <protection hidden="1"/>
    </xf>
    <xf numFmtId="0" fontId="23" fillId="12" borderId="8" xfId="0" applyFont="1" applyFill="1" applyBorder="1" applyProtection="1">
      <protection hidden="1"/>
    </xf>
    <xf numFmtId="0" fontId="17" fillId="12" borderId="0" xfId="0" applyFont="1" applyFill="1" applyBorder="1" applyProtection="1">
      <protection hidden="1"/>
    </xf>
    <xf numFmtId="177" fontId="4" fillId="2" borderId="8" xfId="0" applyNumberFormat="1" applyFont="1" applyFill="1" applyBorder="1" applyProtection="1">
      <protection locked="0"/>
    </xf>
    <xf numFmtId="177" fontId="4" fillId="4" borderId="8" xfId="0" applyNumberFormat="1" applyFont="1" applyFill="1" applyBorder="1" applyProtection="1">
      <protection locked="0"/>
    </xf>
    <xf numFmtId="177" fontId="4" fillId="2" borderId="13" xfId="0" applyNumberFormat="1" applyFont="1" applyFill="1" applyBorder="1" applyProtection="1">
      <protection locked="0"/>
    </xf>
    <xf numFmtId="177" fontId="16" fillId="0" borderId="0" xfId="0" applyNumberFormat="1" applyFont="1" applyProtection="1">
      <protection locked="0"/>
    </xf>
    <xf numFmtId="180" fontId="4" fillId="4" borderId="42" xfId="0" applyNumberFormat="1" applyFont="1" applyFill="1" applyBorder="1" applyProtection="1">
      <protection locked="0"/>
    </xf>
    <xf numFmtId="180" fontId="4" fillId="0" borderId="20" xfId="0" applyNumberFormat="1" applyFont="1" applyBorder="1" applyProtection="1">
      <protection locked="0"/>
    </xf>
    <xf numFmtId="180" fontId="22" fillId="0" borderId="43" xfId="0" applyNumberFormat="1" applyFont="1" applyBorder="1" applyProtection="1">
      <protection locked="0"/>
    </xf>
    <xf numFmtId="180" fontId="4" fillId="0" borderId="23" xfId="0" applyNumberFormat="1" applyFont="1" applyBorder="1" applyProtection="1">
      <protection locked="0"/>
    </xf>
    <xf numFmtId="180" fontId="4" fillId="4" borderId="25" xfId="0" quotePrefix="1" applyNumberFormat="1" applyFont="1" applyFill="1" applyBorder="1" applyAlignment="1" applyProtection="1">
      <alignment horizontal="left"/>
      <protection locked="0"/>
    </xf>
    <xf numFmtId="14" fontId="0" fillId="8" borderId="0" xfId="0" applyNumberFormat="1" applyFill="1" applyProtection="1"/>
    <xf numFmtId="177" fontId="15" fillId="0" borderId="0" xfId="0" applyNumberFormat="1" applyFont="1" applyProtection="1">
      <protection locked="0" hidden="1"/>
    </xf>
    <xf numFmtId="177" fontId="15" fillId="0" borderId="2" xfId="0" applyNumberFormat="1" applyFont="1" applyBorder="1" applyProtection="1">
      <protection locked="0"/>
    </xf>
    <xf numFmtId="0" fontId="15" fillId="2" borderId="3" xfId="0" applyFont="1" applyFill="1" applyBorder="1" applyProtection="1">
      <protection locked="0" hidden="1"/>
    </xf>
    <xf numFmtId="0" fontId="15" fillId="0" borderId="3" xfId="0" applyFont="1" applyBorder="1" applyProtection="1">
      <protection locked="0"/>
    </xf>
    <xf numFmtId="0" fontId="7" fillId="0" borderId="3" xfId="0" applyFont="1" applyBorder="1" applyProtection="1">
      <protection locked="0"/>
    </xf>
    <xf numFmtId="0" fontId="11" fillId="0" borderId="3" xfId="0" applyFont="1" applyBorder="1" applyAlignment="1" applyProtection="1">
      <alignment horizontal="left"/>
      <protection locked="0" hidden="1"/>
    </xf>
    <xf numFmtId="0" fontId="6" fillId="0" borderId="3" xfId="0" applyFont="1" applyBorder="1" applyProtection="1">
      <protection locked="0" hidden="1"/>
    </xf>
    <xf numFmtId="177" fontId="0" fillId="0" borderId="4" xfId="0" applyNumberFormat="1" applyBorder="1" applyProtection="1">
      <protection locked="0"/>
    </xf>
    <xf numFmtId="177" fontId="15" fillId="0" borderId="5" xfId="0" applyNumberFormat="1" applyFont="1" applyFill="1" applyBorder="1" applyProtection="1">
      <protection locked="0"/>
    </xf>
    <xf numFmtId="0" fontId="15" fillId="0" borderId="1" xfId="0" applyFont="1" applyBorder="1" applyProtection="1">
      <protection locked="0" hidden="1"/>
    </xf>
    <xf numFmtId="0" fontId="7" fillId="0" borderId="1" xfId="0" applyFont="1" applyBorder="1" applyProtection="1">
      <protection locked="0" hidden="1"/>
    </xf>
    <xf numFmtId="0" fontId="4" fillId="0" borderId="1" xfId="0" applyFont="1" applyBorder="1" applyProtection="1">
      <protection locked="0" hidden="1"/>
    </xf>
    <xf numFmtId="0" fontId="6" fillId="0" borderId="1" xfId="0" applyFont="1" applyBorder="1" applyProtection="1">
      <protection locked="0" hidden="1"/>
    </xf>
    <xf numFmtId="0" fontId="6" fillId="0" borderId="1" xfId="0" quotePrefix="1" applyFont="1" applyBorder="1" applyAlignment="1" applyProtection="1">
      <alignment horizontal="left"/>
      <protection locked="0" hidden="1"/>
    </xf>
    <xf numFmtId="177" fontId="0" fillId="0" borderId="6" xfId="0" applyNumberFormat="1" applyBorder="1" applyProtection="1">
      <protection locked="0"/>
    </xf>
    <xf numFmtId="177" fontId="7" fillId="0" borderId="0" xfId="0" applyNumberFormat="1" applyFont="1" applyBorder="1" applyProtection="1">
      <protection locked="0" hidden="1"/>
    </xf>
    <xf numFmtId="0" fontId="6" fillId="0" borderId="0" xfId="0" applyFont="1" applyBorder="1" applyAlignment="1" applyProtection="1">
      <alignment horizontal="left"/>
      <protection locked="0" hidden="1"/>
    </xf>
    <xf numFmtId="0" fontId="6" fillId="0" borderId="0" xfId="0" applyFont="1" applyBorder="1" applyProtection="1">
      <protection locked="0" hidden="1"/>
    </xf>
    <xf numFmtId="180" fontId="5" fillId="7" borderId="44" xfId="0" applyNumberFormat="1" applyFont="1" applyFill="1" applyBorder="1" applyProtection="1">
      <protection locked="0"/>
    </xf>
    <xf numFmtId="180" fontId="5" fillId="7" borderId="32" xfId="0" applyNumberFormat="1" applyFont="1" applyFill="1" applyBorder="1" applyAlignment="1" applyProtection="1">
      <alignment horizontal="left"/>
      <protection locked="0"/>
    </xf>
    <xf numFmtId="180" fontId="4" fillId="6" borderId="45" xfId="0" applyNumberFormat="1" applyFont="1" applyFill="1" applyBorder="1" applyProtection="1">
      <protection locked="0"/>
    </xf>
    <xf numFmtId="180" fontId="4" fillId="6" borderId="46" xfId="0" applyNumberFormat="1" applyFont="1" applyFill="1" applyBorder="1" applyProtection="1">
      <protection locked="0"/>
    </xf>
    <xf numFmtId="180" fontId="4" fillId="7" borderId="33" xfId="0" applyNumberFormat="1" applyFont="1" applyFill="1" applyBorder="1" applyProtection="1">
      <protection locked="0"/>
    </xf>
    <xf numFmtId="180" fontId="4" fillId="7" borderId="45" xfId="0" applyNumberFormat="1" applyFont="1" applyFill="1" applyBorder="1" applyProtection="1">
      <protection locked="0"/>
    </xf>
    <xf numFmtId="180" fontId="4" fillId="7" borderId="46" xfId="0" applyNumberFormat="1" applyFont="1" applyFill="1" applyBorder="1" applyProtection="1">
      <protection locked="0"/>
    </xf>
    <xf numFmtId="180" fontId="10" fillId="6" borderId="9" xfId="0" applyNumberFormat="1" applyFont="1" applyFill="1" applyBorder="1" applyProtection="1">
      <protection locked="0"/>
    </xf>
    <xf numFmtId="180" fontId="4" fillId="0" borderId="8" xfId="0" applyNumberFormat="1" applyFont="1" applyBorder="1" applyProtection="1">
      <protection locked="0"/>
    </xf>
    <xf numFmtId="180" fontId="10" fillId="6" borderId="8" xfId="0" applyNumberFormat="1" applyFont="1" applyFill="1" applyBorder="1" applyAlignment="1" applyProtection="1">
      <protection locked="0"/>
    </xf>
    <xf numFmtId="0" fontId="45" fillId="0" borderId="0" xfId="0" applyFont="1"/>
    <xf numFmtId="0" fontId="41" fillId="0" borderId="16" xfId="0" applyFont="1" applyBorder="1"/>
    <xf numFmtId="0" fontId="41" fillId="0" borderId="16" xfId="0" applyFont="1" applyBorder="1" applyAlignment="1">
      <alignment horizontal="center"/>
    </xf>
    <xf numFmtId="180" fontId="0" fillId="6" borderId="8" xfId="0" applyNumberFormat="1" applyFont="1" applyFill="1" applyBorder="1" applyProtection="1">
      <protection locked="0"/>
    </xf>
    <xf numFmtId="180" fontId="0" fillId="0" borderId="8" xfId="0" applyNumberFormat="1" applyFont="1" applyBorder="1" applyProtection="1">
      <protection locked="0"/>
    </xf>
    <xf numFmtId="180" fontId="0" fillId="2" borderId="8" xfId="0" applyNumberFormat="1" applyFont="1" applyFill="1" applyBorder="1" applyProtection="1">
      <protection locked="0"/>
    </xf>
    <xf numFmtId="180" fontId="0" fillId="14" borderId="8" xfId="0" applyNumberFormat="1" applyFont="1" applyFill="1" applyBorder="1" applyProtection="1">
      <protection locked="0"/>
    </xf>
    <xf numFmtId="180" fontId="0" fillId="13" borderId="8" xfId="0" applyNumberFormat="1" applyFont="1" applyFill="1" applyBorder="1" applyProtection="1">
      <protection locked="0"/>
    </xf>
    <xf numFmtId="180" fontId="0" fillId="5" borderId="8" xfId="0" applyNumberFormat="1" applyFont="1" applyFill="1" applyBorder="1" applyProtection="1">
      <protection locked="0"/>
    </xf>
    <xf numFmtId="180" fontId="0" fillId="0" borderId="8" xfId="0" applyNumberFormat="1" applyFont="1" applyFill="1" applyBorder="1" applyProtection="1">
      <protection locked="0"/>
    </xf>
    <xf numFmtId="0" fontId="56" fillId="0" borderId="0" xfId="0" applyFont="1"/>
    <xf numFmtId="183" fontId="57" fillId="0" borderId="47" xfId="0" applyNumberFormat="1" applyFont="1" applyBorder="1" applyAlignment="1">
      <alignment horizontal="center"/>
    </xf>
    <xf numFmtId="180" fontId="56" fillId="2" borderId="8" xfId="0" applyNumberFormat="1" applyFont="1" applyFill="1" applyBorder="1" applyProtection="1">
      <protection locked="0"/>
    </xf>
    <xf numFmtId="180" fontId="4" fillId="2" borderId="0" xfId="0" applyNumberFormat="1" applyFont="1" applyFill="1" applyProtection="1">
      <protection locked="0"/>
    </xf>
    <xf numFmtId="180" fontId="0" fillId="0" borderId="0" xfId="0" applyNumberFormat="1" applyFont="1" applyProtection="1">
      <protection locked="0"/>
    </xf>
    <xf numFmtId="180" fontId="56" fillId="0" borderId="0" xfId="0" applyNumberFormat="1" applyFont="1"/>
    <xf numFmtId="180" fontId="56" fillId="0" borderId="0" xfId="0" applyNumberFormat="1" applyFont="1" applyProtection="1">
      <protection locked="0"/>
    </xf>
    <xf numFmtId="180" fontId="56" fillId="0" borderId="8" xfId="0" applyNumberFormat="1" applyFont="1" applyBorder="1" applyProtection="1">
      <protection locked="0"/>
    </xf>
    <xf numFmtId="180" fontId="56" fillId="14" borderId="8" xfId="0" applyNumberFormat="1" applyFont="1" applyFill="1" applyBorder="1" applyProtection="1">
      <protection locked="0"/>
    </xf>
    <xf numFmtId="180" fontId="56" fillId="13" borderId="19" xfId="0" applyNumberFormat="1" applyFont="1" applyFill="1" applyBorder="1" applyProtection="1">
      <protection locked="0"/>
    </xf>
    <xf numFmtId="180" fontId="55" fillId="0" borderId="0" xfId="0" applyNumberFormat="1" applyFont="1" applyProtection="1">
      <protection locked="0"/>
    </xf>
    <xf numFmtId="180" fontId="56" fillId="13" borderId="8" xfId="0" applyNumberFormat="1" applyFont="1" applyFill="1" applyBorder="1" applyProtection="1">
      <protection locked="0"/>
    </xf>
    <xf numFmtId="180" fontId="56" fillId="0" borderId="8" xfId="0" applyNumberFormat="1" applyFont="1" applyFill="1" applyBorder="1" applyProtection="1">
      <protection locked="0"/>
    </xf>
    <xf numFmtId="0" fontId="56" fillId="0" borderId="0" xfId="0" applyFont="1" applyProtection="1">
      <protection locked="0"/>
    </xf>
    <xf numFmtId="180" fontId="56" fillId="0" borderId="0" xfId="0" applyNumberFormat="1" applyFont="1" applyBorder="1" applyProtection="1">
      <protection locked="0"/>
    </xf>
    <xf numFmtId="180" fontId="59" fillId="0" borderId="0" xfId="0" applyNumberFormat="1" applyFont="1" applyFill="1" applyBorder="1" applyProtection="1">
      <protection locked="0"/>
    </xf>
    <xf numFmtId="180" fontId="56" fillId="0" borderId="0" xfId="0" applyNumberFormat="1" applyFont="1" applyFill="1" applyBorder="1" applyProtection="1">
      <protection locked="0"/>
    </xf>
    <xf numFmtId="180" fontId="56" fillId="3" borderId="8" xfId="0" applyNumberFormat="1" applyFont="1" applyFill="1" applyBorder="1" applyProtection="1">
      <protection locked="0"/>
    </xf>
    <xf numFmtId="180" fontId="60" fillId="0" borderId="8" xfId="0" applyNumberFormat="1" applyFont="1" applyBorder="1" applyProtection="1">
      <protection locked="0"/>
    </xf>
    <xf numFmtId="180" fontId="56" fillId="15" borderId="41" xfId="0" applyNumberFormat="1" applyFont="1" applyFill="1" applyBorder="1" applyProtection="1">
      <protection locked="0"/>
    </xf>
    <xf numFmtId="180" fontId="55" fillId="2" borderId="8" xfId="0" applyNumberFormat="1" applyFont="1" applyFill="1" applyBorder="1" applyProtection="1">
      <protection locked="0"/>
    </xf>
    <xf numFmtId="180" fontId="55" fillId="0" borderId="0" xfId="0" applyNumberFormat="1" applyFont="1" applyFill="1" applyBorder="1" applyProtection="1">
      <protection locked="0"/>
    </xf>
    <xf numFmtId="180" fontId="56" fillId="0" borderId="19" xfId="0" applyNumberFormat="1" applyFont="1" applyBorder="1" applyProtection="1">
      <protection locked="0"/>
    </xf>
    <xf numFmtId="180" fontId="56" fillId="14" borderId="19" xfId="0" applyNumberFormat="1" applyFont="1" applyFill="1" applyBorder="1" applyProtection="1">
      <protection locked="0"/>
    </xf>
    <xf numFmtId="180" fontId="56" fillId="0" borderId="0" xfId="0" applyNumberFormat="1" applyFont="1" applyFill="1" applyProtection="1">
      <protection locked="0"/>
    </xf>
    <xf numFmtId="180" fontId="61" fillId="0" borderId="8" xfId="0" applyNumberFormat="1" applyFont="1" applyBorder="1" applyProtection="1">
      <protection locked="0"/>
    </xf>
    <xf numFmtId="180" fontId="56" fillId="2" borderId="19" xfId="0" applyNumberFormat="1" applyFont="1" applyFill="1" applyBorder="1" applyProtection="1">
      <protection locked="0"/>
    </xf>
    <xf numFmtId="180" fontId="0" fillId="0" borderId="8" xfId="0" applyNumberFormat="1" applyFont="1" applyBorder="1" applyAlignment="1" applyProtection="1">
      <alignment horizontal="left"/>
      <protection locked="0"/>
    </xf>
    <xf numFmtId="180" fontId="0" fillId="0" borderId="0" xfId="0" applyNumberFormat="1" applyFont="1"/>
    <xf numFmtId="180" fontId="0" fillId="6" borderId="9" xfId="0" applyNumberFormat="1" applyFont="1" applyFill="1" applyBorder="1" applyProtection="1">
      <protection locked="0"/>
    </xf>
    <xf numFmtId="180" fontId="10" fillId="6" borderId="61" xfId="0" applyNumberFormat="1" applyFont="1" applyFill="1" applyBorder="1" applyProtection="1">
      <protection locked="0"/>
    </xf>
    <xf numFmtId="180" fontId="10" fillId="6" borderId="60" xfId="0" applyNumberFormat="1" applyFont="1" applyFill="1" applyBorder="1" applyProtection="1">
      <protection locked="0"/>
    </xf>
    <xf numFmtId="180" fontId="0" fillId="0" borderId="61" xfId="0" applyNumberFormat="1" applyFont="1" applyBorder="1" applyProtection="1">
      <protection locked="0"/>
    </xf>
    <xf numFmtId="180" fontId="0" fillId="2" borderId="61" xfId="0" applyNumberFormat="1" applyFont="1" applyFill="1" applyBorder="1" applyProtection="1">
      <protection locked="0"/>
    </xf>
    <xf numFmtId="180" fontId="0" fillId="13" borderId="61" xfId="0" applyNumberFormat="1" applyFont="1" applyFill="1" applyBorder="1" applyProtection="1">
      <protection locked="0"/>
    </xf>
    <xf numFmtId="180" fontId="0" fillId="5" borderId="61" xfId="0" applyNumberFormat="1" applyFont="1" applyFill="1" applyBorder="1" applyProtection="1">
      <protection locked="0"/>
    </xf>
    <xf numFmtId="180" fontId="5" fillId="4" borderId="8" xfId="0" applyNumberFormat="1" applyFont="1" applyFill="1" applyBorder="1" applyProtection="1">
      <protection hidden="1"/>
    </xf>
    <xf numFmtId="180" fontId="0" fillId="4" borderId="8" xfId="0" applyNumberFormat="1" applyFont="1" applyFill="1" applyBorder="1" applyProtection="1">
      <protection hidden="1"/>
    </xf>
    <xf numFmtId="180" fontId="0" fillId="0" borderId="8" xfId="0" applyNumberFormat="1" applyFont="1" applyBorder="1" applyProtection="1"/>
    <xf numFmtId="180" fontId="5" fillId="4" borderId="19" xfId="0" applyNumberFormat="1" applyFont="1" applyFill="1" applyBorder="1" applyProtection="1">
      <protection hidden="1"/>
    </xf>
    <xf numFmtId="180" fontId="0" fillId="4" borderId="19" xfId="0" applyNumberFormat="1" applyFont="1" applyFill="1" applyBorder="1" applyProtection="1">
      <protection hidden="1"/>
    </xf>
    <xf numFmtId="180" fontId="0" fillId="0" borderId="9" xfId="0" applyNumberFormat="1" applyFont="1" applyBorder="1" applyProtection="1">
      <protection locked="0"/>
    </xf>
    <xf numFmtId="180" fontId="0" fillId="0" borderId="10" xfId="0" applyNumberFormat="1" applyFont="1" applyBorder="1" applyProtection="1">
      <protection locked="0"/>
    </xf>
    <xf numFmtId="180" fontId="0" fillId="0" borderId="8" xfId="0" applyNumberFormat="1" applyFont="1" applyBorder="1"/>
    <xf numFmtId="177" fontId="0" fillId="17" borderId="8" xfId="0" applyNumberFormat="1" applyFont="1" applyFill="1" applyBorder="1"/>
    <xf numFmtId="180" fontId="0" fillId="0" borderId="19" xfId="0" applyNumberFormat="1" applyFont="1" applyBorder="1"/>
    <xf numFmtId="180" fontId="0" fillId="17" borderId="8" xfId="0" applyNumberFormat="1" applyFont="1" applyFill="1" applyBorder="1"/>
    <xf numFmtId="180" fontId="0" fillId="6" borderId="10" xfId="0" applyNumberFormat="1" applyFont="1" applyFill="1" applyBorder="1" applyProtection="1">
      <protection locked="0"/>
    </xf>
    <xf numFmtId="177" fontId="0" fillId="0" borderId="8" xfId="0" applyNumberFormat="1" applyFont="1" applyBorder="1" applyProtection="1"/>
    <xf numFmtId="180" fontId="4" fillId="3" borderId="9" xfId="0" quotePrefix="1" applyNumberFormat="1" applyFont="1" applyFill="1" applyBorder="1" applyAlignment="1" applyProtection="1">
      <alignment horizontal="left"/>
      <protection locked="0"/>
    </xf>
    <xf numFmtId="180" fontId="4" fillId="3" borderId="10" xfId="0" applyNumberFormat="1" applyFont="1" applyFill="1" applyBorder="1" applyProtection="1">
      <protection locked="0"/>
    </xf>
    <xf numFmtId="180" fontId="0" fillId="0" borderId="2" xfId="0" applyNumberFormat="1" applyFont="1" applyBorder="1" applyProtection="1">
      <protection locked="0"/>
    </xf>
    <xf numFmtId="180" fontId="0" fillId="0" borderId="4" xfId="0" applyNumberFormat="1" applyFont="1" applyBorder="1" applyProtection="1">
      <protection locked="0"/>
    </xf>
    <xf numFmtId="180" fontId="0" fillId="0" borderId="5" xfId="0" applyNumberFormat="1" applyFont="1" applyBorder="1"/>
    <xf numFmtId="180" fontId="0" fillId="0" borderId="6" xfId="0" applyNumberFormat="1" applyFont="1" applyBorder="1"/>
    <xf numFmtId="180" fontId="0" fillId="0" borderId="59" xfId="0" applyNumberFormat="1" applyFont="1" applyBorder="1" applyProtection="1">
      <protection locked="0"/>
    </xf>
    <xf numFmtId="180" fontId="0" fillId="0" borderId="43" xfId="0" applyNumberFormat="1" applyFont="1" applyBorder="1" applyProtection="1">
      <protection locked="0"/>
    </xf>
    <xf numFmtId="180" fontId="0" fillId="0" borderId="56" xfId="0" applyNumberFormat="1" applyFont="1" applyBorder="1" applyProtection="1">
      <protection locked="0"/>
    </xf>
    <xf numFmtId="180" fontId="4" fillId="0" borderId="34" xfId="0" applyNumberFormat="1" applyFont="1" applyBorder="1" applyProtection="1">
      <protection locked="0"/>
    </xf>
    <xf numFmtId="180" fontId="0" fillId="0" borderId="35" xfId="0" applyNumberFormat="1" applyFont="1" applyBorder="1" applyProtection="1">
      <protection locked="0"/>
    </xf>
    <xf numFmtId="180" fontId="4" fillId="0" borderId="35" xfId="0" applyNumberFormat="1" applyFont="1" applyBorder="1" applyProtection="1">
      <protection locked="0"/>
    </xf>
    <xf numFmtId="0" fontId="0" fillId="0" borderId="35" xfId="0" applyFont="1" applyBorder="1" applyProtection="1">
      <protection locked="0"/>
    </xf>
    <xf numFmtId="180" fontId="0" fillId="0" borderId="37" xfId="0" applyNumberFormat="1" applyFont="1" applyBorder="1" applyProtection="1">
      <protection locked="0"/>
    </xf>
    <xf numFmtId="180" fontId="4" fillId="0" borderId="58" xfId="0" applyNumberFormat="1" applyFont="1" applyBorder="1" applyProtection="1">
      <protection locked="0"/>
    </xf>
    <xf numFmtId="180" fontId="0" fillId="0" borderId="62" xfId="0" applyNumberFormat="1" applyFont="1" applyBorder="1" applyProtection="1">
      <protection locked="0"/>
    </xf>
    <xf numFmtId="180" fontId="4" fillId="0" borderId="62" xfId="0" applyNumberFormat="1" applyFont="1" applyBorder="1" applyProtection="1">
      <protection locked="0"/>
    </xf>
    <xf numFmtId="0" fontId="0" fillId="0" borderId="62" xfId="0" applyFont="1" applyBorder="1" applyProtection="1">
      <protection locked="0"/>
    </xf>
    <xf numFmtId="180" fontId="0" fillId="0" borderId="52" xfId="0" applyNumberFormat="1" applyFont="1" applyBorder="1" applyProtection="1">
      <protection locked="0"/>
    </xf>
    <xf numFmtId="180" fontId="0" fillId="5" borderId="57" xfId="0" applyNumberFormat="1" applyFont="1" applyFill="1" applyBorder="1" applyProtection="1">
      <protection locked="0"/>
    </xf>
    <xf numFmtId="0" fontId="16" fillId="0" borderId="34" xfId="0" applyFont="1" applyBorder="1" applyProtection="1">
      <protection locked="0"/>
    </xf>
    <xf numFmtId="0" fontId="0" fillId="0" borderId="37" xfId="0" applyFont="1" applyBorder="1" applyProtection="1">
      <protection locked="0"/>
    </xf>
    <xf numFmtId="0" fontId="0" fillId="0" borderId="0" xfId="0" applyFont="1" applyBorder="1" applyProtection="1">
      <protection locked="0"/>
    </xf>
    <xf numFmtId="0" fontId="16" fillId="0" borderId="40" xfId="0" applyFont="1" applyBorder="1" applyProtection="1">
      <protection locked="0"/>
    </xf>
    <xf numFmtId="0" fontId="0" fillId="0" borderId="38" xfId="0" applyFont="1" applyBorder="1" applyProtection="1">
      <protection locked="0"/>
    </xf>
    <xf numFmtId="0" fontId="16" fillId="0" borderId="0" xfId="0" applyFont="1" applyBorder="1" applyProtection="1">
      <protection locked="0"/>
    </xf>
    <xf numFmtId="180" fontId="24" fillId="11" borderId="8" xfId="0" quotePrefix="1" applyNumberFormat="1" applyFont="1" applyFill="1" applyBorder="1" applyAlignment="1" applyProtection="1">
      <alignment horizontal="left"/>
      <protection locked="0"/>
    </xf>
    <xf numFmtId="180" fontId="24" fillId="11" borderId="8" xfId="0" applyNumberFormat="1" applyFont="1" applyFill="1" applyBorder="1" applyProtection="1">
      <protection locked="0"/>
    </xf>
    <xf numFmtId="180" fontId="24" fillId="11" borderId="9" xfId="0" quotePrefix="1" applyNumberFormat="1" applyFont="1" applyFill="1" applyBorder="1" applyAlignment="1" applyProtection="1">
      <alignment horizontal="left"/>
      <protection locked="0"/>
    </xf>
    <xf numFmtId="180" fontId="24" fillId="11" borderId="10" xfId="0" applyNumberFormat="1" applyFont="1" applyFill="1" applyBorder="1" applyProtection="1">
      <protection locked="0"/>
    </xf>
    <xf numFmtId="180" fontId="4" fillId="11" borderId="9" xfId="0" applyNumberFormat="1" applyFont="1" applyFill="1" applyBorder="1" applyProtection="1">
      <protection locked="0"/>
    </xf>
    <xf numFmtId="180" fontId="51" fillId="16" borderId="58" xfId="0" applyNumberFormat="1" applyFont="1" applyFill="1" applyBorder="1" applyProtection="1">
      <protection locked="0"/>
    </xf>
    <xf numFmtId="180" fontId="51" fillId="16" borderId="52" xfId="0" applyNumberFormat="1" applyFont="1" applyFill="1" applyBorder="1" applyProtection="1">
      <protection locked="0"/>
    </xf>
    <xf numFmtId="180" fontId="4" fillId="11" borderId="10" xfId="0" applyNumberFormat="1" applyFont="1" applyFill="1" applyBorder="1" applyProtection="1">
      <protection locked="0"/>
    </xf>
    <xf numFmtId="180" fontId="4" fillId="17" borderId="8" xfId="0" applyNumberFormat="1" applyFont="1" applyFill="1" applyBorder="1" applyProtection="1">
      <protection locked="0"/>
    </xf>
    <xf numFmtId="180" fontId="51" fillId="16" borderId="8" xfId="0" applyNumberFormat="1" applyFont="1" applyFill="1" applyBorder="1" applyProtection="1">
      <protection locked="0"/>
    </xf>
    <xf numFmtId="0" fontId="16" fillId="0" borderId="27" xfId="0" applyFont="1" applyBorder="1" applyProtection="1">
      <protection locked="0"/>
    </xf>
    <xf numFmtId="0" fontId="0" fillId="0" borderId="11" xfId="0" applyFont="1" applyBorder="1" applyProtection="1">
      <protection locked="0"/>
    </xf>
    <xf numFmtId="0" fontId="0" fillId="0" borderId="28" xfId="0" applyFont="1" applyBorder="1" applyProtection="1">
      <protection locked="0"/>
    </xf>
    <xf numFmtId="180" fontId="24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180" fontId="0" fillId="0" borderId="19" xfId="0" applyNumberFormat="1" applyFont="1" applyBorder="1" applyProtection="1">
      <protection locked="0"/>
    </xf>
    <xf numFmtId="180" fontId="0" fillId="2" borderId="19" xfId="0" applyNumberFormat="1" applyFont="1" applyFill="1" applyBorder="1" applyProtection="1">
      <protection locked="0"/>
    </xf>
    <xf numFmtId="180" fontId="0" fillId="19" borderId="8" xfId="0" applyNumberFormat="1" applyFont="1" applyFill="1" applyBorder="1" applyProtection="1">
      <protection locked="0"/>
    </xf>
    <xf numFmtId="180" fontId="56" fillId="12" borderId="8" xfId="0" applyNumberFormat="1" applyFont="1" applyFill="1" applyBorder="1" applyProtection="1">
      <protection hidden="1"/>
    </xf>
    <xf numFmtId="177" fontId="56" fillId="12" borderId="8" xfId="0" applyNumberFormat="1" applyFont="1" applyFill="1" applyBorder="1" applyProtection="1"/>
    <xf numFmtId="180" fontId="64" fillId="12" borderId="8" xfId="0" applyNumberFormat="1" applyFont="1" applyFill="1" applyBorder="1"/>
    <xf numFmtId="177" fontId="55" fillId="12" borderId="17" xfId="0" applyNumberFormat="1" applyFont="1" applyFill="1" applyBorder="1"/>
    <xf numFmtId="180" fontId="56" fillId="12" borderId="19" xfId="0" applyNumberFormat="1" applyFont="1" applyFill="1" applyBorder="1" applyProtection="1">
      <protection hidden="1"/>
    </xf>
    <xf numFmtId="180" fontId="56" fillId="12" borderId="8" xfId="0" applyNumberFormat="1" applyFont="1" applyFill="1" applyBorder="1"/>
    <xf numFmtId="180" fontId="64" fillId="12" borderId="8" xfId="0" applyNumberFormat="1" applyFont="1" applyFill="1" applyBorder="1" applyProtection="1"/>
    <xf numFmtId="177" fontId="55" fillId="12" borderId="17" xfId="0" applyNumberFormat="1" applyFont="1" applyFill="1" applyBorder="1" applyProtection="1"/>
    <xf numFmtId="180" fontId="4" fillId="20" borderId="30" xfId="0" applyNumberFormat="1" applyFont="1" applyFill="1" applyBorder="1" applyProtection="1">
      <protection locked="0"/>
    </xf>
    <xf numFmtId="177" fontId="4" fillId="21" borderId="0" xfId="0" applyNumberFormat="1" applyFont="1" applyFill="1" applyBorder="1" applyProtection="1"/>
    <xf numFmtId="177" fontId="4" fillId="21" borderId="0" xfId="0" applyNumberFormat="1" applyFont="1" applyFill="1" applyBorder="1" applyProtection="1">
      <protection locked="0"/>
    </xf>
    <xf numFmtId="177" fontId="0" fillId="21" borderId="0" xfId="0" applyNumberFormat="1" applyFill="1" applyProtection="1"/>
    <xf numFmtId="177" fontId="0" fillId="21" borderId="0" xfId="0" applyNumberFormat="1" applyFill="1" applyProtection="1">
      <protection locked="0"/>
    </xf>
    <xf numFmtId="14" fontId="0" fillId="21" borderId="0" xfId="0" applyNumberFormat="1" applyFill="1" applyProtection="1"/>
    <xf numFmtId="177" fontId="4" fillId="21" borderId="1" xfId="0" applyNumberFormat="1" applyFont="1" applyFill="1" applyBorder="1" applyProtection="1"/>
    <xf numFmtId="179" fontId="4" fillId="21" borderId="1" xfId="0" applyNumberFormat="1" applyFont="1" applyFill="1" applyBorder="1" applyAlignment="1" applyProtection="1">
      <alignment horizontal="left"/>
    </xf>
    <xf numFmtId="179" fontId="4" fillId="21" borderId="11" xfId="0" applyNumberFormat="1" applyFont="1" applyFill="1" applyBorder="1" applyAlignment="1" applyProtection="1">
      <alignment horizontal="left"/>
    </xf>
    <xf numFmtId="177" fontId="10" fillId="21" borderId="0" xfId="0" applyNumberFormat="1" applyFont="1" applyFill="1" applyProtection="1"/>
    <xf numFmtId="177" fontId="8" fillId="21" borderId="0" xfId="0" applyNumberFormat="1" applyFont="1" applyFill="1" applyProtection="1"/>
    <xf numFmtId="177" fontId="6" fillId="0" borderId="0" xfId="0" applyNumberFormat="1" applyFont="1" applyBorder="1" applyProtection="1">
      <protection locked="0"/>
    </xf>
    <xf numFmtId="177" fontId="7" fillId="0" borderId="0" xfId="0" applyNumberFormat="1" applyFont="1" applyProtection="1">
      <protection locked="0" hidden="1"/>
    </xf>
    <xf numFmtId="177" fontId="6" fillId="0" borderId="0" xfId="0" applyNumberFormat="1" applyFont="1" applyProtection="1">
      <protection locked="0" hidden="1"/>
    </xf>
    <xf numFmtId="0" fontId="4" fillId="0" borderId="4" xfId="0" applyFont="1" applyBorder="1" applyProtection="1">
      <protection locked="0"/>
    </xf>
    <xf numFmtId="0" fontId="43" fillId="0" borderId="0" xfId="0" applyFont="1"/>
    <xf numFmtId="0" fontId="44" fillId="0" borderId="0" xfId="0" applyFont="1"/>
    <xf numFmtId="0" fontId="42" fillId="0" borderId="0" xfId="0" applyFont="1"/>
    <xf numFmtId="0" fontId="43" fillId="0" borderId="0" xfId="0" applyFont="1" applyBorder="1"/>
    <xf numFmtId="0" fontId="4" fillId="0" borderId="3" xfId="0" applyFont="1" applyBorder="1" applyAlignment="1" applyProtection="1">
      <alignment horizontal="left"/>
      <protection locked="0"/>
    </xf>
    <xf numFmtId="0" fontId="0" fillId="0" borderId="1" xfId="0" applyFont="1" applyBorder="1" applyProtection="1">
      <protection locked="0"/>
    </xf>
    <xf numFmtId="0" fontId="0" fillId="19" borderId="0" xfId="0" applyFill="1"/>
    <xf numFmtId="0" fontId="53" fillId="0" borderId="0" xfId="0" applyFont="1"/>
    <xf numFmtId="0" fontId="66" fillId="0" borderId="50" xfId="0" applyFont="1" applyBorder="1"/>
    <xf numFmtId="0" fontId="66" fillId="0" borderId="50" xfId="0" applyFont="1" applyBorder="1" applyAlignment="1">
      <alignment horizontal="center"/>
    </xf>
    <xf numFmtId="0" fontId="67" fillId="0" borderId="0" xfId="0" applyFont="1"/>
    <xf numFmtId="0" fontId="41" fillId="0" borderId="52" xfId="0" applyFont="1" applyBorder="1"/>
    <xf numFmtId="0" fontId="66" fillId="0" borderId="48" xfId="0" applyFont="1" applyBorder="1"/>
    <xf numFmtId="0" fontId="67" fillId="0" borderId="48" xfId="0" applyFont="1" applyBorder="1" applyAlignment="1">
      <alignment horizontal="center"/>
    </xf>
    <xf numFmtId="0" fontId="66" fillId="0" borderId="48" xfId="0" applyFont="1" applyBorder="1" applyAlignment="1">
      <alignment horizontal="center"/>
    </xf>
    <xf numFmtId="0" fontId="66" fillId="0" borderId="54" xfId="0" applyFont="1" applyBorder="1"/>
    <xf numFmtId="0" fontId="66" fillId="0" borderId="54" xfId="0" applyFont="1" applyBorder="1" applyAlignment="1">
      <alignment horizontal="center"/>
    </xf>
    <xf numFmtId="0" fontId="46" fillId="0" borderId="16" xfId="0" applyFont="1" applyBorder="1"/>
    <xf numFmtId="0" fontId="66" fillId="0" borderId="51" xfId="0" applyFont="1" applyBorder="1"/>
    <xf numFmtId="183" fontId="66" fillId="0" borderId="51" xfId="0" applyNumberFormat="1" applyFont="1" applyBorder="1" applyAlignment="1">
      <alignment horizontal="center"/>
    </xf>
    <xf numFmtId="183" fontId="66" fillId="0" borderId="48" xfId="0" applyNumberFormat="1" applyFont="1" applyBorder="1" applyAlignment="1">
      <alignment horizontal="center"/>
    </xf>
    <xf numFmtId="0" fontId="62" fillId="0" borderId="50" xfId="0" applyFont="1" applyBorder="1" applyAlignment="1">
      <alignment horizontal="center"/>
    </xf>
    <xf numFmtId="183" fontId="62" fillId="0" borderId="50" xfId="0" applyNumberFormat="1" applyFont="1" applyBorder="1" applyAlignment="1">
      <alignment horizontal="center"/>
    </xf>
    <xf numFmtId="0" fontId="41" fillId="0" borderId="16" xfId="0" applyFont="1" applyFill="1" applyBorder="1" applyAlignment="1">
      <alignment horizontal="center"/>
    </xf>
    <xf numFmtId="0" fontId="44" fillId="0" borderId="50" xfId="0" applyFont="1" applyFill="1" applyBorder="1"/>
    <xf numFmtId="0" fontId="0" fillId="0" borderId="50" xfId="0" applyFill="1" applyBorder="1" applyAlignment="1">
      <alignment horizontal="center"/>
    </xf>
    <xf numFmtId="183" fontId="67" fillId="0" borderId="53" xfId="0" applyNumberFormat="1" applyFont="1" applyFill="1" applyBorder="1" applyAlignment="1">
      <alignment horizontal="center"/>
    </xf>
    <xf numFmtId="0" fontId="43" fillId="0" borderId="0" xfId="0" applyFont="1" applyFill="1"/>
    <xf numFmtId="0" fontId="43" fillId="0" borderId="50" xfId="0" applyFont="1" applyFill="1" applyBorder="1" applyAlignment="1">
      <alignment horizontal="center"/>
    </xf>
    <xf numFmtId="183" fontId="67" fillId="0" borderId="51" xfId="0" applyNumberFormat="1" applyFont="1" applyFill="1" applyBorder="1" applyAlignment="1">
      <alignment horizontal="center"/>
    </xf>
    <xf numFmtId="0" fontId="41" fillId="0" borderId="47" xfId="0" applyFont="1" applyFill="1" applyBorder="1" applyAlignment="1">
      <alignment horizontal="center"/>
    </xf>
    <xf numFmtId="0" fontId="47" fillId="0" borderId="54" xfId="0" applyFont="1" applyFill="1" applyBorder="1" applyAlignment="1">
      <alignment horizontal="center"/>
    </xf>
    <xf numFmtId="0" fontId="47" fillId="0" borderId="50" xfId="0" applyFont="1" applyFill="1" applyBorder="1" applyAlignment="1">
      <alignment horizontal="center"/>
    </xf>
    <xf numFmtId="0" fontId="47" fillId="0" borderId="49" xfId="0" applyFont="1" applyFill="1" applyBorder="1" applyAlignment="1">
      <alignment horizontal="center"/>
    </xf>
    <xf numFmtId="0" fontId="44" fillId="0" borderId="50" xfId="0" applyFont="1" applyFill="1" applyBorder="1" applyAlignment="1">
      <alignment horizontal="center"/>
    </xf>
    <xf numFmtId="0" fontId="44" fillId="0" borderId="51" xfId="0" applyFont="1" applyFill="1" applyBorder="1" applyAlignment="1">
      <alignment horizontal="center"/>
    </xf>
    <xf numFmtId="0" fontId="42" fillId="0" borderId="50" xfId="0" applyFont="1" applyFill="1" applyBorder="1" applyAlignment="1">
      <alignment horizontal="center"/>
    </xf>
    <xf numFmtId="0" fontId="67" fillId="0" borderId="49" xfId="0" applyFont="1" applyFill="1" applyBorder="1" applyAlignment="1">
      <alignment horizontal="center"/>
    </xf>
    <xf numFmtId="183" fontId="67" fillId="0" borderId="49" xfId="0" applyNumberFormat="1" applyFont="1" applyFill="1" applyBorder="1" applyAlignment="1">
      <alignment horizontal="center"/>
    </xf>
    <xf numFmtId="0" fontId="67" fillId="0" borderId="51" xfId="0" applyFont="1" applyFill="1" applyBorder="1" applyAlignment="1">
      <alignment horizontal="center"/>
    </xf>
    <xf numFmtId="182" fontId="67" fillId="0" borderId="53" xfId="0" applyNumberFormat="1" applyFont="1" applyFill="1" applyBorder="1" applyAlignment="1">
      <alignment horizontal="center"/>
    </xf>
    <xf numFmtId="0" fontId="67" fillId="0" borderId="66" xfId="0" applyFont="1" applyFill="1" applyBorder="1" applyAlignment="1">
      <alignment horizontal="center"/>
    </xf>
    <xf numFmtId="0" fontId="67" fillId="0" borderId="50" xfId="0" applyFont="1" applyFill="1" applyBorder="1" applyAlignment="1">
      <alignment horizontal="center"/>
    </xf>
    <xf numFmtId="180" fontId="69" fillId="18" borderId="41" xfId="3" applyNumberFormat="1" applyFont="1" applyBorder="1" applyProtection="1">
      <protection locked="0"/>
    </xf>
    <xf numFmtId="180" fontId="61" fillId="0" borderId="0" xfId="0" applyNumberFormat="1" applyFont="1" applyFill="1" applyBorder="1" applyProtection="1">
      <protection locked="0"/>
    </xf>
    <xf numFmtId="180" fontId="70" fillId="0" borderId="8" xfId="0" applyNumberFormat="1" applyFont="1" applyBorder="1" applyProtection="1">
      <protection locked="0"/>
    </xf>
    <xf numFmtId="180" fontId="61" fillId="0" borderId="0" xfId="0" applyNumberFormat="1" applyFont="1" applyProtection="1">
      <protection locked="0"/>
    </xf>
    <xf numFmtId="180" fontId="8" fillId="2" borderId="8" xfId="0" applyNumberFormat="1" applyFont="1" applyFill="1" applyBorder="1" applyProtection="1">
      <protection locked="0"/>
    </xf>
    <xf numFmtId="180" fontId="0" fillId="0" borderId="0" xfId="0" applyNumberFormat="1" applyFont="1" applyFill="1" applyProtection="1">
      <protection locked="0"/>
    </xf>
    <xf numFmtId="0" fontId="0" fillId="0" borderId="0" xfId="0" applyFill="1"/>
    <xf numFmtId="0" fontId="0" fillId="0" borderId="0" xfId="0"/>
    <xf numFmtId="0" fontId="0" fillId="0" borderId="0" xfId="0" applyNumberFormat="1"/>
    <xf numFmtId="180" fontId="0" fillId="15" borderId="41" xfId="0" applyNumberFormat="1" applyFont="1" applyFill="1" applyBorder="1" applyProtection="1">
      <protection locked="0"/>
    </xf>
    <xf numFmtId="180" fontId="72" fillId="15" borderId="41" xfId="0" applyNumberFormat="1" applyFont="1" applyFill="1" applyBorder="1" applyProtection="1">
      <protection locked="0"/>
    </xf>
    <xf numFmtId="180" fontId="0" fillId="15" borderId="41" xfId="0" quotePrefix="1" applyNumberFormat="1" applyFont="1" applyFill="1" applyBorder="1" applyProtection="1">
      <protection locked="0"/>
    </xf>
    <xf numFmtId="180" fontId="73" fillId="15" borderId="41" xfId="0" applyNumberFormat="1" applyFont="1" applyFill="1" applyBorder="1" applyProtection="1">
      <protection locked="0"/>
    </xf>
    <xf numFmtId="180" fontId="74" fillId="15" borderId="41" xfId="0" applyNumberFormat="1" applyFont="1" applyFill="1" applyBorder="1" applyProtection="1">
      <protection locked="0"/>
    </xf>
    <xf numFmtId="0" fontId="0" fillId="0" borderId="0" xfId="0" applyFill="1" applyBorder="1"/>
    <xf numFmtId="180" fontId="77" fillId="0" borderId="8" xfId="0" applyNumberFormat="1" applyFont="1" applyBorder="1" applyProtection="1">
      <protection locked="0"/>
    </xf>
    <xf numFmtId="180" fontId="79" fillId="0" borderId="0" xfId="0" applyNumberFormat="1" applyFont="1" applyFill="1" applyProtection="1">
      <protection locked="0"/>
    </xf>
    <xf numFmtId="180" fontId="79" fillId="2" borderId="8" xfId="0" applyNumberFormat="1" applyFont="1" applyFill="1" applyBorder="1" applyProtection="1">
      <protection locked="0"/>
    </xf>
    <xf numFmtId="180" fontId="79" fillId="14" borderId="8" xfId="0" applyNumberFormat="1" applyFont="1" applyFill="1" applyBorder="1" applyProtection="1">
      <protection locked="0"/>
    </xf>
    <xf numFmtId="180" fontId="79" fillId="13" borderId="8" xfId="0" applyNumberFormat="1" applyFont="1" applyFill="1" applyBorder="1" applyProtection="1">
      <protection locked="0"/>
    </xf>
    <xf numFmtId="180" fontId="79" fillId="0" borderId="8" xfId="0" applyNumberFormat="1" applyFont="1" applyBorder="1" applyProtection="1">
      <protection locked="0"/>
    </xf>
    <xf numFmtId="0" fontId="42" fillId="0" borderId="8" xfId="0" applyFont="1" applyBorder="1"/>
    <xf numFmtId="0" fontId="67" fillId="0" borderId="0" xfId="0" applyFont="1" applyBorder="1"/>
    <xf numFmtId="0" fontId="67" fillId="19" borderId="0" xfId="0" applyFont="1" applyFill="1"/>
    <xf numFmtId="0" fontId="0" fillId="0" borderId="0" xfId="0" applyBorder="1"/>
    <xf numFmtId="0" fontId="42" fillId="0" borderId="0" xfId="0" applyFont="1" applyBorder="1"/>
    <xf numFmtId="0" fontId="66" fillId="0" borderId="0" xfId="0" applyFont="1"/>
    <xf numFmtId="0" fontId="66" fillId="0" borderId="66" xfId="0" applyFont="1" applyBorder="1"/>
    <xf numFmtId="183" fontId="66" fillId="0" borderId="66" xfId="0" applyNumberFormat="1" applyFont="1" applyBorder="1" applyAlignment="1">
      <alignment horizontal="center"/>
    </xf>
    <xf numFmtId="0" fontId="66" fillId="0" borderId="51" xfId="0" applyFont="1" applyBorder="1" applyAlignment="1">
      <alignment horizontal="center"/>
    </xf>
    <xf numFmtId="0" fontId="66" fillId="0" borderId="66" xfId="0" applyFont="1" applyBorder="1" applyAlignment="1">
      <alignment horizontal="center"/>
    </xf>
    <xf numFmtId="182" fontId="66" fillId="0" borderId="66" xfId="0" applyNumberFormat="1" applyFont="1" applyBorder="1" applyAlignment="1">
      <alignment horizontal="center"/>
    </xf>
    <xf numFmtId="0" fontId="66" fillId="0" borderId="0" xfId="0" applyFont="1" applyBorder="1"/>
    <xf numFmtId="0" fontId="66" fillId="0" borderId="8" xfId="0" applyFont="1" applyBorder="1"/>
    <xf numFmtId="0" fontId="67" fillId="0" borderId="70" xfId="0" applyFont="1" applyBorder="1"/>
    <xf numFmtId="0" fontId="67" fillId="0" borderId="70" xfId="0" applyFont="1" applyBorder="1" applyAlignment="1">
      <alignment horizontal="center"/>
    </xf>
    <xf numFmtId="0" fontId="66" fillId="0" borderId="0" xfId="0" applyFont="1" applyBorder="1" applyAlignment="1">
      <alignment horizontal="center"/>
    </xf>
    <xf numFmtId="180" fontId="80" fillId="2" borderId="8" xfId="0" applyNumberFormat="1" applyFont="1" applyFill="1" applyBorder="1" applyProtection="1">
      <protection locked="0"/>
    </xf>
    <xf numFmtId="180" fontId="79" fillId="0" borderId="0" xfId="0" applyNumberFormat="1" applyFont="1" applyProtection="1">
      <protection locked="0"/>
    </xf>
    <xf numFmtId="180" fontId="79" fillId="0" borderId="0" xfId="0" applyNumberFormat="1" applyFont="1" applyFill="1" applyBorder="1" applyProtection="1">
      <protection locked="0"/>
    </xf>
    <xf numFmtId="180" fontId="79" fillId="0" borderId="7" xfId="0" applyNumberFormat="1" applyFont="1" applyFill="1" applyBorder="1" applyProtection="1">
      <protection locked="0"/>
    </xf>
    <xf numFmtId="180" fontId="59" fillId="0" borderId="0" xfId="0" applyNumberFormat="1" applyFont="1" applyFill="1" applyProtection="1">
      <protection locked="0"/>
    </xf>
    <xf numFmtId="180" fontId="81" fillId="0" borderId="0" xfId="0" applyNumberFormat="1" applyFont="1" applyFill="1" applyBorder="1" applyProtection="1">
      <protection locked="0"/>
    </xf>
    <xf numFmtId="180" fontId="78" fillId="0" borderId="0" xfId="0" applyNumberFormat="1" applyFont="1" applyFill="1" applyBorder="1" applyProtection="1">
      <protection locked="0"/>
    </xf>
    <xf numFmtId="180" fontId="77" fillId="0" borderId="0" xfId="0" applyNumberFormat="1" applyFont="1" applyFill="1" applyBorder="1" applyProtection="1">
      <protection locked="0"/>
    </xf>
    <xf numFmtId="180" fontId="82" fillId="0" borderId="0" xfId="0" applyNumberFormat="1" applyFont="1" applyProtection="1">
      <protection locked="0"/>
    </xf>
    <xf numFmtId="180" fontId="83" fillId="0" borderId="8" xfId="0" applyNumberFormat="1" applyFont="1" applyBorder="1" applyProtection="1">
      <protection locked="0"/>
    </xf>
    <xf numFmtId="180" fontId="0" fillId="0" borderId="0" xfId="0" applyNumberFormat="1" applyFont="1" applyFill="1" applyBorder="1" applyProtection="1">
      <protection locked="0"/>
    </xf>
    <xf numFmtId="180" fontId="8" fillId="0" borderId="0" xfId="0" applyNumberFormat="1" applyFont="1" applyFill="1" applyBorder="1" applyProtection="1">
      <protection locked="0"/>
    </xf>
    <xf numFmtId="0" fontId="0" fillId="0" borderId="0" xfId="0"/>
    <xf numFmtId="180" fontId="4" fillId="0" borderId="0" xfId="0" applyNumberFormat="1" applyFont="1" applyFill="1" applyBorder="1" applyProtection="1">
      <protection locked="0"/>
    </xf>
    <xf numFmtId="0" fontId="0" fillId="0" borderId="0" xfId="0"/>
    <xf numFmtId="0" fontId="0" fillId="0" borderId="0" xfId="0"/>
    <xf numFmtId="0" fontId="67" fillId="0" borderId="8" xfId="0" applyFont="1" applyBorder="1" applyAlignment="1">
      <alignment horizontal="center"/>
    </xf>
    <xf numFmtId="0" fontId="0" fillId="0" borderId="8" xfId="0" applyBorder="1"/>
    <xf numFmtId="183" fontId="66" fillId="0" borderId="8" xfId="0" applyNumberFormat="1" applyFont="1" applyBorder="1" applyAlignment="1">
      <alignment horizontal="center"/>
    </xf>
    <xf numFmtId="0" fontId="67" fillId="0" borderId="8" xfId="0" applyFont="1" applyBorder="1"/>
    <xf numFmtId="0" fontId="62" fillId="0" borderId="16" xfId="0" applyFont="1" applyBorder="1"/>
    <xf numFmtId="0" fontId="66" fillId="0" borderId="50" xfId="0" applyFont="1" applyBorder="1" applyAlignment="1">
      <alignment horizontal="left"/>
    </xf>
    <xf numFmtId="0" fontId="44" fillId="0" borderId="48" xfId="0" applyFont="1" applyFill="1" applyBorder="1"/>
    <xf numFmtId="0" fontId="0" fillId="0" borderId="0" xfId="0"/>
    <xf numFmtId="0" fontId="86" fillId="0" borderId="0" xfId="0" applyFont="1"/>
    <xf numFmtId="0" fontId="87" fillId="0" borderId="8" xfId="0" applyFont="1" applyBorder="1" applyAlignment="1">
      <alignment horizontal="center" vertical="center" wrapText="1"/>
    </xf>
    <xf numFmtId="0" fontId="87" fillId="0" borderId="8" xfId="0" applyFont="1" applyBorder="1"/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wrapText="1"/>
    </xf>
    <xf numFmtId="0" fontId="0" fillId="0" borderId="17" xfId="0" applyBorder="1" applyAlignment="1">
      <alignment wrapText="1"/>
    </xf>
    <xf numFmtId="0" fontId="0" fillId="0" borderId="17" xfId="0" applyBorder="1"/>
    <xf numFmtId="0" fontId="0" fillId="0" borderId="19" xfId="0" applyBorder="1" applyAlignment="1">
      <alignment horizontal="center" wrapText="1"/>
    </xf>
    <xf numFmtId="0" fontId="0" fillId="0" borderId="19" xfId="0" applyFont="1" applyBorder="1" applyAlignment="1">
      <alignment wrapText="1"/>
    </xf>
    <xf numFmtId="0" fontId="87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3" fontId="90" fillId="0" borderId="8" xfId="0" applyNumberFormat="1" applyFont="1" applyBorder="1"/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wrapText="1"/>
    </xf>
    <xf numFmtId="0" fontId="87" fillId="0" borderId="8" xfId="0" applyFont="1" applyFill="1" applyBorder="1" applyAlignment="1">
      <alignment horizontal="center" vertical="center"/>
    </xf>
    <xf numFmtId="3" fontId="90" fillId="0" borderId="8" xfId="0" applyNumberFormat="1" applyFont="1" applyBorder="1" applyAlignment="1">
      <alignment horizontal="center"/>
    </xf>
    <xf numFmtId="16" fontId="0" fillId="0" borderId="8" xfId="0" applyNumberFormat="1" applyBorder="1" applyAlignment="1">
      <alignment horizontal="center" wrapText="1"/>
    </xf>
    <xf numFmtId="0" fontId="0" fillId="0" borderId="8" xfId="0" applyFill="1" applyBorder="1" applyAlignment="1">
      <alignment horizontal="center" vertical="center"/>
    </xf>
    <xf numFmtId="0" fontId="90" fillId="0" borderId="8" xfId="0" applyFont="1" applyBorder="1" applyAlignment="1">
      <alignment horizontal="center" vertical="center"/>
    </xf>
    <xf numFmtId="0" fontId="93" fillId="0" borderId="0" xfId="0" applyFont="1"/>
    <xf numFmtId="0" fontId="46" fillId="0" borderId="0" xfId="0" applyFont="1" applyBorder="1"/>
    <xf numFmtId="0" fontId="41" fillId="0" borderId="47" xfId="0" applyFont="1" applyBorder="1"/>
    <xf numFmtId="0" fontId="66" fillId="0" borderId="53" xfId="0" applyFont="1" applyBorder="1"/>
    <xf numFmtId="0" fontId="0" fillId="0" borderId="11" xfId="0" applyBorder="1"/>
    <xf numFmtId="0" fontId="66" fillId="0" borderId="54" xfId="0" applyFont="1" applyBorder="1" applyAlignment="1"/>
    <xf numFmtId="183" fontId="66" fillId="0" borderId="51" xfId="0" applyNumberFormat="1" applyFont="1" applyBorder="1" applyAlignment="1"/>
    <xf numFmtId="183" fontId="66" fillId="0" borderId="53" xfId="0" applyNumberFormat="1" applyFont="1" applyBorder="1" applyAlignment="1"/>
    <xf numFmtId="0" fontId="66" fillId="0" borderId="16" xfId="0" applyFont="1" applyBorder="1"/>
    <xf numFmtId="0" fontId="66" fillId="0" borderId="16" xfId="0" applyFont="1" applyBorder="1" applyAlignment="1"/>
    <xf numFmtId="0" fontId="0" fillId="0" borderId="62" xfId="0" applyBorder="1"/>
    <xf numFmtId="0" fontId="0" fillId="0" borderId="0" xfId="0" applyBorder="1" applyAlignment="1"/>
    <xf numFmtId="0" fontId="41" fillId="0" borderId="47" xfId="0" applyFont="1" applyBorder="1" applyAlignment="1"/>
    <xf numFmtId="183" fontId="66" fillId="0" borderId="66" xfId="0" applyNumberFormat="1" applyFont="1" applyBorder="1" applyAlignment="1"/>
    <xf numFmtId="183" fontId="66" fillId="0" borderId="0" xfId="0" applyNumberFormat="1" applyFont="1" applyBorder="1" applyAlignment="1"/>
    <xf numFmtId="0" fontId="94" fillId="0" borderId="0" xfId="0" applyFont="1" applyBorder="1"/>
    <xf numFmtId="180" fontId="95" fillId="2" borderId="8" xfId="0" applyNumberFormat="1" applyFont="1" applyFill="1" applyBorder="1" applyProtection="1">
      <protection locked="0"/>
    </xf>
    <xf numFmtId="180" fontId="74" fillId="0" borderId="8" xfId="0" applyNumberFormat="1" applyFont="1" applyBorder="1" applyProtection="1">
      <protection locked="0"/>
    </xf>
    <xf numFmtId="180" fontId="74" fillId="2" borderId="8" xfId="0" applyNumberFormat="1" applyFont="1" applyFill="1" applyBorder="1" applyProtection="1">
      <protection locked="0"/>
    </xf>
    <xf numFmtId="180" fontId="74" fillId="14" borderId="8" xfId="0" applyNumberFormat="1" applyFont="1" applyFill="1" applyBorder="1" applyProtection="1">
      <protection locked="0"/>
    </xf>
    <xf numFmtId="180" fontId="74" fillId="13" borderId="8" xfId="0" applyNumberFormat="1" applyFont="1" applyFill="1" applyBorder="1" applyProtection="1">
      <protection locked="0"/>
    </xf>
    <xf numFmtId="180" fontId="74" fillId="0" borderId="0" xfId="0" applyNumberFormat="1" applyFont="1" applyFill="1" applyProtection="1">
      <protection locked="0"/>
    </xf>
    <xf numFmtId="180" fontId="97" fillId="0" borderId="0" xfId="0" applyNumberFormat="1" applyFont="1" applyFill="1" applyProtection="1">
      <protection locked="0"/>
    </xf>
    <xf numFmtId="0" fontId="0" fillId="0" borderId="0" xfId="0"/>
    <xf numFmtId="0" fontId="0" fillId="0" borderId="0" xfId="0"/>
    <xf numFmtId="0" fontId="100" fillId="0" borderId="0" xfId="0" applyFont="1"/>
    <xf numFmtId="0" fontId="54" fillId="18" borderId="8" xfId="3" applyBorder="1"/>
    <xf numFmtId="182" fontId="0" fillId="0" borderId="8" xfId="0" applyNumberFormat="1" applyBorder="1"/>
    <xf numFmtId="183" fontId="0" fillId="0" borderId="8" xfId="0" applyNumberFormat="1" applyBorder="1"/>
    <xf numFmtId="182" fontId="101" fillId="27" borderId="8" xfId="7" applyNumberFormat="1" applyBorder="1"/>
    <xf numFmtId="0" fontId="101" fillId="27" borderId="8" xfId="7" applyBorder="1"/>
    <xf numFmtId="0" fontId="0" fillId="0" borderId="0" xfId="0"/>
    <xf numFmtId="0" fontId="102" fillId="0" borderId="0" xfId="0" applyFont="1"/>
    <xf numFmtId="0" fontId="54" fillId="18" borderId="0" xfId="3"/>
    <xf numFmtId="182" fontId="54" fillId="18" borderId="8" xfId="3" applyNumberFormat="1" applyBorder="1"/>
    <xf numFmtId="0" fontId="54" fillId="18" borderId="50" xfId="3" applyBorder="1"/>
    <xf numFmtId="0" fontId="54" fillId="18" borderId="50" xfId="3" applyBorder="1" applyAlignment="1">
      <alignment horizontal="left"/>
    </xf>
    <xf numFmtId="0" fontId="54" fillId="18" borderId="48" xfId="3" applyBorder="1"/>
    <xf numFmtId="0" fontId="42" fillId="0" borderId="0" xfId="0" applyFont="1" applyAlignment="1">
      <alignment horizontal="center"/>
    </xf>
    <xf numFmtId="0" fontId="41" fillId="0" borderId="48" xfId="0" applyFont="1" applyBorder="1"/>
    <xf numFmtId="183" fontId="41" fillId="0" borderId="48" xfId="0" applyNumberFormat="1" applyFont="1" applyBorder="1" applyAlignment="1">
      <alignment horizontal="center"/>
    </xf>
    <xf numFmtId="0" fontId="41" fillId="0" borderId="0" xfId="0" applyFont="1"/>
    <xf numFmtId="0" fontId="41" fillId="0" borderId="51" xfId="0" applyFont="1" applyBorder="1"/>
    <xf numFmtId="182" fontId="41" fillId="0" borderId="51" xfId="0" applyNumberFormat="1" applyFont="1" applyBorder="1" applyAlignment="1">
      <alignment horizontal="center"/>
    </xf>
    <xf numFmtId="0" fontId="41" fillId="0" borderId="51" xfId="0" applyFont="1" applyBorder="1" applyAlignment="1">
      <alignment horizontal="center"/>
    </xf>
    <xf numFmtId="0" fontId="62" fillId="0" borderId="48" xfId="0" applyFont="1" applyBorder="1"/>
    <xf numFmtId="0" fontId="41" fillId="0" borderId="48" xfId="0" applyFont="1" applyBorder="1" applyAlignment="1">
      <alignment horizontal="center"/>
    </xf>
    <xf numFmtId="0" fontId="0" fillId="0" borderId="48" xfId="0" applyBorder="1"/>
    <xf numFmtId="0" fontId="42" fillId="0" borderId="48" xfId="0" applyFont="1" applyBorder="1"/>
    <xf numFmtId="183" fontId="67" fillId="0" borderId="48" xfId="0" applyNumberFormat="1" applyFont="1" applyBorder="1" applyAlignment="1">
      <alignment horizontal="center"/>
    </xf>
    <xf numFmtId="0" fontId="41" fillId="0" borderId="50" xfId="0" applyFont="1" applyBorder="1"/>
    <xf numFmtId="183" fontId="41" fillId="0" borderId="51" xfId="0" applyNumberFormat="1" applyFont="1" applyBorder="1" applyAlignment="1">
      <alignment horizontal="center"/>
    </xf>
    <xf numFmtId="0" fontId="41" fillId="0" borderId="50" xfId="0" applyFont="1" applyBorder="1" applyAlignment="1">
      <alignment horizontal="center"/>
    </xf>
    <xf numFmtId="182" fontId="41" fillId="0" borderId="48" xfId="0" applyNumberFormat="1" applyFont="1" applyBorder="1" applyAlignment="1">
      <alignment horizontal="center"/>
    </xf>
    <xf numFmtId="0" fontId="41" fillId="0" borderId="16" xfId="0" applyFont="1" applyBorder="1" applyAlignment="1"/>
    <xf numFmtId="183" fontId="105" fillId="0" borderId="51" xfId="3" applyNumberFormat="1" applyFont="1" applyFill="1" applyBorder="1" applyAlignment="1"/>
    <xf numFmtId="0" fontId="68" fillId="0" borderId="16" xfId="0" applyFont="1" applyBorder="1" applyAlignment="1"/>
    <xf numFmtId="183" fontId="68" fillId="0" borderId="51" xfId="0" applyNumberFormat="1" applyFont="1" applyBorder="1" applyAlignment="1"/>
    <xf numFmtId="0" fontId="96" fillId="0" borderId="0" xfId="0" applyFont="1" applyBorder="1"/>
    <xf numFmtId="183" fontId="68" fillId="0" borderId="66" xfId="0" applyNumberFormat="1" applyFont="1" applyBorder="1" applyAlignment="1"/>
    <xf numFmtId="0" fontId="68" fillId="0" borderId="51" xfId="0" applyFont="1" applyBorder="1"/>
    <xf numFmtId="0" fontId="68" fillId="0" borderId="66" xfId="0" applyFont="1" applyBorder="1"/>
    <xf numFmtId="0" fontId="68" fillId="0" borderId="48" xfId="0" applyFont="1" applyFill="1" applyBorder="1"/>
    <xf numFmtId="0" fontId="0" fillId="0" borderId="2" xfId="0" applyFont="1" applyBorder="1" applyProtection="1">
      <protection locked="0"/>
    </xf>
    <xf numFmtId="0" fontId="0" fillId="2" borderId="3" xfId="0" applyFont="1" applyFill="1" applyBorder="1" applyProtection="1">
      <protection locked="0"/>
    </xf>
    <xf numFmtId="0" fontId="0" fillId="0" borderId="3" xfId="0" applyFont="1" applyBorder="1" applyProtection="1">
      <protection locked="0"/>
    </xf>
    <xf numFmtId="0" fontId="0" fillId="0" borderId="3" xfId="0" applyFont="1" applyBorder="1" applyAlignment="1" applyProtection="1">
      <alignment horizontal="left"/>
      <protection locked="0"/>
    </xf>
    <xf numFmtId="0" fontId="0" fillId="0" borderId="4" xfId="0" applyFont="1" applyBorder="1" applyProtection="1">
      <protection locked="0"/>
    </xf>
    <xf numFmtId="0" fontId="0" fillId="0" borderId="5" xfId="0" applyFont="1" applyBorder="1" applyProtection="1">
      <protection locked="0"/>
    </xf>
    <xf numFmtId="0" fontId="0" fillId="0" borderId="5" xfId="0" applyFont="1" applyBorder="1" applyAlignment="1" applyProtection="1">
      <alignment horizontal="left"/>
      <protection locked="0"/>
    </xf>
    <xf numFmtId="0" fontId="0" fillId="0" borderId="7" xfId="0" applyFont="1" applyBorder="1" applyAlignment="1" applyProtection="1">
      <alignment horizontal="left"/>
      <protection locked="0"/>
    </xf>
    <xf numFmtId="0" fontId="0" fillId="0" borderId="3" xfId="0" quotePrefix="1" applyFont="1" applyBorder="1" applyAlignment="1" applyProtection="1">
      <alignment horizontal="left"/>
      <protection locked="0"/>
    </xf>
    <xf numFmtId="0" fontId="106" fillId="0" borderId="0" xfId="8"/>
    <xf numFmtId="183" fontId="42" fillId="0" borderId="17" xfId="8" applyNumberFormat="1" applyFont="1" applyBorder="1" applyAlignment="1">
      <alignment horizontal="center"/>
    </xf>
    <xf numFmtId="182" fontId="67" fillId="0" borderId="28" xfId="8" applyNumberFormat="1" applyFont="1" applyBorder="1" applyAlignment="1">
      <alignment horizontal="center"/>
    </xf>
    <xf numFmtId="0" fontId="42" fillId="0" borderId="44" xfId="8" applyFont="1" applyBorder="1"/>
    <xf numFmtId="183" fontId="42" fillId="19" borderId="17" xfId="8" applyNumberFormat="1" applyFont="1" applyFill="1" applyBorder="1" applyAlignment="1">
      <alignment horizontal="center"/>
    </xf>
    <xf numFmtId="0" fontId="106" fillId="0" borderId="0" xfId="8" applyBorder="1"/>
    <xf numFmtId="183" fontId="42" fillId="0" borderId="42" xfId="8" applyNumberFormat="1" applyFont="1" applyBorder="1" applyAlignment="1">
      <alignment horizontal="center"/>
    </xf>
    <xf numFmtId="0" fontId="43" fillId="0" borderId="65" xfId="8" applyFont="1" applyBorder="1"/>
    <xf numFmtId="183" fontId="42" fillId="0" borderId="69" xfId="8" applyNumberFormat="1" applyFont="1" applyBorder="1" applyAlignment="1">
      <alignment horizontal="center"/>
    </xf>
    <xf numFmtId="0" fontId="67" fillId="0" borderId="32" xfId="8" applyFont="1" applyBorder="1" applyAlignment="1">
      <alignment horizontal="center"/>
    </xf>
    <xf numFmtId="0" fontId="43" fillId="0" borderId="39" xfId="8" applyFont="1" applyBorder="1"/>
    <xf numFmtId="0" fontId="42" fillId="0" borderId="0" xfId="8" applyFont="1" applyAlignment="1">
      <alignment horizontal="center"/>
    </xf>
    <xf numFmtId="183" fontId="42" fillId="28" borderId="68" xfId="8" applyNumberFormat="1" applyFont="1" applyFill="1" applyBorder="1" applyAlignment="1">
      <alignment horizontal="center"/>
    </xf>
    <xf numFmtId="0" fontId="42" fillId="0" borderId="17" xfId="8" applyFont="1" applyBorder="1"/>
    <xf numFmtId="183" fontId="42" fillId="0" borderId="18" xfId="8" applyNumberFormat="1" applyFont="1" applyBorder="1" applyAlignment="1">
      <alignment horizontal="center"/>
    </xf>
    <xf numFmtId="0" fontId="42" fillId="0" borderId="6" xfId="8" applyFont="1" applyBorder="1" applyAlignment="1">
      <alignment horizontal="center"/>
    </xf>
    <xf numFmtId="0" fontId="42" fillId="0" borderId="18" xfId="8" applyFont="1" applyBorder="1"/>
    <xf numFmtId="0" fontId="42" fillId="0" borderId="4" xfId="8" applyFont="1" applyBorder="1" applyAlignment="1">
      <alignment horizontal="center"/>
    </xf>
    <xf numFmtId="0" fontId="65" fillId="0" borderId="40" xfId="8" applyFont="1" applyBorder="1"/>
    <xf numFmtId="183" fontId="42" fillId="19" borderId="18" xfId="8" applyNumberFormat="1" applyFont="1" applyFill="1" applyBorder="1" applyAlignment="1">
      <alignment horizontal="center"/>
    </xf>
    <xf numFmtId="183" fontId="42" fillId="28" borderId="2" xfId="8" applyNumberFormat="1" applyFont="1" applyFill="1" applyBorder="1" applyAlignment="1">
      <alignment horizontal="center"/>
    </xf>
    <xf numFmtId="183" fontId="42" fillId="28" borderId="5" xfId="8" applyNumberFormat="1" applyFont="1" applyFill="1" applyBorder="1" applyAlignment="1">
      <alignment horizontal="center"/>
    </xf>
    <xf numFmtId="182" fontId="67" fillId="29" borderId="32" xfId="8" applyNumberFormat="1" applyFont="1" applyFill="1" applyBorder="1" applyAlignment="1">
      <alignment horizontal="center"/>
    </xf>
    <xf numFmtId="183" fontId="42" fillId="28" borderId="42" xfId="8" applyNumberFormat="1" applyFont="1" applyFill="1" applyBorder="1" applyAlignment="1">
      <alignment horizontal="center"/>
    </xf>
    <xf numFmtId="0" fontId="42" fillId="29" borderId="17" xfId="8" applyFont="1" applyFill="1" applyBorder="1"/>
    <xf numFmtId="183" fontId="42" fillId="29" borderId="17" xfId="8" applyNumberFormat="1" applyFont="1" applyFill="1" applyBorder="1" applyAlignment="1">
      <alignment horizontal="center"/>
    </xf>
    <xf numFmtId="0" fontId="42" fillId="29" borderId="19" xfId="8" applyFont="1" applyFill="1" applyBorder="1"/>
    <xf numFmtId="183" fontId="42" fillId="29" borderId="19" xfId="8" applyNumberFormat="1" applyFont="1" applyFill="1" applyBorder="1" applyAlignment="1">
      <alignment horizontal="center"/>
    </xf>
    <xf numFmtId="0" fontId="42" fillId="29" borderId="45" xfId="8" applyFont="1" applyFill="1" applyBorder="1"/>
    <xf numFmtId="0" fontId="42" fillId="29" borderId="4" xfId="8" applyFont="1" applyFill="1" applyBorder="1" applyAlignment="1">
      <alignment horizontal="center"/>
    </xf>
    <xf numFmtId="0" fontId="42" fillId="29" borderId="31" xfId="8" applyFont="1" applyFill="1" applyBorder="1" applyAlignment="1">
      <alignment horizontal="center"/>
    </xf>
    <xf numFmtId="0" fontId="62" fillId="0" borderId="51" xfId="0" applyFont="1" applyBorder="1" applyAlignment="1">
      <alignment horizontal="center"/>
    </xf>
    <xf numFmtId="0" fontId="62" fillId="0" borderId="48" xfId="0" applyFont="1" applyBorder="1" applyAlignment="1">
      <alignment horizontal="center"/>
    </xf>
    <xf numFmtId="180" fontId="74" fillId="5" borderId="9" xfId="0" applyNumberFormat="1" applyFont="1" applyFill="1" applyBorder="1" applyProtection="1">
      <protection locked="0"/>
    </xf>
    <xf numFmtId="180" fontId="0" fillId="5" borderId="9" xfId="0" applyNumberFormat="1" applyFont="1" applyFill="1" applyBorder="1" applyProtection="1">
      <protection locked="0"/>
    </xf>
    <xf numFmtId="180" fontId="79" fillId="5" borderId="9" xfId="0" applyNumberFormat="1" applyFont="1" applyFill="1" applyBorder="1" applyProtection="1">
      <protection locked="0"/>
    </xf>
    <xf numFmtId="180" fontId="56" fillId="5" borderId="9" xfId="0" applyNumberFormat="1" applyFont="1" applyFill="1" applyBorder="1" applyProtection="1">
      <protection locked="0"/>
    </xf>
    <xf numFmtId="180" fontId="56" fillId="15" borderId="23" xfId="0" applyNumberFormat="1" applyFont="1" applyFill="1" applyBorder="1" applyProtection="1">
      <protection locked="0"/>
    </xf>
    <xf numFmtId="180" fontId="56" fillId="15" borderId="23" xfId="0" quotePrefix="1" applyNumberFormat="1" applyFont="1" applyFill="1" applyBorder="1" applyProtection="1">
      <protection locked="0"/>
    </xf>
    <xf numFmtId="180" fontId="56" fillId="5" borderId="5" xfId="0" applyNumberFormat="1" applyFont="1" applyFill="1" applyBorder="1" applyProtection="1">
      <protection locked="0"/>
    </xf>
    <xf numFmtId="180" fontId="56" fillId="5" borderId="2" xfId="0" applyNumberFormat="1" applyFont="1" applyFill="1" applyBorder="1" applyProtection="1">
      <protection locked="0"/>
    </xf>
    <xf numFmtId="180" fontId="74" fillId="0" borderId="0" xfId="0" applyNumberFormat="1" applyFont="1" applyFill="1" applyBorder="1" applyProtection="1">
      <protection locked="0"/>
    </xf>
    <xf numFmtId="180" fontId="97" fillId="0" borderId="0" xfId="0" applyNumberFormat="1" applyFont="1" applyFill="1" applyBorder="1" applyProtection="1">
      <protection locked="0"/>
    </xf>
    <xf numFmtId="180" fontId="54" fillId="18" borderId="0" xfId="3" applyNumberFormat="1" applyBorder="1" applyProtection="1">
      <protection locked="0"/>
    </xf>
    <xf numFmtId="0" fontId="56" fillId="0" borderId="0" xfId="0" applyFont="1" applyFill="1" applyBorder="1" applyProtection="1">
      <protection locked="0"/>
    </xf>
    <xf numFmtId="180" fontId="96" fillId="0" borderId="7" xfId="0" applyNumberFormat="1" applyFont="1" applyFill="1" applyBorder="1" applyProtection="1">
      <protection locked="0"/>
    </xf>
    <xf numFmtId="180" fontId="0" fillId="0" borderId="7" xfId="0" applyNumberFormat="1" applyFont="1" applyFill="1" applyBorder="1" applyProtection="1">
      <protection locked="0"/>
    </xf>
    <xf numFmtId="180" fontId="56" fillId="0" borderId="7" xfId="0" applyNumberFormat="1" applyFont="1" applyFill="1" applyBorder="1" applyProtection="1">
      <protection locked="0"/>
    </xf>
    <xf numFmtId="180" fontId="4" fillId="0" borderId="7" xfId="0" applyNumberFormat="1" applyFont="1" applyFill="1" applyBorder="1" applyProtection="1">
      <protection locked="0"/>
    </xf>
    <xf numFmtId="180" fontId="81" fillId="0" borderId="7" xfId="0" applyNumberFormat="1" applyFont="1" applyFill="1" applyBorder="1" applyProtection="1">
      <protection locked="0"/>
    </xf>
    <xf numFmtId="180" fontId="55" fillId="0" borderId="7" xfId="0" applyNumberFormat="1" applyFont="1" applyFill="1" applyBorder="1" applyProtection="1">
      <protection locked="0"/>
    </xf>
    <xf numFmtId="180" fontId="0" fillId="0" borderId="7" xfId="0" applyNumberFormat="1" applyFill="1" applyBorder="1" applyProtection="1">
      <protection locked="0"/>
    </xf>
    <xf numFmtId="180" fontId="0" fillId="0" borderId="7" xfId="0" applyNumberFormat="1" applyFont="1" applyBorder="1" applyProtection="1">
      <protection locked="0"/>
    </xf>
    <xf numFmtId="180" fontId="0" fillId="2" borderId="7" xfId="0" applyNumberFormat="1" applyFont="1" applyFill="1" applyBorder="1" applyProtection="1">
      <protection locked="0"/>
    </xf>
    <xf numFmtId="180" fontId="79" fillId="2" borderId="7" xfId="0" applyNumberFormat="1" applyFont="1" applyFill="1" applyBorder="1" applyProtection="1">
      <protection locked="0"/>
    </xf>
    <xf numFmtId="0" fontId="56" fillId="0" borderId="7" xfId="0" applyFont="1" applyBorder="1"/>
    <xf numFmtId="180" fontId="0" fillId="0" borderId="7" xfId="0" applyNumberFormat="1" applyBorder="1" applyProtection="1">
      <protection locked="0"/>
    </xf>
    <xf numFmtId="180" fontId="59" fillId="0" borderId="7" xfId="0" applyNumberFormat="1" applyFont="1" applyFill="1" applyBorder="1" applyProtection="1">
      <protection locked="0"/>
    </xf>
    <xf numFmtId="180" fontId="63" fillId="0" borderId="7" xfId="0" applyNumberFormat="1" applyFont="1" applyFill="1" applyBorder="1" applyProtection="1">
      <protection locked="0"/>
    </xf>
    <xf numFmtId="180" fontId="56" fillId="0" borderId="0" xfId="0" applyNumberFormat="1" applyFont="1" applyBorder="1"/>
    <xf numFmtId="180" fontId="110" fillId="31" borderId="0" xfId="0" applyNumberFormat="1" applyFont="1" applyFill="1" applyBorder="1" applyProtection="1">
      <protection locked="0"/>
    </xf>
    <xf numFmtId="180" fontId="108" fillId="31" borderId="0" xfId="0" applyNumberFormat="1" applyFont="1" applyFill="1" applyBorder="1" applyProtection="1">
      <protection locked="0"/>
    </xf>
    <xf numFmtId="180" fontId="108" fillId="31" borderId="0" xfId="0" applyNumberFormat="1" applyFont="1" applyFill="1" applyProtection="1">
      <protection locked="0"/>
    </xf>
    <xf numFmtId="180" fontId="108" fillId="30" borderId="0" xfId="0" applyNumberFormat="1" applyFont="1" applyFill="1" applyProtection="1">
      <protection locked="0"/>
    </xf>
    <xf numFmtId="180" fontId="112" fillId="2" borderId="8" xfId="0" applyNumberFormat="1" applyFont="1" applyFill="1" applyBorder="1" applyProtection="1">
      <protection locked="0"/>
    </xf>
    <xf numFmtId="180" fontId="114" fillId="0" borderId="8" xfId="0" applyNumberFormat="1" applyFont="1" applyBorder="1" applyProtection="1">
      <protection locked="0"/>
    </xf>
    <xf numFmtId="180" fontId="114" fillId="2" borderId="8" xfId="0" applyNumberFormat="1" applyFont="1" applyFill="1" applyBorder="1" applyProtection="1">
      <protection locked="0"/>
    </xf>
    <xf numFmtId="180" fontId="114" fillId="14" borderId="8" xfId="0" applyNumberFormat="1" applyFont="1" applyFill="1" applyBorder="1" applyProtection="1">
      <protection locked="0"/>
    </xf>
    <xf numFmtId="180" fontId="114" fillId="13" borderId="8" xfId="0" applyNumberFormat="1" applyFont="1" applyFill="1" applyBorder="1" applyProtection="1">
      <protection locked="0"/>
    </xf>
    <xf numFmtId="180" fontId="114" fillId="5" borderId="9" xfId="0" applyNumberFormat="1" applyFont="1" applyFill="1" applyBorder="1" applyProtection="1">
      <protection locked="0"/>
    </xf>
    <xf numFmtId="180" fontId="112" fillId="2" borderId="8" xfId="0" applyNumberFormat="1" applyFont="1" applyFill="1" applyBorder="1" applyAlignment="1" applyProtection="1">
      <alignment horizontal="left"/>
      <protection locked="0"/>
    </xf>
    <xf numFmtId="180" fontId="114" fillId="21" borderId="9" xfId="0" applyNumberFormat="1" applyFont="1" applyFill="1" applyBorder="1" applyProtection="1">
      <protection locked="0"/>
    </xf>
    <xf numFmtId="180" fontId="114" fillId="3" borderId="8" xfId="0" applyNumberFormat="1" applyFont="1" applyFill="1" applyBorder="1" applyProtection="1">
      <protection locked="0"/>
    </xf>
    <xf numFmtId="180" fontId="114" fillId="0" borderId="8" xfId="0" applyNumberFormat="1" applyFont="1" applyFill="1" applyBorder="1" applyProtection="1">
      <protection locked="0"/>
    </xf>
    <xf numFmtId="180" fontId="114" fillId="30" borderId="9" xfId="0" applyNumberFormat="1" applyFont="1" applyFill="1" applyBorder="1" applyProtection="1">
      <protection locked="0"/>
    </xf>
    <xf numFmtId="180" fontId="114" fillId="5" borderId="5" xfId="0" applyNumberFormat="1" applyFont="1" applyFill="1" applyBorder="1" applyProtection="1">
      <protection locked="0"/>
    </xf>
    <xf numFmtId="180" fontId="108" fillId="19" borderId="7" xfId="0" applyNumberFormat="1" applyFont="1" applyFill="1" applyBorder="1" applyProtection="1">
      <protection locked="0"/>
    </xf>
    <xf numFmtId="180" fontId="109" fillId="19" borderId="0" xfId="0" applyNumberFormat="1" applyFont="1" applyFill="1" applyBorder="1" applyProtection="1">
      <protection locked="0"/>
    </xf>
    <xf numFmtId="180" fontId="108" fillId="19" borderId="0" xfId="0" applyNumberFormat="1" applyFont="1" applyFill="1" applyBorder="1" applyProtection="1">
      <protection locked="0"/>
    </xf>
    <xf numFmtId="180" fontId="108" fillId="19" borderId="0" xfId="0" applyNumberFormat="1" applyFont="1" applyFill="1" applyProtection="1">
      <protection locked="0"/>
    </xf>
    <xf numFmtId="0" fontId="115" fillId="0" borderId="0" xfId="0" applyFont="1" applyProtection="1">
      <protection locked="0"/>
    </xf>
    <xf numFmtId="180" fontId="117" fillId="2" borderId="8" xfId="0" applyNumberFormat="1" applyFont="1" applyFill="1" applyBorder="1" applyProtection="1">
      <protection locked="0"/>
    </xf>
    <xf numFmtId="180" fontId="115" fillId="6" borderId="8" xfId="0" applyNumberFormat="1" applyFont="1" applyFill="1" applyBorder="1" applyProtection="1">
      <protection locked="0"/>
    </xf>
    <xf numFmtId="180" fontId="115" fillId="0" borderId="8" xfId="0" applyNumberFormat="1" applyFont="1" applyBorder="1" applyProtection="1">
      <protection locked="0"/>
    </xf>
    <xf numFmtId="180" fontId="115" fillId="0" borderId="8" xfId="0" applyNumberFormat="1" applyFont="1" applyFill="1" applyBorder="1" applyProtection="1">
      <protection locked="0"/>
    </xf>
    <xf numFmtId="180" fontId="115" fillId="2" borderId="8" xfId="0" applyNumberFormat="1" applyFont="1" applyFill="1" applyBorder="1" applyProtection="1">
      <protection locked="0"/>
    </xf>
    <xf numFmtId="180" fontId="119" fillId="13" borderId="8" xfId="0" applyNumberFormat="1" applyFont="1" applyFill="1" applyBorder="1" applyProtection="1">
      <protection locked="0"/>
    </xf>
    <xf numFmtId="180" fontId="115" fillId="13" borderId="8" xfId="0" applyNumberFormat="1" applyFont="1" applyFill="1" applyBorder="1" applyProtection="1">
      <protection locked="0"/>
    </xf>
    <xf numFmtId="180" fontId="115" fillId="5" borderId="8" xfId="0" applyNumberFormat="1" applyFont="1" applyFill="1" applyBorder="1" applyProtection="1">
      <protection locked="0"/>
    </xf>
    <xf numFmtId="180" fontId="120" fillId="0" borderId="0" xfId="0" applyNumberFormat="1" applyFont="1" applyFill="1" applyProtection="1">
      <protection locked="0"/>
    </xf>
    <xf numFmtId="180" fontId="115" fillId="0" borderId="0" xfId="0" applyNumberFormat="1" applyFont="1" applyFill="1" applyProtection="1">
      <protection locked="0"/>
    </xf>
    <xf numFmtId="180" fontId="115" fillId="14" borderId="8" xfId="0" applyNumberFormat="1" applyFont="1" applyFill="1" applyBorder="1" applyProtection="1">
      <protection locked="0"/>
    </xf>
    <xf numFmtId="180" fontId="55" fillId="0" borderId="0" xfId="0" applyNumberFormat="1" applyFont="1" applyFill="1" applyProtection="1">
      <protection locked="0"/>
    </xf>
    <xf numFmtId="180" fontId="115" fillId="3" borderId="8" xfId="0" applyNumberFormat="1" applyFont="1" applyFill="1" applyBorder="1" applyProtection="1">
      <protection locked="0"/>
    </xf>
    <xf numFmtId="180" fontId="119" fillId="0" borderId="8" xfId="0" applyNumberFormat="1" applyFont="1" applyBorder="1" applyProtection="1">
      <protection locked="0"/>
    </xf>
    <xf numFmtId="180" fontId="117" fillId="0" borderId="8" xfId="0" applyNumberFormat="1" applyFont="1" applyFill="1" applyBorder="1" applyProtection="1">
      <protection locked="0"/>
    </xf>
    <xf numFmtId="180" fontId="117" fillId="14" borderId="8" xfId="0" applyNumberFormat="1" applyFont="1" applyFill="1" applyBorder="1" applyProtection="1">
      <protection locked="0"/>
    </xf>
    <xf numFmtId="180" fontId="117" fillId="0" borderId="0" xfId="0" applyNumberFormat="1" applyFont="1" applyFill="1" applyBorder="1" applyProtection="1">
      <protection locked="0"/>
    </xf>
    <xf numFmtId="180" fontId="115" fillId="0" borderId="0" xfId="0" applyNumberFormat="1" applyFont="1" applyFill="1" applyBorder="1" applyProtection="1">
      <protection locked="0"/>
    </xf>
    <xf numFmtId="180" fontId="115" fillId="13" borderId="19" xfId="0" applyNumberFormat="1" applyFont="1" applyFill="1" applyBorder="1" applyProtection="1">
      <protection locked="0"/>
    </xf>
    <xf numFmtId="180" fontId="121" fillId="0" borderId="8" xfId="0" applyNumberFormat="1" applyFont="1" applyBorder="1" applyProtection="1">
      <protection locked="0"/>
    </xf>
    <xf numFmtId="180" fontId="115" fillId="0" borderId="19" xfId="0" applyNumberFormat="1" applyFont="1" applyBorder="1" applyProtection="1">
      <protection locked="0"/>
    </xf>
    <xf numFmtId="180" fontId="115" fillId="2" borderId="19" xfId="0" applyNumberFormat="1" applyFont="1" applyFill="1" applyBorder="1" applyProtection="1">
      <protection locked="0"/>
    </xf>
    <xf numFmtId="180" fontId="115" fillId="14" borderId="19" xfId="0" applyNumberFormat="1" applyFont="1" applyFill="1" applyBorder="1" applyProtection="1">
      <protection locked="0"/>
    </xf>
    <xf numFmtId="180" fontId="115" fillId="5" borderId="19" xfId="0" applyNumberFormat="1" applyFont="1" applyFill="1" applyBorder="1" applyProtection="1">
      <protection locked="0"/>
    </xf>
    <xf numFmtId="180" fontId="121" fillId="2" borderId="8" xfId="0" applyNumberFormat="1" applyFont="1" applyFill="1" applyBorder="1" applyProtection="1">
      <protection locked="0"/>
    </xf>
    <xf numFmtId="180" fontId="115" fillId="0" borderId="19" xfId="0" applyNumberFormat="1" applyFont="1" applyFill="1" applyBorder="1" applyProtection="1">
      <protection locked="0"/>
    </xf>
    <xf numFmtId="180" fontId="117" fillId="0" borderId="0" xfId="0" applyNumberFormat="1" applyFont="1" applyProtection="1">
      <protection locked="0"/>
    </xf>
    <xf numFmtId="180" fontId="115" fillId="5" borderId="9" xfId="0" applyNumberFormat="1" applyFont="1" applyFill="1" applyBorder="1" applyProtection="1">
      <protection locked="0"/>
    </xf>
    <xf numFmtId="180" fontId="120" fillId="0" borderId="7" xfId="0" applyNumberFormat="1" applyFont="1" applyFill="1" applyBorder="1" applyProtection="1">
      <protection locked="0"/>
    </xf>
    <xf numFmtId="180" fontId="120" fillId="0" borderId="7" xfId="0" applyNumberFormat="1" applyFont="1" applyBorder="1" applyProtection="1">
      <protection locked="0"/>
    </xf>
    <xf numFmtId="180" fontId="115" fillId="0" borderId="0" xfId="0" applyNumberFormat="1" applyFont="1" applyBorder="1" applyProtection="1">
      <protection locked="0"/>
    </xf>
    <xf numFmtId="180" fontId="115" fillId="0" borderId="0" xfId="0" applyNumberFormat="1" applyFont="1" applyProtection="1">
      <protection locked="0"/>
    </xf>
    <xf numFmtId="180" fontId="115" fillId="0" borderId="7" xfId="0" applyNumberFormat="1" applyFont="1" applyFill="1" applyBorder="1" applyProtection="1">
      <protection locked="0"/>
    </xf>
    <xf numFmtId="180" fontId="118" fillId="0" borderId="0" xfId="0" applyNumberFormat="1" applyFont="1" applyFill="1" applyBorder="1" applyProtection="1">
      <protection locked="0"/>
    </xf>
    <xf numFmtId="180" fontId="115" fillId="19" borderId="8" xfId="0" applyNumberFormat="1" applyFont="1" applyFill="1" applyBorder="1" applyProtection="1">
      <protection locked="0"/>
    </xf>
    <xf numFmtId="180" fontId="115" fillId="22" borderId="8" xfId="0" applyNumberFormat="1" applyFont="1" applyFill="1" applyBorder="1" applyProtection="1">
      <protection locked="0"/>
    </xf>
    <xf numFmtId="180" fontId="118" fillId="19" borderId="0" xfId="0" applyNumberFormat="1" applyFont="1" applyFill="1" applyBorder="1" applyProtection="1">
      <protection locked="0"/>
    </xf>
    <xf numFmtId="180" fontId="115" fillId="19" borderId="0" xfId="0" applyNumberFormat="1" applyFont="1" applyFill="1" applyBorder="1" applyProtection="1">
      <protection locked="0"/>
    </xf>
    <xf numFmtId="180" fontId="115" fillId="19" borderId="0" xfId="0" applyNumberFormat="1" applyFont="1" applyFill="1" applyProtection="1">
      <protection locked="0"/>
    </xf>
    <xf numFmtId="180" fontId="115" fillId="30" borderId="0" xfId="0" applyNumberFormat="1" applyFont="1" applyFill="1" applyProtection="1">
      <protection locked="0"/>
    </xf>
    <xf numFmtId="180" fontId="117" fillId="0" borderId="8" xfId="0" applyNumberFormat="1" applyFont="1" applyBorder="1" applyProtection="1">
      <protection locked="0"/>
    </xf>
    <xf numFmtId="180" fontId="117" fillId="19" borderId="8" xfId="0" applyNumberFormat="1" applyFont="1" applyFill="1" applyBorder="1" applyProtection="1">
      <protection locked="0"/>
    </xf>
    <xf numFmtId="180" fontId="115" fillId="20" borderId="8" xfId="0" applyNumberFormat="1" applyFont="1" applyFill="1" applyBorder="1" applyProtection="1">
      <protection locked="0"/>
    </xf>
    <xf numFmtId="180" fontId="115" fillId="32" borderId="8" xfId="0" applyNumberFormat="1" applyFont="1" applyFill="1" applyBorder="1" applyProtection="1">
      <protection locked="0"/>
    </xf>
    <xf numFmtId="180" fontId="115" fillId="21" borderId="9" xfId="0" applyNumberFormat="1" applyFont="1" applyFill="1" applyBorder="1" applyProtection="1">
      <protection locked="0"/>
    </xf>
    <xf numFmtId="180" fontId="115" fillId="33" borderId="8" xfId="0" applyNumberFormat="1" applyFont="1" applyFill="1" applyBorder="1" applyProtection="1">
      <protection locked="0"/>
    </xf>
    <xf numFmtId="180" fontId="117" fillId="0" borderId="10" xfId="0" applyNumberFormat="1" applyFont="1" applyBorder="1" applyProtection="1">
      <protection locked="0"/>
    </xf>
    <xf numFmtId="180" fontId="117" fillId="0" borderId="4" xfId="0" applyNumberFormat="1" applyFont="1" applyBorder="1" applyProtection="1">
      <protection locked="0"/>
    </xf>
    <xf numFmtId="0" fontId="62" fillId="0" borderId="66" xfId="0" applyFont="1" applyBorder="1"/>
    <xf numFmtId="183" fontId="62" fillId="0" borderId="48" xfId="0" applyNumberFormat="1" applyFont="1" applyBorder="1" applyAlignment="1">
      <alignment horizontal="center"/>
    </xf>
    <xf numFmtId="0" fontId="62" fillId="0" borderId="51" xfId="0" applyFont="1" applyBorder="1"/>
    <xf numFmtId="182" fontId="62" fillId="0" borderId="51" xfId="0" applyNumberFormat="1" applyFont="1" applyBorder="1" applyAlignment="1">
      <alignment horizontal="center"/>
    </xf>
    <xf numFmtId="0" fontId="62" fillId="0" borderId="66" xfId="0" applyFont="1" applyBorder="1" applyAlignment="1">
      <alignment horizontal="center"/>
    </xf>
    <xf numFmtId="183" fontId="62" fillId="0" borderId="51" xfId="0" applyNumberFormat="1" applyFont="1" applyBorder="1" applyAlignment="1">
      <alignment horizontal="center"/>
    </xf>
    <xf numFmtId="0" fontId="42" fillId="0" borderId="50" xfId="0" applyFont="1" applyBorder="1"/>
    <xf numFmtId="0" fontId="57" fillId="0" borderId="50" xfId="0" applyFont="1" applyBorder="1"/>
    <xf numFmtId="180" fontId="115" fillId="30" borderId="0" xfId="0" applyNumberFormat="1" applyFont="1" applyFill="1" applyBorder="1" applyProtection="1">
      <protection locked="0"/>
    </xf>
    <xf numFmtId="180" fontId="122" fillId="0" borderId="10" xfId="0" applyNumberFormat="1" applyFont="1" applyBorder="1" applyProtection="1">
      <protection locked="0"/>
    </xf>
    <xf numFmtId="0" fontId="0" fillId="19" borderId="0" xfId="0" applyFont="1" applyFill="1"/>
    <xf numFmtId="0" fontId="123" fillId="19" borderId="0" xfId="3" applyFont="1" applyFill="1"/>
    <xf numFmtId="0" fontId="103" fillId="0" borderId="11" xfId="0" applyFont="1" applyFill="1" applyBorder="1"/>
    <xf numFmtId="0" fontId="67" fillId="0" borderId="40" xfId="0" applyFont="1" applyBorder="1"/>
    <xf numFmtId="0" fontId="125" fillId="0" borderId="16" xfId="0" applyFont="1" applyFill="1" applyBorder="1" applyAlignment="1">
      <alignment horizontal="center"/>
    </xf>
    <xf numFmtId="0" fontId="67" fillId="0" borderId="0" xfId="0" applyFont="1" applyAlignment="1">
      <alignment horizontal="center"/>
    </xf>
    <xf numFmtId="0" fontId="0" fillId="20" borderId="0" xfId="0" applyFill="1"/>
    <xf numFmtId="0" fontId="0" fillId="20" borderId="6" xfId="0" applyFill="1" applyBorder="1"/>
    <xf numFmtId="0" fontId="0" fillId="20" borderId="18" xfId="0" applyFill="1" applyBorder="1"/>
    <xf numFmtId="0" fontId="0" fillId="20" borderId="19" xfId="0" applyFill="1" applyBorder="1"/>
    <xf numFmtId="0" fontId="0" fillId="20" borderId="17" xfId="0" applyFill="1" applyBorder="1"/>
    <xf numFmtId="0" fontId="0" fillId="20" borderId="1" xfId="0" applyFill="1" applyBorder="1"/>
    <xf numFmtId="0" fontId="0" fillId="20" borderId="0" xfId="0" applyFill="1" applyBorder="1"/>
    <xf numFmtId="180" fontId="120" fillId="0" borderId="0" xfId="0" applyNumberFormat="1" applyFont="1" applyFill="1" applyBorder="1" applyProtection="1">
      <protection locked="0"/>
    </xf>
    <xf numFmtId="181" fontId="126" fillId="0" borderId="18" xfId="0" applyNumberFormat="1" applyFont="1" applyFill="1" applyBorder="1"/>
    <xf numFmtId="181" fontId="126" fillId="0" borderId="19" xfId="0" applyNumberFormat="1" applyFont="1" applyFill="1" applyBorder="1"/>
    <xf numFmtId="180" fontId="115" fillId="5" borderId="5" xfId="0" applyNumberFormat="1" applyFont="1" applyFill="1" applyBorder="1" applyProtection="1">
      <protection locked="0"/>
    </xf>
    <xf numFmtId="180" fontId="115" fillId="20" borderId="19" xfId="0" applyNumberFormat="1" applyFont="1" applyFill="1" applyBorder="1" applyProtection="1">
      <protection locked="0"/>
    </xf>
    <xf numFmtId="180" fontId="121" fillId="0" borderId="19" xfId="0" applyNumberFormat="1" applyFont="1" applyBorder="1" applyProtection="1">
      <protection locked="0"/>
    </xf>
    <xf numFmtId="0" fontId="123" fillId="20" borderId="0" xfId="3" applyFont="1" applyFill="1"/>
    <xf numFmtId="182" fontId="0" fillId="20" borderId="0" xfId="0" applyNumberFormat="1" applyFill="1"/>
    <xf numFmtId="0" fontId="45" fillId="0" borderId="0" xfId="0" quotePrefix="1" applyFont="1"/>
    <xf numFmtId="180" fontId="128" fillId="2" borderId="8" xfId="0" applyNumberFormat="1" applyFont="1" applyFill="1" applyBorder="1" applyProtection="1">
      <protection locked="0"/>
    </xf>
    <xf numFmtId="180" fontId="127" fillId="0" borderId="8" xfId="0" applyNumberFormat="1" applyFont="1" applyBorder="1" applyProtection="1">
      <protection locked="0"/>
    </xf>
    <xf numFmtId="180" fontId="127" fillId="2" borderId="8" xfId="0" applyNumberFormat="1" applyFont="1" applyFill="1" applyBorder="1" applyProtection="1">
      <protection locked="0"/>
    </xf>
    <xf numFmtId="180" fontId="127" fillId="14" borderId="8" xfId="0" applyNumberFormat="1" applyFont="1" applyFill="1" applyBorder="1" applyProtection="1">
      <protection locked="0"/>
    </xf>
    <xf numFmtId="180" fontId="127" fillId="13" borderId="8" xfId="0" applyNumberFormat="1" applyFont="1" applyFill="1" applyBorder="1" applyProtection="1">
      <protection locked="0"/>
    </xf>
    <xf numFmtId="180" fontId="127" fillId="0" borderId="0" xfId="0" applyNumberFormat="1" applyFont="1" applyFill="1" applyProtection="1">
      <protection locked="0"/>
    </xf>
    <xf numFmtId="180" fontId="131" fillId="2" borderId="8" xfId="0" applyNumberFormat="1" applyFont="1" applyFill="1" applyBorder="1" applyProtection="1">
      <protection locked="0"/>
    </xf>
    <xf numFmtId="180" fontId="132" fillId="0" borderId="8" xfId="0" applyNumberFormat="1" applyFont="1" applyBorder="1" applyProtection="1">
      <protection locked="0"/>
    </xf>
    <xf numFmtId="180" fontId="132" fillId="2" borderId="8" xfId="0" applyNumberFormat="1" applyFont="1" applyFill="1" applyBorder="1" applyProtection="1">
      <protection locked="0"/>
    </xf>
    <xf numFmtId="180" fontId="132" fillId="14" borderId="8" xfId="0" applyNumberFormat="1" applyFont="1" applyFill="1" applyBorder="1" applyProtection="1">
      <protection locked="0"/>
    </xf>
    <xf numFmtId="180" fontId="132" fillId="13" borderId="8" xfId="0" applyNumberFormat="1" applyFont="1" applyFill="1" applyBorder="1" applyProtection="1">
      <protection locked="0"/>
    </xf>
    <xf numFmtId="180" fontId="132" fillId="0" borderId="0" xfId="0" applyNumberFormat="1" applyFont="1" applyFill="1" applyProtection="1">
      <protection locked="0"/>
    </xf>
    <xf numFmtId="180" fontId="131" fillId="2" borderId="8" xfId="0" applyNumberFormat="1" applyFont="1" applyFill="1" applyBorder="1" applyAlignment="1" applyProtection="1">
      <alignment horizontal="left"/>
      <protection locked="0"/>
    </xf>
    <xf numFmtId="180" fontId="127" fillId="19" borderId="8" xfId="0" applyNumberFormat="1" applyFont="1" applyFill="1" applyBorder="1" applyProtection="1">
      <protection locked="0"/>
    </xf>
    <xf numFmtId="180" fontId="127" fillId="22" borderId="8" xfId="0" applyNumberFormat="1" applyFont="1" applyFill="1" applyBorder="1" applyProtection="1">
      <protection locked="0"/>
    </xf>
    <xf numFmtId="180" fontId="127" fillId="21" borderId="9" xfId="0" applyNumberFormat="1" applyFont="1" applyFill="1" applyBorder="1" applyProtection="1">
      <protection locked="0"/>
    </xf>
    <xf numFmtId="180" fontId="127" fillId="0" borderId="7" xfId="0" applyNumberFormat="1" applyFont="1" applyFill="1" applyBorder="1" applyProtection="1">
      <protection locked="0"/>
    </xf>
    <xf numFmtId="180" fontId="127" fillId="0" borderId="0" xfId="0" applyNumberFormat="1" applyFont="1" applyFill="1" applyBorder="1" applyProtection="1">
      <protection locked="0"/>
    </xf>
    <xf numFmtId="180" fontId="132" fillId="5" borderId="9" xfId="0" applyNumberFormat="1" applyFont="1" applyFill="1" applyBorder="1" applyProtection="1">
      <protection locked="0"/>
    </xf>
    <xf numFmtId="180" fontId="133" fillId="0" borderId="7" xfId="0" applyNumberFormat="1" applyFont="1" applyFill="1" applyBorder="1" applyProtection="1">
      <protection locked="0"/>
    </xf>
    <xf numFmtId="180" fontId="132" fillId="0" borderId="0" xfId="0" applyNumberFormat="1" applyFont="1" applyFill="1" applyBorder="1" applyProtection="1">
      <protection locked="0"/>
    </xf>
    <xf numFmtId="180" fontId="130" fillId="0" borderId="7" xfId="0" applyNumberFormat="1" applyFont="1" applyFill="1" applyBorder="1" applyProtection="1">
      <protection locked="0"/>
    </xf>
    <xf numFmtId="180" fontId="127" fillId="5" borderId="9" xfId="0" applyNumberFormat="1" applyFont="1" applyFill="1" applyBorder="1" applyProtection="1">
      <protection locked="0"/>
    </xf>
    <xf numFmtId="180" fontId="127" fillId="0" borderId="8" xfId="0" applyNumberFormat="1" applyFont="1" applyFill="1" applyBorder="1" applyProtection="1">
      <protection locked="0"/>
    </xf>
    <xf numFmtId="180" fontId="128" fillId="19" borderId="8" xfId="0" applyNumberFormat="1" applyFont="1" applyFill="1" applyBorder="1" applyProtection="1">
      <protection locked="0"/>
    </xf>
    <xf numFmtId="180" fontId="134" fillId="2" borderId="8" xfId="0" applyNumberFormat="1" applyFont="1" applyFill="1" applyBorder="1" applyProtection="1">
      <protection locked="0"/>
    </xf>
    <xf numFmtId="180" fontId="94" fillId="0" borderId="8" xfId="0" applyNumberFormat="1" applyFont="1" applyBorder="1" applyProtection="1">
      <protection locked="0"/>
    </xf>
    <xf numFmtId="180" fontId="94" fillId="2" borderId="8" xfId="0" applyNumberFormat="1" applyFont="1" applyFill="1" applyBorder="1" applyProtection="1">
      <protection locked="0"/>
    </xf>
    <xf numFmtId="180" fontId="94" fillId="14" borderId="8" xfId="0" applyNumberFormat="1" applyFont="1" applyFill="1" applyBorder="1" applyProtection="1">
      <protection locked="0"/>
    </xf>
    <xf numFmtId="180" fontId="94" fillId="13" borderId="8" xfId="0" applyNumberFormat="1" applyFont="1" applyFill="1" applyBorder="1" applyProtection="1">
      <protection locked="0"/>
    </xf>
    <xf numFmtId="180" fontId="94" fillId="5" borderId="8" xfId="0" applyNumberFormat="1" applyFont="1" applyFill="1" applyBorder="1" applyProtection="1">
      <protection locked="0"/>
    </xf>
    <xf numFmtId="180" fontId="136" fillId="0" borderId="0" xfId="0" applyNumberFormat="1" applyFont="1" applyFill="1" applyProtection="1">
      <protection locked="0"/>
    </xf>
    <xf numFmtId="180" fontId="94" fillId="0" borderId="0" xfId="0" applyNumberFormat="1" applyFont="1" applyFill="1" applyProtection="1">
      <protection locked="0"/>
    </xf>
    <xf numFmtId="180" fontId="94" fillId="0" borderId="8" xfId="0" applyNumberFormat="1" applyFont="1" applyFill="1" applyBorder="1" applyProtection="1">
      <protection locked="0"/>
    </xf>
    <xf numFmtId="180" fontId="136" fillId="0" borderId="7" xfId="0" applyNumberFormat="1" applyFont="1" applyFill="1" applyBorder="1" applyProtection="1">
      <protection locked="0"/>
    </xf>
    <xf numFmtId="180" fontId="94" fillId="13" borderId="19" xfId="0" applyNumberFormat="1" applyFont="1" applyFill="1" applyBorder="1" applyProtection="1">
      <protection locked="0"/>
    </xf>
    <xf numFmtId="180" fontId="137" fillId="0" borderId="8" xfId="0" applyNumberFormat="1" applyFont="1" applyBorder="1" applyProtection="1">
      <protection locked="0"/>
    </xf>
    <xf numFmtId="180" fontId="94" fillId="22" borderId="8" xfId="0" applyNumberFormat="1" applyFont="1" applyFill="1" applyBorder="1" applyProtection="1">
      <protection locked="0"/>
    </xf>
    <xf numFmtId="180" fontId="94" fillId="5" borderId="9" xfId="0" applyNumberFormat="1" applyFont="1" applyFill="1" applyBorder="1" applyProtection="1">
      <protection locked="0"/>
    </xf>
    <xf numFmtId="180" fontId="94" fillId="0" borderId="0" xfId="0" applyNumberFormat="1" applyFont="1" applyFill="1" applyBorder="1" applyProtection="1">
      <protection locked="0"/>
    </xf>
    <xf numFmtId="180" fontId="137" fillId="2" borderId="8" xfId="0" applyNumberFormat="1" applyFont="1" applyFill="1" applyBorder="1" applyProtection="1">
      <protection locked="0"/>
    </xf>
    <xf numFmtId="180" fontId="94" fillId="0" borderId="19" xfId="0" applyNumberFormat="1" applyFont="1" applyBorder="1" applyProtection="1">
      <protection locked="0"/>
    </xf>
    <xf numFmtId="180" fontId="94" fillId="14" borderId="19" xfId="0" applyNumberFormat="1" applyFont="1" applyFill="1" applyBorder="1" applyProtection="1">
      <protection locked="0"/>
    </xf>
    <xf numFmtId="180" fontId="94" fillId="5" borderId="5" xfId="0" applyNumberFormat="1" applyFont="1" applyFill="1" applyBorder="1" applyProtection="1">
      <protection locked="0"/>
    </xf>
    <xf numFmtId="180" fontId="94" fillId="0" borderId="7" xfId="0" applyNumberFormat="1" applyFont="1" applyFill="1" applyBorder="1" applyProtection="1">
      <protection locked="0"/>
    </xf>
    <xf numFmtId="180" fontId="135" fillId="0" borderId="0" xfId="0" applyNumberFormat="1" applyFont="1" applyFill="1" applyBorder="1" applyProtection="1">
      <protection locked="0"/>
    </xf>
    <xf numFmtId="180" fontId="94" fillId="19" borderId="8" xfId="0" applyNumberFormat="1" applyFont="1" applyFill="1" applyBorder="1" applyProtection="1">
      <protection locked="0"/>
    </xf>
    <xf numFmtId="0" fontId="138" fillId="36" borderId="74" xfId="14"/>
    <xf numFmtId="0" fontId="3" fillId="37" borderId="8" xfId="15" applyBorder="1"/>
    <xf numFmtId="180" fontId="136" fillId="0" borderId="0" xfId="0" applyNumberFormat="1" applyFont="1" applyFill="1" applyBorder="1" applyProtection="1">
      <protection locked="0"/>
    </xf>
    <xf numFmtId="180" fontId="94" fillId="33" borderId="8" xfId="0" applyNumberFormat="1" applyFont="1" applyFill="1" applyBorder="1" applyProtection="1">
      <protection locked="0"/>
    </xf>
    <xf numFmtId="180" fontId="135" fillId="0" borderId="8" xfId="0" applyNumberFormat="1" applyFont="1" applyBorder="1" applyProtection="1">
      <protection locked="0"/>
    </xf>
    <xf numFmtId="180" fontId="139" fillId="13" borderId="8" xfId="0" applyNumberFormat="1" applyFont="1" applyFill="1" applyBorder="1" applyProtection="1">
      <protection locked="0"/>
    </xf>
    <xf numFmtId="180" fontId="94" fillId="2" borderId="19" xfId="0" applyNumberFormat="1" applyFont="1" applyFill="1" applyBorder="1" applyProtection="1">
      <protection locked="0"/>
    </xf>
    <xf numFmtId="180" fontId="94" fillId="0" borderId="19" xfId="0" applyNumberFormat="1" applyFont="1" applyFill="1" applyBorder="1" applyProtection="1">
      <protection locked="0"/>
    </xf>
    <xf numFmtId="180" fontId="94" fillId="33" borderId="19" xfId="0" applyNumberFormat="1" applyFont="1" applyFill="1" applyBorder="1" applyProtection="1">
      <protection locked="0"/>
    </xf>
    <xf numFmtId="180" fontId="94" fillId="21" borderId="5" xfId="0" applyNumberFormat="1" applyFont="1" applyFill="1" applyBorder="1" applyProtection="1">
      <protection locked="0"/>
    </xf>
    <xf numFmtId="180" fontId="94" fillId="21" borderId="9" xfId="0" applyNumberFormat="1" applyFont="1" applyFill="1" applyBorder="1" applyProtection="1">
      <protection locked="0"/>
    </xf>
    <xf numFmtId="180" fontId="137" fillId="0" borderId="8" xfId="0" applyNumberFormat="1" applyFont="1" applyFill="1" applyBorder="1" applyProtection="1">
      <protection locked="0"/>
    </xf>
    <xf numFmtId="180" fontId="135" fillId="0" borderId="19" xfId="0" applyNumberFormat="1" applyFont="1" applyFill="1" applyBorder="1" applyProtection="1">
      <protection locked="0"/>
    </xf>
    <xf numFmtId="180" fontId="94" fillId="22" borderId="19" xfId="0" applyNumberFormat="1" applyFont="1" applyFill="1" applyBorder="1" applyProtection="1">
      <protection locked="0"/>
    </xf>
    <xf numFmtId="0" fontId="2" fillId="38" borderId="8" xfId="16" applyBorder="1"/>
    <xf numFmtId="183" fontId="2" fillId="38" borderId="8" xfId="16" applyNumberFormat="1" applyBorder="1"/>
    <xf numFmtId="0" fontId="2" fillId="38" borderId="0" xfId="16"/>
    <xf numFmtId="0" fontId="141" fillId="0" borderId="8" xfId="0" applyFont="1" applyBorder="1" applyAlignment="1">
      <alignment wrapText="1"/>
    </xf>
    <xf numFmtId="0" fontId="142" fillId="0" borderId="8" xfId="0" applyFont="1" applyBorder="1" applyAlignment="1">
      <alignment wrapText="1"/>
    </xf>
    <xf numFmtId="0" fontId="144" fillId="0" borderId="8" xfId="0" applyFont="1" applyBorder="1" applyAlignment="1">
      <alignment wrapText="1"/>
    </xf>
    <xf numFmtId="0" fontId="145" fillId="0" borderId="8" xfId="0" applyFont="1" applyBorder="1" applyAlignment="1">
      <alignment wrapText="1"/>
    </xf>
    <xf numFmtId="0" fontId="146" fillId="0" borderId="8" xfId="0" applyFont="1" applyBorder="1" applyAlignment="1">
      <alignment wrapText="1"/>
    </xf>
    <xf numFmtId="0" fontId="147" fillId="0" borderId="8" xfId="0" applyFont="1" applyBorder="1" applyAlignment="1">
      <alignment wrapText="1"/>
    </xf>
    <xf numFmtId="0" fontId="149" fillId="0" borderId="0" xfId="0" applyFont="1"/>
    <xf numFmtId="0" fontId="150" fillId="39" borderId="0" xfId="3" applyFont="1" applyFill="1"/>
    <xf numFmtId="0" fontId="110" fillId="39" borderId="0" xfId="0" applyFont="1" applyFill="1"/>
    <xf numFmtId="0" fontId="151" fillId="19" borderId="0" xfId="0" applyFont="1" applyFill="1"/>
    <xf numFmtId="0" fontId="152" fillId="39" borderId="0" xfId="3" applyFont="1" applyFill="1"/>
    <xf numFmtId="0" fontId="153" fillId="0" borderId="0" xfId="0" applyFont="1"/>
    <xf numFmtId="0" fontId="154" fillId="0" borderId="0" xfId="0" applyFont="1"/>
    <xf numFmtId="0" fontId="155" fillId="0" borderId="0" xfId="0" applyFont="1"/>
    <xf numFmtId="0" fontId="157" fillId="0" borderId="0" xfId="0" applyFont="1"/>
    <xf numFmtId="0" fontId="158" fillId="0" borderId="0" xfId="0" applyFont="1"/>
    <xf numFmtId="0" fontId="159" fillId="0" borderId="0" xfId="0" applyFont="1"/>
    <xf numFmtId="0" fontId="160" fillId="0" borderId="0" xfId="0" applyFont="1"/>
    <xf numFmtId="0" fontId="161" fillId="0" borderId="0" xfId="0" applyFont="1"/>
    <xf numFmtId="0" fontId="161" fillId="0" borderId="0" xfId="0" applyFont="1" applyAlignment="1">
      <alignment horizontal="left" indent="4"/>
    </xf>
    <xf numFmtId="0" fontId="163" fillId="0" borderId="0" xfId="0" applyFont="1"/>
    <xf numFmtId="0" fontId="159" fillId="0" borderId="0" xfId="0" applyFont="1" applyAlignment="1">
      <alignment horizontal="left" indent="1"/>
    </xf>
    <xf numFmtId="0" fontId="159" fillId="0" borderId="0" xfId="0" applyFont="1" applyAlignment="1">
      <alignment horizontal="left" indent="4"/>
    </xf>
    <xf numFmtId="0" fontId="154" fillId="0" borderId="0" xfId="0" applyFont="1" applyAlignment="1">
      <alignment horizontal="left" indent="2"/>
    </xf>
    <xf numFmtId="0" fontId="101" fillId="27" borderId="48" xfId="7" applyBorder="1"/>
    <xf numFmtId="0" fontId="101" fillId="27" borderId="50" xfId="7" applyBorder="1"/>
    <xf numFmtId="180" fontId="164" fillId="13" borderId="8" xfId="0" applyNumberFormat="1" applyFont="1" applyFill="1" applyBorder="1" applyProtection="1">
      <protection locked="0"/>
    </xf>
    <xf numFmtId="0" fontId="67" fillId="0" borderId="16" xfId="0" applyFont="1" applyBorder="1" applyAlignment="1"/>
    <xf numFmtId="183" fontId="67" fillId="0" borderId="51" xfId="0" applyNumberFormat="1" applyFont="1" applyBorder="1" applyAlignment="1"/>
    <xf numFmtId="180" fontId="121" fillId="19" borderId="8" xfId="0" applyNumberFormat="1" applyFont="1" applyFill="1" applyBorder="1" applyProtection="1">
      <protection locked="0"/>
    </xf>
    <xf numFmtId="180" fontId="115" fillId="14" borderId="17" xfId="0" applyNumberFormat="1" applyFont="1" applyFill="1" applyBorder="1" applyProtection="1">
      <protection locked="0"/>
    </xf>
    <xf numFmtId="180" fontId="115" fillId="0" borderId="17" xfId="0" applyNumberFormat="1" applyFont="1" applyBorder="1" applyProtection="1">
      <protection locked="0"/>
    </xf>
    <xf numFmtId="0" fontId="67" fillId="0" borderId="54" xfId="0" applyFont="1" applyBorder="1" applyAlignment="1"/>
    <xf numFmtId="183" fontId="67" fillId="0" borderId="53" xfId="0" applyNumberFormat="1" applyFont="1" applyBorder="1" applyAlignment="1"/>
    <xf numFmtId="183" fontId="107" fillId="0" borderId="51" xfId="0" applyNumberFormat="1" applyFont="1" applyBorder="1" applyAlignment="1"/>
    <xf numFmtId="0" fontId="126" fillId="0" borderId="54" xfId="0" applyFont="1" applyBorder="1" applyAlignment="1"/>
    <xf numFmtId="180" fontId="117" fillId="19" borderId="8" xfId="0" quotePrefix="1" applyNumberFormat="1" applyFont="1" applyFill="1" applyBorder="1" applyProtection="1">
      <protection locked="0"/>
    </xf>
    <xf numFmtId="180" fontId="117" fillId="19" borderId="17" xfId="0" applyNumberFormat="1" applyFont="1" applyFill="1" applyBorder="1" applyProtection="1">
      <protection locked="0"/>
    </xf>
    <xf numFmtId="180" fontId="115" fillId="19" borderId="17" xfId="0" applyNumberFormat="1" applyFont="1" applyFill="1" applyBorder="1" applyProtection="1">
      <protection locked="0"/>
    </xf>
    <xf numFmtId="180" fontId="115" fillId="22" borderId="17" xfId="0" applyNumberFormat="1" applyFont="1" applyFill="1" applyBorder="1" applyProtection="1">
      <protection locked="0"/>
    </xf>
    <xf numFmtId="180" fontId="115" fillId="21" borderId="2" xfId="0" applyNumberFormat="1" applyFont="1" applyFill="1" applyBorder="1" applyProtection="1">
      <protection locked="0"/>
    </xf>
    <xf numFmtId="180" fontId="117" fillId="2" borderId="8" xfId="0" quotePrefix="1" applyNumberFormat="1" applyFont="1" applyFill="1" applyBorder="1" applyProtection="1">
      <protection locked="0"/>
    </xf>
    <xf numFmtId="180" fontId="117" fillId="20" borderId="8" xfId="0" applyNumberFormat="1" applyFont="1" applyFill="1" applyBorder="1" applyProtection="1">
      <protection locked="0"/>
    </xf>
    <xf numFmtId="180" fontId="115" fillId="20" borderId="9" xfId="0" applyNumberFormat="1" applyFont="1" applyFill="1" applyBorder="1" applyProtection="1">
      <protection locked="0"/>
    </xf>
    <xf numFmtId="180" fontId="117" fillId="0" borderId="8" xfId="0" quotePrefix="1" applyNumberFormat="1" applyFont="1" applyBorder="1" applyProtection="1">
      <protection locked="0"/>
    </xf>
    <xf numFmtId="183" fontId="123" fillId="0" borderId="50" xfId="3" applyNumberFormat="1" applyFont="1" applyFill="1" applyBorder="1" applyAlignment="1"/>
    <xf numFmtId="0" fontId="42" fillId="0" borderId="54" xfId="0" applyFont="1" applyBorder="1"/>
    <xf numFmtId="0" fontId="42" fillId="0" borderId="16" xfId="0" applyFont="1" applyBorder="1"/>
    <xf numFmtId="0" fontId="42" fillId="0" borderId="66" xfId="0" applyFont="1" applyBorder="1"/>
    <xf numFmtId="0" fontId="42" fillId="0" borderId="53" xfId="0" applyFont="1" applyBorder="1"/>
    <xf numFmtId="0" fontId="42" fillId="0" borderId="51" xfId="0" applyFont="1" applyBorder="1"/>
    <xf numFmtId="0" fontId="0" fillId="0" borderId="0" xfId="0" applyFont="1" applyBorder="1"/>
    <xf numFmtId="183" fontId="126" fillId="0" borderId="66" xfId="0" applyNumberFormat="1" applyFont="1" applyBorder="1" applyAlignment="1"/>
    <xf numFmtId="180" fontId="115" fillId="2" borderId="7" xfId="0" applyNumberFormat="1" applyFont="1" applyFill="1" applyBorder="1" applyProtection="1">
      <protection locked="0"/>
    </xf>
    <xf numFmtId="0" fontId="68" fillId="0" borderId="50" xfId="0" applyFont="1" applyBorder="1" applyAlignment="1"/>
    <xf numFmtId="0" fontId="126" fillId="0" borderId="50" xfId="0" applyFont="1" applyBorder="1" applyAlignment="1"/>
    <xf numFmtId="180" fontId="55" fillId="40" borderId="8" xfId="0" applyNumberFormat="1" applyFont="1" applyFill="1" applyBorder="1" applyAlignment="1" applyProtection="1">
      <alignment horizontal="left"/>
      <protection locked="0"/>
    </xf>
    <xf numFmtId="180" fontId="55" fillId="40" borderId="8" xfId="0" applyNumberFormat="1" applyFont="1" applyFill="1" applyBorder="1" applyProtection="1">
      <protection locked="0"/>
    </xf>
    <xf numFmtId="180" fontId="58" fillId="40" borderId="58" xfId="0" applyNumberFormat="1" applyFont="1" applyFill="1" applyBorder="1" applyProtection="1">
      <protection locked="0"/>
    </xf>
    <xf numFmtId="180" fontId="58" fillId="40" borderId="52" xfId="0" applyNumberFormat="1" applyFont="1" applyFill="1" applyBorder="1" applyProtection="1">
      <protection locked="0"/>
    </xf>
    <xf numFmtId="180" fontId="8" fillId="0" borderId="61" xfId="0" applyNumberFormat="1" applyFont="1" applyBorder="1" applyProtection="1">
      <protection locked="0"/>
    </xf>
    <xf numFmtId="180" fontId="56" fillId="0" borderId="61" xfId="0" applyNumberFormat="1" applyFont="1" applyBorder="1" applyProtection="1">
      <protection locked="0"/>
    </xf>
    <xf numFmtId="180" fontId="56" fillId="2" borderId="61" xfId="0" applyNumberFormat="1" applyFont="1" applyFill="1" applyBorder="1" applyProtection="1">
      <protection locked="0"/>
    </xf>
    <xf numFmtId="180" fontId="56" fillId="14" borderId="61" xfId="0" applyNumberFormat="1" applyFont="1" applyFill="1" applyBorder="1" applyProtection="1">
      <protection locked="0"/>
    </xf>
    <xf numFmtId="180" fontId="56" fillId="13" borderId="61" xfId="0" applyNumberFormat="1" applyFont="1" applyFill="1" applyBorder="1" applyProtection="1">
      <protection locked="0"/>
    </xf>
    <xf numFmtId="180" fontId="56" fillId="5" borderId="61" xfId="0" applyNumberFormat="1" applyFont="1" applyFill="1" applyBorder="1" applyProtection="1">
      <protection locked="0"/>
    </xf>
    <xf numFmtId="180" fontId="121" fillId="2" borderId="17" xfId="0" applyNumberFormat="1" applyFont="1" applyFill="1" applyBorder="1" applyProtection="1">
      <protection locked="0"/>
    </xf>
    <xf numFmtId="180" fontId="115" fillId="2" borderId="17" xfId="0" applyNumberFormat="1" applyFont="1" applyFill="1" applyBorder="1" applyProtection="1">
      <protection locked="0"/>
    </xf>
    <xf numFmtId="180" fontId="56" fillId="15" borderId="65" xfId="0" applyNumberFormat="1" applyFont="1" applyFill="1" applyBorder="1" applyProtection="1">
      <protection locked="0"/>
    </xf>
    <xf numFmtId="180" fontId="0" fillId="15" borderId="65" xfId="0" applyNumberFormat="1" applyFont="1" applyFill="1" applyBorder="1" applyProtection="1">
      <protection locked="0"/>
    </xf>
    <xf numFmtId="180" fontId="69" fillId="18" borderId="65" xfId="3" applyNumberFormat="1" applyFont="1" applyBorder="1" applyProtection="1">
      <protection locked="0"/>
    </xf>
    <xf numFmtId="180" fontId="56" fillId="15" borderId="25" xfId="0" applyNumberFormat="1" applyFont="1" applyFill="1" applyBorder="1" applyProtection="1">
      <protection locked="0"/>
    </xf>
    <xf numFmtId="180" fontId="69" fillId="0" borderId="0" xfId="3" applyNumberFormat="1" applyFont="1" applyFill="1" applyBorder="1" applyProtection="1">
      <protection locked="0"/>
    </xf>
    <xf numFmtId="180" fontId="166" fillId="18" borderId="7" xfId="3" applyNumberFormat="1" applyFont="1" applyBorder="1" applyProtection="1">
      <protection locked="0"/>
    </xf>
    <xf numFmtId="180" fontId="115" fillId="19" borderId="19" xfId="0" applyNumberFormat="1" applyFont="1" applyFill="1" applyBorder="1" applyProtection="1">
      <protection locked="0"/>
    </xf>
    <xf numFmtId="0" fontId="41" fillId="19" borderId="0" xfId="0" applyFont="1" applyFill="1" applyBorder="1" applyAlignment="1">
      <alignment vertical="center"/>
    </xf>
    <xf numFmtId="0" fontId="104" fillId="19" borderId="0" xfId="0" applyFont="1" applyFill="1" applyBorder="1"/>
    <xf numFmtId="0" fontId="104" fillId="0" borderId="0" xfId="0" applyFont="1" applyBorder="1"/>
    <xf numFmtId="0" fontId="104" fillId="0" borderId="0" xfId="0" applyFont="1" applyBorder="1" applyAlignment="1">
      <alignment horizontal="center"/>
    </xf>
    <xf numFmtId="0" fontId="167" fillId="0" borderId="58" xfId="0" applyFont="1" applyBorder="1" applyAlignment="1">
      <alignment horizontal="center"/>
    </xf>
    <xf numFmtId="0" fontId="167" fillId="0" borderId="29" xfId="0" applyFont="1" applyBorder="1" applyAlignment="1">
      <alignment horizontal="center"/>
    </xf>
    <xf numFmtId="0" fontId="167" fillId="0" borderId="13" xfId="0" applyFont="1" applyBorder="1" applyAlignment="1">
      <alignment horizontal="center"/>
    </xf>
    <xf numFmtId="0" fontId="167" fillId="0" borderId="30" xfId="0" applyFont="1" applyBorder="1" applyAlignment="1">
      <alignment horizontal="center"/>
    </xf>
    <xf numFmtId="0" fontId="167" fillId="0" borderId="29" xfId="0" applyFont="1" applyFill="1" applyBorder="1" applyAlignment="1">
      <alignment horizontal="center"/>
    </xf>
    <xf numFmtId="0" fontId="167" fillId="0" borderId="52" xfId="0" applyFont="1" applyFill="1" applyBorder="1" applyAlignment="1">
      <alignment horizontal="center"/>
    </xf>
    <xf numFmtId="0" fontId="104" fillId="0" borderId="40" xfId="0" applyFont="1" applyBorder="1"/>
    <xf numFmtId="0" fontId="104" fillId="0" borderId="64" xfId="0" applyFont="1" applyBorder="1"/>
    <xf numFmtId="0" fontId="104" fillId="41" borderId="39" xfId="0" applyFont="1" applyFill="1" applyBorder="1" applyAlignment="1">
      <alignment horizontal="center"/>
    </xf>
    <xf numFmtId="183" fontId="104" fillId="41" borderId="5" xfId="0" applyNumberFormat="1" applyFont="1" applyFill="1" applyBorder="1" applyAlignment="1">
      <alignment horizontal="center"/>
    </xf>
    <xf numFmtId="0" fontId="104" fillId="19" borderId="68" xfId="0" applyFont="1" applyFill="1" applyBorder="1" applyAlignment="1">
      <alignment horizontal="center"/>
    </xf>
    <xf numFmtId="0" fontId="104" fillId="0" borderId="39" xfId="0" applyFont="1" applyBorder="1" applyAlignment="1">
      <alignment horizontal="center"/>
    </xf>
    <xf numFmtId="0" fontId="104" fillId="0" borderId="67" xfId="0" applyFont="1" applyBorder="1" applyAlignment="1">
      <alignment horizontal="center"/>
    </xf>
    <xf numFmtId="0" fontId="104" fillId="0" borderId="25" xfId="0" applyFont="1" applyBorder="1"/>
    <xf numFmtId="0" fontId="104" fillId="19" borderId="23" xfId="0" applyFont="1" applyFill="1" applyBorder="1"/>
    <xf numFmtId="0" fontId="104" fillId="41" borderId="41" xfId="0" applyFont="1" applyFill="1" applyBorder="1" applyAlignment="1">
      <alignment horizontal="center"/>
    </xf>
    <xf numFmtId="183" fontId="104" fillId="41" borderId="8" xfId="0" applyNumberFormat="1" applyFont="1" applyFill="1" applyBorder="1" applyAlignment="1">
      <alignment horizontal="center"/>
    </xf>
    <xf numFmtId="183" fontId="104" fillId="19" borderId="68" xfId="0" applyNumberFormat="1" applyFont="1" applyFill="1" applyBorder="1" applyAlignment="1">
      <alignment horizontal="center"/>
    </xf>
    <xf numFmtId="0" fontId="104" fillId="0" borderId="41" xfId="0" applyFont="1" applyBorder="1" applyAlignment="1">
      <alignment horizontal="center"/>
    </xf>
    <xf numFmtId="0" fontId="104" fillId="0" borderId="24" xfId="0" applyFont="1" applyBorder="1" applyAlignment="1">
      <alignment horizontal="center"/>
    </xf>
    <xf numFmtId="0" fontId="104" fillId="0" borderId="23" xfId="0" applyFont="1" applyBorder="1"/>
    <xf numFmtId="183" fontId="104" fillId="41" borderId="57" xfId="0" applyNumberFormat="1" applyFont="1" applyFill="1" applyBorder="1" applyAlignment="1">
      <alignment horizontal="center"/>
    </xf>
    <xf numFmtId="0" fontId="104" fillId="41" borderId="24" xfId="0" applyFont="1" applyFill="1" applyBorder="1" applyAlignment="1">
      <alignment horizontal="center"/>
    </xf>
    <xf numFmtId="183" fontId="104" fillId="19" borderId="65" xfId="0" applyNumberFormat="1" applyFont="1" applyFill="1" applyBorder="1" applyAlignment="1">
      <alignment horizontal="center"/>
    </xf>
    <xf numFmtId="183" fontId="104" fillId="19" borderId="2" xfId="0" applyNumberFormat="1" applyFont="1" applyFill="1" applyBorder="1" applyAlignment="1">
      <alignment horizontal="center"/>
    </xf>
    <xf numFmtId="183" fontId="104" fillId="19" borderId="69" xfId="0" applyNumberFormat="1" applyFont="1" applyFill="1" applyBorder="1" applyAlignment="1">
      <alignment horizontal="center"/>
    </xf>
    <xf numFmtId="0" fontId="104" fillId="19" borderId="25" xfId="0" applyFont="1" applyFill="1" applyBorder="1" applyAlignment="1">
      <alignment horizontal="center"/>
    </xf>
    <xf numFmtId="183" fontId="104" fillId="19" borderId="3" xfId="0" applyNumberFormat="1" applyFont="1" applyFill="1" applyBorder="1" applyAlignment="1">
      <alignment horizontal="center"/>
    </xf>
    <xf numFmtId="183" fontId="104" fillId="19" borderId="26" xfId="0" applyNumberFormat="1" applyFont="1" applyFill="1" applyBorder="1" applyAlignment="1">
      <alignment horizontal="center"/>
    </xf>
    <xf numFmtId="0" fontId="104" fillId="0" borderId="55" xfId="0" applyFont="1" applyBorder="1" applyAlignment="1">
      <alignment horizontal="center"/>
    </xf>
    <xf numFmtId="0" fontId="104" fillId="0" borderId="38" xfId="0" applyFont="1" applyBorder="1" applyAlignment="1">
      <alignment horizontal="center"/>
    </xf>
    <xf numFmtId="0" fontId="104" fillId="19" borderId="64" xfId="0" applyFont="1" applyFill="1" applyBorder="1" applyAlignment="1">
      <alignment horizontal="center"/>
    </xf>
    <xf numFmtId="183" fontId="104" fillId="19" borderId="1" xfId="0" applyNumberFormat="1" applyFont="1" applyFill="1" applyBorder="1" applyAlignment="1">
      <alignment horizontal="center"/>
    </xf>
    <xf numFmtId="183" fontId="104" fillId="19" borderId="67" xfId="0" applyNumberFormat="1" applyFont="1" applyFill="1" applyBorder="1" applyAlignment="1">
      <alignment horizontal="center"/>
    </xf>
    <xf numFmtId="183" fontId="104" fillId="19" borderId="39" xfId="0" applyNumberFormat="1" applyFont="1" applyFill="1" applyBorder="1" applyAlignment="1">
      <alignment horizontal="center"/>
    </xf>
    <xf numFmtId="0" fontId="104" fillId="41" borderId="23" xfId="0" applyFont="1" applyFill="1" applyBorder="1"/>
    <xf numFmtId="183" fontId="104" fillId="41" borderId="41" xfId="0" applyNumberFormat="1" applyFont="1" applyFill="1" applyBorder="1" applyAlignment="1">
      <alignment horizontal="center"/>
    </xf>
    <xf numFmtId="183" fontId="104" fillId="41" borderId="9" xfId="0" applyNumberFormat="1" applyFont="1" applyFill="1" applyBorder="1" applyAlignment="1">
      <alignment horizontal="center"/>
    </xf>
    <xf numFmtId="183" fontId="104" fillId="41" borderId="68" xfId="0" applyNumberFormat="1" applyFont="1" applyFill="1" applyBorder="1" applyAlignment="1">
      <alignment horizontal="center"/>
    </xf>
    <xf numFmtId="183" fontId="104" fillId="41" borderId="65" xfId="0" applyNumberFormat="1" applyFont="1" applyFill="1" applyBorder="1" applyAlignment="1">
      <alignment horizontal="center"/>
    </xf>
    <xf numFmtId="183" fontId="104" fillId="41" borderId="2" xfId="0" applyNumberFormat="1" applyFont="1" applyFill="1" applyBorder="1" applyAlignment="1">
      <alignment horizontal="center"/>
    </xf>
    <xf numFmtId="183" fontId="104" fillId="41" borderId="42" xfId="0" applyNumberFormat="1" applyFont="1" applyFill="1" applyBorder="1" applyAlignment="1">
      <alignment horizontal="center"/>
    </xf>
    <xf numFmtId="183" fontId="104" fillId="19" borderId="23" xfId="0" applyNumberFormat="1" applyFont="1" applyFill="1" applyBorder="1" applyAlignment="1">
      <alignment horizontal="right"/>
    </xf>
    <xf numFmtId="187" fontId="104" fillId="19" borderId="15" xfId="0" applyNumberFormat="1" applyFont="1" applyFill="1" applyBorder="1" applyAlignment="1">
      <alignment horizontal="left"/>
    </xf>
    <xf numFmtId="183" fontId="104" fillId="19" borderId="24" xfId="0" applyNumberFormat="1" applyFont="1" applyFill="1" applyBorder="1" applyAlignment="1">
      <alignment horizontal="center"/>
    </xf>
    <xf numFmtId="183" fontId="104" fillId="19" borderId="41" xfId="0" applyNumberFormat="1" applyFont="1" applyFill="1" applyBorder="1" applyAlignment="1">
      <alignment horizontal="center"/>
    </xf>
    <xf numFmtId="183" fontId="104" fillId="41" borderId="39" xfId="0" applyNumberFormat="1" applyFont="1" applyFill="1" applyBorder="1" applyAlignment="1">
      <alignment horizontal="center"/>
    </xf>
    <xf numFmtId="0" fontId="103" fillId="0" borderId="64" xfId="0" applyFont="1" applyBorder="1"/>
    <xf numFmtId="0" fontId="104" fillId="19" borderId="65" xfId="0" applyFont="1" applyFill="1" applyBorder="1" applyAlignment="1">
      <alignment horizontal="center"/>
    </xf>
    <xf numFmtId="0" fontId="104" fillId="41" borderId="26" xfId="0" applyFont="1" applyFill="1" applyBorder="1" applyAlignment="1">
      <alignment horizontal="center"/>
    </xf>
    <xf numFmtId="0" fontId="104" fillId="19" borderId="41" xfId="0" applyFont="1" applyFill="1" applyBorder="1" applyAlignment="1">
      <alignment horizontal="center"/>
    </xf>
    <xf numFmtId="183" fontId="104" fillId="19" borderId="9" xfId="0" applyNumberFormat="1" applyFont="1" applyFill="1" applyBorder="1" applyAlignment="1">
      <alignment horizontal="center"/>
    </xf>
    <xf numFmtId="0" fontId="104" fillId="0" borderId="23" xfId="0" applyFont="1" applyBorder="1" applyAlignment="1">
      <alignment horizontal="center"/>
    </xf>
    <xf numFmtId="0" fontId="103" fillId="0" borderId="40" xfId="0" applyFont="1" applyBorder="1"/>
    <xf numFmtId="183" fontId="104" fillId="19" borderId="23" xfId="0" applyNumberFormat="1" applyFont="1" applyFill="1" applyBorder="1" applyAlignment="1">
      <alignment horizontal="center"/>
    </xf>
    <xf numFmtId="183" fontId="104" fillId="41" borderId="23" xfId="0" applyNumberFormat="1" applyFont="1" applyFill="1" applyBorder="1" applyAlignment="1">
      <alignment horizontal="center"/>
    </xf>
    <xf numFmtId="0" fontId="169" fillId="0" borderId="23" xfId="0" applyFont="1" applyBorder="1"/>
    <xf numFmtId="183" fontId="104" fillId="41" borderId="15" xfId="0" applyNumberFormat="1" applyFont="1" applyFill="1" applyBorder="1" applyAlignment="1">
      <alignment horizontal="center"/>
    </xf>
    <xf numFmtId="0" fontId="104" fillId="19" borderId="67" xfId="0" applyFont="1" applyFill="1" applyBorder="1" applyAlignment="1">
      <alignment horizontal="center"/>
    </xf>
    <xf numFmtId="183" fontId="104" fillId="19" borderId="15" xfId="0" applyNumberFormat="1" applyFont="1" applyFill="1" applyBorder="1" applyAlignment="1">
      <alignment horizontal="center"/>
    </xf>
    <xf numFmtId="0" fontId="104" fillId="19" borderId="24" xfId="0" applyFont="1" applyFill="1" applyBorder="1" applyAlignment="1">
      <alignment horizontal="center"/>
    </xf>
    <xf numFmtId="0" fontId="104" fillId="41" borderId="65" xfId="0" applyFont="1" applyFill="1" applyBorder="1" applyAlignment="1">
      <alignment horizontal="center"/>
    </xf>
    <xf numFmtId="183" fontId="104" fillId="0" borderId="42" xfId="0" applyNumberFormat="1" applyFont="1" applyFill="1" applyBorder="1" applyAlignment="1">
      <alignment horizontal="center"/>
    </xf>
    <xf numFmtId="0" fontId="169" fillId="0" borderId="25" xfId="0" applyFont="1" applyBorder="1"/>
    <xf numFmtId="183" fontId="104" fillId="19" borderId="42" xfId="0" applyNumberFormat="1" applyFont="1" applyFill="1" applyBorder="1" applyAlignment="1">
      <alignment horizontal="center"/>
    </xf>
    <xf numFmtId="0" fontId="104" fillId="0" borderId="65" xfId="0" applyFont="1" applyBorder="1" applyAlignment="1">
      <alignment horizontal="center"/>
    </xf>
    <xf numFmtId="0" fontId="104" fillId="0" borderId="26" xfId="0" applyFont="1" applyBorder="1" applyAlignment="1">
      <alignment horizontal="center"/>
    </xf>
    <xf numFmtId="182" fontId="103" fillId="19" borderId="39" xfId="0" applyNumberFormat="1" applyFont="1" applyFill="1" applyBorder="1" applyAlignment="1">
      <alignment horizontal="center"/>
    </xf>
    <xf numFmtId="0" fontId="103" fillId="19" borderId="1" xfId="0" applyFont="1" applyFill="1" applyBorder="1" applyAlignment="1">
      <alignment horizontal="center"/>
    </xf>
    <xf numFmtId="0" fontId="103" fillId="19" borderId="68" xfId="0" applyFont="1" applyFill="1" applyBorder="1" applyAlignment="1">
      <alignment horizontal="center"/>
    </xf>
    <xf numFmtId="0" fontId="169" fillId="19" borderId="25" xfId="0" applyFont="1" applyFill="1" applyBorder="1"/>
    <xf numFmtId="0" fontId="104" fillId="19" borderId="25" xfId="0" applyFont="1" applyFill="1" applyBorder="1"/>
    <xf numFmtId="183" fontId="104" fillId="41" borderId="17" xfId="0" applyNumberFormat="1" applyFont="1" applyFill="1" applyBorder="1" applyAlignment="1">
      <alignment horizontal="center"/>
    </xf>
    <xf numFmtId="183" fontId="104" fillId="0" borderId="24" xfId="0" applyNumberFormat="1" applyFont="1" applyFill="1" applyBorder="1" applyAlignment="1">
      <alignment horizontal="center"/>
    </xf>
    <xf numFmtId="0" fontId="103" fillId="19" borderId="40" xfId="0" applyFont="1" applyFill="1" applyBorder="1"/>
    <xf numFmtId="0" fontId="104" fillId="19" borderId="40" xfId="0" applyFont="1" applyFill="1" applyBorder="1"/>
    <xf numFmtId="0" fontId="103" fillId="0" borderId="0" xfId="0" applyFont="1" applyFill="1" applyBorder="1"/>
    <xf numFmtId="0" fontId="103" fillId="0" borderId="38" xfId="0" applyFont="1" applyFill="1" applyBorder="1"/>
    <xf numFmtId="0" fontId="172" fillId="41" borderId="40" xfId="0" applyFont="1" applyFill="1" applyBorder="1" applyAlignment="1">
      <alignment horizontal="left"/>
    </xf>
    <xf numFmtId="0" fontId="172" fillId="41" borderId="38" xfId="0" applyFont="1" applyFill="1" applyBorder="1" applyAlignment="1">
      <alignment horizontal="center"/>
    </xf>
    <xf numFmtId="0" fontId="103" fillId="19" borderId="27" xfId="0" applyFont="1" applyFill="1" applyBorder="1"/>
    <xf numFmtId="0" fontId="104" fillId="19" borderId="73" xfId="0" applyFont="1" applyFill="1" applyBorder="1"/>
    <xf numFmtId="183" fontId="104" fillId="41" borderId="75" xfId="0" applyNumberFormat="1" applyFont="1" applyFill="1" applyBorder="1" applyAlignment="1">
      <alignment horizontal="center"/>
    </xf>
    <xf numFmtId="0" fontId="103" fillId="0" borderId="28" xfId="0" applyFont="1" applyFill="1" applyBorder="1"/>
    <xf numFmtId="0" fontId="104" fillId="19" borderId="27" xfId="0" applyFont="1" applyFill="1" applyBorder="1" applyAlignment="1">
      <alignment horizontal="center"/>
    </xf>
    <xf numFmtId="0" fontId="104" fillId="0" borderId="28" xfId="0" applyFont="1" applyBorder="1" applyAlignment="1">
      <alignment horizontal="center"/>
    </xf>
    <xf numFmtId="0" fontId="167" fillId="0" borderId="0" xfId="0" applyFont="1" applyBorder="1" applyAlignment="1">
      <alignment horizontal="center"/>
    </xf>
    <xf numFmtId="0" fontId="103" fillId="19" borderId="0" xfId="0" applyFont="1" applyFill="1" applyBorder="1" applyAlignment="1">
      <alignment horizontal="left"/>
    </xf>
    <xf numFmtId="182" fontId="103" fillId="19" borderId="0" xfId="0" applyNumberFormat="1" applyFont="1" applyFill="1" applyBorder="1" applyAlignment="1">
      <alignment horizontal="center"/>
    </xf>
    <xf numFmtId="0" fontId="103" fillId="19" borderId="0" xfId="0" applyFont="1" applyFill="1" applyBorder="1" applyAlignment="1">
      <alignment horizontal="center"/>
    </xf>
    <xf numFmtId="0" fontId="104" fillId="19" borderId="0" xfId="0" applyFont="1" applyFill="1" applyAlignment="1">
      <alignment horizontal="center"/>
    </xf>
    <xf numFmtId="0" fontId="167" fillId="0" borderId="76" xfId="0" applyFont="1" applyBorder="1" applyAlignment="1">
      <alignment horizontal="center"/>
    </xf>
    <xf numFmtId="0" fontId="167" fillId="0" borderId="56" xfId="0" applyFont="1" applyBorder="1" applyAlignment="1">
      <alignment horizontal="center"/>
    </xf>
    <xf numFmtId="0" fontId="167" fillId="19" borderId="76" xfId="0" applyFont="1" applyFill="1" applyBorder="1" applyAlignment="1">
      <alignment horizontal="center"/>
    </xf>
    <xf numFmtId="0" fontId="167" fillId="19" borderId="43" xfId="0" applyFont="1" applyFill="1" applyBorder="1" applyAlignment="1">
      <alignment horizontal="center"/>
    </xf>
    <xf numFmtId="0" fontId="169" fillId="0" borderId="55" xfId="0" applyFont="1" applyBorder="1"/>
    <xf numFmtId="0" fontId="104" fillId="19" borderId="39" xfId="0" applyFont="1" applyFill="1" applyBorder="1" applyAlignment="1">
      <alignment horizontal="center"/>
    </xf>
    <xf numFmtId="0" fontId="104" fillId="0" borderId="41" xfId="0" applyFont="1" applyBorder="1"/>
    <xf numFmtId="0" fontId="104" fillId="19" borderId="3" xfId="0" applyFont="1" applyFill="1" applyBorder="1"/>
    <xf numFmtId="183" fontId="104" fillId="41" borderId="25" xfId="0" applyNumberFormat="1" applyFont="1" applyFill="1" applyBorder="1" applyAlignment="1">
      <alignment horizontal="center"/>
    </xf>
    <xf numFmtId="0" fontId="169" fillId="0" borderId="40" xfId="0" applyFont="1" applyBorder="1"/>
    <xf numFmtId="0" fontId="104" fillId="19" borderId="2" xfId="0" applyFont="1" applyFill="1" applyBorder="1"/>
    <xf numFmtId="0" fontId="104" fillId="19" borderId="26" xfId="0" applyFont="1" applyFill="1" applyBorder="1" applyAlignment="1">
      <alignment horizontal="center"/>
    </xf>
    <xf numFmtId="0" fontId="104" fillId="0" borderId="7" xfId="0" applyFont="1" applyBorder="1"/>
    <xf numFmtId="0" fontId="104" fillId="41" borderId="55" xfId="0" applyFont="1" applyFill="1" applyBorder="1" applyAlignment="1">
      <alignment horizontal="center"/>
    </xf>
    <xf numFmtId="183" fontId="104" fillId="41" borderId="19" xfId="0" applyNumberFormat="1" applyFont="1" applyFill="1" applyBorder="1" applyAlignment="1">
      <alignment horizontal="center"/>
    </xf>
    <xf numFmtId="0" fontId="169" fillId="0" borderId="65" xfId="0" applyFont="1" applyBorder="1"/>
    <xf numFmtId="0" fontId="104" fillId="0" borderId="2" xfId="0" applyFont="1" applyBorder="1"/>
    <xf numFmtId="183" fontId="104" fillId="41" borderId="18" xfId="0" applyNumberFormat="1" applyFont="1" applyFill="1" applyBorder="1" applyAlignment="1">
      <alignment horizontal="center"/>
    </xf>
    <xf numFmtId="183" fontId="104" fillId="41" borderId="38" xfId="0" applyNumberFormat="1" applyFont="1" applyFill="1" applyBorder="1" applyAlignment="1">
      <alignment horizontal="center"/>
    </xf>
    <xf numFmtId="0" fontId="169" fillId="0" borderId="39" xfId="0" applyFont="1" applyBorder="1"/>
    <xf numFmtId="0" fontId="104" fillId="0" borderId="5" xfId="0" applyFont="1" applyBorder="1"/>
    <xf numFmtId="183" fontId="104" fillId="19" borderId="6" xfId="0" applyNumberFormat="1" applyFont="1" applyFill="1" applyBorder="1" applyAlignment="1">
      <alignment horizontal="center"/>
    </xf>
    <xf numFmtId="183" fontId="104" fillId="41" borderId="69" xfId="0" applyNumberFormat="1" applyFont="1" applyFill="1" applyBorder="1" applyAlignment="1">
      <alignment horizontal="center"/>
    </xf>
    <xf numFmtId="0" fontId="104" fillId="0" borderId="1" xfId="0" applyFont="1" applyBorder="1"/>
    <xf numFmtId="183" fontId="104" fillId="19" borderId="19" xfId="0" applyNumberFormat="1" applyFont="1" applyFill="1" applyBorder="1" applyAlignment="1">
      <alignment horizontal="center"/>
    </xf>
    <xf numFmtId="0" fontId="104" fillId="0" borderId="15" xfId="0" applyFont="1" applyFill="1" applyBorder="1"/>
    <xf numFmtId="0" fontId="104" fillId="19" borderId="19" xfId="0" applyFont="1" applyFill="1" applyBorder="1" applyAlignment="1">
      <alignment horizontal="center"/>
    </xf>
    <xf numFmtId="0" fontId="103" fillId="0" borderId="55" xfId="0" applyFont="1" applyBorder="1"/>
    <xf numFmtId="0" fontId="104" fillId="19" borderId="55" xfId="0" applyFont="1" applyFill="1" applyBorder="1" applyAlignment="1">
      <alignment horizontal="center"/>
    </xf>
    <xf numFmtId="183" fontId="104" fillId="19" borderId="18" xfId="0" applyNumberFormat="1" applyFont="1" applyFill="1" applyBorder="1" applyAlignment="1">
      <alignment horizontal="center"/>
    </xf>
    <xf numFmtId="183" fontId="104" fillId="19" borderId="17" xfId="0" applyNumberFormat="1" applyFont="1" applyFill="1" applyBorder="1" applyAlignment="1">
      <alignment horizontal="center"/>
    </xf>
    <xf numFmtId="0" fontId="104" fillId="0" borderId="25" xfId="0" applyFont="1" applyBorder="1" applyAlignment="1">
      <alignment horizontal="center"/>
    </xf>
    <xf numFmtId="0" fontId="104" fillId="0" borderId="42" xfId="0" applyFont="1" applyBorder="1" applyAlignment="1">
      <alignment horizontal="center"/>
    </xf>
    <xf numFmtId="0" fontId="104" fillId="19" borderId="5" xfId="0" applyFont="1" applyFill="1" applyBorder="1"/>
    <xf numFmtId="183" fontId="104" fillId="19" borderId="38" xfId="0" applyNumberFormat="1" applyFont="1" applyFill="1" applyBorder="1" applyAlignment="1">
      <alignment horizontal="center"/>
    </xf>
    <xf numFmtId="0" fontId="104" fillId="0" borderId="64" xfId="0" applyFont="1" applyBorder="1" applyAlignment="1">
      <alignment horizontal="center"/>
    </xf>
    <xf numFmtId="0" fontId="104" fillId="0" borderId="69" xfId="0" applyFont="1" applyBorder="1" applyAlignment="1">
      <alignment horizontal="center"/>
    </xf>
    <xf numFmtId="0" fontId="104" fillId="0" borderId="65" xfId="0" applyFont="1" applyBorder="1"/>
    <xf numFmtId="183" fontId="104" fillId="19" borderId="55" xfId="0" applyNumberFormat="1" applyFont="1" applyFill="1" applyBorder="1" applyAlignment="1">
      <alignment horizontal="center"/>
    </xf>
    <xf numFmtId="0" fontId="104" fillId="0" borderId="55" xfId="0" applyFont="1" applyBorder="1"/>
    <xf numFmtId="0" fontId="104" fillId="0" borderId="68" xfId="0" applyFont="1" applyBorder="1" applyAlignment="1">
      <alignment horizontal="center"/>
    </xf>
    <xf numFmtId="0" fontId="167" fillId="0" borderId="55" xfId="0" applyFont="1" applyBorder="1"/>
    <xf numFmtId="183" fontId="104" fillId="19" borderId="7" xfId="0" applyNumberFormat="1" applyFont="1" applyFill="1" applyBorder="1" applyAlignment="1">
      <alignment horizontal="center"/>
    </xf>
    <xf numFmtId="0" fontId="104" fillId="0" borderId="3" xfId="0" applyFont="1" applyBorder="1"/>
    <xf numFmtId="0" fontId="104" fillId="0" borderId="39" xfId="0" applyFont="1" applyBorder="1"/>
    <xf numFmtId="0" fontId="104" fillId="19" borderId="55" xfId="0" applyFont="1" applyFill="1" applyBorder="1"/>
    <xf numFmtId="0" fontId="104" fillId="0" borderId="9" xfId="0" applyFont="1" applyBorder="1"/>
    <xf numFmtId="0" fontId="104" fillId="19" borderId="39" xfId="0" applyFont="1" applyFill="1" applyBorder="1"/>
    <xf numFmtId="0" fontId="104" fillId="0" borderId="9" xfId="0" applyFont="1" applyFill="1" applyBorder="1"/>
    <xf numFmtId="182" fontId="104" fillId="19" borderId="41" xfId="0" applyNumberFormat="1" applyFont="1" applyFill="1" applyBorder="1" applyAlignment="1">
      <alignment horizontal="center"/>
    </xf>
    <xf numFmtId="0" fontId="173" fillId="19" borderId="0" xfId="0" applyFont="1" applyFill="1" applyBorder="1"/>
    <xf numFmtId="0" fontId="173" fillId="19" borderId="26" xfId="0" applyFont="1" applyFill="1" applyBorder="1" applyAlignment="1">
      <alignment horizontal="center"/>
    </xf>
    <xf numFmtId="0" fontId="173" fillId="19" borderId="38" xfId="0" applyFont="1" applyFill="1" applyBorder="1" applyAlignment="1">
      <alignment horizontal="center"/>
    </xf>
    <xf numFmtId="0" fontId="104" fillId="0" borderId="57" xfId="0" applyFont="1" applyBorder="1"/>
    <xf numFmtId="182" fontId="104" fillId="19" borderId="65" xfId="0" applyNumberFormat="1" applyFont="1" applyFill="1" applyBorder="1" applyAlignment="1">
      <alignment horizontal="center"/>
    </xf>
    <xf numFmtId="0" fontId="173" fillId="19" borderId="67" xfId="0" applyFont="1" applyFill="1" applyBorder="1" applyAlignment="1">
      <alignment horizontal="center"/>
    </xf>
    <xf numFmtId="0" fontId="104" fillId="19" borderId="0" xfId="0" applyFont="1" applyFill="1" applyBorder="1" applyAlignment="1">
      <alignment horizontal="left" vertical="center"/>
    </xf>
    <xf numFmtId="183" fontId="104" fillId="19" borderId="40" xfId="0" applyNumberFormat="1" applyFont="1" applyFill="1" applyBorder="1" applyAlignment="1">
      <alignment horizontal="center"/>
    </xf>
    <xf numFmtId="0" fontId="103" fillId="19" borderId="69" xfId="0" applyFont="1" applyFill="1" applyBorder="1" applyAlignment="1">
      <alignment horizontal="center"/>
    </xf>
    <xf numFmtId="183" fontId="104" fillId="41" borderId="4" xfId="0" applyNumberFormat="1" applyFont="1" applyFill="1" applyBorder="1" applyAlignment="1">
      <alignment horizontal="center"/>
    </xf>
    <xf numFmtId="0" fontId="103" fillId="19" borderId="6" xfId="0" applyFont="1" applyFill="1" applyBorder="1"/>
    <xf numFmtId="0" fontId="104" fillId="19" borderId="7" xfId="0" applyFont="1" applyFill="1" applyBorder="1"/>
    <xf numFmtId="0" fontId="169" fillId="0" borderId="64" xfId="0" applyFont="1" applyBorder="1"/>
    <xf numFmtId="0" fontId="124" fillId="0" borderId="40" xfId="0" applyFont="1" applyBorder="1"/>
    <xf numFmtId="0" fontId="174" fillId="19" borderId="65" xfId="0" applyFont="1" applyFill="1" applyBorder="1" applyAlignment="1">
      <alignment horizontal="center"/>
    </xf>
    <xf numFmtId="0" fontId="104" fillId="0" borderId="44" xfId="0" applyFont="1" applyBorder="1"/>
    <xf numFmtId="0" fontId="104" fillId="19" borderId="32" xfId="0" applyFont="1" applyFill="1" applyBorder="1"/>
    <xf numFmtId="0" fontId="174" fillId="19" borderId="44" xfId="0" applyFont="1" applyFill="1" applyBorder="1" applyAlignment="1">
      <alignment horizontal="center"/>
    </xf>
    <xf numFmtId="0" fontId="103" fillId="19" borderId="45" xfId="0" applyFont="1" applyFill="1" applyBorder="1" applyAlignment="1">
      <alignment horizontal="center"/>
    </xf>
    <xf numFmtId="182" fontId="103" fillId="19" borderId="28" xfId="0" applyNumberFormat="1" applyFont="1" applyFill="1" applyBorder="1" applyAlignment="1">
      <alignment horizontal="center"/>
    </xf>
    <xf numFmtId="0" fontId="104" fillId="19" borderId="44" xfId="0" applyFont="1" applyFill="1" applyBorder="1" applyAlignment="1">
      <alignment horizontal="center"/>
    </xf>
    <xf numFmtId="0" fontId="1" fillId="37" borderId="8" xfId="15" applyFont="1" applyBorder="1" applyAlignment="1">
      <alignment horizontal="center"/>
    </xf>
    <xf numFmtId="180" fontId="79" fillId="5" borderId="8" xfId="0" applyNumberFormat="1" applyFont="1" applyFill="1" applyBorder="1" applyProtection="1">
      <protection locked="0"/>
    </xf>
    <xf numFmtId="180" fontId="77" fillId="2" borderId="8" xfId="0" applyNumberFormat="1" applyFont="1" applyFill="1" applyBorder="1" applyProtection="1">
      <protection locked="0"/>
    </xf>
    <xf numFmtId="180" fontId="79" fillId="0" borderId="8" xfId="0" applyNumberFormat="1" applyFont="1" applyFill="1" applyBorder="1" applyProtection="1">
      <protection locked="0"/>
    </xf>
    <xf numFmtId="180" fontId="79" fillId="13" borderId="19" xfId="0" applyNumberFormat="1" applyFont="1" applyFill="1" applyBorder="1" applyProtection="1">
      <protection locked="0"/>
    </xf>
    <xf numFmtId="0" fontId="0" fillId="0" borderId="0" xfId="0" applyFill="1"/>
    <xf numFmtId="0" fontId="175" fillId="0" borderId="0" xfId="13" applyFont="1" applyBorder="1" applyAlignment="1" applyProtection="1">
      <alignment horizontal="center"/>
      <protection locked="0"/>
    </xf>
    <xf numFmtId="0" fontId="175" fillId="0" borderId="18" xfId="13" applyFont="1" applyBorder="1" applyAlignment="1" applyProtection="1">
      <alignment horizontal="center"/>
      <protection locked="0"/>
    </xf>
    <xf numFmtId="0" fontId="175" fillId="0" borderId="8" xfId="13" applyFont="1" applyBorder="1" applyAlignment="1" applyProtection="1">
      <alignment horizontal="center"/>
      <protection locked="0"/>
    </xf>
    <xf numFmtId="0" fontId="175" fillId="0" borderId="8" xfId="13" applyFont="1" applyFill="1" applyBorder="1" applyAlignment="1" applyProtection="1">
      <alignment horizontal="center"/>
      <protection locked="0"/>
    </xf>
    <xf numFmtId="181" fontId="42" fillId="20" borderId="0" xfId="13" applyNumberFormat="1" applyFont="1" applyFill="1" applyBorder="1"/>
    <xf numFmtId="0" fontId="42" fillId="20" borderId="18" xfId="13" applyFill="1" applyBorder="1"/>
    <xf numFmtId="181" fontId="42" fillId="29" borderId="18" xfId="13" applyNumberFormat="1" applyFill="1" applyBorder="1" applyAlignment="1">
      <alignment horizontal="center"/>
    </xf>
    <xf numFmtId="181" fontId="42" fillId="29" borderId="0" xfId="13" applyNumberFormat="1" applyFill="1" applyBorder="1" applyAlignment="1">
      <alignment horizontal="center"/>
    </xf>
    <xf numFmtId="0" fontId="42" fillId="24" borderId="18" xfId="13" applyFont="1" applyFill="1" applyBorder="1" applyAlignment="1">
      <alignment wrapText="1"/>
    </xf>
    <xf numFmtId="0" fontId="42" fillId="42" borderId="0" xfId="13" applyFont="1" applyFill="1" applyBorder="1" applyAlignment="1">
      <alignment horizontal="center" wrapText="1"/>
    </xf>
    <xf numFmtId="181" fontId="42" fillId="42" borderId="17" xfId="13" applyNumberFormat="1" applyFill="1" applyBorder="1" applyAlignment="1">
      <alignment horizontal="center"/>
    </xf>
    <xf numFmtId="181" fontId="42" fillId="42" borderId="18" xfId="13" applyNumberFormat="1" applyFill="1" applyBorder="1" applyAlignment="1">
      <alignment horizontal="center"/>
    </xf>
    <xf numFmtId="181" fontId="42" fillId="24" borderId="18" xfId="13" applyNumberFormat="1" applyFont="1" applyFill="1" applyBorder="1"/>
    <xf numFmtId="181" fontId="42" fillId="42" borderId="0" xfId="13" applyNumberFormat="1" applyFont="1" applyFill="1" applyBorder="1" applyAlignment="1">
      <alignment horizontal="center"/>
    </xf>
    <xf numFmtId="181" fontId="42" fillId="20" borderId="1" xfId="13" applyNumberFormat="1" applyFont="1" applyFill="1" applyBorder="1"/>
    <xf numFmtId="0" fontId="42" fillId="20" borderId="19" xfId="13" applyFill="1" applyBorder="1"/>
    <xf numFmtId="181" fontId="42" fillId="29" borderId="19" xfId="13" applyNumberFormat="1" applyFill="1" applyBorder="1" applyAlignment="1">
      <alignment horizontal="center"/>
    </xf>
    <xf numFmtId="181" fontId="42" fillId="29" borderId="1" xfId="13" applyNumberFormat="1" applyFill="1" applyBorder="1" applyAlignment="1">
      <alignment horizontal="center"/>
    </xf>
    <xf numFmtId="181" fontId="42" fillId="24" borderId="19" xfId="13" applyNumberFormat="1" applyFont="1" applyFill="1" applyBorder="1"/>
    <xf numFmtId="181" fontId="42" fillId="42" borderId="1" xfId="13" applyNumberFormat="1" applyFont="1" applyFill="1" applyBorder="1" applyAlignment="1">
      <alignment horizontal="center"/>
    </xf>
    <xf numFmtId="181" fontId="42" fillId="42" borderId="19" xfId="13" applyNumberFormat="1" applyFill="1" applyBorder="1" applyAlignment="1">
      <alignment horizontal="center"/>
    </xf>
    <xf numFmtId="0" fontId="42" fillId="20" borderId="0" xfId="13" applyFont="1" applyFill="1" applyBorder="1"/>
    <xf numFmtId="0" fontId="42" fillId="20" borderId="1" xfId="13" applyFont="1" applyFill="1" applyBorder="1"/>
    <xf numFmtId="181" fontId="42" fillId="29" borderId="18" xfId="13" applyNumberFormat="1" applyFont="1" applyFill="1" applyBorder="1" applyAlignment="1">
      <alignment horizontal="center"/>
    </xf>
    <xf numFmtId="181" fontId="42" fillId="29" borderId="0" xfId="13" applyNumberFormat="1" applyFont="1" applyFill="1" applyBorder="1" applyAlignment="1">
      <alignment horizontal="center"/>
    </xf>
    <xf numFmtId="181" fontId="42" fillId="42" borderId="18" xfId="13" applyNumberFormat="1" applyFont="1" applyFill="1" applyBorder="1" applyAlignment="1">
      <alignment horizontal="center"/>
    </xf>
    <xf numFmtId="0" fontId="42" fillId="20" borderId="7" xfId="13" applyFill="1" applyBorder="1"/>
    <xf numFmtId="181" fontId="42" fillId="20" borderId="18" xfId="13" applyNumberFormat="1" applyFont="1" applyFill="1" applyBorder="1" applyAlignment="1">
      <alignment vertical="center"/>
    </xf>
    <xf numFmtId="181" fontId="42" fillId="29" borderId="31" xfId="13" applyNumberFormat="1" applyFont="1" applyFill="1" applyBorder="1" applyAlignment="1">
      <alignment horizontal="center" vertical="center"/>
    </xf>
    <xf numFmtId="181" fontId="42" fillId="29" borderId="0" xfId="13" applyNumberFormat="1" applyFont="1" applyFill="1" applyBorder="1" applyAlignment="1">
      <alignment horizontal="center" vertical="center"/>
    </xf>
    <xf numFmtId="181" fontId="42" fillId="29" borderId="18" xfId="13" applyNumberFormat="1" applyFont="1" applyFill="1" applyBorder="1" applyAlignment="1">
      <alignment horizontal="center" vertical="center"/>
    </xf>
    <xf numFmtId="181" fontId="42" fillId="42" borderId="0" xfId="13" applyNumberFormat="1" applyFont="1" applyFill="1" applyBorder="1" applyAlignment="1">
      <alignment horizontal="center" wrapText="1"/>
    </xf>
    <xf numFmtId="181" fontId="42" fillId="42" borderId="19" xfId="13" applyNumberFormat="1" applyFont="1" applyFill="1" applyBorder="1" applyAlignment="1">
      <alignment horizontal="center"/>
    </xf>
    <xf numFmtId="181" fontId="42" fillId="20" borderId="0" xfId="13" applyNumberFormat="1" applyFill="1" applyBorder="1"/>
    <xf numFmtId="181" fontId="42" fillId="20" borderId="1" xfId="13" applyNumberFormat="1" applyFill="1" applyBorder="1"/>
    <xf numFmtId="181" fontId="42" fillId="42" borderId="19" xfId="13" applyNumberFormat="1" applyFill="1" applyBorder="1" applyAlignment="1">
      <alignment horizontal="center" vertical="center"/>
    </xf>
    <xf numFmtId="0" fontId="42" fillId="20" borderId="0" xfId="13" applyFill="1" applyBorder="1"/>
    <xf numFmtId="0" fontId="42" fillId="24" borderId="19" xfId="13" applyFont="1" applyFill="1" applyBorder="1" applyAlignment="1">
      <alignment wrapText="1"/>
    </xf>
    <xf numFmtId="0" fontId="42" fillId="42" borderId="1" xfId="13" applyFont="1" applyFill="1" applyBorder="1" applyAlignment="1">
      <alignment horizontal="center" wrapText="1"/>
    </xf>
    <xf numFmtId="0" fontId="0" fillId="0" borderId="1" xfId="0" applyBorder="1"/>
    <xf numFmtId="0" fontId="42" fillId="20" borderId="0" xfId="13" applyFont="1" applyFill="1" applyBorder="1" applyAlignment="1">
      <alignment vertical="center"/>
    </xf>
    <xf numFmtId="181" fontId="42" fillId="29" borderId="18" xfId="13" applyNumberFormat="1" applyFill="1" applyBorder="1" applyAlignment="1">
      <alignment horizontal="center" vertical="center"/>
    </xf>
    <xf numFmtId="181" fontId="42" fillId="29" borderId="0" xfId="13" applyNumberFormat="1" applyFill="1" applyBorder="1" applyAlignment="1">
      <alignment horizontal="center" vertical="center"/>
    </xf>
    <xf numFmtId="0" fontId="42" fillId="20" borderId="1" xfId="13" applyFont="1" applyFill="1" applyBorder="1" applyAlignment="1">
      <alignment vertical="top"/>
    </xf>
    <xf numFmtId="181" fontId="42" fillId="29" borderId="19" xfId="13" applyNumberFormat="1" applyFill="1" applyBorder="1" applyAlignment="1">
      <alignment horizontal="center" vertical="top"/>
    </xf>
    <xf numFmtId="181" fontId="42" fillId="29" borderId="1" xfId="13" applyNumberFormat="1" applyFill="1" applyBorder="1" applyAlignment="1">
      <alignment horizontal="center" vertical="top"/>
    </xf>
    <xf numFmtId="0" fontId="42" fillId="42" borderId="1" xfId="13" applyFont="1" applyFill="1" applyBorder="1" applyAlignment="1">
      <alignment wrapText="1"/>
    </xf>
    <xf numFmtId="181" fontId="42" fillId="42" borderId="0" xfId="13" applyNumberFormat="1" applyFont="1" applyFill="1" applyBorder="1"/>
    <xf numFmtId="181" fontId="42" fillId="42" borderId="1" xfId="13" applyNumberFormat="1" applyFont="1" applyFill="1" applyBorder="1"/>
    <xf numFmtId="181" fontId="42" fillId="24" borderId="18" xfId="13" applyNumberFormat="1" applyFill="1" applyBorder="1"/>
    <xf numFmtId="181" fontId="42" fillId="42" borderId="0" xfId="13" applyNumberFormat="1" applyFill="1" applyBorder="1"/>
    <xf numFmtId="181" fontId="42" fillId="24" borderId="19" xfId="13" applyNumberFormat="1" applyFill="1" applyBorder="1"/>
    <xf numFmtId="181" fontId="42" fillId="20" borderId="19" xfId="13" applyNumberFormat="1" applyFont="1" applyFill="1" applyBorder="1"/>
    <xf numFmtId="0" fontId="42" fillId="24" borderId="18" xfId="13" applyFont="1" applyFill="1" applyBorder="1"/>
    <xf numFmtId="0" fontId="42" fillId="42" borderId="0" xfId="13" applyFont="1" applyFill="1" applyBorder="1"/>
    <xf numFmtId="0" fontId="42" fillId="24" borderId="19" xfId="13" applyFont="1" applyFill="1" applyBorder="1"/>
    <xf numFmtId="0" fontId="42" fillId="42" borderId="1" xfId="13" applyFont="1" applyFill="1" applyBorder="1"/>
    <xf numFmtId="0" fontId="42" fillId="20" borderId="1" xfId="13" applyFill="1" applyBorder="1"/>
    <xf numFmtId="181" fontId="42" fillId="20" borderId="3" xfId="13" applyNumberFormat="1" applyFont="1" applyFill="1" applyBorder="1"/>
    <xf numFmtId="0" fontId="42" fillId="20" borderId="17" xfId="13" applyFill="1" applyBorder="1"/>
    <xf numFmtId="181" fontId="42" fillId="20" borderId="3" xfId="13" applyNumberFormat="1" applyFill="1" applyBorder="1"/>
    <xf numFmtId="181" fontId="42" fillId="29" borderId="17" xfId="13" applyNumberFormat="1" applyFill="1" applyBorder="1" applyAlignment="1">
      <alignment horizontal="center"/>
    </xf>
    <xf numFmtId="181" fontId="42" fillId="29" borderId="3" xfId="13" applyNumberFormat="1" applyFill="1" applyBorder="1" applyAlignment="1">
      <alignment horizontal="center"/>
    </xf>
    <xf numFmtId="181" fontId="42" fillId="24" borderId="17" xfId="13" applyNumberFormat="1" applyFont="1" applyFill="1" applyBorder="1"/>
    <xf numFmtId="181" fontId="42" fillId="42" borderId="3" xfId="13" applyNumberFormat="1" applyFont="1" applyFill="1" applyBorder="1"/>
    <xf numFmtId="0" fontId="0" fillId="0" borderId="3" xfId="0" applyBorder="1"/>
    <xf numFmtId="0" fontId="42" fillId="42" borderId="0" xfId="13" applyFont="1" applyFill="1" applyBorder="1" applyAlignment="1">
      <alignment wrapText="1"/>
    </xf>
    <xf numFmtId="0" fontId="42" fillId="20" borderId="1" xfId="13" applyFont="1" applyFill="1" applyBorder="1" applyAlignment="1">
      <alignment vertical="center"/>
    </xf>
    <xf numFmtId="0" fontId="42" fillId="20" borderId="0" xfId="13" applyFill="1" applyBorder="1" applyAlignment="1">
      <alignment vertical="center"/>
    </xf>
    <xf numFmtId="0" fontId="42" fillId="20" borderId="5" xfId="13" applyFill="1" applyBorder="1"/>
    <xf numFmtId="0" fontId="0" fillId="0" borderId="0" xfId="0" applyAlignment="1">
      <alignment horizontal="center"/>
    </xf>
    <xf numFmtId="0" fontId="175" fillId="0" borderId="18" xfId="0" applyFont="1" applyBorder="1" applyAlignment="1" applyProtection="1">
      <alignment horizontal="center"/>
      <protection locked="0"/>
    </xf>
    <xf numFmtId="0" fontId="175" fillId="0" borderId="0" xfId="0" applyFont="1" applyBorder="1" applyAlignment="1" applyProtection="1">
      <alignment horizontal="center"/>
      <protection locked="0"/>
    </xf>
    <xf numFmtId="0" fontId="175" fillId="0" borderId="0" xfId="0" applyFont="1" applyFill="1" applyBorder="1" applyAlignment="1" applyProtection="1">
      <alignment horizontal="center"/>
      <protection locked="0"/>
    </xf>
    <xf numFmtId="181" fontId="0" fillId="20" borderId="17" xfId="0" applyNumberFormat="1" applyFill="1" applyBorder="1"/>
    <xf numFmtId="181" fontId="42" fillId="20" borderId="17" xfId="0" applyNumberFormat="1" applyFont="1" applyFill="1" applyBorder="1"/>
    <xf numFmtId="181" fontId="0" fillId="29" borderId="17" xfId="0" applyNumberFormat="1" applyFill="1" applyBorder="1" applyAlignment="1">
      <alignment horizontal="center"/>
    </xf>
    <xf numFmtId="181" fontId="0" fillId="42" borderId="17" xfId="0" applyNumberFormat="1" applyFill="1" applyBorder="1" applyAlignment="1">
      <alignment horizontal="center"/>
    </xf>
    <xf numFmtId="181" fontId="42" fillId="42" borderId="17" xfId="0" applyNumberFormat="1" applyFont="1" applyFill="1" applyBorder="1" applyAlignment="1">
      <alignment horizontal="center"/>
    </xf>
    <xf numFmtId="181" fontId="0" fillId="20" borderId="19" xfId="0" applyNumberFormat="1" applyFill="1" applyBorder="1"/>
    <xf numFmtId="181" fontId="0" fillId="29" borderId="19" xfId="0" applyNumberFormat="1" applyFill="1" applyBorder="1" applyAlignment="1">
      <alignment horizontal="center"/>
    </xf>
    <xf numFmtId="181" fontId="0" fillId="24" borderId="18" xfId="0" applyNumberFormat="1" applyFill="1" applyBorder="1"/>
    <xf numFmtId="181" fontId="0" fillId="42" borderId="18" xfId="0" applyNumberFormat="1" applyFill="1" applyBorder="1" applyAlignment="1">
      <alignment horizontal="center"/>
    </xf>
    <xf numFmtId="181" fontId="0" fillId="42" borderId="19" xfId="0" applyNumberFormat="1" applyFill="1" applyBorder="1" applyAlignment="1">
      <alignment horizontal="center"/>
    </xf>
    <xf numFmtId="0" fontId="42" fillId="20" borderId="18" xfId="0" applyFont="1" applyFill="1" applyBorder="1"/>
    <xf numFmtId="181" fontId="0" fillId="29" borderId="18" xfId="0" applyNumberFormat="1" applyFill="1" applyBorder="1" applyAlignment="1">
      <alignment horizontal="center"/>
    </xf>
    <xf numFmtId="0" fontId="42" fillId="24" borderId="17" xfId="0" applyFont="1" applyFill="1" applyBorder="1"/>
    <xf numFmtId="0" fontId="42" fillId="24" borderId="18" xfId="0" applyFont="1" applyFill="1" applyBorder="1"/>
    <xf numFmtId="0" fontId="42" fillId="24" borderId="19" xfId="0" applyFont="1" applyFill="1" applyBorder="1"/>
    <xf numFmtId="0" fontId="42" fillId="20" borderId="17" xfId="0" applyFont="1" applyFill="1" applyBorder="1"/>
    <xf numFmtId="181" fontId="0" fillId="42" borderId="31" xfId="0" applyNumberFormat="1" applyFill="1" applyBorder="1" applyAlignment="1">
      <alignment horizontal="center"/>
    </xf>
    <xf numFmtId="181" fontId="0" fillId="42" borderId="6" xfId="0" applyNumberFormat="1" applyFill="1" applyBorder="1" applyAlignment="1">
      <alignment horizontal="center"/>
    </xf>
    <xf numFmtId="0" fontId="0" fillId="24" borderId="17" xfId="0" applyFill="1" applyBorder="1"/>
    <xf numFmtId="0" fontId="0" fillId="24" borderId="19" xfId="0" applyFill="1" applyBorder="1"/>
    <xf numFmtId="181" fontId="0" fillId="29" borderId="7" xfId="0" applyNumberFormat="1" applyFill="1" applyBorder="1" applyAlignment="1">
      <alignment horizontal="center"/>
    </xf>
    <xf numFmtId="0" fontId="42" fillId="20" borderId="19" xfId="0" applyFont="1" applyFill="1" applyBorder="1"/>
    <xf numFmtId="181" fontId="42" fillId="29" borderId="19" xfId="0" applyNumberFormat="1" applyFont="1" applyFill="1" applyBorder="1" applyAlignment="1">
      <alignment horizontal="center"/>
    </xf>
    <xf numFmtId="181" fontId="42" fillId="29" borderId="17" xfId="0" applyNumberFormat="1" applyFont="1" applyFill="1" applyBorder="1" applyAlignment="1">
      <alignment horizontal="center"/>
    </xf>
    <xf numFmtId="181" fontId="42" fillId="29" borderId="18" xfId="0" applyNumberFormat="1" applyFont="1" applyFill="1" applyBorder="1" applyAlignment="1">
      <alignment horizontal="center"/>
    </xf>
    <xf numFmtId="189" fontId="42" fillId="29" borderId="18" xfId="5" applyNumberFormat="1" applyFont="1" applyFill="1" applyBorder="1"/>
    <xf numFmtId="181" fontId="42" fillId="24" borderId="18" xfId="0" applyNumberFormat="1" applyFont="1" applyFill="1" applyBorder="1" applyAlignment="1">
      <alignment horizontal="left"/>
    </xf>
    <xf numFmtId="181" fontId="42" fillId="42" borderId="18" xfId="0" applyNumberFormat="1" applyFont="1" applyFill="1" applyBorder="1" applyAlignment="1">
      <alignment horizontal="left"/>
    </xf>
    <xf numFmtId="181" fontId="0" fillId="42" borderId="8" xfId="0" applyNumberFormat="1" applyFill="1" applyBorder="1" applyAlignment="1">
      <alignment horizontal="center"/>
    </xf>
    <xf numFmtId="181" fontId="42" fillId="42" borderId="3" xfId="0" applyNumberFormat="1" applyFont="1" applyFill="1" applyBorder="1" applyAlignment="1"/>
    <xf numFmtId="181" fontId="42" fillId="42" borderId="4" xfId="0" applyNumberFormat="1" applyFont="1" applyFill="1" applyBorder="1" applyAlignment="1"/>
    <xf numFmtId="189" fontId="0" fillId="29" borderId="18" xfId="5" applyNumberFormat="1" applyFont="1" applyFill="1" applyBorder="1"/>
    <xf numFmtId="181" fontId="42" fillId="42" borderId="7" xfId="0" applyNumberFormat="1" applyFont="1" applyFill="1" applyBorder="1" applyAlignment="1"/>
    <xf numFmtId="181" fontId="42" fillId="42" borderId="0" xfId="0" applyNumberFormat="1" applyFont="1" applyFill="1" applyBorder="1" applyAlignment="1"/>
    <xf numFmtId="181" fontId="42" fillId="42" borderId="31" xfId="0" applyNumberFormat="1" applyFont="1" applyFill="1" applyBorder="1" applyAlignment="1"/>
    <xf numFmtId="181" fontId="42" fillId="42" borderId="5" xfId="0" applyNumberFormat="1" applyFont="1" applyFill="1" applyBorder="1" applyAlignment="1"/>
    <xf numFmtId="181" fontId="42" fillId="42" borderId="1" xfId="0" applyNumberFormat="1" applyFont="1" applyFill="1" applyBorder="1" applyAlignment="1"/>
    <xf numFmtId="181" fontId="42" fillId="42" borderId="6" xfId="0" applyNumberFormat="1" applyFont="1" applyFill="1" applyBorder="1" applyAlignment="1"/>
    <xf numFmtId="189" fontId="42" fillId="29" borderId="17" xfId="5" applyNumberFormat="1" applyFont="1" applyFill="1" applyBorder="1"/>
    <xf numFmtId="181" fontId="42" fillId="24" borderId="17" xfId="0" applyNumberFormat="1" applyFont="1" applyFill="1" applyBorder="1" applyAlignment="1">
      <alignment horizontal="left"/>
    </xf>
    <xf numFmtId="181" fontId="42" fillId="42" borderId="17" xfId="0" applyNumberFormat="1" applyFont="1" applyFill="1" applyBorder="1" applyAlignment="1">
      <alignment horizontal="left"/>
    </xf>
    <xf numFmtId="181" fontId="42" fillId="42" borderId="17" xfId="0" applyNumberFormat="1" applyFont="1" applyFill="1" applyBorder="1"/>
    <xf numFmtId="181" fontId="42" fillId="42" borderId="18" xfId="0" applyNumberFormat="1" applyFont="1" applyFill="1" applyBorder="1"/>
    <xf numFmtId="189" fontId="0" fillId="29" borderId="19" xfId="5" applyNumberFormat="1" applyFont="1" applyFill="1" applyBorder="1"/>
    <xf numFmtId="181" fontId="42" fillId="24" borderId="19" xfId="0" applyNumberFormat="1" applyFont="1" applyFill="1" applyBorder="1" applyAlignment="1">
      <alignment horizontal="left"/>
    </xf>
    <xf numFmtId="181" fontId="42" fillId="34" borderId="19" xfId="0" applyNumberFormat="1" applyFont="1" applyFill="1" applyBorder="1" applyAlignment="1">
      <alignment horizontal="left"/>
    </xf>
    <xf numFmtId="181" fontId="42" fillId="25" borderId="19" xfId="0" applyNumberFormat="1" applyFont="1" applyFill="1" applyBorder="1"/>
    <xf numFmtId="181" fontId="0" fillId="25" borderId="19" xfId="0" applyNumberFormat="1" applyFill="1" applyBorder="1" applyAlignment="1">
      <alignment horizontal="center"/>
    </xf>
    <xf numFmtId="0" fontId="42" fillId="42" borderId="17" xfId="0" applyFont="1" applyFill="1" applyBorder="1"/>
    <xf numFmtId="181" fontId="0" fillId="42" borderId="4" xfId="0" applyNumberFormat="1" applyFill="1" applyBorder="1" applyAlignment="1">
      <alignment horizontal="center"/>
    </xf>
    <xf numFmtId="181" fontId="0" fillId="29" borderId="5" xfId="0" applyNumberFormat="1" applyFill="1" applyBorder="1" applyAlignment="1">
      <alignment horizontal="center"/>
    </xf>
    <xf numFmtId="181" fontId="42" fillId="20" borderId="18" xfId="0" applyNumberFormat="1" applyFont="1" applyFill="1" applyBorder="1"/>
    <xf numFmtId="181" fontId="42" fillId="24" borderId="18" xfId="0" applyNumberFormat="1" applyFont="1" applyFill="1" applyBorder="1"/>
    <xf numFmtId="181" fontId="0" fillId="20" borderId="18" xfId="0" applyNumberFormat="1" applyFill="1" applyBorder="1"/>
    <xf numFmtId="181" fontId="0" fillId="24" borderId="19" xfId="0" applyNumberFormat="1" applyFill="1" applyBorder="1"/>
    <xf numFmtId="181" fontId="67" fillId="0" borderId="18" xfId="13" applyNumberFormat="1" applyFont="1" applyFill="1" applyBorder="1"/>
    <xf numFmtId="181" fontId="67" fillId="0" borderId="19" xfId="13" applyNumberFormat="1" applyFont="1" applyFill="1" applyBorder="1"/>
    <xf numFmtId="0" fontId="67" fillId="0" borderId="18" xfId="13" applyFont="1" applyFill="1" applyBorder="1" applyAlignment="1"/>
    <xf numFmtId="0" fontId="67" fillId="0" borderId="19" xfId="13" applyFont="1" applyFill="1" applyBorder="1" applyAlignment="1"/>
    <xf numFmtId="0" fontId="67" fillId="0" borderId="18" xfId="13" applyFont="1" applyFill="1" applyBorder="1"/>
    <xf numFmtId="0" fontId="67" fillId="0" borderId="19" xfId="13" applyFont="1" applyFill="1" applyBorder="1"/>
    <xf numFmtId="0" fontId="176" fillId="0" borderId="48" xfId="0" applyFont="1" applyBorder="1"/>
    <xf numFmtId="0" fontId="176" fillId="0" borderId="66" xfId="0" applyFont="1" applyBorder="1"/>
    <xf numFmtId="0" fontId="176" fillId="0" borderId="66" xfId="0" applyFont="1" applyBorder="1" applyAlignment="1">
      <alignment horizontal="center"/>
    </xf>
    <xf numFmtId="183" fontId="176" fillId="0" borderId="66" xfId="0" applyNumberFormat="1" applyFont="1" applyBorder="1" applyAlignment="1">
      <alignment horizontal="center"/>
    </xf>
    <xf numFmtId="182" fontId="44" fillId="0" borderId="48" xfId="0" applyNumberFormat="1" applyFont="1" applyBorder="1" applyAlignment="1">
      <alignment horizontal="center"/>
    </xf>
    <xf numFmtId="183" fontId="176" fillId="0" borderId="51" xfId="0" applyNumberFormat="1" applyFont="1" applyBorder="1" applyAlignment="1">
      <alignment horizontal="center"/>
    </xf>
    <xf numFmtId="0" fontId="176" fillId="0" borderId="51" xfId="0" applyFont="1" applyBorder="1" applyAlignment="1">
      <alignment horizontal="center"/>
    </xf>
    <xf numFmtId="0" fontId="176" fillId="0" borderId="50" xfId="0" applyFont="1" applyBorder="1"/>
    <xf numFmtId="0" fontId="176" fillId="0" borderId="50" xfId="0" applyFont="1" applyBorder="1" applyAlignment="1">
      <alignment horizontal="center"/>
    </xf>
    <xf numFmtId="183" fontId="176" fillId="0" borderId="48" xfId="0" applyNumberFormat="1" applyFont="1" applyBorder="1" applyAlignment="1">
      <alignment horizontal="center"/>
    </xf>
    <xf numFmtId="182" fontId="62" fillId="0" borderId="48" xfId="0" applyNumberFormat="1" applyFont="1" applyBorder="1" applyAlignment="1">
      <alignment horizontal="center"/>
    </xf>
    <xf numFmtId="0" fontId="177" fillId="0" borderId="48" xfId="0" applyFont="1" applyFill="1" applyBorder="1"/>
    <xf numFmtId="0" fontId="68" fillId="0" borderId="0" xfId="0" applyFont="1" applyFill="1"/>
    <xf numFmtId="0" fontId="177" fillId="0" borderId="48" xfId="0" applyFont="1" applyFill="1" applyBorder="1" applyAlignment="1">
      <alignment horizontal="center"/>
    </xf>
    <xf numFmtId="0" fontId="177" fillId="0" borderId="51" xfId="0" applyFont="1" applyFill="1" applyBorder="1"/>
    <xf numFmtId="0" fontId="177" fillId="0" borderId="51" xfId="0" applyFont="1" applyFill="1" applyBorder="1" applyAlignment="1">
      <alignment horizontal="center"/>
    </xf>
    <xf numFmtId="183" fontId="177" fillId="0" borderId="51" xfId="0" applyNumberFormat="1" applyFont="1" applyFill="1" applyBorder="1" applyAlignment="1">
      <alignment horizontal="center"/>
    </xf>
    <xf numFmtId="183" fontId="177" fillId="0" borderId="48" xfId="0" applyNumberFormat="1" applyFont="1" applyFill="1" applyBorder="1" applyAlignment="1">
      <alignment horizontal="center"/>
    </xf>
    <xf numFmtId="0" fontId="68" fillId="0" borderId="50" xfId="0" applyFont="1" applyFill="1" applyBorder="1"/>
    <xf numFmtId="0" fontId="68" fillId="0" borderId="50" xfId="0" applyFont="1" applyFill="1" applyBorder="1" applyAlignment="1">
      <alignment horizontal="center"/>
    </xf>
    <xf numFmtId="182" fontId="177" fillId="0" borderId="51" xfId="0" applyNumberFormat="1" applyFont="1" applyFill="1" applyBorder="1" applyAlignment="1">
      <alignment horizontal="center"/>
    </xf>
    <xf numFmtId="0" fontId="177" fillId="0" borderId="0" xfId="0" applyFont="1" applyFill="1"/>
    <xf numFmtId="0" fontId="177" fillId="0" borderId="3" xfId="0" applyFont="1" applyFill="1" applyBorder="1"/>
    <xf numFmtId="0" fontId="177" fillId="0" borderId="0" xfId="0" applyFont="1" applyFill="1" applyBorder="1"/>
    <xf numFmtId="0" fontId="177" fillId="0" borderId="51" xfId="0" applyFont="1" applyBorder="1"/>
    <xf numFmtId="0" fontId="177" fillId="0" borderId="51" xfId="0" applyFont="1" applyBorder="1" applyAlignment="1">
      <alignment horizontal="center"/>
    </xf>
    <xf numFmtId="0" fontId="177" fillId="0" borderId="66" xfId="0" applyFont="1" applyBorder="1"/>
    <xf numFmtId="182" fontId="176" fillId="0" borderId="51" xfId="0" applyNumberFormat="1" applyFont="1" applyBorder="1" applyAlignment="1">
      <alignment horizontal="center"/>
    </xf>
    <xf numFmtId="0" fontId="177" fillId="0" borderId="0" xfId="0" applyFont="1"/>
    <xf numFmtId="0" fontId="176" fillId="0" borderId="51" xfId="0" applyFont="1" applyBorder="1"/>
    <xf numFmtId="0" fontId="177" fillId="0" borderId="66" xfId="0" applyFont="1" applyBorder="1" applyAlignment="1">
      <alignment horizontal="center"/>
    </xf>
    <xf numFmtId="0" fontId="176" fillId="0" borderId="70" xfId="0" applyFont="1" applyBorder="1"/>
    <xf numFmtId="0" fontId="176" fillId="0" borderId="70" xfId="0" applyFont="1" applyBorder="1" applyAlignment="1">
      <alignment horizontal="center"/>
    </xf>
    <xf numFmtId="180" fontId="134" fillId="0" borderId="8" xfId="0" applyNumberFormat="1" applyFont="1" applyBorder="1" applyProtection="1">
      <protection locked="0"/>
    </xf>
    <xf numFmtId="0" fontId="42" fillId="0" borderId="17" xfId="0" applyFont="1" applyFill="1" applyBorder="1"/>
    <xf numFmtId="0" fontId="42" fillId="0" borderId="18" xfId="0" applyFont="1" applyFill="1" applyBorder="1"/>
    <xf numFmtId="0" fontId="94" fillId="0" borderId="17" xfId="0" applyFont="1" applyFill="1" applyBorder="1"/>
    <xf numFmtId="0" fontId="94" fillId="0" borderId="18" xfId="0" applyFont="1" applyFill="1" applyBorder="1"/>
    <xf numFmtId="180" fontId="115" fillId="22" borderId="19" xfId="0" applyNumberFormat="1" applyFont="1" applyFill="1" applyBorder="1" applyProtection="1">
      <protection locked="0"/>
    </xf>
    <xf numFmtId="180" fontId="121" fillId="19" borderId="19" xfId="0" applyNumberFormat="1" applyFont="1" applyFill="1" applyBorder="1" applyProtection="1">
      <protection locked="0"/>
    </xf>
    <xf numFmtId="180" fontId="115" fillId="21" borderId="5" xfId="0" applyNumberFormat="1" applyFont="1" applyFill="1" applyBorder="1" applyProtection="1">
      <protection locked="0"/>
    </xf>
    <xf numFmtId="180" fontId="118" fillId="0" borderId="8" xfId="0" applyNumberFormat="1" applyFont="1" applyBorder="1" applyProtection="1">
      <protection locked="0"/>
    </xf>
    <xf numFmtId="180" fontId="115" fillId="2" borderId="0" xfId="0" applyNumberFormat="1" applyFont="1" applyFill="1" applyProtection="1">
      <protection locked="0"/>
    </xf>
    <xf numFmtId="180" fontId="118" fillId="2" borderId="8" xfId="0" applyNumberFormat="1" applyFont="1" applyFill="1" applyBorder="1" applyProtection="1">
      <protection locked="0"/>
    </xf>
    <xf numFmtId="180" fontId="121" fillId="19" borderId="8" xfId="0" applyNumberFormat="1" applyFont="1" applyFill="1" applyBorder="1" applyAlignment="1" applyProtection="1">
      <alignment horizontal="left"/>
      <protection locked="0"/>
    </xf>
    <xf numFmtId="180" fontId="121" fillId="2" borderId="8" xfId="0" applyNumberFormat="1" applyFont="1" applyFill="1" applyBorder="1" applyAlignment="1" applyProtection="1">
      <alignment horizontal="left"/>
      <protection locked="0"/>
    </xf>
    <xf numFmtId="180" fontId="121" fillId="2" borderId="8" xfId="0" quotePrefix="1" applyNumberFormat="1" applyFont="1" applyFill="1" applyBorder="1" applyAlignment="1" applyProtection="1">
      <alignment horizontal="left"/>
      <protection locked="0"/>
    </xf>
    <xf numFmtId="180" fontId="178" fillId="2" borderId="8" xfId="0" applyNumberFormat="1" applyFont="1" applyFill="1" applyBorder="1" applyAlignment="1" applyProtection="1">
      <alignment horizontal="left"/>
      <protection locked="0"/>
    </xf>
    <xf numFmtId="180" fontId="121" fillId="19" borderId="8" xfId="0" quotePrefix="1" applyNumberFormat="1" applyFont="1" applyFill="1" applyBorder="1" applyAlignment="1" applyProtection="1">
      <alignment horizontal="left"/>
      <protection locked="0"/>
    </xf>
    <xf numFmtId="180" fontId="115" fillId="30" borderId="9" xfId="0" applyNumberFormat="1" applyFont="1" applyFill="1" applyBorder="1" applyProtection="1">
      <protection locked="0"/>
    </xf>
    <xf numFmtId="180" fontId="115" fillId="21" borderId="8" xfId="0" applyNumberFormat="1" applyFont="1" applyFill="1" applyBorder="1" applyProtection="1">
      <protection locked="0"/>
    </xf>
    <xf numFmtId="0" fontId="40" fillId="19" borderId="35" xfId="0" applyFont="1" applyFill="1" applyBorder="1"/>
    <xf numFmtId="0" fontId="104" fillId="20" borderId="55" xfId="0" applyFont="1" applyFill="1" applyBorder="1" applyAlignment="1">
      <alignment horizontal="center"/>
    </xf>
    <xf numFmtId="183" fontId="104" fillId="20" borderId="18" xfId="0" applyNumberFormat="1" applyFont="1" applyFill="1" applyBorder="1" applyAlignment="1">
      <alignment horizontal="center"/>
    </xf>
    <xf numFmtId="183" fontId="104" fillId="20" borderId="69" xfId="0" applyNumberFormat="1" applyFont="1" applyFill="1" applyBorder="1" applyAlignment="1">
      <alignment horizontal="center"/>
    </xf>
    <xf numFmtId="0" fontId="179" fillId="0" borderId="50" xfId="0" applyFont="1" applyBorder="1"/>
    <xf numFmtId="0" fontId="179" fillId="0" borderId="50" xfId="0" applyFont="1" applyBorder="1" applyAlignment="1">
      <alignment horizontal="center"/>
    </xf>
    <xf numFmtId="182" fontId="176" fillId="0" borderId="48" xfId="0" applyNumberFormat="1" applyFont="1" applyBorder="1" applyAlignment="1">
      <alignment horizontal="center"/>
    </xf>
    <xf numFmtId="182" fontId="62" fillId="0" borderId="0" xfId="0" applyNumberFormat="1" applyFont="1" applyBorder="1" applyAlignment="1">
      <alignment horizontal="center"/>
    </xf>
    <xf numFmtId="0" fontId="176" fillId="0" borderId="0" xfId="0" applyFont="1" applyBorder="1" applyAlignment="1">
      <alignment horizontal="center"/>
    </xf>
    <xf numFmtId="0" fontId="176" fillId="0" borderId="0" xfId="0" applyFont="1"/>
    <xf numFmtId="0" fontId="177" fillId="0" borderId="26" xfId="0" applyFont="1" applyBorder="1"/>
    <xf numFmtId="0" fontId="176" fillId="0" borderId="26" xfId="0" applyFont="1" applyBorder="1"/>
    <xf numFmtId="0" fontId="62" fillId="0" borderId="3" xfId="0" applyFont="1" applyBorder="1"/>
    <xf numFmtId="0" fontId="62" fillId="0" borderId="3" xfId="0" applyFont="1" applyBorder="1" applyAlignment="1">
      <alignment horizontal="center"/>
    </xf>
    <xf numFmtId="0" fontId="94" fillId="0" borderId="0" xfId="0" applyFont="1" applyProtection="1">
      <protection locked="0"/>
    </xf>
    <xf numFmtId="180" fontId="132" fillId="21" borderId="8" xfId="0" applyNumberFormat="1" applyFont="1" applyFill="1" applyBorder="1" applyProtection="1">
      <protection locked="0"/>
    </xf>
    <xf numFmtId="180" fontId="118" fillId="21" borderId="8" xfId="0" applyNumberFormat="1" applyFont="1" applyFill="1" applyBorder="1" applyProtection="1">
      <protection locked="0"/>
    </xf>
    <xf numFmtId="180" fontId="118" fillId="21" borderId="9" xfId="0" applyNumberFormat="1" applyFont="1" applyFill="1" applyBorder="1" applyProtection="1">
      <protection locked="0"/>
    </xf>
    <xf numFmtId="180" fontId="118" fillId="21" borderId="10" xfId="0" applyNumberFormat="1" applyFont="1" applyFill="1" applyBorder="1" applyProtection="1">
      <protection locked="0"/>
    </xf>
    <xf numFmtId="180" fontId="135" fillId="21" borderId="8" xfId="0" applyNumberFormat="1" applyFont="1" applyFill="1" applyBorder="1" applyProtection="1">
      <protection locked="0"/>
    </xf>
    <xf numFmtId="180" fontId="135" fillId="21" borderId="9" xfId="0" applyNumberFormat="1" applyFont="1" applyFill="1" applyBorder="1" applyProtection="1">
      <protection locked="0"/>
    </xf>
    <xf numFmtId="180" fontId="135" fillId="21" borderId="10" xfId="0" applyNumberFormat="1" applyFont="1" applyFill="1" applyBorder="1" applyProtection="1">
      <protection locked="0"/>
    </xf>
    <xf numFmtId="180" fontId="94" fillId="21" borderId="8" xfId="0" applyNumberFormat="1" applyFont="1" applyFill="1" applyBorder="1" applyProtection="1">
      <protection locked="0"/>
    </xf>
    <xf numFmtId="180" fontId="10" fillId="21" borderId="10" xfId="0" applyNumberFormat="1" applyFont="1" applyFill="1" applyBorder="1" applyProtection="1">
      <protection locked="0"/>
    </xf>
    <xf numFmtId="180" fontId="113" fillId="21" borderId="9" xfId="0" applyNumberFormat="1" applyFont="1" applyFill="1" applyBorder="1" applyProtection="1">
      <protection locked="0"/>
    </xf>
    <xf numFmtId="180" fontId="113" fillId="21" borderId="10" xfId="0" applyNumberFormat="1" applyFont="1" applyFill="1" applyBorder="1" applyProtection="1">
      <protection locked="0"/>
    </xf>
    <xf numFmtId="180" fontId="129" fillId="21" borderId="10" xfId="0" applyNumberFormat="1" applyFont="1" applyFill="1" applyBorder="1" applyProtection="1">
      <protection locked="0"/>
    </xf>
    <xf numFmtId="180" fontId="127" fillId="21" borderId="8" xfId="0" applyNumberFormat="1" applyFont="1" applyFill="1" applyBorder="1" applyProtection="1">
      <protection locked="0"/>
    </xf>
    <xf numFmtId="180" fontId="135" fillId="21" borderId="8" xfId="0" applyNumberFormat="1" applyFont="1" applyFill="1" applyBorder="1" applyAlignment="1" applyProtection="1">
      <protection locked="0"/>
    </xf>
    <xf numFmtId="180" fontId="118" fillId="21" borderId="8" xfId="0" applyNumberFormat="1" applyFont="1" applyFill="1" applyBorder="1" applyAlignment="1" applyProtection="1">
      <protection locked="0"/>
    </xf>
    <xf numFmtId="180" fontId="113" fillId="21" borderId="8" xfId="0" applyNumberFormat="1" applyFont="1" applyFill="1" applyBorder="1" applyProtection="1">
      <protection locked="0"/>
    </xf>
    <xf numFmtId="180" fontId="118" fillId="21" borderId="9" xfId="0" applyNumberFormat="1" applyFont="1" applyFill="1" applyBorder="1" applyAlignment="1" applyProtection="1">
      <alignment horizontal="left"/>
      <protection locked="0"/>
    </xf>
    <xf numFmtId="180" fontId="78" fillId="21" borderId="8" xfId="0" applyNumberFormat="1" applyFont="1" applyFill="1" applyBorder="1" applyProtection="1">
      <protection locked="0"/>
    </xf>
    <xf numFmtId="180" fontId="78" fillId="21" borderId="9" xfId="0" applyNumberFormat="1" applyFont="1" applyFill="1" applyBorder="1" applyProtection="1">
      <protection locked="0"/>
    </xf>
    <xf numFmtId="180" fontId="78" fillId="21" borderId="10" xfId="0" applyNumberFormat="1" applyFont="1" applyFill="1" applyBorder="1" applyProtection="1">
      <protection locked="0"/>
    </xf>
    <xf numFmtId="180" fontId="79" fillId="21" borderId="8" xfId="0" applyNumberFormat="1" applyFont="1" applyFill="1" applyBorder="1" applyProtection="1">
      <protection locked="0"/>
    </xf>
    <xf numFmtId="180" fontId="118" fillId="21" borderId="17" xfId="0" applyNumberFormat="1" applyFont="1" applyFill="1" applyBorder="1" applyProtection="1">
      <protection locked="0"/>
    </xf>
    <xf numFmtId="180" fontId="118" fillId="21" borderId="2" xfId="0" applyNumberFormat="1" applyFont="1" applyFill="1" applyBorder="1" applyProtection="1">
      <protection locked="0"/>
    </xf>
    <xf numFmtId="180" fontId="118" fillId="21" borderId="4" xfId="0" applyNumberFormat="1" applyFont="1" applyFill="1" applyBorder="1" applyProtection="1">
      <protection locked="0"/>
    </xf>
    <xf numFmtId="180" fontId="115" fillId="21" borderId="17" xfId="0" applyNumberFormat="1" applyFont="1" applyFill="1" applyBorder="1" applyProtection="1">
      <protection locked="0"/>
    </xf>
    <xf numFmtId="180" fontId="115" fillId="21" borderId="19" xfId="0" applyNumberFormat="1" applyFont="1" applyFill="1" applyBorder="1" applyProtection="1">
      <protection locked="0"/>
    </xf>
    <xf numFmtId="180" fontId="118" fillId="21" borderId="5" xfId="0" applyNumberFormat="1" applyFont="1" applyFill="1" applyBorder="1" applyProtection="1">
      <protection locked="0"/>
    </xf>
    <xf numFmtId="180" fontId="118" fillId="21" borderId="6" xfId="0" applyNumberFormat="1" applyFont="1" applyFill="1" applyBorder="1" applyProtection="1">
      <protection locked="0"/>
    </xf>
    <xf numFmtId="180" fontId="118" fillId="21" borderId="19" xfId="0" applyNumberFormat="1" applyFont="1" applyFill="1" applyBorder="1" applyProtection="1">
      <protection locked="0"/>
    </xf>
    <xf numFmtId="180" fontId="56" fillId="21" borderId="8" xfId="0" applyNumberFormat="1" applyFont="1" applyFill="1" applyBorder="1" applyProtection="1">
      <protection locked="0"/>
    </xf>
    <xf numFmtId="180" fontId="135" fillId="21" borderId="19" xfId="0" applyNumberFormat="1" applyFont="1" applyFill="1" applyBorder="1" applyProtection="1">
      <protection locked="0"/>
    </xf>
    <xf numFmtId="180" fontId="135" fillId="21" borderId="5" xfId="0" applyNumberFormat="1" applyFont="1" applyFill="1" applyBorder="1" applyProtection="1">
      <protection locked="0"/>
    </xf>
    <xf numFmtId="180" fontId="135" fillId="21" borderId="6" xfId="0" applyNumberFormat="1" applyFont="1" applyFill="1" applyBorder="1" applyProtection="1">
      <protection locked="0"/>
    </xf>
    <xf numFmtId="180" fontId="94" fillId="21" borderId="19" xfId="0" applyNumberFormat="1" applyFont="1" applyFill="1" applyBorder="1" applyProtection="1">
      <protection locked="0"/>
    </xf>
    <xf numFmtId="180" fontId="117" fillId="21" borderId="9" xfId="0" applyNumberFormat="1" applyFont="1" applyFill="1" applyBorder="1" applyProtection="1">
      <protection locked="0"/>
    </xf>
    <xf numFmtId="180" fontId="134" fillId="21" borderId="9" xfId="0" applyNumberFormat="1" applyFont="1" applyFill="1" applyBorder="1" applyProtection="1">
      <protection locked="0"/>
    </xf>
    <xf numFmtId="180" fontId="118" fillId="21" borderId="9" xfId="0" applyNumberFormat="1" applyFont="1" applyFill="1" applyBorder="1" applyAlignment="1" applyProtection="1">
      <protection locked="0"/>
    </xf>
    <xf numFmtId="180" fontId="118" fillId="21" borderId="10" xfId="0" applyNumberFormat="1" applyFont="1" applyFill="1" applyBorder="1" applyAlignment="1" applyProtection="1">
      <protection locked="0"/>
    </xf>
    <xf numFmtId="180" fontId="59" fillId="21" borderId="61" xfId="0" applyNumberFormat="1" applyFont="1" applyFill="1" applyBorder="1" applyProtection="1">
      <protection locked="0"/>
    </xf>
    <xf numFmtId="180" fontId="56" fillId="21" borderId="61" xfId="0" applyNumberFormat="1" applyFont="1" applyFill="1" applyBorder="1" applyProtection="1">
      <protection locked="0"/>
    </xf>
    <xf numFmtId="180" fontId="56" fillId="21" borderId="19" xfId="0" applyNumberFormat="1" applyFont="1" applyFill="1" applyBorder="1" applyProtection="1">
      <protection locked="0"/>
    </xf>
    <xf numFmtId="180" fontId="59" fillId="21" borderId="10" xfId="0" applyNumberFormat="1" applyFont="1" applyFill="1" applyBorder="1" applyProtection="1">
      <protection locked="0"/>
    </xf>
    <xf numFmtId="180" fontId="59" fillId="21" borderId="4" xfId="0" applyNumberFormat="1" applyFont="1" applyFill="1" applyBorder="1" applyProtection="1">
      <protection locked="0"/>
    </xf>
    <xf numFmtId="180" fontId="59" fillId="21" borderId="8" xfId="0" applyNumberFormat="1" applyFont="1" applyFill="1" applyBorder="1" applyProtection="1">
      <protection locked="0"/>
    </xf>
    <xf numFmtId="180" fontId="60" fillId="2" borderId="8" xfId="0" applyNumberFormat="1" applyFont="1" applyFill="1" applyBorder="1" applyProtection="1">
      <protection locked="0"/>
    </xf>
    <xf numFmtId="180" fontId="59" fillId="21" borderId="9" xfId="0" applyNumberFormat="1" applyFont="1" applyFill="1" applyBorder="1" applyProtection="1">
      <protection locked="0"/>
    </xf>
    <xf numFmtId="180" fontId="56" fillId="5" borderId="8" xfId="0" applyNumberFormat="1" applyFont="1" applyFill="1" applyBorder="1" applyProtection="1">
      <protection locked="0"/>
    </xf>
    <xf numFmtId="180" fontId="60" fillId="19" borderId="8" xfId="0" applyNumberFormat="1" applyFont="1" applyFill="1" applyBorder="1" applyProtection="1">
      <protection locked="0"/>
    </xf>
    <xf numFmtId="180" fontId="56" fillId="19" borderId="8" xfId="0" applyNumberFormat="1" applyFont="1" applyFill="1" applyBorder="1" applyProtection="1">
      <protection locked="0"/>
    </xf>
    <xf numFmtId="180" fontId="56" fillId="33" borderId="8" xfId="0" applyNumberFormat="1" applyFont="1" applyFill="1" applyBorder="1" applyProtection="1">
      <protection locked="0"/>
    </xf>
    <xf numFmtId="180" fontId="56" fillId="22" borderId="8" xfId="0" applyNumberFormat="1" applyFont="1" applyFill="1" applyBorder="1" applyProtection="1">
      <protection locked="0"/>
    </xf>
    <xf numFmtId="180" fontId="56" fillId="21" borderId="9" xfId="0" applyNumberFormat="1" applyFont="1" applyFill="1" applyBorder="1" applyProtection="1">
      <protection locked="0"/>
    </xf>
    <xf numFmtId="180" fontId="59" fillId="21" borderId="9" xfId="0" applyNumberFormat="1" applyFont="1" applyFill="1" applyBorder="1" applyAlignment="1" applyProtection="1">
      <alignment horizontal="left"/>
      <protection locked="0"/>
    </xf>
    <xf numFmtId="180" fontId="59" fillId="21" borderId="19" xfId="0" applyNumberFormat="1" applyFont="1" applyFill="1" applyBorder="1" applyProtection="1">
      <protection locked="0"/>
    </xf>
    <xf numFmtId="180" fontId="59" fillId="21" borderId="5" xfId="0" applyNumberFormat="1" applyFont="1" applyFill="1" applyBorder="1" applyProtection="1">
      <protection locked="0"/>
    </xf>
    <xf numFmtId="180" fontId="59" fillId="21" borderId="6" xfId="0" applyNumberFormat="1" applyFont="1" applyFill="1" applyBorder="1" applyProtection="1">
      <protection locked="0"/>
    </xf>
    <xf numFmtId="180" fontId="61" fillId="2" borderId="8" xfId="0" applyNumberFormat="1" applyFont="1" applyFill="1" applyBorder="1" applyProtection="1">
      <protection locked="0"/>
    </xf>
    <xf numFmtId="180" fontId="56" fillId="0" borderId="19" xfId="0" applyNumberFormat="1" applyFont="1" applyFill="1" applyBorder="1" applyProtection="1">
      <protection locked="0"/>
    </xf>
    <xf numFmtId="180" fontId="56" fillId="5" borderId="19" xfId="0" applyNumberFormat="1" applyFont="1" applyFill="1" applyBorder="1" applyProtection="1">
      <protection locked="0"/>
    </xf>
    <xf numFmtId="180" fontId="61" fillId="0" borderId="19" xfId="0" applyNumberFormat="1" applyFont="1" applyBorder="1" applyProtection="1">
      <protection locked="0"/>
    </xf>
    <xf numFmtId="180" fontId="56" fillId="0" borderId="7" xfId="0" applyNumberFormat="1" applyFont="1" applyBorder="1" applyProtection="1">
      <protection locked="0"/>
    </xf>
    <xf numFmtId="180" fontId="61" fillId="0" borderId="8" xfId="0" quotePrefix="1" applyNumberFormat="1" applyFont="1" applyBorder="1" applyProtection="1">
      <protection locked="0"/>
    </xf>
    <xf numFmtId="180" fontId="59" fillId="2" borderId="8" xfId="0" applyNumberFormat="1" applyFont="1" applyFill="1" applyBorder="1" applyProtection="1">
      <protection locked="0"/>
    </xf>
    <xf numFmtId="180" fontId="59" fillId="21" borderId="2" xfId="0" applyNumberFormat="1" applyFont="1" applyFill="1" applyBorder="1" applyProtection="1">
      <protection locked="0"/>
    </xf>
    <xf numFmtId="180" fontId="56" fillId="21" borderId="17" xfId="0" applyNumberFormat="1" applyFont="1" applyFill="1" applyBorder="1" applyProtection="1">
      <protection locked="0"/>
    </xf>
    <xf numFmtId="180" fontId="56" fillId="0" borderId="17" xfId="0" applyNumberFormat="1" applyFont="1" applyBorder="1" applyProtection="1">
      <protection locked="0"/>
    </xf>
    <xf numFmtId="180" fontId="56" fillId="2" borderId="17" xfId="0" applyNumberFormat="1" applyFont="1" applyFill="1" applyBorder="1" applyProtection="1">
      <protection locked="0"/>
    </xf>
    <xf numFmtId="180" fontId="56" fillId="14" borderId="17" xfId="0" applyNumberFormat="1" applyFont="1" applyFill="1" applyBorder="1" applyProtection="1">
      <protection locked="0"/>
    </xf>
    <xf numFmtId="180" fontId="56" fillId="13" borderId="17" xfId="0" applyNumberFormat="1" applyFont="1" applyFill="1" applyBorder="1" applyProtection="1">
      <protection locked="0"/>
    </xf>
    <xf numFmtId="180" fontId="60" fillId="14" borderId="8" xfId="0" applyNumberFormat="1" applyFont="1" applyFill="1" applyBorder="1" applyProtection="1">
      <protection locked="0"/>
    </xf>
    <xf numFmtId="180" fontId="184" fillId="2" borderId="8" xfId="0" applyNumberFormat="1" applyFont="1" applyFill="1" applyBorder="1" applyProtection="1">
      <protection locked="0"/>
    </xf>
    <xf numFmtId="180" fontId="185" fillId="21" borderId="8" xfId="0" applyNumberFormat="1" applyFont="1" applyFill="1" applyBorder="1" applyProtection="1">
      <protection locked="0"/>
    </xf>
    <xf numFmtId="180" fontId="185" fillId="21" borderId="9" xfId="0" applyNumberFormat="1" applyFont="1" applyFill="1" applyBorder="1" applyProtection="1">
      <protection locked="0"/>
    </xf>
    <xf numFmtId="180" fontId="185" fillId="21" borderId="10" xfId="0" applyNumberFormat="1" applyFont="1" applyFill="1" applyBorder="1" applyProtection="1">
      <protection locked="0"/>
    </xf>
    <xf numFmtId="180" fontId="186" fillId="0" borderId="8" xfId="0" applyNumberFormat="1" applyFont="1" applyBorder="1" applyProtection="1">
      <protection locked="0"/>
    </xf>
    <xf numFmtId="180" fontId="186" fillId="2" borderId="8" xfId="0" applyNumberFormat="1" applyFont="1" applyFill="1" applyBorder="1" applyProtection="1">
      <protection locked="0"/>
    </xf>
    <xf numFmtId="180" fontId="84" fillId="14" borderId="8" xfId="0" applyNumberFormat="1" applyFont="1" applyFill="1" applyBorder="1" applyProtection="1">
      <protection locked="0"/>
    </xf>
    <xf numFmtId="180" fontId="186" fillId="13" borderId="8" xfId="0" applyNumberFormat="1" applyFont="1" applyFill="1" applyBorder="1" applyProtection="1">
      <protection locked="0"/>
    </xf>
    <xf numFmtId="180" fontId="186" fillId="5" borderId="8" xfId="0" applyNumberFormat="1" applyFont="1" applyFill="1" applyBorder="1" applyProtection="1">
      <protection locked="0"/>
    </xf>
    <xf numFmtId="180" fontId="76" fillId="0" borderId="0" xfId="0" applyNumberFormat="1" applyFont="1" applyFill="1" applyProtection="1">
      <protection locked="0"/>
    </xf>
    <xf numFmtId="180" fontId="186" fillId="0" borderId="0" xfId="0" applyNumberFormat="1" applyFont="1" applyFill="1" applyProtection="1">
      <protection locked="0"/>
    </xf>
    <xf numFmtId="180" fontId="186" fillId="21" borderId="8" xfId="0" applyNumberFormat="1" applyFont="1" applyFill="1" applyBorder="1" applyProtection="1">
      <protection locked="0"/>
    </xf>
    <xf numFmtId="180" fontId="186" fillId="14" borderId="8" xfId="0" applyNumberFormat="1" applyFont="1" applyFill="1" applyBorder="1" applyProtection="1">
      <protection locked="0"/>
    </xf>
    <xf numFmtId="180" fontId="186" fillId="5" borderId="9" xfId="0" applyNumberFormat="1" applyFont="1" applyFill="1" applyBorder="1" applyProtection="1">
      <protection locked="0"/>
    </xf>
    <xf numFmtId="180" fontId="76" fillId="0" borderId="7" xfId="0" applyNumberFormat="1" applyFont="1" applyFill="1" applyBorder="1" applyProtection="1">
      <protection locked="0"/>
    </xf>
    <xf numFmtId="180" fontId="186" fillId="0" borderId="0" xfId="0" applyNumberFormat="1" applyFont="1" applyBorder="1" applyProtection="1">
      <protection locked="0"/>
    </xf>
    <xf numFmtId="180" fontId="186" fillId="0" borderId="0" xfId="0" applyNumberFormat="1" applyFont="1" applyProtection="1">
      <protection locked="0"/>
    </xf>
    <xf numFmtId="180" fontId="184" fillId="2" borderId="8" xfId="0" applyNumberFormat="1" applyFont="1" applyFill="1" applyBorder="1" applyAlignment="1" applyProtection="1">
      <alignment horizontal="left"/>
      <protection locked="0"/>
    </xf>
    <xf numFmtId="0" fontId="56" fillId="0" borderId="18" xfId="0" applyFont="1" applyFill="1" applyBorder="1"/>
    <xf numFmtId="180" fontId="59" fillId="0" borderId="8" xfId="0" applyNumberFormat="1" applyFont="1" applyBorder="1" applyProtection="1">
      <protection locked="0"/>
    </xf>
    <xf numFmtId="180" fontId="61" fillId="2" borderId="8" xfId="0" applyNumberFormat="1" applyFont="1" applyFill="1" applyBorder="1" applyAlignment="1" applyProtection="1">
      <alignment horizontal="left"/>
      <protection locked="0"/>
    </xf>
    <xf numFmtId="180" fontId="56" fillId="19" borderId="19" xfId="0" applyNumberFormat="1" applyFont="1" applyFill="1" applyBorder="1" applyProtection="1">
      <protection locked="0"/>
    </xf>
    <xf numFmtId="0" fontId="187" fillId="43" borderId="8" xfId="18" applyBorder="1"/>
    <xf numFmtId="0" fontId="62" fillId="0" borderId="0" xfId="0" applyFont="1"/>
    <xf numFmtId="0" fontId="62" fillId="0" borderId="0" xfId="0" applyFont="1" applyBorder="1"/>
    <xf numFmtId="0" fontId="179" fillId="0" borderId="0" xfId="0" applyFont="1"/>
    <xf numFmtId="0" fontId="179" fillId="0" borderId="0" xfId="0" applyFont="1" applyBorder="1"/>
    <xf numFmtId="0" fontId="62" fillId="0" borderId="50" xfId="0" applyFont="1" applyBorder="1"/>
    <xf numFmtId="0" fontId="176" fillId="0" borderId="0" xfId="0" applyFont="1" applyBorder="1"/>
    <xf numFmtId="0" fontId="187" fillId="43" borderId="0" xfId="18"/>
    <xf numFmtId="183" fontId="68" fillId="0" borderId="53" xfId="0" applyNumberFormat="1" applyFont="1" applyBorder="1" applyAlignment="1"/>
    <xf numFmtId="183" fontId="69" fillId="0" borderId="51" xfId="3" applyNumberFormat="1" applyFont="1" applyFill="1" applyBorder="1" applyAlignment="1"/>
    <xf numFmtId="183" fontId="69" fillId="0" borderId="66" xfId="3" applyNumberFormat="1" applyFont="1" applyFill="1" applyBorder="1" applyAlignment="1"/>
    <xf numFmtId="0" fontId="66" fillId="0" borderId="25" xfId="0" applyFont="1" applyBorder="1"/>
    <xf numFmtId="183" fontId="69" fillId="0" borderId="49" xfId="3" applyNumberFormat="1" applyFont="1" applyFill="1" applyBorder="1" applyAlignment="1">
      <alignment wrapText="1"/>
    </xf>
    <xf numFmtId="0" fontId="42" fillId="0" borderId="20" xfId="0" applyFont="1" applyBorder="1"/>
    <xf numFmtId="0" fontId="42" fillId="0" borderId="23" xfId="0" applyFont="1" applyBorder="1"/>
    <xf numFmtId="0" fontId="66" fillId="0" borderId="23" xfId="0" applyFont="1" applyBorder="1"/>
    <xf numFmtId="0" fontId="66" fillId="0" borderId="73" xfId="0" applyFont="1" applyBorder="1"/>
    <xf numFmtId="183" fontId="69" fillId="0" borderId="51" xfId="3" applyNumberFormat="1" applyFont="1" applyFill="1" applyBorder="1" applyAlignment="1">
      <alignment wrapText="1"/>
    </xf>
    <xf numFmtId="183" fontId="69" fillId="0" borderId="50" xfId="3" applyNumberFormat="1" applyFont="1" applyFill="1" applyBorder="1" applyAlignment="1"/>
    <xf numFmtId="0" fontId="188" fillId="0" borderId="47" xfId="0" applyFont="1" applyBorder="1"/>
    <xf numFmtId="0" fontId="189" fillId="0" borderId="8" xfId="0" applyFont="1" applyBorder="1"/>
    <xf numFmtId="0" fontId="189" fillId="0" borderId="8" xfId="0" applyFont="1" applyBorder="1" applyAlignment="1">
      <alignment horizontal="center"/>
    </xf>
    <xf numFmtId="0" fontId="189" fillId="0" borderId="8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189" fillId="0" borderId="8" xfId="0" applyFont="1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102" fillId="20" borderId="0" xfId="0" applyFont="1" applyFill="1"/>
    <xf numFmtId="180" fontId="118" fillId="21" borderId="9" xfId="0" applyNumberFormat="1" applyFont="1" applyFill="1" applyBorder="1" applyAlignment="1" applyProtection="1">
      <protection locked="0"/>
    </xf>
    <xf numFmtId="180" fontId="118" fillId="21" borderId="10" xfId="0" applyNumberFormat="1" applyFont="1" applyFill="1" applyBorder="1" applyAlignment="1" applyProtection="1">
      <protection locked="0"/>
    </xf>
    <xf numFmtId="180" fontId="59" fillId="21" borderId="8" xfId="0" applyNumberFormat="1" applyFont="1" applyFill="1" applyBorder="1" applyAlignment="1" applyProtection="1">
      <protection locked="0"/>
    </xf>
    <xf numFmtId="180" fontId="56" fillId="14" borderId="0" xfId="0" applyNumberFormat="1" applyFont="1" applyFill="1" applyProtection="1">
      <protection locked="0"/>
    </xf>
    <xf numFmtId="180" fontId="186" fillId="0" borderId="0" xfId="0" applyNumberFormat="1" applyFont="1" applyFill="1" applyBorder="1" applyProtection="1">
      <protection locked="0"/>
    </xf>
    <xf numFmtId="180" fontId="190" fillId="0" borderId="0" xfId="0" applyNumberFormat="1" applyFont="1" applyFill="1" applyBorder="1" applyProtection="1">
      <protection locked="0"/>
    </xf>
    <xf numFmtId="180" fontId="190" fillId="0" borderId="0" xfId="0" applyNumberFormat="1" applyFont="1" applyFill="1" applyProtection="1">
      <protection locked="0"/>
    </xf>
    <xf numFmtId="180" fontId="56" fillId="0" borderId="0" xfId="0" applyNumberFormat="1" applyFont="1" applyFill="1"/>
    <xf numFmtId="0" fontId="66" fillId="0" borderId="18" xfId="13" applyFont="1" applyFill="1" applyBorder="1"/>
    <xf numFmtId="181" fontId="66" fillId="0" borderId="18" xfId="13" applyNumberFormat="1" applyFont="1" applyFill="1" applyBorder="1"/>
    <xf numFmtId="0" fontId="62" fillId="0" borderId="66" xfId="0" applyFont="1" applyFill="1" applyBorder="1" applyAlignment="1">
      <alignment horizontal="center"/>
    </xf>
    <xf numFmtId="183" fontId="62" fillId="0" borderId="66" xfId="0" applyNumberFormat="1" applyFont="1" applyFill="1" applyBorder="1" applyAlignment="1">
      <alignment horizontal="left"/>
    </xf>
    <xf numFmtId="183" fontId="192" fillId="19" borderId="39" xfId="0" applyNumberFormat="1" applyFont="1" applyFill="1" applyBorder="1" applyAlignment="1">
      <alignment horizontal="center"/>
    </xf>
    <xf numFmtId="183" fontId="192" fillId="41" borderId="41" xfId="0" applyNumberFormat="1" applyFont="1" applyFill="1" applyBorder="1" applyAlignment="1">
      <alignment horizontal="center"/>
    </xf>
    <xf numFmtId="183" fontId="192" fillId="41" borderId="9" xfId="0" applyNumberFormat="1" applyFont="1" applyFill="1" applyBorder="1" applyAlignment="1">
      <alignment horizontal="center"/>
    </xf>
    <xf numFmtId="0" fontId="194" fillId="0" borderId="0" xfId="0" applyFont="1"/>
    <xf numFmtId="0" fontId="8" fillId="0" borderId="0" xfId="0" applyFont="1"/>
    <xf numFmtId="0" fontId="194" fillId="0" borderId="0" xfId="0" applyFont="1" applyAlignment="1"/>
    <xf numFmtId="0" fontId="0" fillId="0" borderId="0" xfId="0" applyAlignment="1"/>
    <xf numFmtId="0" fontId="196" fillId="0" borderId="0" xfId="0" applyFont="1"/>
    <xf numFmtId="0" fontId="197" fillId="0" borderId="0" xfId="0" applyFont="1"/>
    <xf numFmtId="0" fontId="198" fillId="0" borderId="0" xfId="0" applyFont="1"/>
    <xf numFmtId="0" fontId="199" fillId="0" borderId="0" xfId="0" applyFont="1"/>
    <xf numFmtId="0" fontId="200" fillId="0" borderId="0" xfId="0" applyFont="1"/>
    <xf numFmtId="190" fontId="199" fillId="0" borderId="0" xfId="0" applyNumberFormat="1" applyFont="1"/>
    <xf numFmtId="0" fontId="0" fillId="0" borderId="0" xfId="0" applyFont="1"/>
    <xf numFmtId="0" fontId="199" fillId="0" borderId="0" xfId="0" applyFont="1" applyAlignment="1">
      <alignment horizontal="left" wrapText="1"/>
    </xf>
    <xf numFmtId="0" fontId="197" fillId="0" borderId="0" xfId="0" applyFont="1" applyAlignment="1">
      <alignment horizontal="center"/>
    </xf>
    <xf numFmtId="181" fontId="56" fillId="0" borderId="17" xfId="0" applyNumberFormat="1" applyFont="1" applyFill="1" applyBorder="1"/>
    <xf numFmtId="181" fontId="66" fillId="0" borderId="18" xfId="0" applyNumberFormat="1" applyFont="1" applyFill="1" applyBorder="1"/>
    <xf numFmtId="181" fontId="56" fillId="0" borderId="18" xfId="0" applyNumberFormat="1" applyFont="1" applyFill="1" applyBorder="1"/>
    <xf numFmtId="181" fontId="56" fillId="0" borderId="19" xfId="0" applyNumberFormat="1" applyFont="1" applyFill="1" applyBorder="1"/>
    <xf numFmtId="181" fontId="66" fillId="0" borderId="19" xfId="13" applyNumberFormat="1" applyFont="1" applyFill="1" applyBorder="1"/>
    <xf numFmtId="181" fontId="0" fillId="42" borderId="1" xfId="0" applyNumberFormat="1" applyFill="1" applyBorder="1" applyAlignment="1">
      <alignment horizontal="center" vertical="top" wrapText="1"/>
    </xf>
    <xf numFmtId="0" fontId="66" fillId="0" borderId="17" xfId="0" applyFont="1" applyFill="1" applyBorder="1"/>
    <xf numFmtId="0" fontId="66" fillId="0" borderId="18" xfId="0" applyFont="1" applyFill="1" applyBorder="1"/>
    <xf numFmtId="0" fontId="202" fillId="20" borderId="0" xfId="13" applyFont="1" applyFill="1" applyBorder="1" applyAlignment="1" applyProtection="1">
      <alignment horizontal="left"/>
      <protection locked="0"/>
    </xf>
    <xf numFmtId="0" fontId="42" fillId="20" borderId="18" xfId="13" applyFont="1" applyFill="1" applyBorder="1" applyAlignment="1" applyProtection="1">
      <alignment horizontal="center"/>
      <protection locked="0"/>
    </xf>
    <xf numFmtId="0" fontId="42" fillId="20" borderId="0" xfId="13" applyFont="1" applyFill="1" applyBorder="1" applyAlignment="1" applyProtection="1">
      <alignment horizontal="left"/>
      <protection locked="0"/>
    </xf>
    <xf numFmtId="188" fontId="202" fillId="29" borderId="18" xfId="13" applyNumberFormat="1" applyFont="1" applyFill="1" applyBorder="1" applyAlignment="1" applyProtection="1">
      <alignment horizontal="center"/>
      <protection locked="0"/>
    </xf>
    <xf numFmtId="188" fontId="202" fillId="29" borderId="0" xfId="13" applyNumberFormat="1" applyFont="1" applyFill="1" applyBorder="1" applyAlignment="1" applyProtection="1">
      <alignment horizontal="center"/>
      <protection locked="0"/>
    </xf>
    <xf numFmtId="0" fontId="203" fillId="29" borderId="18" xfId="13" applyFont="1" applyFill="1" applyBorder="1" applyAlignment="1" applyProtection="1">
      <alignment horizontal="center"/>
      <protection locked="0"/>
    </xf>
    <xf numFmtId="0" fontId="203" fillId="29" borderId="0" xfId="13" applyFont="1" applyFill="1" applyBorder="1" applyAlignment="1" applyProtection="1">
      <alignment horizontal="center"/>
      <protection locked="0"/>
    </xf>
    <xf numFmtId="0" fontId="202" fillId="24" borderId="18" xfId="13" applyFont="1" applyFill="1" applyBorder="1" applyAlignment="1" applyProtection="1">
      <alignment horizontal="left"/>
      <protection locked="0"/>
    </xf>
    <xf numFmtId="0" fontId="175" fillId="42" borderId="0" xfId="13" applyFont="1" applyFill="1" applyBorder="1" applyAlignment="1" applyProtection="1">
      <alignment horizontal="center"/>
      <protection locked="0"/>
    </xf>
    <xf numFmtId="0" fontId="202" fillId="42" borderId="17" xfId="13" applyFont="1" applyFill="1" applyBorder="1" applyAlignment="1" applyProtection="1">
      <alignment horizontal="center"/>
      <protection locked="0"/>
    </xf>
    <xf numFmtId="0" fontId="175" fillId="42" borderId="18" xfId="13" applyFont="1" applyFill="1" applyBorder="1" applyAlignment="1" applyProtection="1">
      <alignment horizontal="center"/>
      <protection locked="0"/>
    </xf>
    <xf numFmtId="181" fontId="202" fillId="29" borderId="18" xfId="13" applyNumberFormat="1" applyFont="1" applyFill="1" applyBorder="1" applyAlignment="1" applyProtection="1">
      <alignment horizontal="center"/>
      <protection locked="0"/>
    </xf>
    <xf numFmtId="181" fontId="202" fillId="29" borderId="0" xfId="13" applyNumberFormat="1" applyFont="1" applyFill="1" applyBorder="1" applyAlignment="1" applyProtection="1">
      <alignment horizontal="center" wrapText="1"/>
      <protection locked="0"/>
    </xf>
    <xf numFmtId="0" fontId="175" fillId="20" borderId="1" xfId="13" applyFont="1" applyFill="1" applyBorder="1" applyAlignment="1" applyProtection="1">
      <alignment horizontal="center"/>
      <protection locked="0"/>
    </xf>
    <xf numFmtId="0" fontId="175" fillId="20" borderId="19" xfId="13" applyFont="1" applyFill="1" applyBorder="1" applyAlignment="1" applyProtection="1">
      <alignment horizontal="center"/>
      <protection locked="0"/>
    </xf>
    <xf numFmtId="0" fontId="42" fillId="20" borderId="1" xfId="13" applyFont="1" applyFill="1" applyBorder="1" applyAlignment="1" applyProtection="1">
      <alignment horizontal="left"/>
      <protection locked="0"/>
    </xf>
    <xf numFmtId="181" fontId="202" fillId="29" borderId="19" xfId="13" applyNumberFormat="1" applyFont="1" applyFill="1" applyBorder="1" applyAlignment="1" applyProtection="1">
      <alignment horizontal="center"/>
      <protection locked="0"/>
    </xf>
    <xf numFmtId="181" fontId="202" fillId="29" borderId="1" xfId="13" applyNumberFormat="1" applyFont="1" applyFill="1" applyBorder="1" applyAlignment="1" applyProtection="1">
      <alignment horizontal="center"/>
      <protection locked="0"/>
    </xf>
    <xf numFmtId="0" fontId="203" fillId="29" borderId="19" xfId="13" applyFont="1" applyFill="1" applyBorder="1" applyAlignment="1" applyProtection="1">
      <alignment horizontal="center"/>
      <protection locked="0"/>
    </xf>
    <xf numFmtId="0" fontId="203" fillId="29" borderId="1" xfId="13" applyFont="1" applyFill="1" applyBorder="1" applyAlignment="1" applyProtection="1">
      <alignment horizontal="center"/>
      <protection locked="0"/>
    </xf>
    <xf numFmtId="0" fontId="202" fillId="24" borderId="19" xfId="13" applyFont="1" applyFill="1" applyBorder="1" applyAlignment="1" applyProtection="1">
      <alignment horizontal="left"/>
      <protection locked="0"/>
    </xf>
    <xf numFmtId="0" fontId="175" fillId="42" borderId="1" xfId="13" applyFont="1" applyFill="1" applyBorder="1" applyAlignment="1" applyProtection="1">
      <alignment horizontal="center"/>
      <protection locked="0"/>
    </xf>
    <xf numFmtId="0" fontId="175" fillId="42" borderId="19" xfId="13" applyFont="1" applyFill="1" applyBorder="1" applyAlignment="1" applyProtection="1">
      <alignment horizontal="center"/>
      <protection locked="0"/>
    </xf>
    <xf numFmtId="181" fontId="0" fillId="42" borderId="0" xfId="0" applyNumberFormat="1" applyFill="1" applyBorder="1" applyAlignment="1">
      <alignment horizontal="center"/>
    </xf>
    <xf numFmtId="181" fontId="42" fillId="20" borderId="18" xfId="13" applyNumberFormat="1" applyFont="1" applyFill="1" applyBorder="1"/>
    <xf numFmtId="181" fontId="42" fillId="29" borderId="31" xfId="13" applyNumberFormat="1" applyFont="1" applyFill="1" applyBorder="1" applyAlignment="1">
      <alignment horizontal="center"/>
    </xf>
    <xf numFmtId="181" fontId="42" fillId="29" borderId="17" xfId="13" applyNumberFormat="1" applyFont="1" applyFill="1" applyBorder="1" applyAlignment="1">
      <alignment horizontal="center"/>
    </xf>
    <xf numFmtId="181" fontId="42" fillId="29" borderId="3" xfId="13" applyNumberFormat="1" applyFont="1" applyFill="1" applyBorder="1" applyAlignment="1">
      <alignment horizontal="center"/>
    </xf>
    <xf numFmtId="181" fontId="42" fillId="42" borderId="3" xfId="13" applyNumberFormat="1" applyFont="1" applyFill="1" applyBorder="1" applyAlignment="1">
      <alignment horizontal="center"/>
    </xf>
    <xf numFmtId="0" fontId="42" fillId="20" borderId="3" xfId="13" applyFont="1" applyFill="1" applyBorder="1"/>
    <xf numFmtId="0" fontId="42" fillId="24" borderId="17" xfId="13" applyFont="1" applyFill="1" applyBorder="1" applyAlignment="1">
      <alignment wrapText="1"/>
    </xf>
    <xf numFmtId="0" fontId="42" fillId="42" borderId="3" xfId="13" applyFont="1" applyFill="1" applyBorder="1" applyAlignment="1">
      <alignment horizontal="center" wrapText="1"/>
    </xf>
    <xf numFmtId="181" fontId="42" fillId="20" borderId="31" xfId="13" applyNumberFormat="1" applyFont="1" applyFill="1" applyBorder="1"/>
    <xf numFmtId="181" fontId="42" fillId="24" borderId="17" xfId="13" applyNumberFormat="1" applyFill="1" applyBorder="1"/>
    <xf numFmtId="181" fontId="204" fillId="42" borderId="7" xfId="13" applyNumberFormat="1" applyFont="1" applyFill="1" applyBorder="1"/>
    <xf numFmtId="181" fontId="42" fillId="42" borderId="31" xfId="13" applyNumberFormat="1" applyFill="1" applyBorder="1"/>
    <xf numFmtId="181" fontId="42" fillId="42" borderId="7" xfId="13" applyNumberFormat="1" applyFill="1" applyBorder="1"/>
    <xf numFmtId="0" fontId="42" fillId="24" borderId="17" xfId="13" applyFont="1" applyFill="1" applyBorder="1"/>
    <xf numFmtId="0" fontId="42" fillId="42" borderId="2" xfId="13" applyFont="1" applyFill="1" applyBorder="1"/>
    <xf numFmtId="181" fontId="42" fillId="42" borderId="3" xfId="13" applyNumberFormat="1" applyFill="1" applyBorder="1" applyAlignment="1">
      <alignment horizontal="center"/>
    </xf>
    <xf numFmtId="181" fontId="42" fillId="42" borderId="0" xfId="13" applyNumberFormat="1" applyFill="1" applyBorder="1" applyAlignment="1">
      <alignment horizontal="center"/>
    </xf>
    <xf numFmtId="0" fontId="42" fillId="20" borderId="31" xfId="13" applyFill="1" applyBorder="1"/>
    <xf numFmtId="181" fontId="42" fillId="42" borderId="1" xfId="13" applyNumberFormat="1" applyFill="1" applyBorder="1" applyAlignment="1">
      <alignment horizontal="center"/>
    </xf>
    <xf numFmtId="0" fontId="42" fillId="20" borderId="3" xfId="13" applyFill="1" applyBorder="1"/>
    <xf numFmtId="0" fontId="42" fillId="42" borderId="6" xfId="13" applyFont="1" applyFill="1" applyBorder="1"/>
    <xf numFmtId="0" fontId="42" fillId="0" borderId="0" xfId="13" applyFont="1" applyFill="1" applyBorder="1"/>
    <xf numFmtId="0" fontId="42" fillId="0" borderId="18" xfId="13" applyFill="1" applyBorder="1"/>
    <xf numFmtId="181" fontId="42" fillId="0" borderId="18" xfId="13" applyNumberFormat="1" applyFill="1" applyBorder="1" applyAlignment="1">
      <alignment horizontal="center"/>
    </xf>
    <xf numFmtId="181" fontId="42" fillId="0" borderId="0" xfId="13" applyNumberFormat="1" applyFill="1" applyBorder="1" applyAlignment="1">
      <alignment horizontal="center"/>
    </xf>
    <xf numFmtId="181" fontId="0" fillId="0" borderId="0" xfId="0" applyNumberFormat="1" applyFill="1" applyBorder="1" applyAlignment="1">
      <alignment horizontal="center"/>
    </xf>
    <xf numFmtId="0" fontId="42" fillId="0" borderId="19" xfId="13" applyFill="1" applyBorder="1"/>
    <xf numFmtId="181" fontId="42" fillId="0" borderId="19" xfId="13" applyNumberFormat="1" applyFill="1" applyBorder="1" applyAlignment="1">
      <alignment horizontal="center"/>
    </xf>
    <xf numFmtId="181" fontId="42" fillId="0" borderId="1" xfId="13" applyNumberFormat="1" applyFill="1" applyBorder="1" applyAlignment="1">
      <alignment horizontal="center"/>
    </xf>
    <xf numFmtId="181" fontId="42" fillId="0" borderId="0" xfId="13" applyNumberFormat="1" applyFont="1" applyFill="1" applyBorder="1"/>
    <xf numFmtId="0" fontId="42" fillId="0" borderId="17" xfId="13" applyFill="1" applyBorder="1"/>
    <xf numFmtId="181" fontId="42" fillId="0" borderId="17" xfId="13" applyNumberFormat="1" applyFill="1" applyBorder="1" applyAlignment="1">
      <alignment horizontal="center"/>
    </xf>
    <xf numFmtId="0" fontId="0" fillId="0" borderId="1" xfId="0" applyFill="1" applyBorder="1"/>
    <xf numFmtId="0" fontId="42" fillId="0" borderId="0" xfId="13" applyFill="1" applyBorder="1"/>
    <xf numFmtId="0" fontId="42" fillId="0" borderId="0" xfId="13" applyFont="1" applyFill="1" applyBorder="1" applyAlignment="1">
      <alignment vertical="center"/>
    </xf>
    <xf numFmtId="181" fontId="42" fillId="0" borderId="0" xfId="13" applyNumberFormat="1" applyFill="1" applyBorder="1" applyAlignment="1">
      <alignment horizontal="center" vertical="center"/>
    </xf>
    <xf numFmtId="0" fontId="0" fillId="0" borderId="3" xfId="0" applyFill="1" applyBorder="1"/>
    <xf numFmtId="0" fontId="42" fillId="0" borderId="0" xfId="13" applyFont="1" applyFill="1" applyBorder="1" applyAlignment="1">
      <alignment wrapText="1"/>
    </xf>
    <xf numFmtId="0" fontId="42" fillId="0" borderId="0" xfId="13" applyFill="1" applyBorder="1" applyAlignment="1">
      <alignment vertical="center"/>
    </xf>
    <xf numFmtId="0" fontId="0" fillId="0" borderId="17" xfId="0" applyFill="1" applyBorder="1"/>
    <xf numFmtId="0" fontId="0" fillId="0" borderId="4" xfId="0" applyFill="1" applyBorder="1"/>
    <xf numFmtId="0" fontId="0" fillId="0" borderId="18" xfId="0" applyFill="1" applyBorder="1"/>
    <xf numFmtId="0" fontId="0" fillId="0" borderId="31" xfId="0" applyFill="1" applyBorder="1"/>
    <xf numFmtId="0" fontId="0" fillId="0" borderId="19" xfId="0" applyFill="1" applyBorder="1"/>
    <xf numFmtId="0" fontId="0" fillId="0" borderId="6" xfId="0" applyFill="1" applyBorder="1"/>
    <xf numFmtId="188" fontId="0" fillId="0" borderId="17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31" xfId="0" applyFill="1" applyBorder="1" applyAlignment="1">
      <alignment horizontal="center"/>
    </xf>
    <xf numFmtId="188" fontId="0" fillId="0" borderId="18" xfId="0" applyNumberFormat="1" applyFill="1" applyBorder="1" applyAlignment="1">
      <alignment horizontal="center"/>
    </xf>
    <xf numFmtId="0" fontId="0" fillId="0" borderId="7" xfId="0" applyFill="1" applyBorder="1"/>
    <xf numFmtId="0" fontId="0" fillId="0" borderId="5" xfId="0" applyFill="1" applyBorder="1"/>
    <xf numFmtId="0" fontId="175" fillId="0" borderId="6" xfId="0" applyFont="1" applyFill="1" applyBorder="1" applyAlignment="1" applyProtection="1">
      <alignment horizontal="center"/>
      <protection locked="0"/>
    </xf>
    <xf numFmtId="0" fontId="175" fillId="0" borderId="18" xfId="0" applyFont="1" applyFill="1" applyBorder="1" applyAlignment="1" applyProtection="1">
      <alignment horizontal="center"/>
      <protection locked="0"/>
    </xf>
    <xf numFmtId="181" fontId="0" fillId="0" borderId="17" xfId="0" applyNumberFormat="1" applyFill="1" applyBorder="1"/>
    <xf numFmtId="181" fontId="42" fillId="0" borderId="17" xfId="0" applyNumberFormat="1" applyFont="1" applyFill="1" applyBorder="1"/>
    <xf numFmtId="181" fontId="0" fillId="0" borderId="17" xfId="0" applyNumberFormat="1" applyFill="1" applyBorder="1" applyAlignment="1">
      <alignment horizontal="center"/>
    </xf>
    <xf numFmtId="181" fontId="42" fillId="0" borderId="17" xfId="0" applyNumberFormat="1" applyFont="1" applyFill="1" applyBorder="1" applyAlignment="1">
      <alignment horizontal="center"/>
    </xf>
    <xf numFmtId="181" fontId="0" fillId="0" borderId="19" xfId="0" applyNumberFormat="1" applyFill="1" applyBorder="1"/>
    <xf numFmtId="181" fontId="0" fillId="0" borderId="19" xfId="0" applyNumberFormat="1" applyFill="1" applyBorder="1" applyAlignment="1">
      <alignment horizontal="center"/>
    </xf>
    <xf numFmtId="181" fontId="0" fillId="0" borderId="18" xfId="0" applyNumberFormat="1" applyFill="1" applyBorder="1"/>
    <xf numFmtId="181" fontId="0" fillId="0" borderId="18" xfId="0" applyNumberFormat="1" applyFill="1" applyBorder="1" applyAlignment="1">
      <alignment horizontal="center"/>
    </xf>
    <xf numFmtId="181" fontId="42" fillId="0" borderId="19" xfId="0" applyNumberFormat="1" applyFont="1" applyFill="1" applyBorder="1" applyAlignment="1">
      <alignment horizontal="center"/>
    </xf>
    <xf numFmtId="0" fontId="42" fillId="0" borderId="19" xfId="0" applyFont="1" applyFill="1" applyBorder="1"/>
    <xf numFmtId="181" fontId="0" fillId="0" borderId="31" xfId="0" applyNumberFormat="1" applyFill="1" applyBorder="1" applyAlignment="1">
      <alignment horizontal="center"/>
    </xf>
    <xf numFmtId="181" fontId="0" fillId="0" borderId="6" xfId="0" applyNumberFormat="1" applyFill="1" applyBorder="1" applyAlignment="1">
      <alignment horizontal="center"/>
    </xf>
    <xf numFmtId="181" fontId="0" fillId="0" borderId="7" xfId="0" applyNumberFormat="1" applyFill="1" applyBorder="1" applyAlignment="1">
      <alignment horizontal="center"/>
    </xf>
    <xf numFmtId="181" fontId="42" fillId="0" borderId="18" xfId="0" applyNumberFormat="1" applyFont="1" applyFill="1" applyBorder="1" applyAlignment="1">
      <alignment horizontal="center"/>
    </xf>
    <xf numFmtId="189" fontId="42" fillId="0" borderId="18" xfId="5" applyNumberFormat="1" applyFont="1" applyFill="1" applyBorder="1"/>
    <xf numFmtId="181" fontId="42" fillId="0" borderId="18" xfId="0" applyNumberFormat="1" applyFont="1" applyFill="1" applyBorder="1" applyAlignment="1">
      <alignment horizontal="left"/>
    </xf>
    <xf numFmtId="181" fontId="0" fillId="0" borderId="8" xfId="0" applyNumberFormat="1" applyFill="1" applyBorder="1" applyAlignment="1">
      <alignment horizontal="center"/>
    </xf>
    <xf numFmtId="181" fontId="42" fillId="0" borderId="3" xfId="0" applyNumberFormat="1" applyFont="1" applyFill="1" applyBorder="1" applyAlignment="1"/>
    <xf numFmtId="181" fontId="42" fillId="0" borderId="4" xfId="0" applyNumberFormat="1" applyFont="1" applyFill="1" applyBorder="1" applyAlignment="1"/>
    <xf numFmtId="189" fontId="0" fillId="0" borderId="18" xfId="5" applyNumberFormat="1" applyFont="1" applyFill="1" applyBorder="1"/>
    <xf numFmtId="181" fontId="42" fillId="0" borderId="7" xfId="0" applyNumberFormat="1" applyFont="1" applyFill="1" applyBorder="1" applyAlignment="1"/>
    <xf numFmtId="181" fontId="42" fillId="0" borderId="0" xfId="0" applyNumberFormat="1" applyFont="1" applyFill="1" applyBorder="1" applyAlignment="1"/>
    <xf numFmtId="181" fontId="42" fillId="0" borderId="31" xfId="0" applyNumberFormat="1" applyFont="1" applyFill="1" applyBorder="1" applyAlignment="1"/>
    <xf numFmtId="181" fontId="42" fillId="0" borderId="5" xfId="0" applyNumberFormat="1" applyFont="1" applyFill="1" applyBorder="1" applyAlignment="1"/>
    <xf numFmtId="181" fontId="42" fillId="0" borderId="1" xfId="0" applyNumberFormat="1" applyFont="1" applyFill="1" applyBorder="1" applyAlignment="1"/>
    <xf numFmtId="181" fontId="42" fillId="0" borderId="6" xfId="0" applyNumberFormat="1" applyFont="1" applyFill="1" applyBorder="1" applyAlignment="1"/>
    <xf numFmtId="189" fontId="42" fillId="0" borderId="17" xfId="5" applyNumberFormat="1" applyFont="1" applyFill="1" applyBorder="1"/>
    <xf numFmtId="181" fontId="42" fillId="0" borderId="17" xfId="0" applyNumberFormat="1" applyFont="1" applyFill="1" applyBorder="1" applyAlignment="1">
      <alignment horizontal="left"/>
    </xf>
    <xf numFmtId="181" fontId="42" fillId="0" borderId="18" xfId="0" applyNumberFormat="1" applyFont="1" applyFill="1" applyBorder="1"/>
    <xf numFmtId="189" fontId="0" fillId="0" borderId="19" xfId="5" applyNumberFormat="1" applyFont="1" applyFill="1" applyBorder="1"/>
    <xf numFmtId="181" fontId="42" fillId="0" borderId="19" xfId="0" applyNumberFormat="1" applyFont="1" applyFill="1" applyBorder="1" applyAlignment="1">
      <alignment horizontal="left"/>
    </xf>
    <xf numFmtId="181" fontId="42" fillId="0" borderId="19" xfId="0" applyNumberFormat="1" applyFont="1" applyFill="1" applyBorder="1"/>
    <xf numFmtId="0" fontId="175" fillId="0" borderId="1" xfId="0" applyFont="1" applyFill="1" applyBorder="1" applyAlignment="1" applyProtection="1">
      <alignment horizontal="center"/>
      <protection locked="0"/>
    </xf>
    <xf numFmtId="0" fontId="175" fillId="0" borderId="19" xfId="0" applyFont="1" applyFill="1" applyBorder="1" applyAlignment="1" applyProtection="1">
      <alignment horizontal="center"/>
      <protection locked="0"/>
    </xf>
    <xf numFmtId="181" fontId="0" fillId="0" borderId="4" xfId="0" applyNumberFormat="1" applyFill="1" applyBorder="1" applyAlignment="1">
      <alignment horizontal="center"/>
    </xf>
    <xf numFmtId="0" fontId="42" fillId="0" borderId="31" xfId="0" applyFont="1" applyFill="1" applyBorder="1"/>
    <xf numFmtId="181" fontId="0" fillId="0" borderId="5" xfId="0" applyNumberFormat="1" applyFill="1" applyBorder="1" applyAlignment="1">
      <alignment horizontal="center"/>
    </xf>
    <xf numFmtId="181" fontId="0" fillId="0" borderId="2" xfId="0" applyNumberFormat="1" applyFill="1" applyBorder="1" applyAlignment="1">
      <alignment vertical="top" wrapText="1"/>
    </xf>
    <xf numFmtId="181" fontId="0" fillId="0" borderId="3" xfId="0" applyNumberFormat="1" applyFill="1" applyBorder="1" applyAlignment="1">
      <alignment vertical="top" wrapText="1"/>
    </xf>
    <xf numFmtId="181" fontId="0" fillId="0" borderId="4" xfId="0" applyNumberFormat="1" applyFill="1" applyBorder="1" applyAlignment="1">
      <alignment vertical="top" wrapText="1"/>
    </xf>
    <xf numFmtId="181" fontId="0" fillId="0" borderId="7" xfId="0" applyNumberFormat="1" applyFill="1" applyBorder="1" applyAlignment="1">
      <alignment vertical="top" wrapText="1"/>
    </xf>
    <xf numFmtId="181" fontId="0" fillId="0" borderId="0" xfId="0" applyNumberFormat="1" applyFill="1" applyBorder="1" applyAlignment="1">
      <alignment vertical="top" wrapText="1"/>
    </xf>
    <xf numFmtId="181" fontId="0" fillId="0" borderId="31" xfId="0" applyNumberFormat="1" applyFill="1" applyBorder="1" applyAlignment="1">
      <alignment vertical="top" wrapText="1"/>
    </xf>
    <xf numFmtId="181" fontId="0" fillId="0" borderId="5" xfId="0" applyNumberFormat="1" applyFill="1" applyBorder="1" applyAlignment="1">
      <alignment vertical="top" wrapText="1"/>
    </xf>
    <xf numFmtId="181" fontId="0" fillId="0" borderId="1" xfId="0" applyNumberFormat="1" applyFill="1" applyBorder="1" applyAlignment="1">
      <alignment vertical="top" wrapText="1"/>
    </xf>
    <xf numFmtId="181" fontId="0" fillId="0" borderId="6" xfId="0" applyNumberFormat="1" applyFill="1" applyBorder="1" applyAlignment="1">
      <alignment vertical="top" wrapText="1"/>
    </xf>
    <xf numFmtId="181" fontId="42" fillId="24" borderId="17" xfId="0" applyNumberFormat="1" applyFont="1" applyFill="1" applyBorder="1"/>
    <xf numFmtId="0" fontId="0" fillId="20" borderId="31" xfId="0" applyFill="1" applyBorder="1"/>
    <xf numFmtId="181" fontId="42" fillId="42" borderId="0" xfId="0" applyNumberFormat="1" applyFont="1" applyFill="1" applyBorder="1" applyAlignment="1">
      <alignment horizontal="center"/>
    </xf>
    <xf numFmtId="0" fontId="0" fillId="20" borderId="3" xfId="0" applyFill="1" applyBorder="1"/>
    <xf numFmtId="181" fontId="0" fillId="42" borderId="7" xfId="0" applyNumberFormat="1" applyFill="1" applyBorder="1" applyAlignment="1">
      <alignment horizontal="center"/>
    </xf>
    <xf numFmtId="181" fontId="0" fillId="42" borderId="1" xfId="0" applyNumberFormat="1" applyFill="1" applyBorder="1" applyAlignment="1">
      <alignment horizontal="center"/>
    </xf>
    <xf numFmtId="181" fontId="42" fillId="42" borderId="18" xfId="0" applyNumberFormat="1" applyFont="1" applyFill="1" applyBorder="1" applyAlignment="1">
      <alignment horizontal="center"/>
    </xf>
    <xf numFmtId="0" fontId="42" fillId="20" borderId="31" xfId="0" applyFont="1" applyFill="1" applyBorder="1"/>
    <xf numFmtId="0" fontId="42" fillId="20" borderId="6" xfId="0" applyFont="1" applyFill="1" applyBorder="1"/>
    <xf numFmtId="181" fontId="42" fillId="20" borderId="19" xfId="0" applyNumberFormat="1" applyFont="1" applyFill="1" applyBorder="1"/>
    <xf numFmtId="181" fontId="42" fillId="42" borderId="0" xfId="0" applyNumberFormat="1" applyFont="1" applyFill="1" applyBorder="1"/>
    <xf numFmtId="181" fontId="42" fillId="42" borderId="3" xfId="0" applyNumberFormat="1" applyFont="1" applyFill="1" applyBorder="1"/>
    <xf numFmtId="181" fontId="42" fillId="24" borderId="19" xfId="0" applyNumberFormat="1" applyFont="1" applyFill="1" applyBorder="1"/>
    <xf numFmtId="181" fontId="42" fillId="42" borderId="1" xfId="0" applyNumberFormat="1" applyFont="1" applyFill="1" applyBorder="1"/>
    <xf numFmtId="181" fontId="0" fillId="42" borderId="7" xfId="0" applyNumberFormat="1" applyFill="1" applyBorder="1"/>
    <xf numFmtId="181" fontId="0" fillId="42" borderId="0" xfId="0" applyNumberFormat="1" applyFill="1" applyBorder="1"/>
    <xf numFmtId="0" fontId="42" fillId="0" borderId="0" xfId="13" applyFont="1" applyFill="1" applyBorder="1" applyAlignment="1">
      <alignment vertical="top"/>
    </xf>
    <xf numFmtId="181" fontId="42" fillId="0" borderId="0" xfId="13" applyNumberFormat="1" applyFill="1" applyBorder="1" applyAlignment="1">
      <alignment horizontal="center" vertical="top"/>
    </xf>
    <xf numFmtId="0" fontId="66" fillId="0" borderId="19" xfId="13" applyFont="1" applyFill="1" applyBorder="1"/>
    <xf numFmtId="0" fontId="66" fillId="0" borderId="18" xfId="13" applyFont="1" applyFill="1" applyBorder="1" applyAlignment="1"/>
    <xf numFmtId="0" fontId="66" fillId="0" borderId="18" xfId="13" applyFont="1" applyFill="1" applyBorder="1" applyAlignment="1">
      <alignment wrapText="1"/>
    </xf>
    <xf numFmtId="181" fontId="66" fillId="0" borderId="17" xfId="13" applyNumberFormat="1" applyFont="1" applyFill="1" applyBorder="1"/>
    <xf numFmtId="0" fontId="66" fillId="0" borderId="17" xfId="13" applyFont="1" applyFill="1" applyBorder="1" applyAlignment="1">
      <alignment wrapText="1"/>
    </xf>
    <xf numFmtId="0" fontId="66" fillId="0" borderId="19" xfId="13" applyFont="1" applyFill="1" applyBorder="1" applyAlignment="1">
      <alignment wrapText="1"/>
    </xf>
    <xf numFmtId="180" fontId="117" fillId="0" borderId="8" xfId="0" quotePrefix="1" applyNumberFormat="1" applyFont="1" applyFill="1" applyBorder="1" applyProtection="1">
      <protection locked="0"/>
    </xf>
    <xf numFmtId="0" fontId="66" fillId="21" borderId="8" xfId="13" applyFont="1" applyFill="1" applyBorder="1"/>
    <xf numFmtId="181" fontId="66" fillId="21" borderId="8" xfId="13" applyNumberFormat="1" applyFont="1" applyFill="1" applyBorder="1" applyAlignment="1">
      <alignment horizontal="center"/>
    </xf>
    <xf numFmtId="181" fontId="66" fillId="22" borderId="8" xfId="13" applyNumberFormat="1" applyFont="1" applyFill="1" applyBorder="1" applyAlignment="1">
      <alignment horizontal="center"/>
    </xf>
    <xf numFmtId="181" fontId="66" fillId="21" borderId="8" xfId="13" applyNumberFormat="1" applyFont="1" applyFill="1" applyBorder="1" applyAlignment="1">
      <alignment horizontal="center" vertical="center"/>
    </xf>
    <xf numFmtId="181" fontId="66" fillId="22" borderId="8" xfId="13" applyNumberFormat="1" applyFont="1" applyFill="1" applyBorder="1" applyAlignment="1">
      <alignment horizontal="center" vertical="center"/>
    </xf>
    <xf numFmtId="181" fontId="66" fillId="21" borderId="8" xfId="13" applyNumberFormat="1" applyFont="1" applyFill="1" applyBorder="1"/>
    <xf numFmtId="181" fontId="66" fillId="21" borderId="8" xfId="13" applyNumberFormat="1" applyFont="1" applyFill="1" applyBorder="1" applyAlignment="1">
      <alignment vertical="center"/>
    </xf>
    <xf numFmtId="180" fontId="56" fillId="14" borderId="7" xfId="0" applyNumberFormat="1" applyFont="1" applyFill="1" applyBorder="1" applyProtection="1">
      <protection locked="0"/>
    </xf>
    <xf numFmtId="0" fontId="66" fillId="0" borderId="19" xfId="0" applyFont="1" applyFill="1" applyBorder="1"/>
    <xf numFmtId="181" fontId="66" fillId="0" borderId="17" xfId="0" applyNumberFormat="1" applyFont="1" applyFill="1" applyBorder="1" applyAlignment="1">
      <alignment horizontal="left"/>
    </xf>
    <xf numFmtId="181" fontId="66" fillId="0" borderId="18" xfId="0" applyNumberFormat="1" applyFont="1" applyFill="1" applyBorder="1" applyAlignment="1">
      <alignment horizontal="left"/>
    </xf>
    <xf numFmtId="181" fontId="66" fillId="0" borderId="19" xfId="0" applyNumberFormat="1" applyFont="1" applyFill="1" applyBorder="1" applyAlignment="1">
      <alignment horizontal="left"/>
    </xf>
    <xf numFmtId="0" fontId="66" fillId="21" borderId="8" xfId="0" applyFont="1" applyFill="1" applyBorder="1"/>
    <xf numFmtId="181" fontId="56" fillId="21" borderId="8" xfId="0" applyNumberFormat="1" applyFont="1" applyFill="1" applyBorder="1" applyAlignment="1">
      <alignment horizontal="center"/>
    </xf>
    <xf numFmtId="181" fontId="66" fillId="21" borderId="8" xfId="0" applyNumberFormat="1" applyFont="1" applyFill="1" applyBorder="1" applyAlignment="1">
      <alignment horizontal="center"/>
    </xf>
    <xf numFmtId="189" fontId="66" fillId="21" borderId="8" xfId="5" applyNumberFormat="1" applyFont="1" applyFill="1" applyBorder="1"/>
    <xf numFmtId="189" fontId="56" fillId="21" borderId="8" xfId="5" applyNumberFormat="1" applyFont="1" applyFill="1" applyBorder="1"/>
    <xf numFmtId="181" fontId="56" fillId="22" borderId="8" xfId="0" applyNumberFormat="1" applyFont="1" applyFill="1" applyBorder="1" applyAlignment="1">
      <alignment horizontal="center"/>
    </xf>
    <xf numFmtId="181" fontId="66" fillId="22" borderId="8" xfId="0" applyNumberFormat="1" applyFont="1" applyFill="1" applyBorder="1" applyAlignment="1">
      <alignment horizontal="center"/>
    </xf>
    <xf numFmtId="181" fontId="0" fillId="0" borderId="0" xfId="0" applyNumberFormat="1" applyFill="1" applyBorder="1"/>
    <xf numFmtId="181" fontId="42" fillId="0" borderId="0" xfId="0" applyNumberFormat="1" applyFont="1" applyFill="1" applyBorder="1"/>
    <xf numFmtId="181" fontId="56" fillId="0" borderId="0" xfId="0" applyNumberFormat="1" applyFont="1" applyFill="1" applyBorder="1"/>
    <xf numFmtId="181" fontId="56" fillId="0" borderId="0" xfId="0" applyNumberFormat="1" applyFont="1" applyFill="1" applyBorder="1" applyAlignment="1">
      <alignment horizontal="center"/>
    </xf>
    <xf numFmtId="0" fontId="42" fillId="0" borderId="0" xfId="0" applyFont="1" applyFill="1" applyBorder="1"/>
    <xf numFmtId="0" fontId="56" fillId="0" borderId="0" xfId="0" applyFont="1" applyFill="1" applyBorder="1"/>
    <xf numFmtId="0" fontId="66" fillId="0" borderId="0" xfId="0" applyFont="1" applyFill="1" applyBorder="1"/>
    <xf numFmtId="181" fontId="42" fillId="0" borderId="0" xfId="0" applyNumberFormat="1" applyFont="1" applyFill="1" applyBorder="1" applyAlignment="1">
      <alignment horizontal="center"/>
    </xf>
    <xf numFmtId="189" fontId="42" fillId="0" borderId="0" xfId="5" applyNumberFormat="1" applyFont="1" applyFill="1" applyBorder="1"/>
    <xf numFmtId="181" fontId="42" fillId="0" borderId="0" xfId="0" applyNumberFormat="1" applyFont="1" applyFill="1" applyBorder="1" applyAlignment="1">
      <alignment horizontal="left"/>
    </xf>
    <xf numFmtId="189" fontId="0" fillId="0" borderId="0" xfId="5" applyNumberFormat="1" applyFont="1" applyFill="1" applyBorder="1"/>
    <xf numFmtId="0" fontId="66" fillId="0" borderId="17" xfId="13" applyFont="1" applyFill="1" applyBorder="1"/>
    <xf numFmtId="0" fontId="39" fillId="19" borderId="48" xfId="0" applyFont="1" applyFill="1" applyBorder="1" applyAlignment="1">
      <alignment horizontal="center" vertical="center" wrapText="1"/>
    </xf>
    <xf numFmtId="0" fontId="40" fillId="19" borderId="48" xfId="0" applyFont="1" applyFill="1" applyBorder="1" applyAlignment="1">
      <alignment horizontal="center" vertical="center"/>
    </xf>
    <xf numFmtId="0" fontId="40" fillId="19" borderId="49" xfId="0" applyFont="1" applyFill="1" applyBorder="1" applyAlignment="1">
      <alignment horizontal="center" vertical="center"/>
    </xf>
    <xf numFmtId="180" fontId="190" fillId="13" borderId="8" xfId="0" applyNumberFormat="1" applyFont="1" applyFill="1" applyBorder="1" applyProtection="1">
      <protection locked="0"/>
    </xf>
    <xf numFmtId="1" fontId="39" fillId="19" borderId="34" xfId="0" applyNumberFormat="1" applyFont="1" applyFill="1" applyBorder="1" applyAlignment="1">
      <alignment vertical="center"/>
    </xf>
    <xf numFmtId="0" fontId="205" fillId="19" borderId="0" xfId="0" applyFont="1" applyFill="1" applyBorder="1"/>
    <xf numFmtId="0" fontId="205" fillId="19" borderId="0" xfId="0" applyFont="1" applyFill="1"/>
    <xf numFmtId="0" fontId="205" fillId="0" borderId="0" xfId="0" applyFont="1"/>
    <xf numFmtId="1" fontId="39" fillId="19" borderId="40" xfId="0" applyNumberFormat="1" applyFont="1" applyFill="1" applyBorder="1" applyAlignment="1">
      <alignment vertical="center"/>
    </xf>
    <xf numFmtId="0" fontId="39" fillId="19" borderId="47" xfId="0" applyFont="1" applyFill="1" applyBorder="1" applyAlignment="1">
      <alignment horizontal="center" vertical="center"/>
    </xf>
    <xf numFmtId="0" fontId="39" fillId="45" borderId="34" xfId="0" applyFont="1" applyFill="1" applyBorder="1" applyAlignment="1">
      <alignment horizontal="center" vertical="center"/>
    </xf>
    <xf numFmtId="0" fontId="39" fillId="45" borderId="48" xfId="0" applyFont="1" applyFill="1" applyBorder="1" applyAlignment="1">
      <alignment horizontal="center" vertical="center"/>
    </xf>
    <xf numFmtId="0" fontId="39" fillId="45" borderId="58" xfId="0" applyFont="1" applyFill="1" applyBorder="1" applyAlignment="1"/>
    <xf numFmtId="0" fontId="39" fillId="45" borderId="52" xfId="0" applyFont="1" applyFill="1" applyBorder="1" applyAlignment="1"/>
    <xf numFmtId="0" fontId="40" fillId="45" borderId="88" xfId="0" applyFont="1" applyFill="1" applyBorder="1" applyAlignment="1">
      <alignment horizontal="center"/>
    </xf>
    <xf numFmtId="0" fontId="40" fillId="19" borderId="11" xfId="0" applyFont="1" applyFill="1" applyBorder="1" applyAlignment="1">
      <alignment horizontal="center"/>
    </xf>
    <xf numFmtId="0" fontId="39" fillId="45" borderId="11" xfId="0" applyFont="1" applyFill="1" applyBorder="1" applyAlignment="1">
      <alignment horizontal="center"/>
    </xf>
    <xf numFmtId="191" fontId="39" fillId="45" borderId="89" xfId="0" applyNumberFormat="1" applyFont="1" applyFill="1" applyBorder="1" applyAlignment="1">
      <alignment horizontal="center" vertical="center"/>
    </xf>
    <xf numFmtId="191" fontId="39" fillId="45" borderId="80" xfId="0" applyNumberFormat="1" applyFont="1" applyFill="1" applyBorder="1" applyAlignment="1">
      <alignment horizontal="center" vertical="center"/>
    </xf>
    <xf numFmtId="191" fontId="39" fillId="45" borderId="90" xfId="0" applyNumberFormat="1" applyFont="1" applyFill="1" applyBorder="1" applyAlignment="1">
      <alignment horizontal="center" vertical="center"/>
    </xf>
    <xf numFmtId="191" fontId="39" fillId="45" borderId="91" xfId="0" applyNumberFormat="1" applyFont="1" applyFill="1" applyBorder="1" applyAlignment="1">
      <alignment horizontal="center" vertical="center"/>
    </xf>
    <xf numFmtId="191" fontId="39" fillId="45" borderId="92" xfId="0" applyNumberFormat="1" applyFont="1" applyFill="1" applyBorder="1" applyAlignment="1">
      <alignment horizontal="center" vertical="center"/>
    </xf>
    <xf numFmtId="191" fontId="39" fillId="45" borderId="93" xfId="0" applyNumberFormat="1" applyFont="1" applyFill="1" applyBorder="1" applyAlignment="1">
      <alignment horizontal="center" vertical="center"/>
    </xf>
    <xf numFmtId="0" fontId="39" fillId="0" borderId="94" xfId="0" applyFont="1" applyBorder="1" applyAlignment="1">
      <alignment horizontal="left" wrapText="1"/>
    </xf>
    <xf numFmtId="0" fontId="40" fillId="19" borderId="40" xfId="19" applyFont="1" applyFill="1" applyBorder="1" applyAlignment="1">
      <alignment wrapText="1"/>
    </xf>
    <xf numFmtId="0" fontId="39" fillId="0" borderId="98" xfId="0" applyFont="1" applyBorder="1" applyAlignment="1">
      <alignment horizontal="left" wrapText="1"/>
    </xf>
    <xf numFmtId="181" fontId="0" fillId="42" borderId="7" xfId="0" applyNumberFormat="1" applyFill="1" applyBorder="1" applyAlignment="1">
      <alignment horizontal="center"/>
    </xf>
    <xf numFmtId="181" fontId="0" fillId="42" borderId="0" xfId="0" applyNumberFormat="1" applyFill="1" applyBorder="1" applyAlignment="1">
      <alignment horizontal="center"/>
    </xf>
    <xf numFmtId="181" fontId="0" fillId="42" borderId="2" xfId="0" applyNumberFormat="1" applyFill="1" applyBorder="1" applyAlignment="1">
      <alignment horizontal="center"/>
    </xf>
    <xf numFmtId="0" fontId="56" fillId="20" borderId="19" xfId="0" applyFont="1" applyFill="1" applyBorder="1"/>
    <xf numFmtId="180" fontId="0" fillId="35" borderId="8" xfId="0" applyNumberFormat="1" applyFont="1" applyFill="1" applyBorder="1" applyProtection="1">
      <protection locked="0"/>
    </xf>
    <xf numFmtId="0" fontId="0" fillId="20" borderId="17" xfId="0" applyFont="1" applyFill="1" applyBorder="1"/>
    <xf numFmtId="0" fontId="0" fillId="20" borderId="18" xfId="0" applyFont="1" applyFill="1" applyBorder="1"/>
    <xf numFmtId="181" fontId="66" fillId="0" borderId="0" xfId="0" applyNumberFormat="1" applyFont="1" applyFill="1" applyBorder="1"/>
    <xf numFmtId="0" fontId="66" fillId="0" borderId="50" xfId="0" applyFont="1" applyBorder="1" applyAlignment="1"/>
    <xf numFmtId="0" fontId="0" fillId="0" borderId="21" xfId="0" applyBorder="1"/>
    <xf numFmtId="0" fontId="66" fillId="0" borderId="51" xfId="0" applyFont="1" applyBorder="1" applyAlignment="1"/>
    <xf numFmtId="0" fontId="0" fillId="0" borderId="15" xfId="0" applyBorder="1"/>
    <xf numFmtId="0" fontId="66" fillId="0" borderId="53" xfId="0" applyFont="1" applyBorder="1" applyAlignment="1"/>
    <xf numFmtId="0" fontId="0" fillId="0" borderId="72" xfId="0" applyBorder="1"/>
    <xf numFmtId="0" fontId="66" fillId="0" borderId="48" xfId="0" applyFont="1" applyBorder="1" applyAlignment="1"/>
    <xf numFmtId="183" fontId="62" fillId="0" borderId="66" xfId="0" applyNumberFormat="1" applyFont="1" applyBorder="1" applyAlignment="1">
      <alignment horizontal="center"/>
    </xf>
    <xf numFmtId="0" fontId="66" fillId="0" borderId="49" xfId="0" applyFont="1" applyBorder="1"/>
    <xf numFmtId="0" fontId="62" fillId="0" borderId="0" xfId="0" applyFont="1" applyAlignment="1">
      <alignment vertical="center" wrapText="1"/>
    </xf>
    <xf numFmtId="182" fontId="62" fillId="0" borderId="66" xfId="0" applyNumberFormat="1" applyFont="1" applyBorder="1" applyAlignment="1">
      <alignment horizontal="center"/>
    </xf>
    <xf numFmtId="183" fontId="62" fillId="19" borderId="51" xfId="0" applyNumberFormat="1" applyFont="1" applyFill="1" applyBorder="1" applyAlignment="1">
      <alignment horizontal="center"/>
    </xf>
    <xf numFmtId="0" fontId="62" fillId="19" borderId="50" xfId="0" applyFont="1" applyFill="1" applyBorder="1" applyAlignment="1">
      <alignment horizontal="center"/>
    </xf>
    <xf numFmtId="0" fontId="62" fillId="0" borderId="40" xfId="0" applyFont="1" applyBorder="1"/>
    <xf numFmtId="183" fontId="66" fillId="0" borderId="47" xfId="0" applyNumberFormat="1" applyFont="1" applyBorder="1" applyAlignment="1">
      <alignment horizontal="center"/>
    </xf>
    <xf numFmtId="0" fontId="66" fillId="0" borderId="47" xfId="0" applyFont="1" applyBorder="1" applyAlignment="1">
      <alignment horizontal="center"/>
    </xf>
    <xf numFmtId="0" fontId="62" fillId="0" borderId="8" xfId="0" applyFont="1" applyBorder="1"/>
    <xf numFmtId="0" fontId="62" fillId="0" borderId="9" xfId="0" applyFont="1" applyBorder="1"/>
    <xf numFmtId="0" fontId="62" fillId="0" borderId="63" xfId="0" applyFont="1" applyBorder="1"/>
    <xf numFmtId="183" fontId="62" fillId="0" borderId="53" xfId="0" applyNumberFormat="1" applyFont="1" applyBorder="1" applyAlignment="1">
      <alignment horizontal="center"/>
    </xf>
    <xf numFmtId="0" fontId="62" fillId="0" borderId="53" xfId="0" applyFont="1" applyBorder="1" applyAlignment="1">
      <alignment horizontal="center"/>
    </xf>
    <xf numFmtId="0" fontId="62" fillId="0" borderId="49" xfId="0" applyFont="1" applyBorder="1"/>
    <xf numFmtId="0" fontId="62" fillId="0" borderId="49" xfId="0" applyFont="1" applyBorder="1" applyAlignment="1">
      <alignment horizontal="center"/>
    </xf>
    <xf numFmtId="49" fontId="62" fillId="0" borderId="66" xfId="0" applyNumberFormat="1" applyFont="1" applyBorder="1" applyAlignment="1">
      <alignment horizontal="center"/>
    </xf>
    <xf numFmtId="0" fontId="62" fillId="0" borderId="48" xfId="0" applyFont="1" applyFill="1" applyBorder="1"/>
    <xf numFmtId="0" fontId="66" fillId="0" borderId="0" xfId="0" applyFont="1" applyFill="1"/>
    <xf numFmtId="0" fontId="62" fillId="0" borderId="48" xfId="0" applyFont="1" applyFill="1" applyBorder="1" applyAlignment="1">
      <alignment horizontal="center"/>
    </xf>
    <xf numFmtId="0" fontId="62" fillId="0" borderId="50" xfId="0" applyFont="1" applyFill="1" applyBorder="1"/>
    <xf numFmtId="0" fontId="62" fillId="0" borderId="50" xfId="0" applyFont="1" applyFill="1" applyBorder="1" applyAlignment="1">
      <alignment horizontal="center"/>
    </xf>
    <xf numFmtId="0" fontId="62" fillId="0" borderId="0" xfId="0" applyFont="1" applyFill="1"/>
    <xf numFmtId="0" fontId="62" fillId="0" borderId="51" xfId="0" applyFont="1" applyFill="1" applyBorder="1"/>
    <xf numFmtId="0" fontId="62" fillId="0" borderId="51" xfId="0" applyFont="1" applyFill="1" applyBorder="1" applyAlignment="1">
      <alignment horizontal="center"/>
    </xf>
    <xf numFmtId="183" fontId="62" fillId="0" borderId="51" xfId="0" applyNumberFormat="1" applyFont="1" applyFill="1" applyBorder="1" applyAlignment="1">
      <alignment horizontal="center"/>
    </xf>
    <xf numFmtId="183" fontId="62" fillId="0" borderId="48" xfId="0" applyNumberFormat="1" applyFont="1" applyFill="1" applyBorder="1" applyAlignment="1">
      <alignment horizontal="center"/>
    </xf>
    <xf numFmtId="0" fontId="62" fillId="0" borderId="66" xfId="0" applyFont="1" applyFill="1" applyBorder="1"/>
    <xf numFmtId="183" fontId="62" fillId="0" borderId="66" xfId="0" applyNumberFormat="1" applyFont="1" applyFill="1" applyBorder="1" applyAlignment="1">
      <alignment horizontal="center"/>
    </xf>
    <xf numFmtId="0" fontId="66" fillId="0" borderId="50" xfId="0" applyFont="1" applyFill="1" applyBorder="1"/>
    <xf numFmtId="0" fontId="66" fillId="0" borderId="50" xfId="0" applyFont="1" applyFill="1" applyBorder="1" applyAlignment="1">
      <alignment horizontal="center"/>
    </xf>
    <xf numFmtId="182" fontId="62" fillId="0" borderId="51" xfId="0" applyNumberFormat="1" applyFont="1" applyFill="1" applyBorder="1" applyAlignment="1">
      <alignment horizontal="center"/>
    </xf>
    <xf numFmtId="0" fontId="66" fillId="0" borderId="51" xfId="0" applyFont="1" applyFill="1" applyBorder="1"/>
    <xf numFmtId="0" fontId="66" fillId="0" borderId="51" xfId="0" applyFont="1" applyFill="1" applyBorder="1" applyAlignment="1">
      <alignment horizontal="center"/>
    </xf>
    <xf numFmtId="183" fontId="66" fillId="0" borderId="51" xfId="0" applyNumberFormat="1" applyFont="1" applyFill="1" applyBorder="1" applyAlignment="1">
      <alignment horizontal="center"/>
    </xf>
    <xf numFmtId="182" fontId="62" fillId="0" borderId="66" xfId="0" applyNumberFormat="1" applyFont="1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2" fillId="0" borderId="3" xfId="0" applyFont="1" applyFill="1" applyBorder="1"/>
    <xf numFmtId="0" fontId="62" fillId="0" borderId="0" xfId="0" applyFont="1" applyAlignment="1">
      <alignment horizontal="center"/>
    </xf>
    <xf numFmtId="0" fontId="62" fillId="0" borderId="0" xfId="0" applyFont="1" applyBorder="1" applyAlignment="1">
      <alignment horizontal="center"/>
    </xf>
    <xf numFmtId="0" fontId="62" fillId="0" borderId="70" xfId="0" applyFont="1" applyBorder="1"/>
    <xf numFmtId="0" fontId="62" fillId="0" borderId="70" xfId="0" applyFont="1" applyBorder="1" applyAlignment="1">
      <alignment horizontal="center"/>
    </xf>
    <xf numFmtId="0" fontId="62" fillId="0" borderId="8" xfId="0" applyFont="1" applyBorder="1" applyAlignment="1">
      <alignment horizontal="center"/>
    </xf>
    <xf numFmtId="0" fontId="104" fillId="0" borderId="54" xfId="0" applyFont="1" applyBorder="1"/>
    <xf numFmtId="0" fontId="104" fillId="0" borderId="6" xfId="0" applyFont="1" applyFill="1" applyBorder="1" applyAlignment="1">
      <alignment horizontal="center"/>
    </xf>
    <xf numFmtId="183" fontId="104" fillId="0" borderId="5" xfId="0" applyNumberFormat="1" applyFont="1" applyFill="1" applyBorder="1" applyAlignment="1">
      <alignment horizontal="center"/>
    </xf>
    <xf numFmtId="0" fontId="104" fillId="0" borderId="68" xfId="0" applyFont="1" applyFill="1" applyBorder="1" applyAlignment="1">
      <alignment horizontal="center"/>
    </xf>
    <xf numFmtId="0" fontId="104" fillId="19" borderId="51" xfId="0" applyFont="1" applyFill="1" applyBorder="1"/>
    <xf numFmtId="0" fontId="104" fillId="19" borderId="10" xfId="0" applyFont="1" applyFill="1" applyBorder="1" applyAlignment="1">
      <alignment horizontal="center"/>
    </xf>
    <xf numFmtId="183" fontId="104" fillId="19" borderId="8" xfId="0" applyNumberFormat="1" applyFont="1" applyFill="1" applyBorder="1" applyAlignment="1">
      <alignment horizontal="center"/>
    </xf>
    <xf numFmtId="0" fontId="104" fillId="0" borderId="51" xfId="0" applyFont="1" applyBorder="1"/>
    <xf numFmtId="0" fontId="104" fillId="23" borderId="10" xfId="0" applyFont="1" applyFill="1" applyBorder="1" applyAlignment="1">
      <alignment horizontal="center"/>
    </xf>
    <xf numFmtId="183" fontId="104" fillId="19" borderId="57" xfId="0" applyNumberFormat="1" applyFont="1" applyFill="1" applyBorder="1" applyAlignment="1">
      <alignment horizontal="center"/>
    </xf>
    <xf numFmtId="0" fontId="104" fillId="23" borderId="24" xfId="0" applyFont="1" applyFill="1" applyBorder="1" applyAlignment="1">
      <alignment horizontal="center"/>
    </xf>
    <xf numFmtId="0" fontId="104" fillId="0" borderId="66" xfId="0" applyFont="1" applyBorder="1"/>
    <xf numFmtId="183" fontId="104" fillId="19" borderId="4" xfId="0" applyNumberFormat="1" applyFont="1" applyFill="1" applyBorder="1" applyAlignment="1">
      <alignment horizontal="center"/>
    </xf>
    <xf numFmtId="0" fontId="104" fillId="19" borderId="4" xfId="0" applyFont="1" applyFill="1" applyBorder="1" applyAlignment="1">
      <alignment horizontal="center"/>
    </xf>
    <xf numFmtId="0" fontId="104" fillId="0" borderId="50" xfId="0" applyFont="1" applyBorder="1"/>
    <xf numFmtId="0" fontId="104" fillId="19" borderId="6" xfId="0" applyFont="1" applyFill="1" applyBorder="1" applyAlignment="1">
      <alignment horizontal="center"/>
    </xf>
    <xf numFmtId="183" fontId="104" fillId="23" borderId="6" xfId="0" applyNumberFormat="1" applyFont="1" applyFill="1" applyBorder="1" applyAlignment="1">
      <alignment horizontal="center"/>
    </xf>
    <xf numFmtId="183" fontId="104" fillId="23" borderId="5" xfId="0" applyNumberFormat="1" applyFont="1" applyFill="1" applyBorder="1" applyAlignment="1">
      <alignment horizontal="center"/>
    </xf>
    <xf numFmtId="183" fontId="104" fillId="0" borderId="68" xfId="0" applyNumberFormat="1" applyFont="1" applyFill="1" applyBorder="1" applyAlignment="1">
      <alignment horizontal="center"/>
    </xf>
    <xf numFmtId="0" fontId="104" fillId="0" borderId="51" xfId="0" applyFont="1" applyFill="1" applyBorder="1"/>
    <xf numFmtId="183" fontId="104" fillId="23" borderId="10" xfId="0" applyNumberFormat="1" applyFont="1" applyFill="1" applyBorder="1" applyAlignment="1">
      <alignment horizontal="center"/>
    </xf>
    <xf numFmtId="183" fontId="104" fillId="23" borderId="9" xfId="0" applyNumberFormat="1" applyFont="1" applyFill="1" applyBorder="1" applyAlignment="1">
      <alignment horizontal="center"/>
    </xf>
    <xf numFmtId="183" fontId="104" fillId="0" borderId="4" xfId="0" applyNumberFormat="1" applyFont="1" applyFill="1" applyBorder="1" applyAlignment="1">
      <alignment horizontal="center"/>
    </xf>
    <xf numFmtId="183" fontId="104" fillId="23" borderId="2" xfId="0" applyNumberFormat="1" applyFont="1" applyFill="1" applyBorder="1" applyAlignment="1">
      <alignment horizontal="center"/>
    </xf>
    <xf numFmtId="183" fontId="104" fillId="23" borderId="42" xfId="0" applyNumberFormat="1" applyFont="1" applyFill="1" applyBorder="1" applyAlignment="1">
      <alignment horizontal="center"/>
    </xf>
    <xf numFmtId="183" fontId="104" fillId="0" borderId="15" xfId="0" applyNumberFormat="1" applyFont="1" applyFill="1" applyBorder="1" applyAlignment="1">
      <alignment horizontal="right"/>
    </xf>
    <xf numFmtId="187" fontId="104" fillId="0" borderId="15" xfId="0" applyNumberFormat="1" applyFont="1" applyFill="1" applyBorder="1" applyAlignment="1">
      <alignment horizontal="left"/>
    </xf>
    <xf numFmtId="183" fontId="104" fillId="0" borderId="6" xfId="0" applyNumberFormat="1" applyFont="1" applyFill="1" applyBorder="1" applyAlignment="1">
      <alignment horizontal="center"/>
    </xf>
    <xf numFmtId="183" fontId="104" fillId="23" borderId="57" xfId="0" applyNumberFormat="1" applyFont="1" applyFill="1" applyBorder="1" applyAlignment="1">
      <alignment horizontal="center"/>
    </xf>
    <xf numFmtId="183" fontId="104" fillId="23" borderId="15" xfId="0" applyNumberFormat="1" applyFont="1" applyFill="1" applyBorder="1" applyAlignment="1">
      <alignment horizontal="center"/>
    </xf>
    <xf numFmtId="0" fontId="104" fillId="0" borderId="39" xfId="0" applyFont="1" applyFill="1" applyBorder="1" applyAlignment="1">
      <alignment horizontal="center"/>
    </xf>
    <xf numFmtId="0" fontId="104" fillId="0" borderId="67" xfId="0" applyFont="1" applyFill="1" applyBorder="1" applyAlignment="1">
      <alignment horizontal="center"/>
    </xf>
    <xf numFmtId="183" fontId="104" fillId="19" borderId="10" xfId="0" applyNumberFormat="1" applyFont="1" applyFill="1" applyBorder="1" applyAlignment="1">
      <alignment horizontal="center"/>
    </xf>
    <xf numFmtId="0" fontId="104" fillId="0" borderId="41" xfId="0" applyFont="1" applyFill="1" applyBorder="1" applyAlignment="1">
      <alignment horizontal="center"/>
    </xf>
    <xf numFmtId="0" fontId="104" fillId="0" borderId="24" xfId="0" applyFont="1" applyFill="1" applyBorder="1" applyAlignment="1">
      <alignment horizontal="center"/>
    </xf>
    <xf numFmtId="183" fontId="104" fillId="23" borderId="3" xfId="0" applyNumberFormat="1" applyFont="1" applyFill="1" applyBorder="1" applyAlignment="1">
      <alignment horizontal="center"/>
    </xf>
    <xf numFmtId="183" fontId="104" fillId="23" borderId="17" xfId="0" applyNumberFormat="1" applyFont="1" applyFill="1" applyBorder="1" applyAlignment="1">
      <alignment horizontal="center"/>
    </xf>
    <xf numFmtId="182" fontId="103" fillId="23" borderId="1" xfId="0" applyNumberFormat="1" applyFont="1" applyFill="1" applyBorder="1" applyAlignment="1">
      <alignment horizontal="center"/>
    </xf>
    <xf numFmtId="0" fontId="103" fillId="23" borderId="19" xfId="0" applyFont="1" applyFill="1" applyBorder="1" applyAlignment="1">
      <alignment horizontal="center"/>
    </xf>
    <xf numFmtId="0" fontId="103" fillId="23" borderId="68" xfId="0" applyFont="1" applyFill="1" applyBorder="1" applyAlignment="1">
      <alignment horizontal="center"/>
    </xf>
    <xf numFmtId="0" fontId="104" fillId="19" borderId="66" xfId="0" applyFont="1" applyFill="1" applyBorder="1"/>
    <xf numFmtId="0" fontId="104" fillId="23" borderId="4" xfId="0" applyFont="1" applyFill="1" applyBorder="1" applyAlignment="1">
      <alignment horizontal="center"/>
    </xf>
    <xf numFmtId="0" fontId="104" fillId="19" borderId="48" xfId="0" applyFont="1" applyFill="1" applyBorder="1"/>
    <xf numFmtId="0" fontId="104" fillId="0" borderId="17" xfId="0" applyFont="1" applyBorder="1" applyAlignment="1">
      <alignment horizontal="center"/>
    </xf>
    <xf numFmtId="0" fontId="104" fillId="0" borderId="3" xfId="0" applyFont="1" applyBorder="1" applyAlignment="1">
      <alignment horizontal="center"/>
    </xf>
    <xf numFmtId="0" fontId="104" fillId="0" borderId="18" xfId="0" applyFont="1" applyBorder="1" applyAlignment="1">
      <alignment horizontal="center"/>
    </xf>
    <xf numFmtId="183" fontId="104" fillId="0" borderId="3" xfId="0" applyNumberFormat="1" applyFont="1" applyFill="1" applyBorder="1" applyAlignment="1">
      <alignment horizontal="center"/>
    </xf>
    <xf numFmtId="0" fontId="104" fillId="19" borderId="53" xfId="0" applyFont="1" applyFill="1" applyBorder="1"/>
    <xf numFmtId="0" fontId="104" fillId="0" borderId="19" xfId="0" applyFont="1" applyBorder="1" applyAlignment="1">
      <alignment horizontal="center"/>
    </xf>
    <xf numFmtId="0" fontId="104" fillId="0" borderId="1" xfId="0" applyFont="1" applyBorder="1" applyAlignment="1">
      <alignment horizontal="center"/>
    </xf>
    <xf numFmtId="0" fontId="167" fillId="19" borderId="30" xfId="0" applyFont="1" applyFill="1" applyBorder="1" applyAlignment="1">
      <alignment horizontal="center"/>
    </xf>
    <xf numFmtId="0" fontId="104" fillId="23" borderId="39" xfId="0" applyFont="1" applyFill="1" applyBorder="1" applyAlignment="1">
      <alignment horizontal="center"/>
    </xf>
    <xf numFmtId="183" fontId="104" fillId="23" borderId="1" xfId="0" applyNumberFormat="1" applyFont="1" applyFill="1" applyBorder="1" applyAlignment="1">
      <alignment horizontal="center"/>
    </xf>
    <xf numFmtId="183" fontId="104" fillId="23" borderId="68" xfId="0" applyNumberFormat="1" applyFont="1" applyFill="1" applyBorder="1" applyAlignment="1">
      <alignment horizontal="center"/>
    </xf>
    <xf numFmtId="183" fontId="104" fillId="19" borderId="25" xfId="0" applyNumberFormat="1" applyFont="1" applyFill="1" applyBorder="1" applyAlignment="1">
      <alignment horizontal="center"/>
    </xf>
    <xf numFmtId="0" fontId="104" fillId="23" borderId="55" xfId="0" applyFont="1" applyFill="1" applyBorder="1" applyAlignment="1">
      <alignment horizontal="center"/>
    </xf>
    <xf numFmtId="183" fontId="104" fillId="23" borderId="19" xfId="0" applyNumberFormat="1" applyFont="1" applyFill="1" applyBorder="1" applyAlignment="1">
      <alignment horizontal="center"/>
    </xf>
    <xf numFmtId="0" fontId="104" fillId="23" borderId="65" xfId="0" applyFont="1" applyFill="1" applyBorder="1" applyAlignment="1">
      <alignment horizontal="center"/>
    </xf>
    <xf numFmtId="183" fontId="104" fillId="0" borderId="65" xfId="0" applyNumberFormat="1" applyFont="1" applyFill="1" applyBorder="1" applyAlignment="1">
      <alignment horizontal="center"/>
    </xf>
    <xf numFmtId="183" fontId="104" fillId="0" borderId="17" xfId="0" applyNumberFormat="1" applyFont="1" applyFill="1" applyBorder="1" applyAlignment="1">
      <alignment horizontal="center"/>
    </xf>
    <xf numFmtId="0" fontId="104" fillId="0" borderId="15" xfId="0" applyFont="1" applyBorder="1" applyAlignment="1">
      <alignment horizontal="center"/>
    </xf>
    <xf numFmtId="183" fontId="104" fillId="0" borderId="39" xfId="0" applyNumberFormat="1" applyFont="1" applyFill="1" applyBorder="1" applyAlignment="1">
      <alignment horizontal="center"/>
    </xf>
    <xf numFmtId="183" fontId="104" fillId="0" borderId="19" xfId="0" applyNumberFormat="1" applyFont="1" applyFill="1" applyBorder="1" applyAlignment="1">
      <alignment horizontal="center"/>
    </xf>
    <xf numFmtId="0" fontId="40" fillId="0" borderId="9" xfId="0" applyFont="1" applyFill="1" applyBorder="1" applyAlignment="1">
      <alignment horizontal="center"/>
    </xf>
    <xf numFmtId="183" fontId="104" fillId="23" borderId="18" xfId="0" applyNumberFormat="1" applyFont="1" applyFill="1" applyBorder="1" applyAlignment="1">
      <alignment horizontal="center"/>
    </xf>
    <xf numFmtId="0" fontId="104" fillId="0" borderId="40" xfId="0" applyFont="1" applyBorder="1" applyAlignment="1">
      <alignment horizontal="center"/>
    </xf>
    <xf numFmtId="0" fontId="104" fillId="23" borderId="42" xfId="0" applyFont="1" applyFill="1" applyBorder="1" applyAlignment="1">
      <alignment horizontal="center"/>
    </xf>
    <xf numFmtId="0" fontId="104" fillId="23" borderId="41" xfId="0" applyFont="1" applyFill="1" applyBorder="1" applyAlignment="1">
      <alignment horizontal="center"/>
    </xf>
    <xf numFmtId="0" fontId="104" fillId="0" borderId="55" xfId="0" applyFont="1" applyFill="1" applyBorder="1" applyAlignment="1">
      <alignment horizontal="center"/>
    </xf>
    <xf numFmtId="183" fontId="104" fillId="0" borderId="8" xfId="0" applyNumberFormat="1" applyFont="1" applyFill="1" applyBorder="1" applyAlignment="1">
      <alignment horizontal="center"/>
    </xf>
    <xf numFmtId="183" fontId="104" fillId="0" borderId="57" xfId="0" applyNumberFormat="1" applyFont="1" applyFill="1" applyBorder="1" applyAlignment="1">
      <alignment horizontal="center"/>
    </xf>
    <xf numFmtId="183" fontId="104" fillId="23" borderId="41" xfId="0" applyNumberFormat="1" applyFont="1" applyFill="1" applyBorder="1" applyAlignment="1">
      <alignment horizontal="center"/>
    </xf>
    <xf numFmtId="183" fontId="104" fillId="23" borderId="8" xfId="0" applyNumberFormat="1" applyFont="1" applyFill="1" applyBorder="1" applyAlignment="1">
      <alignment horizontal="center"/>
    </xf>
    <xf numFmtId="182" fontId="104" fillId="23" borderId="41" xfId="0" applyNumberFormat="1" applyFont="1" applyFill="1" applyBorder="1" applyAlignment="1">
      <alignment horizontal="center"/>
    </xf>
    <xf numFmtId="182" fontId="104" fillId="23" borderId="65" xfId="0" applyNumberFormat="1" applyFont="1" applyFill="1" applyBorder="1" applyAlignment="1">
      <alignment horizontal="center"/>
    </xf>
    <xf numFmtId="183" fontId="104" fillId="23" borderId="25" xfId="0" applyNumberFormat="1" applyFont="1" applyFill="1" applyBorder="1" applyAlignment="1">
      <alignment horizontal="center"/>
    </xf>
    <xf numFmtId="183" fontId="104" fillId="23" borderId="7" xfId="0" applyNumberFormat="1" applyFont="1" applyFill="1" applyBorder="1" applyAlignment="1">
      <alignment horizontal="center"/>
    </xf>
    <xf numFmtId="183" fontId="104" fillId="23" borderId="40" xfId="0" applyNumberFormat="1" applyFont="1" applyFill="1" applyBorder="1" applyAlignment="1">
      <alignment horizontal="center"/>
    </xf>
    <xf numFmtId="183" fontId="104" fillId="23" borderId="69" xfId="0" applyNumberFormat="1" applyFont="1" applyFill="1" applyBorder="1" applyAlignment="1">
      <alignment horizontal="center"/>
    </xf>
    <xf numFmtId="0" fontId="103" fillId="0" borderId="6" xfId="0" applyFont="1" applyFill="1" applyBorder="1"/>
    <xf numFmtId="0" fontId="103" fillId="0" borderId="68" xfId="0" applyFont="1" applyFill="1" applyBorder="1" applyAlignment="1">
      <alignment horizontal="center"/>
    </xf>
    <xf numFmtId="183" fontId="104" fillId="0" borderId="55" xfId="0" applyNumberFormat="1" applyFont="1" applyFill="1" applyBorder="1" applyAlignment="1">
      <alignment horizontal="center"/>
    </xf>
    <xf numFmtId="183" fontId="104" fillId="0" borderId="18" xfId="0" applyNumberFormat="1" applyFont="1" applyFill="1" applyBorder="1" applyAlignment="1">
      <alignment horizontal="center"/>
    </xf>
    <xf numFmtId="183" fontId="104" fillId="0" borderId="69" xfId="0" applyNumberFormat="1" applyFont="1" applyFill="1" applyBorder="1" applyAlignment="1">
      <alignment horizontal="center"/>
    </xf>
    <xf numFmtId="0" fontId="174" fillId="0" borderId="65" xfId="0" applyFont="1" applyFill="1" applyBorder="1" applyAlignment="1">
      <alignment horizontal="center"/>
    </xf>
    <xf numFmtId="183" fontId="104" fillId="23" borderId="38" xfId="0" applyNumberFormat="1" applyFont="1" applyFill="1" applyBorder="1" applyAlignment="1">
      <alignment horizontal="center"/>
    </xf>
    <xf numFmtId="0" fontId="174" fillId="0" borderId="44" xfId="0" applyFont="1" applyFill="1" applyBorder="1" applyAlignment="1">
      <alignment horizontal="center"/>
    </xf>
    <xf numFmtId="0" fontId="103" fillId="0" borderId="45" xfId="0" applyFont="1" applyFill="1" applyBorder="1" applyAlignment="1">
      <alignment horizontal="center"/>
    </xf>
    <xf numFmtId="182" fontId="103" fillId="0" borderId="28" xfId="0" applyNumberFormat="1" applyFont="1" applyFill="1" applyBorder="1" applyAlignment="1">
      <alignment horizontal="center"/>
    </xf>
    <xf numFmtId="0" fontId="213" fillId="0" borderId="8" xfId="0" applyFont="1" applyBorder="1" applyAlignment="1">
      <alignment wrapText="1"/>
    </xf>
    <xf numFmtId="0" fontId="214" fillId="0" borderId="8" xfId="0" applyFont="1" applyBorder="1" applyAlignment="1">
      <alignment wrapText="1"/>
    </xf>
    <xf numFmtId="0" fontId="67" fillId="0" borderId="50" xfId="0" applyFont="1" applyBorder="1" applyAlignment="1"/>
    <xf numFmtId="180" fontId="215" fillId="19" borderId="8" xfId="0" applyNumberFormat="1" applyFont="1" applyFill="1" applyBorder="1" applyProtection="1">
      <protection locked="0"/>
    </xf>
    <xf numFmtId="0" fontId="216" fillId="21" borderId="8" xfId="0" applyFont="1" applyFill="1" applyBorder="1" applyProtection="1">
      <protection locked="0"/>
    </xf>
    <xf numFmtId="180" fontId="217" fillId="21" borderId="9" xfId="0" applyNumberFormat="1" applyFont="1" applyFill="1" applyBorder="1" applyProtection="1">
      <protection locked="0"/>
    </xf>
    <xf numFmtId="180" fontId="217" fillId="21" borderId="10" xfId="0" applyNumberFormat="1" applyFont="1" applyFill="1" applyBorder="1" applyProtection="1">
      <protection locked="0"/>
    </xf>
    <xf numFmtId="180" fontId="216" fillId="21" borderId="8" xfId="0" applyNumberFormat="1" applyFont="1" applyFill="1" applyBorder="1" applyProtection="1">
      <protection locked="0"/>
    </xf>
    <xf numFmtId="180" fontId="216" fillId="0" borderId="8" xfId="0" applyNumberFormat="1" applyFont="1" applyBorder="1" applyProtection="1">
      <protection locked="0"/>
    </xf>
    <xf numFmtId="180" fontId="216" fillId="19" borderId="8" xfId="0" applyNumberFormat="1" applyFont="1" applyFill="1" applyBorder="1" applyProtection="1">
      <protection locked="0"/>
    </xf>
    <xf numFmtId="180" fontId="216" fillId="32" borderId="8" xfId="0" applyNumberFormat="1" applyFont="1" applyFill="1" applyBorder="1" applyProtection="1">
      <protection locked="0"/>
    </xf>
    <xf numFmtId="180" fontId="216" fillId="21" borderId="9" xfId="0" applyNumberFormat="1" applyFont="1" applyFill="1" applyBorder="1" applyProtection="1">
      <protection locked="0"/>
    </xf>
    <xf numFmtId="180" fontId="217" fillId="21" borderId="8" xfId="0" applyNumberFormat="1" applyFont="1" applyFill="1" applyBorder="1" applyProtection="1">
      <protection locked="0"/>
    </xf>
    <xf numFmtId="180" fontId="217" fillId="21" borderId="19" xfId="0" applyNumberFormat="1" applyFont="1" applyFill="1" applyBorder="1" applyProtection="1">
      <protection locked="0"/>
    </xf>
    <xf numFmtId="180" fontId="217" fillId="21" borderId="5" xfId="0" applyNumberFormat="1" applyFont="1" applyFill="1" applyBorder="1" applyProtection="1">
      <protection locked="0"/>
    </xf>
    <xf numFmtId="180" fontId="217" fillId="21" borderId="6" xfId="0" applyNumberFormat="1" applyFont="1" applyFill="1" applyBorder="1" applyProtection="1">
      <protection locked="0"/>
    </xf>
    <xf numFmtId="180" fontId="216" fillId="3" borderId="8" xfId="0" applyNumberFormat="1" applyFont="1" applyFill="1" applyBorder="1" applyProtection="1">
      <protection locked="0"/>
    </xf>
    <xf numFmtId="180" fontId="216" fillId="2" borderId="8" xfId="0" applyNumberFormat="1" applyFont="1" applyFill="1" applyBorder="1" applyProtection="1">
      <protection locked="0"/>
    </xf>
    <xf numFmtId="180" fontId="216" fillId="14" borderId="8" xfId="0" applyNumberFormat="1" applyFont="1" applyFill="1" applyBorder="1" applyProtection="1">
      <protection locked="0"/>
    </xf>
    <xf numFmtId="180" fontId="216" fillId="13" borderId="8" xfId="0" applyNumberFormat="1" applyFont="1" applyFill="1" applyBorder="1" applyProtection="1">
      <protection locked="0"/>
    </xf>
    <xf numFmtId="180" fontId="216" fillId="5" borderId="9" xfId="0" applyNumberFormat="1" applyFont="1" applyFill="1" applyBorder="1" applyProtection="1">
      <protection locked="0"/>
    </xf>
    <xf numFmtId="180" fontId="218" fillId="19" borderId="8" xfId="0" applyNumberFormat="1" applyFont="1" applyFill="1" applyBorder="1" applyProtection="1">
      <protection locked="0"/>
    </xf>
    <xf numFmtId="180" fontId="218" fillId="32" borderId="8" xfId="0" applyNumberFormat="1" applyFont="1" applyFill="1" applyBorder="1" applyProtection="1">
      <protection locked="0"/>
    </xf>
    <xf numFmtId="180" fontId="216" fillId="22" borderId="8" xfId="0" applyNumberFormat="1" applyFont="1" applyFill="1" applyBorder="1" applyProtection="1">
      <protection locked="0"/>
    </xf>
    <xf numFmtId="180" fontId="219" fillId="0" borderId="19" xfId="0" applyNumberFormat="1" applyFont="1" applyBorder="1" applyProtection="1">
      <protection locked="0"/>
    </xf>
    <xf numFmtId="180" fontId="216" fillId="21" borderId="19" xfId="0" applyNumberFormat="1" applyFont="1" applyFill="1" applyBorder="1" applyProtection="1">
      <protection locked="0"/>
    </xf>
    <xf numFmtId="180" fontId="216" fillId="0" borderId="19" xfId="0" applyNumberFormat="1" applyFont="1" applyBorder="1" applyProtection="1">
      <protection locked="0"/>
    </xf>
    <xf numFmtId="180" fontId="216" fillId="2" borderId="19" xfId="0" applyNumberFormat="1" applyFont="1" applyFill="1" applyBorder="1" applyProtection="1">
      <protection locked="0"/>
    </xf>
    <xf numFmtId="180" fontId="216" fillId="14" borderId="19" xfId="0" applyNumberFormat="1" applyFont="1" applyFill="1" applyBorder="1" applyProtection="1">
      <protection locked="0"/>
    </xf>
    <xf numFmtId="180" fontId="216" fillId="13" borderId="19" xfId="0" applyNumberFormat="1" applyFont="1" applyFill="1" applyBorder="1" applyProtection="1">
      <protection locked="0"/>
    </xf>
    <xf numFmtId="180" fontId="216" fillId="5" borderId="5" xfId="0" applyNumberFormat="1" applyFont="1" applyFill="1" applyBorder="1" applyProtection="1">
      <protection locked="0"/>
    </xf>
    <xf numFmtId="180" fontId="219" fillId="0" borderId="8" xfId="0" applyNumberFormat="1" applyFont="1" applyBorder="1" applyProtection="1">
      <protection locked="0"/>
    </xf>
    <xf numFmtId="180" fontId="216" fillId="0" borderId="8" xfId="0" applyNumberFormat="1" applyFont="1" applyFill="1" applyBorder="1" applyProtection="1">
      <protection locked="0"/>
    </xf>
    <xf numFmtId="180" fontId="219" fillId="2" borderId="8" xfId="0" applyNumberFormat="1" applyFont="1" applyFill="1" applyBorder="1" applyProtection="1">
      <protection locked="0"/>
    </xf>
    <xf numFmtId="180" fontId="216" fillId="0" borderId="19" xfId="0" applyNumberFormat="1" applyFont="1" applyFill="1" applyBorder="1" applyProtection="1">
      <protection locked="0"/>
    </xf>
    <xf numFmtId="180" fontId="219" fillId="19" borderId="8" xfId="0" applyNumberFormat="1" applyFont="1" applyFill="1" applyBorder="1" applyProtection="1">
      <protection locked="0"/>
    </xf>
    <xf numFmtId="180" fontId="216" fillId="2" borderId="17" xfId="0" applyNumberFormat="1" applyFont="1" applyFill="1" applyBorder="1" applyProtection="1">
      <protection locked="0"/>
    </xf>
    <xf numFmtId="180" fontId="216" fillId="14" borderId="17" xfId="0" applyNumberFormat="1" applyFont="1" applyFill="1" applyBorder="1" applyProtection="1">
      <protection locked="0"/>
    </xf>
    <xf numFmtId="180" fontId="216" fillId="13" borderId="17" xfId="0" applyNumberFormat="1" applyFont="1" applyFill="1" applyBorder="1" applyProtection="1">
      <protection locked="0"/>
    </xf>
    <xf numFmtId="180" fontId="217" fillId="21" borderId="17" xfId="0" applyNumberFormat="1" applyFont="1" applyFill="1" applyBorder="1" applyProtection="1">
      <protection locked="0"/>
    </xf>
    <xf numFmtId="180" fontId="217" fillId="21" borderId="2" xfId="0" applyNumberFormat="1" applyFont="1" applyFill="1" applyBorder="1" applyProtection="1">
      <protection locked="0"/>
    </xf>
    <xf numFmtId="180" fontId="217" fillId="21" borderId="4" xfId="0" applyNumberFormat="1" applyFont="1" applyFill="1" applyBorder="1" applyProtection="1">
      <protection locked="0"/>
    </xf>
    <xf numFmtId="180" fontId="216" fillId="21" borderId="17" xfId="0" applyNumberFormat="1" applyFont="1" applyFill="1" applyBorder="1" applyProtection="1">
      <protection locked="0"/>
    </xf>
    <xf numFmtId="180" fontId="216" fillId="0" borderId="17" xfId="0" applyNumberFormat="1" applyFont="1" applyBorder="1" applyProtection="1">
      <protection locked="0"/>
    </xf>
    <xf numFmtId="180" fontId="216" fillId="5" borderId="2" xfId="0" applyNumberFormat="1" applyFont="1" applyFill="1" applyBorder="1" applyProtection="1">
      <protection locked="0"/>
    </xf>
    <xf numFmtId="180" fontId="219" fillId="19" borderId="0" xfId="0" applyNumberFormat="1" applyFont="1" applyFill="1" applyBorder="1" applyProtection="1">
      <protection locked="0"/>
    </xf>
    <xf numFmtId="180" fontId="216" fillId="19" borderId="17" xfId="0" applyNumberFormat="1" applyFont="1" applyFill="1" applyBorder="1" applyProtection="1">
      <protection locked="0"/>
    </xf>
    <xf numFmtId="180" fontId="216" fillId="22" borderId="17" xfId="0" applyNumberFormat="1" applyFont="1" applyFill="1" applyBorder="1" applyProtection="1">
      <protection locked="0"/>
    </xf>
    <xf numFmtId="180" fontId="216" fillId="21" borderId="2" xfId="0" applyNumberFormat="1" applyFont="1" applyFill="1" applyBorder="1" applyProtection="1">
      <protection locked="0"/>
    </xf>
    <xf numFmtId="180" fontId="220" fillId="0" borderId="0" xfId="0" applyNumberFormat="1" applyFont="1" applyProtection="1">
      <protection locked="0"/>
    </xf>
    <xf numFmtId="180" fontId="220" fillId="19" borderId="0" xfId="0" applyNumberFormat="1" applyFont="1" applyFill="1" applyProtection="1">
      <protection locked="0"/>
    </xf>
    <xf numFmtId="180" fontId="221" fillId="0" borderId="8" xfId="0" applyNumberFormat="1" applyFont="1" applyFill="1" applyBorder="1" applyProtection="1">
      <protection locked="0"/>
    </xf>
    <xf numFmtId="180" fontId="215" fillId="0" borderId="8" xfId="0" applyNumberFormat="1" applyFont="1" applyBorder="1" applyProtection="1">
      <protection locked="0"/>
    </xf>
    <xf numFmtId="180" fontId="165" fillId="0" borderId="8" xfId="0" applyNumberFormat="1" applyFont="1" applyBorder="1" applyProtection="1">
      <protection locked="0"/>
    </xf>
    <xf numFmtId="180" fontId="215" fillId="2" borderId="8" xfId="0" applyNumberFormat="1" applyFont="1" applyFill="1" applyBorder="1" applyProtection="1">
      <protection locked="0"/>
    </xf>
    <xf numFmtId="180" fontId="216" fillId="5" borderId="8" xfId="0" applyNumberFormat="1" applyFont="1" applyFill="1" applyBorder="1" applyProtection="1">
      <protection locked="0"/>
    </xf>
    <xf numFmtId="180" fontId="223" fillId="21" borderId="8" xfId="0" applyNumberFormat="1" applyFont="1" applyFill="1" applyBorder="1" applyProtection="1">
      <protection locked="0"/>
    </xf>
    <xf numFmtId="180" fontId="223" fillId="21" borderId="9" xfId="0" applyNumberFormat="1" applyFont="1" applyFill="1" applyBorder="1" applyProtection="1">
      <protection locked="0"/>
    </xf>
    <xf numFmtId="180" fontId="223" fillId="21" borderId="10" xfId="0" applyNumberFormat="1" applyFont="1" applyFill="1" applyBorder="1" applyProtection="1">
      <protection locked="0"/>
    </xf>
    <xf numFmtId="180" fontId="224" fillId="21" borderId="8" xfId="0" applyNumberFormat="1" applyFont="1" applyFill="1" applyBorder="1" applyProtection="1">
      <protection locked="0"/>
    </xf>
    <xf numFmtId="180" fontId="224" fillId="0" borderId="8" xfId="0" applyNumberFormat="1" applyFont="1" applyBorder="1" applyProtection="1">
      <protection locked="0"/>
    </xf>
    <xf numFmtId="180" fontId="215" fillId="14" borderId="8" xfId="0" applyNumberFormat="1" applyFont="1" applyFill="1" applyBorder="1" applyProtection="1">
      <protection locked="0"/>
    </xf>
    <xf numFmtId="180" fontId="223" fillId="21" borderId="19" xfId="12" applyNumberFormat="1" applyFont="1" applyFill="1" applyBorder="1" applyProtection="1">
      <protection locked="0"/>
    </xf>
    <xf numFmtId="180" fontId="224" fillId="21" borderId="19" xfId="0" applyNumberFormat="1" applyFont="1" applyFill="1" applyBorder="1" applyProtection="1">
      <protection locked="0"/>
    </xf>
    <xf numFmtId="180" fontId="223" fillId="21" borderId="8" xfId="12" applyNumberFormat="1" applyFont="1" applyFill="1" applyBorder="1" applyProtection="1">
      <protection locked="0"/>
    </xf>
    <xf numFmtId="180" fontId="223" fillId="21" borderId="9" xfId="12" applyNumberFormat="1" applyFont="1" applyFill="1" applyBorder="1" applyAlignment="1" applyProtection="1">
      <protection locked="0"/>
    </xf>
    <xf numFmtId="180" fontId="223" fillId="21" borderId="10" xfId="12" applyNumberFormat="1" applyFont="1" applyFill="1" applyBorder="1" applyAlignment="1" applyProtection="1">
      <protection locked="0"/>
    </xf>
    <xf numFmtId="180" fontId="223" fillId="21" borderId="17" xfId="0" applyNumberFormat="1" applyFont="1" applyFill="1" applyBorder="1" applyProtection="1">
      <protection locked="0"/>
    </xf>
    <xf numFmtId="180" fontId="223" fillId="21" borderId="2" xfId="0" applyNumberFormat="1" applyFont="1" applyFill="1" applyBorder="1" applyProtection="1">
      <protection locked="0"/>
    </xf>
    <xf numFmtId="180" fontId="223" fillId="21" borderId="4" xfId="0" applyNumberFormat="1" applyFont="1" applyFill="1" applyBorder="1" applyProtection="1">
      <protection locked="0"/>
    </xf>
    <xf numFmtId="180" fontId="222" fillId="5" borderId="9" xfId="0" applyNumberFormat="1" applyFont="1" applyFill="1" applyBorder="1" applyProtection="1">
      <protection locked="0"/>
    </xf>
    <xf numFmtId="180" fontId="114" fillId="0" borderId="0" xfId="0" applyNumberFormat="1" applyFont="1" applyProtection="1">
      <protection locked="0"/>
    </xf>
    <xf numFmtId="180" fontId="108" fillId="19" borderId="8" xfId="0" applyNumberFormat="1" applyFont="1" applyFill="1" applyBorder="1" applyProtection="1">
      <protection locked="0"/>
    </xf>
    <xf numFmtId="180" fontId="114" fillId="21" borderId="8" xfId="0" applyNumberFormat="1" applyFont="1" applyFill="1" applyBorder="1" applyProtection="1">
      <protection locked="0"/>
    </xf>
    <xf numFmtId="180" fontId="114" fillId="19" borderId="8" xfId="0" applyNumberFormat="1" applyFont="1" applyFill="1" applyBorder="1" applyProtection="1">
      <protection locked="0"/>
    </xf>
    <xf numFmtId="180" fontId="114" fillId="22" borderId="8" xfId="0" applyNumberFormat="1" applyFont="1" applyFill="1" applyBorder="1" applyProtection="1">
      <protection locked="0"/>
    </xf>
    <xf numFmtId="180" fontId="112" fillId="19" borderId="8" xfId="0" applyNumberFormat="1" applyFont="1" applyFill="1" applyBorder="1" applyAlignment="1" applyProtection="1">
      <alignment horizontal="left"/>
      <protection locked="0"/>
    </xf>
    <xf numFmtId="180" fontId="114" fillId="0" borderId="7" xfId="0" applyNumberFormat="1" applyFont="1" applyFill="1" applyBorder="1" applyProtection="1">
      <protection locked="0"/>
    </xf>
    <xf numFmtId="180" fontId="225" fillId="0" borderId="7" xfId="0" applyNumberFormat="1" applyFont="1" applyFill="1" applyBorder="1" applyProtection="1">
      <protection locked="0"/>
    </xf>
    <xf numFmtId="180" fontId="225" fillId="0" borderId="7" xfId="0" applyNumberFormat="1" applyFont="1" applyBorder="1" applyProtection="1">
      <protection locked="0"/>
    </xf>
    <xf numFmtId="180" fontId="112" fillId="0" borderId="8" xfId="0" applyNumberFormat="1" applyFont="1" applyBorder="1" applyProtection="1">
      <protection locked="0"/>
    </xf>
    <xf numFmtId="0" fontId="114" fillId="0" borderId="17" xfId="0" quotePrefix="1" applyFont="1" applyFill="1" applyBorder="1"/>
    <xf numFmtId="0" fontId="114" fillId="0" borderId="18" xfId="0" applyFont="1" applyFill="1" applyBorder="1"/>
    <xf numFmtId="180" fontId="112" fillId="19" borderId="8" xfId="0" applyNumberFormat="1" applyFont="1" applyFill="1" applyBorder="1" applyProtection="1">
      <protection locked="0"/>
    </xf>
    <xf numFmtId="180" fontId="216" fillId="19" borderId="19" xfId="0" applyNumberFormat="1" applyFont="1" applyFill="1" applyBorder="1" applyAlignment="1" applyProtection="1">
      <alignment horizontal="center"/>
      <protection locked="0"/>
    </xf>
    <xf numFmtId="180" fontId="216" fillId="19" borderId="5" xfId="0" applyNumberFormat="1" applyFont="1" applyFill="1" applyBorder="1" applyAlignment="1" applyProtection="1">
      <alignment horizontal="center"/>
      <protection locked="0"/>
    </xf>
    <xf numFmtId="180" fontId="216" fillId="19" borderId="6" xfId="0" applyNumberFormat="1" applyFont="1" applyFill="1" applyBorder="1" applyAlignment="1" applyProtection="1">
      <alignment horizontal="center"/>
      <protection locked="0"/>
    </xf>
    <xf numFmtId="180" fontId="114" fillId="19" borderId="19" xfId="0" applyNumberFormat="1" applyFont="1" applyFill="1" applyBorder="1" applyAlignment="1" applyProtection="1">
      <alignment horizontal="left"/>
      <protection locked="0"/>
    </xf>
    <xf numFmtId="180" fontId="114" fillId="19" borderId="5" xfId="0" applyNumberFormat="1" applyFont="1" applyFill="1" applyBorder="1" applyAlignment="1" applyProtection="1">
      <alignment horizontal="left"/>
      <protection locked="0"/>
    </xf>
    <xf numFmtId="180" fontId="114" fillId="19" borderId="19" xfId="0" applyNumberFormat="1" applyFont="1" applyFill="1" applyBorder="1" applyAlignment="1" applyProtection="1">
      <alignment horizontal="right"/>
      <protection locked="0"/>
    </xf>
    <xf numFmtId="180" fontId="113" fillId="21" borderId="19" xfId="0" applyNumberFormat="1" applyFont="1" applyFill="1" applyBorder="1" applyProtection="1">
      <protection locked="0"/>
    </xf>
    <xf numFmtId="180" fontId="113" fillId="21" borderId="5" xfId="0" applyNumberFormat="1" applyFont="1" applyFill="1" applyBorder="1" applyProtection="1">
      <protection locked="0"/>
    </xf>
    <xf numFmtId="180" fontId="113" fillId="21" borderId="6" xfId="0" applyNumberFormat="1" applyFont="1" applyFill="1" applyBorder="1" applyProtection="1">
      <protection locked="0"/>
    </xf>
    <xf numFmtId="180" fontId="114" fillId="14" borderId="19" xfId="0" applyNumberFormat="1" applyFont="1" applyFill="1" applyBorder="1" applyProtection="1">
      <protection locked="0"/>
    </xf>
    <xf numFmtId="180" fontId="114" fillId="21" borderId="19" xfId="0" applyNumberFormat="1" applyFont="1" applyFill="1" applyBorder="1" applyProtection="1">
      <protection locked="0"/>
    </xf>
    <xf numFmtId="180" fontId="113" fillId="0" borderId="8" xfId="0" applyNumberFormat="1" applyFont="1" applyBorder="1" applyProtection="1">
      <protection locked="0"/>
    </xf>
    <xf numFmtId="180" fontId="113" fillId="2" borderId="8" xfId="0" applyNumberFormat="1" applyFont="1" applyFill="1" applyBorder="1" applyProtection="1">
      <protection locked="0"/>
    </xf>
    <xf numFmtId="180" fontId="114" fillId="0" borderId="19" xfId="0" applyNumberFormat="1" applyFont="1" applyBorder="1" applyProtection="1">
      <protection locked="0"/>
    </xf>
    <xf numFmtId="180" fontId="10" fillId="21" borderId="8" xfId="0" applyNumberFormat="1" applyFont="1" applyFill="1" applyBorder="1" applyProtection="1">
      <protection locked="0"/>
    </xf>
    <xf numFmtId="180" fontId="0" fillId="21" borderId="8" xfId="0" applyNumberFormat="1" applyFont="1" applyFill="1" applyBorder="1" applyProtection="1">
      <protection locked="0"/>
    </xf>
    <xf numFmtId="0" fontId="42" fillId="0" borderId="18" xfId="13" applyFont="1" applyFill="1" applyBorder="1"/>
    <xf numFmtId="180" fontId="0" fillId="22" borderId="8" xfId="0" applyNumberFormat="1" applyFont="1" applyFill="1" applyBorder="1" applyProtection="1">
      <protection locked="0"/>
    </xf>
    <xf numFmtId="180" fontId="10" fillId="21" borderId="9" xfId="0" applyNumberFormat="1" applyFont="1" applyFill="1" applyBorder="1" applyProtection="1">
      <protection locked="0"/>
    </xf>
    <xf numFmtId="180" fontId="8" fillId="2" borderId="8" xfId="0" applyNumberFormat="1" applyFont="1" applyFill="1" applyBorder="1" applyAlignment="1" applyProtection="1">
      <alignment horizontal="left"/>
      <protection locked="0"/>
    </xf>
    <xf numFmtId="0" fontId="39" fillId="45" borderId="27" xfId="0" applyFont="1" applyFill="1" applyBorder="1" applyAlignment="1">
      <alignment horizontal="center" vertical="center"/>
    </xf>
    <xf numFmtId="180" fontId="226" fillId="21" borderId="8" xfId="0" applyNumberFormat="1" applyFont="1" applyFill="1" applyBorder="1" applyProtection="1">
      <protection locked="0"/>
    </xf>
    <xf numFmtId="180" fontId="226" fillId="21" borderId="9" xfId="0" applyNumberFormat="1" applyFont="1" applyFill="1" applyBorder="1" applyProtection="1">
      <protection locked="0"/>
    </xf>
    <xf numFmtId="180" fontId="226" fillId="21" borderId="10" xfId="0" applyNumberFormat="1" applyFont="1" applyFill="1" applyBorder="1" applyProtection="1">
      <protection locked="0"/>
    </xf>
    <xf numFmtId="180" fontId="227" fillId="2" borderId="8" xfId="0" applyNumberFormat="1" applyFont="1" applyFill="1" applyBorder="1" applyProtection="1">
      <protection locked="0"/>
    </xf>
    <xf numFmtId="180" fontId="227" fillId="2" borderId="8" xfId="0" applyNumberFormat="1" applyFont="1" applyFill="1" applyBorder="1" applyAlignment="1" applyProtection="1">
      <alignment horizontal="left"/>
      <protection locked="0"/>
    </xf>
    <xf numFmtId="180" fontId="228" fillId="21" borderId="8" xfId="0" applyNumberFormat="1" applyFont="1" applyFill="1" applyBorder="1" applyProtection="1">
      <protection locked="0"/>
    </xf>
    <xf numFmtId="180" fontId="228" fillId="0" borderId="8" xfId="0" applyNumberFormat="1" applyFont="1" applyBorder="1" applyProtection="1">
      <protection locked="0"/>
    </xf>
    <xf numFmtId="180" fontId="228" fillId="13" borderId="8" xfId="0" applyNumberFormat="1" applyFont="1" applyFill="1" applyBorder="1" applyProtection="1">
      <protection locked="0"/>
    </xf>
    <xf numFmtId="180" fontId="228" fillId="2" borderId="8" xfId="0" applyNumberFormat="1" applyFont="1" applyFill="1" applyBorder="1" applyProtection="1">
      <protection locked="0"/>
    </xf>
    <xf numFmtId="180" fontId="113" fillId="19" borderId="8" xfId="0" applyNumberFormat="1" applyFont="1" applyFill="1" applyBorder="1" applyProtection="1">
      <protection locked="0"/>
    </xf>
    <xf numFmtId="180" fontId="115" fillId="19" borderId="9" xfId="0" applyNumberFormat="1" applyFont="1" applyFill="1" applyBorder="1" applyProtection="1">
      <protection locked="0"/>
    </xf>
    <xf numFmtId="180" fontId="59" fillId="19" borderId="8" xfId="0" applyNumberFormat="1" applyFont="1" applyFill="1" applyBorder="1" applyProtection="1">
      <protection locked="0"/>
    </xf>
    <xf numFmtId="180" fontId="56" fillId="19" borderId="9" xfId="0" applyNumberFormat="1" applyFont="1" applyFill="1" applyBorder="1" applyProtection="1">
      <protection locked="0"/>
    </xf>
    <xf numFmtId="180" fontId="228" fillId="5" borderId="9" xfId="0" applyNumberFormat="1" applyFont="1" applyFill="1" applyBorder="1" applyProtection="1">
      <protection locked="0"/>
    </xf>
    <xf numFmtId="180" fontId="229" fillId="0" borderId="7" xfId="0" applyNumberFormat="1" applyFont="1" applyFill="1" applyBorder="1" applyProtection="1">
      <protection locked="0"/>
    </xf>
    <xf numFmtId="180" fontId="228" fillId="14" borderId="8" xfId="0" applyNumberFormat="1" applyFont="1" applyFill="1" applyBorder="1" applyProtection="1">
      <protection locked="0"/>
    </xf>
    <xf numFmtId="0" fontId="39" fillId="19" borderId="94" xfId="0" applyFont="1" applyFill="1" applyBorder="1" applyAlignment="1">
      <alignment horizontal="left" wrapText="1"/>
    </xf>
    <xf numFmtId="0" fontId="39" fillId="19" borderId="98" xfId="0" applyFont="1" applyFill="1" applyBorder="1" applyAlignment="1">
      <alignment horizontal="left" wrapText="1"/>
    </xf>
    <xf numFmtId="0" fontId="40" fillId="19" borderId="37" xfId="0" applyFont="1" applyFill="1" applyBorder="1"/>
    <xf numFmtId="0" fontId="39" fillId="19" borderId="40" xfId="0" applyFont="1" applyFill="1" applyBorder="1" applyAlignment="1">
      <alignment vertical="center" wrapText="1"/>
    </xf>
    <xf numFmtId="0" fontId="40" fillId="19" borderId="47" xfId="0" applyFont="1" applyFill="1" applyBorder="1" applyAlignment="1">
      <alignment wrapText="1"/>
    </xf>
    <xf numFmtId="0" fontId="40" fillId="19" borderId="48" xfId="0" applyFont="1" applyFill="1" applyBorder="1" applyAlignment="1">
      <alignment wrapText="1"/>
    </xf>
    <xf numFmtId="0" fontId="40" fillId="45" borderId="16" xfId="0" applyFont="1" applyFill="1" applyBorder="1" applyAlignment="1">
      <alignment horizontal="center"/>
    </xf>
    <xf numFmtId="0" fontId="207" fillId="0" borderId="47" xfId="0" applyFont="1" applyBorder="1"/>
    <xf numFmtId="0" fontId="230" fillId="19" borderId="34" xfId="0" applyFont="1" applyFill="1" applyBorder="1" applyAlignment="1">
      <alignment horizontal="left" vertical="center" wrapText="1"/>
    </xf>
    <xf numFmtId="14" fontId="57" fillId="0" borderId="76" xfId="0" applyNumberFormat="1" applyFont="1" applyBorder="1" applyAlignment="1">
      <alignment horizontal="center"/>
    </xf>
    <xf numFmtId="14" fontId="57" fillId="0" borderId="56" xfId="0" applyNumberFormat="1" applyFont="1" applyBorder="1" applyAlignment="1">
      <alignment horizontal="center"/>
    </xf>
    <xf numFmtId="14" fontId="41" fillId="19" borderId="76" xfId="0" applyNumberFormat="1" applyFont="1" applyFill="1" applyBorder="1" applyAlignment="1" applyProtection="1">
      <alignment horizontal="center" wrapText="1"/>
      <protection locked="0"/>
    </xf>
    <xf numFmtId="14" fontId="41" fillId="19" borderId="56" xfId="0" applyNumberFormat="1" applyFont="1" applyFill="1" applyBorder="1" applyAlignment="1" applyProtection="1">
      <alignment horizontal="center" wrapText="1"/>
      <protection locked="0"/>
    </xf>
    <xf numFmtId="14" fontId="41" fillId="0" borderId="41" xfId="0" applyNumberFormat="1" applyFont="1" applyBorder="1" applyAlignment="1" applyProtection="1">
      <alignment horizontal="left" vertical="center" wrapText="1"/>
      <protection locked="0"/>
    </xf>
    <xf numFmtId="14" fontId="41" fillId="0" borderId="57" xfId="0" applyNumberFormat="1" applyFont="1" applyBorder="1" applyAlignment="1" applyProtection="1">
      <alignment horizontal="left" vertical="center" wrapText="1"/>
      <protection locked="0"/>
    </xf>
    <xf numFmtId="14" fontId="41" fillId="0" borderId="9" xfId="0" applyNumberFormat="1" applyFont="1" applyBorder="1" applyAlignment="1" applyProtection="1">
      <alignment horizontal="left" vertical="center" wrapText="1"/>
      <protection locked="0"/>
    </xf>
    <xf numFmtId="192" fontId="42" fillId="0" borderId="126" xfId="0" applyNumberFormat="1" applyFont="1" applyFill="1" applyBorder="1" applyAlignment="1" applyProtection="1">
      <alignment horizontal="center" vertical="center"/>
      <protection locked="0"/>
    </xf>
    <xf numFmtId="192" fontId="42" fillId="0" borderId="127" xfId="0" applyNumberFormat="1" applyFont="1" applyFill="1" applyBorder="1" applyAlignment="1" applyProtection="1">
      <alignment horizontal="center" vertical="center"/>
      <protection locked="0"/>
    </xf>
    <xf numFmtId="192" fontId="42" fillId="0" borderId="95" xfId="0" applyNumberFormat="1" applyFont="1" applyFill="1" applyBorder="1" applyAlignment="1" applyProtection="1">
      <alignment horizontal="center" vertical="center"/>
      <protection locked="0"/>
    </xf>
    <xf numFmtId="192" fontId="42" fillId="0" borderId="96" xfId="0" applyNumberFormat="1" applyFont="1" applyFill="1" applyBorder="1" applyAlignment="1" applyProtection="1">
      <alignment horizontal="center" vertical="center"/>
      <protection locked="0"/>
    </xf>
    <xf numFmtId="192" fontId="42" fillId="0" borderId="106" xfId="0" applyNumberFormat="1" applyFont="1" applyFill="1" applyBorder="1" applyAlignment="1" applyProtection="1">
      <alignment horizontal="center" vertical="center"/>
      <protection locked="0"/>
    </xf>
    <xf numFmtId="192" fontId="42" fillId="0" borderId="116" xfId="0" applyNumberFormat="1" applyFont="1" applyFill="1" applyBorder="1" applyAlignment="1" applyProtection="1">
      <alignment horizontal="center" vertical="center"/>
      <protection locked="0"/>
    </xf>
    <xf numFmtId="192" fontId="42" fillId="0" borderId="22" xfId="0" applyNumberFormat="1" applyFont="1" applyFill="1" applyBorder="1" applyAlignment="1">
      <alignment horizontal="center" vertical="center"/>
    </xf>
    <xf numFmtId="192" fontId="65" fillId="0" borderId="54" xfId="0" applyNumberFormat="1" applyFont="1" applyFill="1" applyBorder="1" applyAlignment="1">
      <alignment horizontal="center" vertical="center" wrapText="1"/>
    </xf>
    <xf numFmtId="0" fontId="40" fillId="0" borderId="48" xfId="0" applyFont="1" applyFill="1" applyBorder="1" applyAlignment="1">
      <alignment horizontal="left" vertical="center" wrapText="1"/>
    </xf>
    <xf numFmtId="14" fontId="57" fillId="0" borderId="41" xfId="0" applyNumberFormat="1" applyFont="1" applyBorder="1" applyAlignment="1">
      <alignment horizontal="center"/>
    </xf>
    <xf numFmtId="14" fontId="57" fillId="0" borderId="57" xfId="0" applyNumberFormat="1" applyFont="1" applyBorder="1" applyAlignment="1">
      <alignment horizontal="center"/>
    </xf>
    <xf numFmtId="14" fontId="41" fillId="19" borderId="41" xfId="0" applyNumberFormat="1" applyFont="1" applyFill="1" applyBorder="1" applyAlignment="1" applyProtection="1">
      <alignment horizontal="center" wrapText="1"/>
      <protection locked="0"/>
    </xf>
    <xf numFmtId="14" fontId="41" fillId="19" borderId="57" xfId="0" applyNumberFormat="1" applyFont="1" applyFill="1" applyBorder="1" applyAlignment="1" applyProtection="1">
      <alignment horizontal="center" wrapText="1"/>
      <protection locked="0"/>
    </xf>
    <xf numFmtId="14" fontId="42" fillId="0" borderId="9" xfId="0" applyNumberFormat="1" applyFont="1" applyBorder="1" applyAlignment="1" applyProtection="1">
      <alignment horizontal="left" vertical="center" wrapText="1"/>
      <protection locked="0"/>
    </xf>
    <xf numFmtId="192" fontId="42" fillId="0" borderId="114" xfId="0" applyNumberFormat="1" applyFont="1" applyFill="1" applyBorder="1" applyAlignment="1" applyProtection="1">
      <alignment horizontal="center" vertical="center"/>
      <protection locked="0"/>
    </xf>
    <xf numFmtId="192" fontId="42" fillId="0" borderId="115" xfId="0" applyNumberFormat="1" applyFont="1" applyFill="1" applyBorder="1" applyAlignment="1" applyProtection="1">
      <alignment horizontal="center" vertical="center"/>
      <protection locked="0"/>
    </xf>
    <xf numFmtId="192" fontId="42" fillId="0" borderId="99" xfId="0" applyNumberFormat="1" applyFont="1" applyFill="1" applyBorder="1" applyAlignment="1" applyProtection="1">
      <alignment horizontal="center" vertical="center"/>
      <protection locked="0"/>
    </xf>
    <xf numFmtId="192" fontId="42" fillId="0" borderId="100" xfId="0" applyNumberFormat="1" applyFont="1" applyFill="1" applyBorder="1" applyAlignment="1" applyProtection="1">
      <alignment horizontal="center" vertical="center"/>
      <protection locked="0"/>
    </xf>
    <xf numFmtId="192" fontId="42" fillId="0" borderId="108" xfId="0" applyNumberFormat="1" applyFont="1" applyFill="1" applyBorder="1" applyAlignment="1" applyProtection="1">
      <alignment horizontal="center" vertical="center"/>
      <protection locked="0"/>
    </xf>
    <xf numFmtId="192" fontId="42" fillId="0" borderId="98" xfId="0" applyNumberFormat="1" applyFont="1" applyFill="1" applyBorder="1" applyAlignment="1" applyProtection="1">
      <alignment horizontal="center" vertical="center"/>
      <protection locked="0"/>
    </xf>
    <xf numFmtId="192" fontId="42" fillId="0" borderId="24" xfId="0" applyNumberFormat="1" applyFont="1" applyFill="1" applyBorder="1" applyAlignment="1">
      <alignment horizontal="center" vertical="center"/>
    </xf>
    <xf numFmtId="192" fontId="65" fillId="0" borderId="51" xfId="0" applyNumberFormat="1" applyFont="1" applyFill="1" applyBorder="1" applyAlignment="1">
      <alignment horizontal="center" vertical="center" wrapText="1"/>
    </xf>
    <xf numFmtId="0" fontId="232" fillId="19" borderId="48" xfId="23" applyFont="1" applyFill="1" applyBorder="1" applyAlignment="1">
      <alignment horizontal="left" vertical="center"/>
    </xf>
    <xf numFmtId="0" fontId="39" fillId="0" borderId="102" xfId="0" applyFont="1" applyBorder="1" applyAlignment="1">
      <alignment wrapText="1"/>
    </xf>
    <xf numFmtId="14" fontId="57" fillId="0" borderId="75" xfId="0" applyNumberFormat="1" applyFont="1" applyBorder="1" applyAlignment="1">
      <alignment horizontal="center"/>
    </xf>
    <xf numFmtId="14" fontId="57" fillId="0" borderId="63" xfId="0" applyNumberFormat="1" applyFont="1" applyBorder="1" applyAlignment="1">
      <alignment horizontal="center"/>
    </xf>
    <xf numFmtId="14" fontId="41" fillId="19" borderId="75" xfId="0" applyNumberFormat="1" applyFont="1" applyFill="1" applyBorder="1" applyAlignment="1" applyProtection="1">
      <alignment horizontal="center" wrapText="1"/>
      <protection locked="0"/>
    </xf>
    <xf numFmtId="14" fontId="41" fillId="19" borderId="63" xfId="0" applyNumberFormat="1" applyFont="1" applyFill="1" applyBorder="1" applyAlignment="1" applyProtection="1">
      <alignment horizontal="center" wrapText="1"/>
      <protection locked="0"/>
    </xf>
    <xf numFmtId="14" fontId="41" fillId="0" borderId="75" xfId="0" applyNumberFormat="1" applyFont="1" applyBorder="1" applyAlignment="1" applyProtection="1">
      <alignment vertical="center" wrapText="1"/>
      <protection locked="0"/>
    </xf>
    <xf numFmtId="14" fontId="41" fillId="0" borderId="63" xfId="0" applyNumberFormat="1" applyFont="1" applyBorder="1" applyAlignment="1" applyProtection="1">
      <alignment vertical="center" wrapText="1"/>
      <protection locked="0"/>
    </xf>
    <xf numFmtId="14" fontId="41" fillId="0" borderId="72" xfId="0" applyNumberFormat="1" applyFont="1" applyBorder="1" applyAlignment="1" applyProtection="1">
      <alignment vertical="center" wrapText="1"/>
      <protection locked="0"/>
    </xf>
    <xf numFmtId="14" fontId="41" fillId="0" borderId="60" xfId="0" applyNumberFormat="1" applyFont="1" applyBorder="1" applyAlignment="1" applyProtection="1">
      <alignment vertical="center" wrapText="1"/>
      <protection locked="0"/>
    </xf>
    <xf numFmtId="192" fontId="42" fillId="0" borderId="103" xfId="0" applyNumberFormat="1" applyFont="1" applyFill="1" applyBorder="1" applyAlignment="1" applyProtection="1">
      <alignment horizontal="center" vertical="center"/>
      <protection locked="0"/>
    </xf>
    <xf numFmtId="192" fontId="42" fillId="0" borderId="104" xfId="0" applyNumberFormat="1" applyFont="1" applyFill="1" applyBorder="1" applyAlignment="1" applyProtection="1">
      <alignment horizontal="center" vertical="center"/>
      <protection locked="0"/>
    </xf>
    <xf numFmtId="192" fontId="42" fillId="0" borderId="105" xfId="0" applyNumberFormat="1" applyFont="1" applyFill="1" applyBorder="1" applyAlignment="1" applyProtection="1">
      <alignment horizontal="center" vertical="center"/>
      <protection locked="0"/>
    </xf>
    <xf numFmtId="192" fontId="42" fillId="0" borderId="71" xfId="0" applyNumberFormat="1" applyFont="1" applyFill="1" applyBorder="1" applyAlignment="1">
      <alignment horizontal="center" vertical="center"/>
    </xf>
    <xf numFmtId="192" fontId="65" fillId="0" borderId="53" xfId="0" applyNumberFormat="1" applyFont="1" applyFill="1" applyBorder="1" applyAlignment="1">
      <alignment horizontal="center" vertical="center" wrapText="1"/>
    </xf>
    <xf numFmtId="0" fontId="230" fillId="0" borderId="47" xfId="0" applyFont="1" applyFill="1" applyBorder="1" applyAlignment="1">
      <alignment horizontal="left" vertical="center" wrapText="1"/>
    </xf>
    <xf numFmtId="0" fontId="233" fillId="0" borderId="49" xfId="23" applyFont="1" applyFill="1" applyBorder="1" applyAlignment="1">
      <alignment horizontal="left" vertical="center" wrapText="1"/>
    </xf>
    <xf numFmtId="14" fontId="57" fillId="0" borderId="44" xfId="0" applyNumberFormat="1" applyFont="1" applyBorder="1" applyAlignment="1">
      <alignment horizontal="center"/>
    </xf>
    <xf numFmtId="14" fontId="57" fillId="0" borderId="46" xfId="0" applyNumberFormat="1" applyFont="1" applyBorder="1" applyAlignment="1">
      <alignment horizontal="center"/>
    </xf>
    <xf numFmtId="0" fontId="57" fillId="0" borderId="75" xfId="0" applyFont="1" applyBorder="1" applyAlignment="1">
      <alignment horizontal="center"/>
    </xf>
    <xf numFmtId="0" fontId="57" fillId="0" borderId="63" xfId="0" applyFont="1" applyBorder="1" applyAlignment="1">
      <alignment horizontal="center"/>
    </xf>
    <xf numFmtId="0" fontId="41" fillId="0" borderId="47" xfId="0" applyFont="1" applyFill="1" applyBorder="1" applyAlignment="1">
      <alignment horizontal="left" vertical="center"/>
    </xf>
    <xf numFmtId="0" fontId="39" fillId="0" borderId="94" xfId="0" applyFont="1" applyBorder="1" applyAlignment="1">
      <alignment horizontal="left" vertical="center" wrapText="1"/>
    </xf>
    <xf numFmtId="0" fontId="205" fillId="19" borderId="0" xfId="0" applyFont="1" applyFill="1" applyAlignment="1">
      <alignment horizontal="left" vertical="center"/>
    </xf>
    <xf numFmtId="0" fontId="39" fillId="0" borderId="98" xfId="0" applyFont="1" applyBorder="1" applyAlignment="1">
      <alignment horizontal="left" vertical="center" wrapText="1"/>
    </xf>
    <xf numFmtId="0" fontId="39" fillId="0" borderId="102" xfId="0" applyFont="1" applyBorder="1" applyAlignment="1">
      <alignment horizontal="left" vertical="center" wrapText="1"/>
    </xf>
    <xf numFmtId="14" fontId="41" fillId="0" borderId="75" xfId="0" applyNumberFormat="1" applyFont="1" applyBorder="1" applyAlignment="1" applyProtection="1">
      <alignment horizontal="left" vertical="center" wrapText="1"/>
      <protection locked="0"/>
    </xf>
    <xf numFmtId="14" fontId="41" fillId="0" borderId="63" xfId="0" applyNumberFormat="1" applyFont="1" applyBorder="1" applyAlignment="1" applyProtection="1">
      <alignment horizontal="left" vertical="center" wrapText="1"/>
      <protection locked="0"/>
    </xf>
    <xf numFmtId="14" fontId="41" fillId="0" borderId="72" xfId="0" applyNumberFormat="1" applyFont="1" applyBorder="1" applyAlignment="1" applyProtection="1">
      <alignment horizontal="left" vertical="center" wrapText="1"/>
      <protection locked="0"/>
    </xf>
    <xf numFmtId="14" fontId="41" fillId="0" borderId="60" xfId="0" applyNumberFormat="1" applyFont="1" applyBorder="1" applyAlignment="1" applyProtection="1">
      <alignment horizontal="left" vertical="center" wrapText="1"/>
      <protection locked="0"/>
    </xf>
    <xf numFmtId="14" fontId="41" fillId="19" borderId="59" xfId="0" applyNumberFormat="1" applyFont="1" applyFill="1" applyBorder="1" applyAlignment="1" applyProtection="1">
      <alignment horizontal="center" wrapText="1"/>
      <protection locked="0"/>
    </xf>
    <xf numFmtId="14" fontId="41" fillId="19" borderId="77" xfId="0" applyNumberFormat="1" applyFont="1" applyFill="1" applyBorder="1" applyAlignment="1" applyProtection="1">
      <alignment horizontal="center" wrapText="1"/>
      <protection locked="0"/>
    </xf>
    <xf numFmtId="193" fontId="41" fillId="0" borderId="41" xfId="0" applyNumberFormat="1" applyFont="1" applyBorder="1" applyAlignment="1" applyProtection="1">
      <alignment horizontal="center" wrapText="1"/>
      <protection locked="0"/>
    </xf>
    <xf numFmtId="14" fontId="41" fillId="19" borderId="10" xfId="0" applyNumberFormat="1" applyFont="1" applyFill="1" applyBorder="1" applyAlignment="1" applyProtection="1">
      <alignment horizontal="center" wrapText="1"/>
      <protection locked="0"/>
    </xf>
    <xf numFmtId="14" fontId="41" fillId="19" borderId="9" xfId="0" applyNumberFormat="1" applyFont="1" applyFill="1" applyBorder="1" applyAlignment="1" applyProtection="1">
      <alignment horizontal="center" wrapText="1"/>
      <protection locked="0"/>
    </xf>
    <xf numFmtId="14" fontId="41" fillId="19" borderId="14" xfId="0" applyNumberFormat="1" applyFont="1" applyFill="1" applyBorder="1" applyAlignment="1" applyProtection="1">
      <alignment horizontal="center" wrapText="1"/>
      <protection locked="0"/>
    </xf>
    <xf numFmtId="14" fontId="41" fillId="19" borderId="60" xfId="0" applyNumberFormat="1" applyFont="1" applyFill="1" applyBorder="1" applyAlignment="1" applyProtection="1">
      <alignment horizontal="center" wrapText="1"/>
      <protection locked="0"/>
    </xf>
    <xf numFmtId="0" fontId="41" fillId="0" borderId="47" xfId="0" applyFont="1" applyFill="1" applyBorder="1" applyAlignment="1">
      <alignment horizontal="left" vertical="center" wrapText="1"/>
    </xf>
    <xf numFmtId="0" fontId="65" fillId="0" borderId="76" xfId="0" applyFont="1" applyBorder="1" applyAlignment="1">
      <alignment vertical="center"/>
    </xf>
    <xf numFmtId="0" fontId="65" fillId="0" borderId="56" xfId="0" applyFont="1" applyBorder="1" applyAlignment="1">
      <alignment vertical="center"/>
    </xf>
    <xf numFmtId="0" fontId="65" fillId="0" borderId="77" xfId="0" applyFont="1" applyBorder="1" applyAlignment="1">
      <alignment vertical="center"/>
    </xf>
    <xf numFmtId="192" fontId="42" fillId="20" borderId="95" xfId="0" applyNumberFormat="1" applyFont="1" applyFill="1" applyBorder="1" applyAlignment="1" applyProtection="1">
      <alignment horizontal="center" vertical="center"/>
      <protection locked="0"/>
    </xf>
    <xf numFmtId="192" fontId="42" fillId="20" borderId="96" xfId="0" applyNumberFormat="1" applyFont="1" applyFill="1" applyBorder="1" applyAlignment="1" applyProtection="1">
      <alignment horizontal="center" vertical="center"/>
      <protection locked="0"/>
    </xf>
    <xf numFmtId="0" fontId="65" fillId="0" borderId="41" xfId="0" applyFont="1" applyBorder="1" applyAlignment="1">
      <alignment vertical="center"/>
    </xf>
    <xf numFmtId="0" fontId="65" fillId="0" borderId="57" xfId="0" applyFont="1" applyBorder="1" applyAlignment="1">
      <alignment vertical="center"/>
    </xf>
    <xf numFmtId="0" fontId="65" fillId="0" borderId="9" xfId="0" applyFont="1" applyBorder="1" applyAlignment="1">
      <alignment vertical="center"/>
    </xf>
    <xf numFmtId="0" fontId="65" fillId="0" borderId="75" xfId="0" applyFont="1" applyBorder="1" applyAlignment="1">
      <alignment vertical="center"/>
    </xf>
    <xf numFmtId="0" fontId="65" fillId="0" borderId="63" xfId="0" applyFont="1" applyBorder="1" applyAlignment="1">
      <alignment vertical="center"/>
    </xf>
    <xf numFmtId="0" fontId="65" fillId="0" borderId="60" xfId="0" applyFont="1" applyBorder="1" applyAlignment="1">
      <alignment vertical="center"/>
    </xf>
    <xf numFmtId="192" fontId="42" fillId="20" borderId="105" xfId="0" applyNumberFormat="1" applyFont="1" applyFill="1" applyBorder="1" applyAlignment="1" applyProtection="1">
      <alignment horizontal="center" vertical="center"/>
      <protection locked="0"/>
    </xf>
    <xf numFmtId="192" fontId="42" fillId="20" borderId="104" xfId="0" applyNumberFormat="1" applyFont="1" applyFill="1" applyBorder="1" applyAlignment="1" applyProtection="1">
      <alignment horizontal="center" vertical="center"/>
      <protection locked="0"/>
    </xf>
    <xf numFmtId="0" fontId="39" fillId="19" borderId="128" xfId="0" applyFont="1" applyFill="1" applyBorder="1" applyAlignment="1">
      <alignment horizontal="left" wrapText="1"/>
    </xf>
    <xf numFmtId="14" fontId="41" fillId="19" borderId="41" xfId="0" applyNumberFormat="1" applyFont="1" applyFill="1" applyBorder="1" applyAlignment="1" applyProtection="1">
      <alignment horizontal="left" vertical="center" wrapText="1"/>
      <protection locked="0"/>
    </xf>
    <xf numFmtId="14" fontId="41" fillId="19" borderId="57" xfId="0" applyNumberFormat="1" applyFont="1" applyFill="1" applyBorder="1" applyAlignment="1" applyProtection="1">
      <alignment horizontal="left" vertical="center" wrapText="1"/>
      <protection locked="0"/>
    </xf>
    <xf numFmtId="14" fontId="41" fillId="19" borderId="9" xfId="0" applyNumberFormat="1" applyFont="1" applyFill="1" applyBorder="1" applyAlignment="1" applyProtection="1">
      <alignment horizontal="left" vertical="center" wrapText="1"/>
      <protection locked="0"/>
    </xf>
    <xf numFmtId="191" fontId="42" fillId="45" borderId="76" xfId="0" applyNumberFormat="1" applyFont="1" applyFill="1" applyBorder="1" applyAlignment="1" applyProtection="1">
      <alignment horizontal="center" vertical="center"/>
      <protection locked="0"/>
    </xf>
    <xf numFmtId="191" fontId="42" fillId="45" borderId="56" xfId="0" applyNumberFormat="1" applyFont="1" applyFill="1" applyBorder="1" applyAlignment="1" applyProtection="1">
      <alignment horizontal="center" vertical="center"/>
      <protection locked="0"/>
    </xf>
    <xf numFmtId="191" fontId="42" fillId="48" borderId="76" xfId="0" applyNumberFormat="1" applyFont="1" applyFill="1" applyBorder="1" applyAlignment="1" applyProtection="1">
      <alignment horizontal="center" vertical="center"/>
      <protection locked="0"/>
    </xf>
    <xf numFmtId="191" fontId="42" fillId="48" borderId="56" xfId="0" applyNumberFormat="1" applyFont="1" applyFill="1" applyBorder="1" applyAlignment="1" applyProtection="1">
      <alignment horizontal="center" vertical="center"/>
      <protection locked="0"/>
    </xf>
    <xf numFmtId="191" fontId="42" fillId="45" borderId="59" xfId="0" applyNumberFormat="1" applyFont="1" applyFill="1" applyBorder="1" applyAlignment="1">
      <alignment horizontal="center" vertical="center"/>
    </xf>
    <xf numFmtId="191" fontId="42" fillId="45" borderId="56" xfId="0" applyNumberFormat="1" applyFont="1" applyFill="1" applyBorder="1" applyAlignment="1">
      <alignment horizontal="center" vertical="center"/>
    </xf>
    <xf numFmtId="191" fontId="65" fillId="19" borderId="20" xfId="0" applyNumberFormat="1" applyFont="1" applyFill="1" applyBorder="1" applyAlignment="1">
      <alignment horizontal="center" vertical="center"/>
    </xf>
    <xf numFmtId="191" fontId="65" fillId="19" borderId="54" xfId="0" applyNumberFormat="1" applyFont="1" applyFill="1" applyBorder="1" applyAlignment="1">
      <alignment horizontal="center" vertical="center"/>
    </xf>
    <xf numFmtId="0" fontId="40" fillId="19" borderId="40" xfId="19" applyFont="1" applyFill="1" applyBorder="1" applyAlignment="1">
      <alignment vertical="top" wrapText="1"/>
    </xf>
    <xf numFmtId="0" fontId="39" fillId="19" borderId="129" xfId="0" applyFont="1" applyFill="1" applyBorder="1" applyAlignment="1">
      <alignment horizontal="left" wrapText="1"/>
    </xf>
    <xf numFmtId="14" fontId="42" fillId="19" borderId="9" xfId="0" applyNumberFormat="1" applyFont="1" applyFill="1" applyBorder="1" applyAlignment="1" applyProtection="1">
      <alignment horizontal="left" vertical="center" wrapText="1"/>
      <protection locked="0"/>
    </xf>
    <xf numFmtId="191" fontId="42" fillId="45" borderId="41" xfId="0" applyNumberFormat="1" applyFont="1" applyFill="1" applyBorder="1" applyAlignment="1" applyProtection="1">
      <alignment horizontal="center" vertical="center"/>
      <protection locked="0"/>
    </xf>
    <xf numFmtId="191" fontId="42" fillId="45" borderId="57" xfId="0" applyNumberFormat="1" applyFont="1" applyFill="1" applyBorder="1" applyAlignment="1" applyProtection="1">
      <alignment horizontal="center" vertical="center"/>
      <protection locked="0"/>
    </xf>
    <xf numFmtId="192" fontId="42" fillId="20" borderId="41" xfId="0" applyNumberFormat="1" applyFont="1" applyFill="1" applyBorder="1" applyAlignment="1" applyProtection="1">
      <alignment horizontal="center" vertical="center"/>
      <protection locked="0"/>
    </xf>
    <xf numFmtId="192" fontId="42" fillId="20" borderId="57" xfId="0" applyNumberFormat="1" applyFont="1" applyFill="1" applyBorder="1" applyAlignment="1" applyProtection="1">
      <alignment horizontal="center" vertical="center"/>
      <protection locked="0"/>
    </xf>
    <xf numFmtId="192" fontId="42" fillId="19" borderId="41" xfId="0" applyNumberFormat="1" applyFont="1" applyFill="1" applyBorder="1" applyAlignment="1" applyProtection="1">
      <alignment horizontal="center" vertical="center"/>
      <protection locked="0"/>
    </xf>
    <xf numFmtId="192" fontId="42" fillId="19" borderId="57" xfId="0" applyNumberFormat="1" applyFont="1" applyFill="1" applyBorder="1" applyAlignment="1" applyProtection="1">
      <alignment horizontal="center" vertical="center"/>
      <protection locked="0"/>
    </xf>
    <xf numFmtId="191" fontId="42" fillId="45" borderId="6" xfId="0" applyNumberFormat="1" applyFont="1" applyFill="1" applyBorder="1" applyAlignment="1">
      <alignment horizontal="center" vertical="center"/>
    </xf>
    <xf numFmtId="191" fontId="42" fillId="45" borderId="68" xfId="0" applyNumberFormat="1" applyFont="1" applyFill="1" applyBorder="1" applyAlignment="1">
      <alignment horizontal="center" vertical="center"/>
    </xf>
    <xf numFmtId="191" fontId="65" fillId="19" borderId="23" xfId="0" applyNumberFormat="1" applyFont="1" applyFill="1" applyBorder="1" applyAlignment="1">
      <alignment horizontal="center" vertical="center"/>
    </xf>
    <xf numFmtId="191" fontId="65" fillId="19" borderId="51" xfId="0" applyNumberFormat="1" applyFont="1" applyFill="1" applyBorder="1" applyAlignment="1">
      <alignment horizontal="center" vertical="center"/>
    </xf>
    <xf numFmtId="0" fontId="39" fillId="19" borderId="102" xfId="0" applyFont="1" applyFill="1" applyBorder="1" applyAlignment="1">
      <alignment wrapText="1"/>
    </xf>
    <xf numFmtId="14" fontId="41" fillId="19" borderId="75" xfId="0" applyNumberFormat="1" applyFont="1" applyFill="1" applyBorder="1" applyAlignment="1" applyProtection="1">
      <alignment vertical="center" wrapText="1"/>
      <protection locked="0"/>
    </xf>
    <xf numFmtId="14" fontId="41" fillId="19" borderId="63" xfId="0" applyNumberFormat="1" applyFont="1" applyFill="1" applyBorder="1" applyAlignment="1" applyProtection="1">
      <alignment vertical="center" wrapText="1"/>
      <protection locked="0"/>
    </xf>
    <xf numFmtId="14" fontId="41" fillId="19" borderId="72" xfId="0" applyNumberFormat="1" applyFont="1" applyFill="1" applyBorder="1" applyAlignment="1" applyProtection="1">
      <alignment vertical="center" wrapText="1"/>
      <protection locked="0"/>
    </xf>
    <xf numFmtId="14" fontId="41" fillId="19" borderId="60" xfId="0" applyNumberFormat="1" applyFont="1" applyFill="1" applyBorder="1" applyAlignment="1" applyProtection="1">
      <alignment vertical="center" wrapText="1"/>
      <protection locked="0"/>
    </xf>
    <xf numFmtId="191" fontId="42" fillId="45" borderId="75" xfId="0" applyNumberFormat="1" applyFont="1" applyFill="1" applyBorder="1" applyAlignment="1" applyProtection="1">
      <alignment horizontal="center" vertical="center"/>
      <protection locked="0"/>
    </xf>
    <xf numFmtId="191" fontId="42" fillId="45" borderId="63" xfId="0" applyNumberFormat="1" applyFont="1" applyFill="1" applyBorder="1" applyAlignment="1" applyProtection="1">
      <alignment horizontal="center" vertical="center"/>
      <protection locked="0"/>
    </xf>
    <xf numFmtId="191" fontId="42" fillId="48" borderId="75" xfId="0" applyNumberFormat="1" applyFont="1" applyFill="1" applyBorder="1" applyAlignment="1" applyProtection="1">
      <alignment horizontal="center" vertical="center"/>
      <protection locked="0"/>
    </xf>
    <xf numFmtId="191" fontId="42" fillId="48" borderId="63" xfId="0" applyNumberFormat="1" applyFont="1" applyFill="1" applyBorder="1" applyAlignment="1" applyProtection="1">
      <alignment horizontal="center" vertical="center"/>
      <protection locked="0"/>
    </xf>
    <xf numFmtId="191" fontId="42" fillId="45" borderId="33" xfId="0" applyNumberFormat="1" applyFont="1" applyFill="1" applyBorder="1" applyAlignment="1">
      <alignment horizontal="center" vertical="center"/>
    </xf>
    <xf numFmtId="191" fontId="42" fillId="45" borderId="46" xfId="0" applyNumberFormat="1" applyFont="1" applyFill="1" applyBorder="1" applyAlignment="1">
      <alignment horizontal="center" vertical="center"/>
    </xf>
    <xf numFmtId="191" fontId="65" fillId="19" borderId="73" xfId="0" applyNumberFormat="1" applyFont="1" applyFill="1" applyBorder="1" applyAlignment="1">
      <alignment horizontal="center" vertical="center"/>
    </xf>
    <xf numFmtId="191" fontId="65" fillId="19" borderId="53" xfId="0" applyNumberFormat="1" applyFont="1" applyFill="1" applyBorder="1" applyAlignment="1">
      <alignment horizontal="center" vertical="center"/>
    </xf>
    <xf numFmtId="14" fontId="41" fillId="0" borderId="76" xfId="0" applyNumberFormat="1" applyFont="1" applyFill="1" applyBorder="1" applyAlignment="1" applyProtection="1">
      <alignment horizontal="center" wrapText="1"/>
      <protection locked="0"/>
    </xf>
    <xf numFmtId="14" fontId="41" fillId="0" borderId="56" xfId="0" applyNumberFormat="1" applyFont="1" applyFill="1" applyBorder="1" applyAlignment="1" applyProtection="1">
      <alignment horizontal="center" wrapText="1"/>
      <protection locked="0"/>
    </xf>
    <xf numFmtId="0" fontId="65" fillId="0" borderId="39" xfId="0" applyFont="1" applyBorder="1" applyAlignment="1">
      <alignment horizontal="center"/>
    </xf>
    <xf numFmtId="0" fontId="65" fillId="0" borderId="68" xfId="0" applyFont="1" applyBorder="1" applyAlignment="1">
      <alignment horizontal="center"/>
    </xf>
    <xf numFmtId="0" fontId="65" fillId="0" borderId="5" xfId="0" applyFont="1" applyBorder="1" applyAlignment="1">
      <alignment horizontal="center"/>
    </xf>
    <xf numFmtId="192" fontId="42" fillId="0" borderId="121" xfId="0" applyNumberFormat="1" applyFont="1" applyFill="1" applyBorder="1" applyAlignment="1" applyProtection="1">
      <alignment horizontal="center" vertical="center"/>
      <protection locked="0"/>
    </xf>
    <xf numFmtId="192" fontId="42" fillId="0" borderId="118" xfId="0" applyNumberFormat="1" applyFont="1" applyFill="1" applyBorder="1" applyAlignment="1" applyProtection="1">
      <alignment horizontal="center" vertical="center"/>
      <protection locked="0"/>
    </xf>
    <xf numFmtId="192" fontId="42" fillId="0" borderId="122" xfId="0" applyNumberFormat="1" applyFont="1" applyFill="1" applyBorder="1" applyAlignment="1" applyProtection="1">
      <alignment horizontal="center" vertical="center"/>
      <protection locked="0"/>
    </xf>
    <xf numFmtId="192" fontId="42" fillId="0" borderId="117" xfId="0" applyNumberFormat="1" applyFont="1" applyFill="1" applyBorder="1" applyAlignment="1" applyProtection="1">
      <alignment horizontal="center" vertical="center"/>
      <protection locked="0"/>
    </xf>
    <xf numFmtId="192" fontId="42" fillId="0" borderId="94" xfId="0" applyNumberFormat="1" applyFont="1" applyFill="1" applyBorder="1" applyAlignment="1" applyProtection="1">
      <alignment horizontal="center" vertical="center"/>
      <protection locked="0"/>
    </xf>
    <xf numFmtId="192" fontId="65" fillId="0" borderId="54" xfId="0" applyNumberFormat="1" applyFont="1" applyFill="1" applyBorder="1" applyAlignment="1">
      <alignment horizontal="center" vertical="center"/>
    </xf>
    <xf numFmtId="192" fontId="42" fillId="0" borderId="54" xfId="0" applyNumberFormat="1" applyFont="1" applyFill="1" applyBorder="1" applyAlignment="1" applyProtection="1">
      <alignment horizontal="center" vertical="center"/>
      <protection locked="0"/>
    </xf>
    <xf numFmtId="0" fontId="234" fillId="0" borderId="83" xfId="0" applyFont="1" applyFill="1" applyBorder="1" applyAlignment="1">
      <alignment horizontal="left" vertical="top" wrapText="1"/>
    </xf>
    <xf numFmtId="14" fontId="41" fillId="0" borderId="41" xfId="0" applyNumberFormat="1" applyFont="1" applyFill="1" applyBorder="1" applyAlignment="1" applyProtection="1">
      <alignment horizontal="center" wrapText="1"/>
      <protection locked="0"/>
    </xf>
    <xf numFmtId="14" fontId="41" fillId="0" borderId="57" xfId="0" applyNumberFormat="1" applyFont="1" applyFill="1" applyBorder="1" applyAlignment="1" applyProtection="1">
      <alignment horizontal="center" wrapText="1"/>
      <protection locked="0"/>
    </xf>
    <xf numFmtId="0" fontId="65" fillId="0" borderId="41" xfId="0" applyFont="1" applyBorder="1" applyAlignment="1">
      <alignment horizontal="center"/>
    </xf>
    <xf numFmtId="0" fontId="65" fillId="0" borderId="57" xfId="0" applyFont="1" applyBorder="1" applyAlignment="1">
      <alignment horizontal="center"/>
    </xf>
    <xf numFmtId="0" fontId="65" fillId="0" borderId="9" xfId="0" applyFont="1" applyBorder="1" applyAlignment="1">
      <alignment horizontal="center"/>
    </xf>
    <xf numFmtId="192" fontId="42" fillId="0" borderId="109" xfId="0" applyNumberFormat="1" applyFont="1" applyFill="1" applyBorder="1" applyAlignment="1" applyProtection="1">
      <alignment horizontal="center" vertical="center"/>
      <protection locked="0"/>
    </xf>
    <xf numFmtId="192" fontId="42" fillId="0" borderId="130" xfId="0" applyNumberFormat="1" applyFont="1" applyFill="1" applyBorder="1" applyAlignment="1" applyProtection="1">
      <alignment horizontal="center" vertical="center"/>
      <protection locked="0"/>
    </xf>
    <xf numFmtId="192" fontId="65" fillId="0" borderId="51" xfId="0" applyNumberFormat="1" applyFont="1" applyFill="1" applyBorder="1" applyAlignment="1">
      <alignment horizontal="center" vertical="center"/>
    </xf>
    <xf numFmtId="192" fontId="42" fillId="0" borderId="51" xfId="0" applyNumberFormat="1" applyFont="1" applyFill="1" applyBorder="1" applyAlignment="1" applyProtection="1">
      <alignment horizontal="center" vertical="center"/>
      <protection locked="0"/>
    </xf>
    <xf numFmtId="194" fontId="205" fillId="19" borderId="0" xfId="0" applyNumberFormat="1" applyFont="1" applyFill="1"/>
    <xf numFmtId="0" fontId="65" fillId="0" borderId="65" xfId="0" applyFont="1" applyBorder="1" applyAlignment="1">
      <alignment horizontal="center"/>
    </xf>
    <xf numFmtId="0" fontId="65" fillId="0" borderId="42" xfId="0" applyFont="1" applyBorder="1" applyAlignment="1">
      <alignment horizontal="center"/>
    </xf>
    <xf numFmtId="0" fontId="65" fillId="0" borderId="2" xfId="0" applyFont="1" applyBorder="1" applyAlignment="1">
      <alignment horizontal="center"/>
    </xf>
    <xf numFmtId="192" fontId="42" fillId="0" borderId="131" xfId="0" applyNumberFormat="1" applyFont="1" applyFill="1" applyBorder="1" applyAlignment="1" applyProtection="1">
      <alignment horizontal="center" vertical="center"/>
      <protection locked="0"/>
    </xf>
    <xf numFmtId="192" fontId="42" fillId="0" borderId="110" xfId="0" applyNumberFormat="1" applyFont="1" applyFill="1" applyBorder="1" applyAlignment="1" applyProtection="1">
      <alignment horizontal="center" vertical="center"/>
      <protection locked="0"/>
    </xf>
    <xf numFmtId="192" fontId="42" fillId="0" borderId="132" xfId="0" applyNumberFormat="1" applyFont="1" applyFill="1" applyBorder="1" applyAlignment="1" applyProtection="1">
      <alignment horizontal="center" vertical="center"/>
      <protection locked="0"/>
    </xf>
    <xf numFmtId="192" fontId="65" fillId="0" borderId="53" xfId="0" applyNumberFormat="1" applyFont="1" applyFill="1" applyBorder="1" applyAlignment="1">
      <alignment horizontal="center" vertical="center"/>
    </xf>
    <xf numFmtId="192" fontId="42" fillId="0" borderId="53" xfId="0" applyNumberFormat="1" applyFont="1" applyFill="1" applyBorder="1" applyAlignment="1" applyProtection="1">
      <alignment horizontal="center" vertical="center"/>
      <protection locked="0"/>
    </xf>
    <xf numFmtId="0" fontId="230" fillId="0" borderId="47" xfId="0" applyFont="1" applyFill="1" applyBorder="1" applyAlignment="1">
      <alignment horizontal="left" vertical="top" wrapText="1"/>
    </xf>
    <xf numFmtId="14" fontId="57" fillId="0" borderId="59" xfId="0" applyNumberFormat="1" applyFont="1" applyBorder="1" applyAlignment="1">
      <alignment horizontal="center"/>
    </xf>
    <xf numFmtId="14" fontId="57" fillId="0" borderId="77" xfId="0" applyNumberFormat="1" applyFont="1" applyBorder="1" applyAlignment="1">
      <alignment horizontal="center"/>
    </xf>
    <xf numFmtId="0" fontId="205" fillId="19" borderId="76" xfId="0" applyFont="1" applyFill="1" applyBorder="1"/>
    <xf numFmtId="0" fontId="205" fillId="19" borderId="56" xfId="0" applyFont="1" applyFill="1" applyBorder="1"/>
    <xf numFmtId="14" fontId="65" fillId="0" borderId="77" xfId="0" applyNumberFormat="1" applyFont="1" applyBorder="1"/>
    <xf numFmtId="0" fontId="211" fillId="19" borderId="40" xfId="0" applyFont="1" applyFill="1" applyBorder="1" applyAlignment="1">
      <alignment vertical="center" wrapText="1"/>
    </xf>
    <xf numFmtId="0" fontId="40" fillId="0" borderId="83" xfId="0" applyFont="1" applyFill="1" applyBorder="1" applyAlignment="1">
      <alignment horizontal="left" vertical="center" wrapText="1"/>
    </xf>
    <xf numFmtId="14" fontId="57" fillId="0" borderId="9" xfId="0" applyNumberFormat="1" applyFont="1" applyBorder="1" applyAlignment="1">
      <alignment horizontal="center"/>
    </xf>
    <xf numFmtId="0" fontId="205" fillId="19" borderId="41" xfId="0" applyFont="1" applyFill="1" applyBorder="1"/>
    <xf numFmtId="0" fontId="205" fillId="19" borderId="9" xfId="0" applyFont="1" applyFill="1" applyBorder="1"/>
    <xf numFmtId="0" fontId="205" fillId="19" borderId="57" xfId="0" applyFont="1" applyFill="1" applyBorder="1"/>
    <xf numFmtId="14" fontId="57" fillId="0" borderId="10" xfId="0" applyNumberFormat="1" applyFont="1" applyBorder="1" applyAlignment="1">
      <alignment horizontal="center"/>
    </xf>
    <xf numFmtId="14" fontId="65" fillId="0" borderId="9" xfId="0" applyNumberFormat="1" applyFont="1" applyBorder="1"/>
    <xf numFmtId="0" fontId="233" fillId="0" borderId="11" xfId="23" applyFont="1" applyFill="1" applyBorder="1" applyAlignment="1">
      <alignment horizontal="left" vertical="center" wrapText="1"/>
    </xf>
    <xf numFmtId="14" fontId="57" fillId="0" borderId="14" xfId="0" applyNumberFormat="1" applyFont="1" applyBorder="1" applyAlignment="1">
      <alignment horizontal="center"/>
    </xf>
    <xf numFmtId="14" fontId="57" fillId="0" borderId="60" xfId="0" applyNumberFormat="1" applyFont="1" applyBorder="1" applyAlignment="1">
      <alignment horizontal="center"/>
    </xf>
    <xf numFmtId="14" fontId="65" fillId="0" borderId="60" xfId="0" applyNumberFormat="1" applyFont="1" applyBorder="1"/>
    <xf numFmtId="14" fontId="57" fillId="0" borderId="65" xfId="0" applyNumberFormat="1" applyFont="1" applyBorder="1" applyAlignment="1">
      <alignment horizontal="center"/>
    </xf>
    <xf numFmtId="14" fontId="57" fillId="0" borderId="42" xfId="0" applyNumberFormat="1" applyFont="1" applyBorder="1" applyAlignment="1">
      <alignment horizontal="center"/>
    </xf>
    <xf numFmtId="192" fontId="42" fillId="19" borderId="103" xfId="0" applyNumberFormat="1" applyFont="1" applyFill="1" applyBorder="1" applyAlignment="1" applyProtection="1">
      <alignment horizontal="center" vertical="center"/>
      <protection locked="0"/>
    </xf>
    <xf numFmtId="192" fontId="42" fillId="19" borderId="105" xfId="0" applyNumberFormat="1" applyFont="1" applyFill="1" applyBorder="1" applyAlignment="1" applyProtection="1">
      <alignment horizontal="center" vertical="center"/>
      <protection locked="0"/>
    </xf>
    <xf numFmtId="191" fontId="42" fillId="44" borderId="95" xfId="0" applyNumberFormat="1" applyFont="1" applyFill="1" applyBorder="1" applyAlignment="1" applyProtection="1">
      <alignment horizontal="center" vertical="center" wrapText="1"/>
      <protection locked="0"/>
    </xf>
    <xf numFmtId="191" fontId="42" fillId="44" borderId="96" xfId="0" applyNumberFormat="1" applyFont="1" applyFill="1" applyBorder="1" applyAlignment="1" applyProtection="1">
      <alignment horizontal="center" vertical="center" wrapText="1"/>
      <protection locked="0"/>
    </xf>
    <xf numFmtId="191" fontId="42" fillId="45" borderId="97" xfId="0" applyNumberFormat="1" applyFont="1" applyFill="1" applyBorder="1" applyAlignment="1" applyProtection="1">
      <alignment horizontal="center" vertical="center" wrapText="1"/>
      <protection locked="0"/>
    </xf>
    <xf numFmtId="191" fontId="42" fillId="45" borderId="96" xfId="0" applyNumberFormat="1" applyFont="1" applyFill="1" applyBorder="1" applyAlignment="1" applyProtection="1">
      <alignment horizontal="center" vertical="center" wrapText="1"/>
      <protection locked="0"/>
    </xf>
    <xf numFmtId="191" fontId="42" fillId="45" borderId="95" xfId="0" applyNumberFormat="1" applyFont="1" applyFill="1" applyBorder="1" applyAlignment="1" applyProtection="1">
      <alignment horizontal="center" vertical="center" wrapText="1"/>
      <protection locked="0"/>
    </xf>
    <xf numFmtId="192" fontId="42" fillId="19" borderId="106" xfId="0" applyNumberFormat="1" applyFont="1" applyFill="1" applyBorder="1" applyAlignment="1" applyProtection="1">
      <alignment horizontal="center" vertical="center" wrapText="1"/>
      <protection locked="0"/>
    </xf>
    <xf numFmtId="192" fontId="42" fillId="0" borderId="116" xfId="0" applyNumberFormat="1" applyFont="1" applyFill="1" applyBorder="1" applyAlignment="1" applyProtection="1">
      <alignment horizontal="center" vertical="center" wrapText="1"/>
      <protection locked="0"/>
    </xf>
    <xf numFmtId="192" fontId="42" fillId="0" borderId="54" xfId="0" applyNumberFormat="1" applyFont="1" applyFill="1" applyBorder="1" applyAlignment="1">
      <alignment horizontal="center" vertical="center" wrapText="1"/>
    </xf>
    <xf numFmtId="14" fontId="42" fillId="0" borderId="57" xfId="0" applyNumberFormat="1" applyFont="1" applyBorder="1" applyAlignment="1" applyProtection="1">
      <alignment horizontal="left" vertical="center" wrapText="1"/>
      <protection locked="0"/>
    </xf>
    <xf numFmtId="192" fontId="42" fillId="0" borderId="99" xfId="0" applyNumberFormat="1" applyFont="1" applyFill="1" applyBorder="1" applyAlignment="1" applyProtection="1">
      <alignment horizontal="center" vertical="center" wrapText="1"/>
      <protection locked="0"/>
    </xf>
    <xf numFmtId="192" fontId="42" fillId="0" borderId="100" xfId="0" applyNumberFormat="1" applyFont="1" applyFill="1" applyBorder="1" applyAlignment="1" applyProtection="1">
      <alignment horizontal="center" vertical="center" wrapText="1"/>
      <protection locked="0"/>
    </xf>
    <xf numFmtId="192" fontId="42" fillId="19" borderId="101" xfId="0" applyNumberFormat="1" applyFont="1" applyFill="1" applyBorder="1" applyAlignment="1" applyProtection="1">
      <alignment horizontal="center" vertical="center" wrapText="1"/>
      <protection locked="0"/>
    </xf>
    <xf numFmtId="192" fontId="42" fillId="19" borderId="100" xfId="0" applyNumberFormat="1" applyFont="1" applyFill="1" applyBorder="1" applyAlignment="1" applyProtection="1">
      <alignment horizontal="center" vertical="center" wrapText="1"/>
      <protection locked="0"/>
    </xf>
    <xf numFmtId="192" fontId="42" fillId="19" borderId="99" xfId="0" applyNumberFormat="1" applyFont="1" applyFill="1" applyBorder="1" applyAlignment="1" applyProtection="1">
      <alignment horizontal="center" vertical="center" wrapText="1"/>
      <protection locked="0"/>
    </xf>
    <xf numFmtId="192" fontId="42" fillId="19" borderId="108" xfId="0" applyNumberFormat="1" applyFont="1" applyFill="1" applyBorder="1" applyAlignment="1" applyProtection="1">
      <alignment horizontal="center" vertical="center" wrapText="1"/>
      <protection locked="0"/>
    </xf>
    <xf numFmtId="192" fontId="42" fillId="0" borderId="109" xfId="0" applyNumberFormat="1" applyFont="1" applyFill="1" applyBorder="1" applyAlignment="1" applyProtection="1">
      <alignment horizontal="center" vertical="center" wrapText="1"/>
      <protection locked="0"/>
    </xf>
    <xf numFmtId="192" fontId="42" fillId="0" borderId="51" xfId="0" applyNumberFormat="1" applyFont="1" applyFill="1" applyBorder="1" applyAlignment="1">
      <alignment horizontal="center" vertical="center" wrapText="1"/>
    </xf>
    <xf numFmtId="192" fontId="42" fillId="0" borderId="103" xfId="0" applyNumberFormat="1" applyFont="1" applyFill="1" applyBorder="1" applyAlignment="1" applyProtection="1">
      <alignment horizontal="center" vertical="center" wrapText="1"/>
      <protection locked="0"/>
    </xf>
    <xf numFmtId="192" fontId="42" fillId="0" borderId="104" xfId="0" applyNumberFormat="1" applyFont="1" applyFill="1" applyBorder="1" applyAlignment="1" applyProtection="1">
      <alignment horizontal="center" vertical="center" wrapText="1"/>
      <protection locked="0"/>
    </xf>
    <xf numFmtId="192" fontId="42" fillId="0" borderId="102" xfId="0" applyNumberFormat="1" applyFont="1" applyFill="1" applyBorder="1" applyAlignment="1" applyProtection="1">
      <alignment horizontal="center" vertical="center" wrapText="1"/>
      <protection locked="0"/>
    </xf>
    <xf numFmtId="192" fontId="42" fillId="0" borderId="105" xfId="0" applyNumberFormat="1" applyFont="1" applyFill="1" applyBorder="1" applyAlignment="1" applyProtection="1">
      <alignment horizontal="center" vertical="center" wrapText="1"/>
      <protection locked="0"/>
    </xf>
    <xf numFmtId="192" fontId="42" fillId="0" borderId="110" xfId="0" applyNumberFormat="1" applyFont="1" applyFill="1" applyBorder="1" applyAlignment="1" applyProtection="1">
      <alignment horizontal="center" vertical="center" wrapText="1"/>
      <protection locked="0"/>
    </xf>
    <xf numFmtId="192" fontId="42" fillId="0" borderId="53" xfId="0" applyNumberFormat="1" applyFont="1" applyFill="1" applyBorder="1" applyAlignment="1">
      <alignment horizontal="center" vertical="center" wrapText="1"/>
    </xf>
    <xf numFmtId="0" fontId="39" fillId="0" borderId="116" xfId="0" applyFont="1" applyBorder="1" applyAlignment="1">
      <alignment horizontal="left" wrapText="1"/>
    </xf>
    <xf numFmtId="14" fontId="57" fillId="0" borderId="39" xfId="0" applyNumberFormat="1" applyFont="1" applyBorder="1" applyAlignment="1">
      <alignment horizontal="center"/>
    </xf>
    <xf numFmtId="14" fontId="57" fillId="0" borderId="68" xfId="0" applyNumberFormat="1" applyFont="1" applyBorder="1" applyAlignment="1">
      <alignment horizontal="center"/>
    </xf>
    <xf numFmtId="192" fontId="42" fillId="0" borderId="41" xfId="0" applyNumberFormat="1" applyFont="1" applyFill="1" applyBorder="1" applyAlignment="1" applyProtection="1">
      <alignment horizontal="center" vertical="center"/>
      <protection locked="0"/>
    </xf>
    <xf numFmtId="192" fontId="42" fillId="0" borderId="57" xfId="0" applyNumberFormat="1" applyFont="1" applyFill="1" applyBorder="1" applyAlignment="1" applyProtection="1">
      <alignment horizontal="center" vertical="center"/>
      <protection locked="0"/>
    </xf>
    <xf numFmtId="192" fontId="42" fillId="0" borderId="133" xfId="0" applyNumberFormat="1" applyFont="1" applyFill="1" applyBorder="1" applyAlignment="1" applyProtection="1">
      <alignment horizontal="center" vertical="center"/>
      <protection locked="0"/>
    </xf>
    <xf numFmtId="192" fontId="42" fillId="0" borderId="123" xfId="0" applyNumberFormat="1" applyFont="1" applyFill="1" applyBorder="1" applyAlignment="1" applyProtection="1">
      <alignment horizontal="center" vertical="center"/>
      <protection locked="0"/>
    </xf>
    <xf numFmtId="192" fontId="65" fillId="0" borderId="50" xfId="0" applyNumberFormat="1" applyFont="1" applyFill="1" applyBorder="1" applyAlignment="1">
      <alignment horizontal="center" vertical="center"/>
    </xf>
    <xf numFmtId="0" fontId="234" fillId="0" borderId="48" xfId="0" applyFont="1" applyFill="1" applyBorder="1" applyAlignment="1">
      <alignment horizontal="left" vertical="top" wrapText="1"/>
    </xf>
    <xf numFmtId="0" fontId="65" fillId="0" borderId="75" xfId="0" applyFont="1" applyBorder="1" applyAlignment="1">
      <alignment horizontal="center"/>
    </xf>
    <xf numFmtId="0" fontId="65" fillId="0" borderId="60" xfId="0" applyFont="1" applyBorder="1" applyAlignment="1">
      <alignment horizontal="center"/>
    </xf>
    <xf numFmtId="192" fontId="42" fillId="0" borderId="75" xfId="0" applyNumberFormat="1" applyFont="1" applyFill="1" applyBorder="1" applyAlignment="1" applyProtection="1">
      <alignment horizontal="center" vertical="center"/>
      <protection locked="0"/>
    </xf>
    <xf numFmtId="192" fontId="42" fillId="0" borderId="63" xfId="0" applyNumberFormat="1" applyFont="1" applyFill="1" applyBorder="1" applyAlignment="1" applyProtection="1">
      <alignment horizontal="center" vertical="center"/>
      <protection locked="0"/>
    </xf>
    <xf numFmtId="192" fontId="42" fillId="0" borderId="134" xfId="0" applyNumberFormat="1" applyFont="1" applyFill="1" applyBorder="1" applyAlignment="1" applyProtection="1">
      <alignment horizontal="center" vertical="center"/>
      <protection locked="0"/>
    </xf>
    <xf numFmtId="192" fontId="42" fillId="0" borderId="95" xfId="0" applyNumberFormat="1" applyFont="1" applyFill="1" applyBorder="1" applyAlignment="1" applyProtection="1">
      <alignment horizontal="center" vertical="center" wrapText="1"/>
      <protection locked="0"/>
    </xf>
    <xf numFmtId="192" fontId="42" fillId="0" borderId="120" xfId="0" applyNumberFormat="1" applyFont="1" applyFill="1" applyBorder="1" applyAlignment="1" applyProtection="1">
      <alignment horizontal="center" vertical="center" wrapText="1"/>
      <protection locked="0"/>
    </xf>
    <xf numFmtId="192" fontId="42" fillId="0" borderId="121" xfId="0" applyNumberFormat="1" applyFont="1" applyFill="1" applyBorder="1" applyAlignment="1" applyProtection="1">
      <alignment horizontal="center" vertical="center" wrapText="1"/>
      <protection locked="0"/>
    </xf>
    <xf numFmtId="192" fontId="42" fillId="0" borderId="122" xfId="0" applyNumberFormat="1" applyFont="1" applyFill="1" applyBorder="1" applyAlignment="1" applyProtection="1">
      <alignment horizontal="center" vertical="center" wrapText="1"/>
      <protection locked="0"/>
    </xf>
    <xf numFmtId="192" fontId="42" fillId="0" borderId="96" xfId="0" applyNumberFormat="1" applyFont="1" applyFill="1" applyBorder="1" applyAlignment="1" applyProtection="1">
      <alignment horizontal="center" vertical="center" wrapText="1"/>
      <protection locked="0"/>
    </xf>
    <xf numFmtId="192" fontId="42" fillId="0" borderId="106" xfId="0" applyNumberFormat="1" applyFont="1" applyFill="1" applyBorder="1" applyAlignment="1" applyProtection="1">
      <alignment horizontal="center" vertical="center" wrapText="1"/>
      <protection locked="0"/>
    </xf>
    <xf numFmtId="192" fontId="42" fillId="0" borderId="107" xfId="0" applyNumberFormat="1" applyFont="1" applyFill="1" applyBorder="1" applyAlignment="1" applyProtection="1">
      <alignment horizontal="center" vertical="center" wrapText="1"/>
      <protection locked="0"/>
    </xf>
    <xf numFmtId="192" fontId="42" fillId="0" borderId="67" xfId="0" applyNumberFormat="1" applyFont="1" applyFill="1" applyBorder="1" applyAlignment="1">
      <alignment horizontal="center" vertical="center" wrapText="1"/>
    </xf>
    <xf numFmtId="192" fontId="42" fillId="0" borderId="123" xfId="0" applyNumberFormat="1" applyFont="1" applyFill="1" applyBorder="1" applyAlignment="1" applyProtection="1">
      <alignment horizontal="center" vertical="center" wrapText="1"/>
      <protection locked="0"/>
    </xf>
    <xf numFmtId="192" fontId="42" fillId="0" borderId="114" xfId="0" applyNumberFormat="1" applyFont="1" applyFill="1" applyBorder="1" applyAlignment="1" applyProtection="1">
      <alignment horizontal="center" vertical="center" wrapText="1"/>
      <protection locked="0"/>
    </xf>
    <xf numFmtId="192" fontId="42" fillId="0" borderId="115" xfId="0" applyNumberFormat="1" applyFont="1" applyFill="1" applyBorder="1" applyAlignment="1" applyProtection="1">
      <alignment horizontal="center" vertical="center" wrapText="1"/>
      <protection locked="0"/>
    </xf>
    <xf numFmtId="192" fontId="42" fillId="0" borderId="108" xfId="0" applyNumberFormat="1" applyFont="1" applyFill="1" applyBorder="1" applyAlignment="1" applyProtection="1">
      <alignment horizontal="center" vertical="center" wrapText="1"/>
      <protection locked="0"/>
    </xf>
    <xf numFmtId="192" fontId="42" fillId="0" borderId="24" xfId="0" applyNumberFormat="1" applyFont="1" applyFill="1" applyBorder="1" applyAlignment="1">
      <alignment horizontal="center" vertical="center" wrapText="1"/>
    </xf>
    <xf numFmtId="0" fontId="233" fillId="0" borderId="0" xfId="23" applyFont="1" applyFill="1" applyBorder="1" applyAlignment="1">
      <alignment horizontal="left" vertical="center" wrapText="1"/>
    </xf>
    <xf numFmtId="192" fontId="42" fillId="0" borderId="124" xfId="0" applyNumberFormat="1" applyFont="1" applyFill="1" applyBorder="1" applyAlignment="1" applyProtection="1">
      <alignment horizontal="center" vertical="center" wrapText="1"/>
      <protection locked="0"/>
    </xf>
    <xf numFmtId="192" fontId="42" fillId="0" borderId="132" xfId="0" applyNumberFormat="1" applyFont="1" applyFill="1" applyBorder="1" applyAlignment="1" applyProtection="1">
      <alignment horizontal="center" vertical="center" wrapText="1"/>
      <protection locked="0"/>
    </xf>
    <xf numFmtId="192" fontId="42" fillId="0" borderId="135" xfId="0" applyNumberFormat="1" applyFont="1" applyFill="1" applyBorder="1" applyAlignment="1" applyProtection="1">
      <alignment horizontal="center" vertical="center" wrapText="1"/>
      <protection locked="0"/>
    </xf>
    <xf numFmtId="192" fontId="42" fillId="0" borderId="136" xfId="0" applyNumberFormat="1" applyFont="1" applyFill="1" applyBorder="1" applyAlignment="1" applyProtection="1">
      <alignment horizontal="center" vertical="center" wrapText="1"/>
      <protection locked="0"/>
    </xf>
    <xf numFmtId="0" fontId="41" fillId="19" borderId="47" xfId="0" applyFont="1" applyFill="1" applyBorder="1" applyAlignment="1">
      <alignment horizontal="left" vertical="center"/>
    </xf>
    <xf numFmtId="14" fontId="41" fillId="19" borderId="39" xfId="0" applyNumberFormat="1" applyFont="1" applyFill="1" applyBorder="1" applyAlignment="1" applyProtection="1">
      <alignment horizontal="center" wrapText="1"/>
      <protection locked="0"/>
    </xf>
    <xf numFmtId="14" fontId="41" fillId="19" borderId="68" xfId="0" applyNumberFormat="1" applyFont="1" applyFill="1" applyBorder="1" applyAlignment="1" applyProtection="1">
      <alignment horizontal="center" wrapText="1"/>
      <protection locked="0"/>
    </xf>
    <xf numFmtId="0" fontId="65" fillId="19" borderId="76" xfId="0" applyFont="1" applyFill="1" applyBorder="1" applyAlignment="1">
      <alignment vertical="center"/>
    </xf>
    <xf numFmtId="0" fontId="65" fillId="19" borderId="77" xfId="0" applyFont="1" applyFill="1" applyBorder="1" applyAlignment="1">
      <alignment vertical="center"/>
    </xf>
    <xf numFmtId="192" fontId="42" fillId="19" borderId="95" xfId="0" applyNumberFormat="1" applyFont="1" applyFill="1" applyBorder="1" applyAlignment="1" applyProtection="1">
      <alignment horizontal="center" vertical="center"/>
      <protection locked="0"/>
    </xf>
    <xf numFmtId="192" fontId="42" fillId="19" borderId="120" xfId="0" applyNumberFormat="1" applyFont="1" applyFill="1" applyBorder="1" applyAlignment="1" applyProtection="1">
      <alignment horizontal="center" vertical="center"/>
      <protection locked="0"/>
    </xf>
    <xf numFmtId="192" fontId="42" fillId="19" borderId="121" xfId="0" applyNumberFormat="1" applyFont="1" applyFill="1" applyBorder="1" applyAlignment="1" applyProtection="1">
      <alignment horizontal="center" vertical="center"/>
      <protection locked="0"/>
    </xf>
    <xf numFmtId="192" fontId="42" fillId="19" borderId="122" xfId="0" applyNumberFormat="1" applyFont="1" applyFill="1" applyBorder="1" applyAlignment="1" applyProtection="1">
      <alignment horizontal="center" vertical="center"/>
      <protection locked="0"/>
    </xf>
    <xf numFmtId="192" fontId="42" fillId="19" borderId="117" xfId="0" applyNumberFormat="1" applyFont="1" applyFill="1" applyBorder="1" applyAlignment="1" applyProtection="1">
      <alignment horizontal="center" vertical="center"/>
      <protection locked="0"/>
    </xf>
    <xf numFmtId="192" fontId="42" fillId="19" borderId="118" xfId="0" applyNumberFormat="1" applyFont="1" applyFill="1" applyBorder="1" applyAlignment="1" applyProtection="1">
      <alignment horizontal="center" vertical="center"/>
      <protection locked="0"/>
    </xf>
    <xf numFmtId="192" fontId="42" fillId="19" borderId="22" xfId="0" applyNumberFormat="1" applyFont="1" applyFill="1" applyBorder="1" applyAlignment="1">
      <alignment horizontal="center" vertical="center"/>
    </xf>
    <xf numFmtId="192" fontId="65" fillId="19" borderId="54" xfId="0" applyNumberFormat="1" applyFont="1" applyFill="1" applyBorder="1" applyAlignment="1">
      <alignment horizontal="center" vertical="center" wrapText="1"/>
    </xf>
    <xf numFmtId="0" fontId="65" fillId="19" borderId="41" xfId="0" applyFont="1" applyFill="1" applyBorder="1" applyAlignment="1">
      <alignment vertical="center"/>
    </xf>
    <xf numFmtId="0" fontId="65" fillId="19" borderId="57" xfId="0" applyFont="1" applyFill="1" applyBorder="1" applyAlignment="1">
      <alignment vertical="center"/>
    </xf>
    <xf numFmtId="0" fontId="65" fillId="19" borderId="9" xfId="0" applyFont="1" applyFill="1" applyBorder="1" applyAlignment="1">
      <alignment vertical="center"/>
    </xf>
    <xf numFmtId="192" fontId="42" fillId="19" borderId="99" xfId="0" applyNumberFormat="1" applyFont="1" applyFill="1" applyBorder="1" applyAlignment="1" applyProtection="1">
      <alignment horizontal="center" vertical="center"/>
      <protection locked="0"/>
    </xf>
    <xf numFmtId="192" fontId="42" fillId="19" borderId="123" xfId="0" applyNumberFormat="1" applyFont="1" applyFill="1" applyBorder="1" applyAlignment="1" applyProtection="1">
      <alignment horizontal="center" vertical="center"/>
      <protection locked="0"/>
    </xf>
    <xf numFmtId="192" fontId="42" fillId="19" borderId="114" xfId="0" applyNumberFormat="1" applyFont="1" applyFill="1" applyBorder="1" applyAlignment="1" applyProtection="1">
      <alignment horizontal="center" vertical="center"/>
      <protection locked="0"/>
    </xf>
    <xf numFmtId="192" fontId="42" fillId="19" borderId="115" xfId="0" applyNumberFormat="1" applyFont="1" applyFill="1" applyBorder="1" applyAlignment="1" applyProtection="1">
      <alignment horizontal="center" vertical="center"/>
      <protection locked="0"/>
    </xf>
    <xf numFmtId="192" fontId="42" fillId="19" borderId="119" xfId="0" applyNumberFormat="1" applyFont="1" applyFill="1" applyBorder="1" applyAlignment="1" applyProtection="1">
      <alignment horizontal="center" vertical="center"/>
      <protection locked="0"/>
    </xf>
    <xf numFmtId="192" fontId="42" fillId="19" borderId="109" xfId="0" applyNumberFormat="1" applyFont="1" applyFill="1" applyBorder="1" applyAlignment="1" applyProtection="1">
      <alignment horizontal="center" vertical="center"/>
      <protection locked="0"/>
    </xf>
    <xf numFmtId="192" fontId="42" fillId="19" borderId="24" xfId="0" applyNumberFormat="1" applyFont="1" applyFill="1" applyBorder="1" applyAlignment="1">
      <alignment horizontal="center" vertical="center"/>
    </xf>
    <xf numFmtId="192" fontId="65" fillId="19" borderId="51" xfId="0" applyNumberFormat="1" applyFont="1" applyFill="1" applyBorder="1" applyAlignment="1">
      <alignment horizontal="center" vertical="center" wrapText="1"/>
    </xf>
    <xf numFmtId="0" fontId="233" fillId="19" borderId="49" xfId="23" applyFont="1" applyFill="1" applyBorder="1" applyAlignment="1">
      <alignment horizontal="left" vertical="center" wrapText="1"/>
    </xf>
    <xf numFmtId="0" fontId="65" fillId="19" borderId="75" xfId="0" applyFont="1" applyFill="1" applyBorder="1" applyAlignment="1">
      <alignment vertical="center"/>
    </xf>
    <xf numFmtId="0" fontId="65" fillId="19" borderId="63" xfId="0" applyFont="1" applyFill="1" applyBorder="1" applyAlignment="1">
      <alignment vertical="center"/>
    </xf>
    <xf numFmtId="0" fontId="65" fillId="19" borderId="60" xfId="0" applyFont="1" applyFill="1" applyBorder="1" applyAlignment="1">
      <alignment vertical="center"/>
    </xf>
    <xf numFmtId="192" fontId="42" fillId="19" borderId="124" xfId="0" applyNumberFormat="1" applyFont="1" applyFill="1" applyBorder="1" applyAlignment="1" applyProtection="1">
      <alignment horizontal="center" vertical="center"/>
      <protection locked="0"/>
    </xf>
    <xf numFmtId="192" fontId="42" fillId="19" borderId="110" xfId="0" applyNumberFormat="1" applyFont="1" applyFill="1" applyBorder="1" applyAlignment="1" applyProtection="1">
      <alignment horizontal="center" vertical="center"/>
      <protection locked="0"/>
    </xf>
    <xf numFmtId="192" fontId="42" fillId="19" borderId="132" xfId="0" applyNumberFormat="1" applyFont="1" applyFill="1" applyBorder="1" applyAlignment="1" applyProtection="1">
      <alignment horizontal="center" vertical="center"/>
      <protection locked="0"/>
    </xf>
    <xf numFmtId="192" fontId="42" fillId="19" borderId="71" xfId="0" applyNumberFormat="1" applyFont="1" applyFill="1" applyBorder="1" applyAlignment="1">
      <alignment horizontal="center" vertical="center"/>
    </xf>
    <xf numFmtId="192" fontId="65" fillId="19" borderId="53" xfId="0" applyNumberFormat="1" applyFont="1" applyFill="1" applyBorder="1" applyAlignment="1">
      <alignment horizontal="center" vertical="center" wrapText="1"/>
    </xf>
    <xf numFmtId="192" fontId="42" fillId="0" borderId="120" xfId="0" applyNumberFormat="1" applyFont="1" applyFill="1" applyBorder="1" applyAlignment="1" applyProtection="1">
      <alignment horizontal="center" vertical="center"/>
      <protection locked="0"/>
    </xf>
    <xf numFmtId="192" fontId="42" fillId="0" borderId="107" xfId="0" applyNumberFormat="1" applyFont="1" applyFill="1" applyBorder="1" applyAlignment="1" applyProtection="1">
      <alignment horizontal="center" vertical="center"/>
      <protection locked="0"/>
    </xf>
    <xf numFmtId="192" fontId="42" fillId="0" borderId="67" xfId="0" applyNumberFormat="1" applyFont="1" applyFill="1" applyBorder="1" applyAlignment="1">
      <alignment horizontal="center" vertical="center"/>
    </xf>
    <xf numFmtId="192" fontId="65" fillId="0" borderId="50" xfId="0" applyNumberFormat="1" applyFont="1" applyFill="1" applyBorder="1" applyAlignment="1">
      <alignment horizontal="center" vertical="center" wrapText="1"/>
    </xf>
    <xf numFmtId="192" fontId="42" fillId="0" borderId="124" xfId="0" applyNumberFormat="1" applyFont="1" applyFill="1" applyBorder="1" applyAlignment="1" applyProtection="1">
      <alignment horizontal="center" vertical="center"/>
      <protection locked="0"/>
    </xf>
    <xf numFmtId="192" fontId="42" fillId="0" borderId="135" xfId="0" applyNumberFormat="1" applyFont="1" applyFill="1" applyBorder="1" applyAlignment="1" applyProtection="1">
      <alignment horizontal="center" vertical="center"/>
      <protection locked="0"/>
    </xf>
    <xf numFmtId="192" fontId="42" fillId="0" borderId="136" xfId="0" applyNumberFormat="1" applyFont="1" applyFill="1" applyBorder="1" applyAlignment="1" applyProtection="1">
      <alignment horizontal="center" vertical="center"/>
      <protection locked="0"/>
    </xf>
    <xf numFmtId="192" fontId="42" fillId="0" borderId="26" xfId="0" applyNumberFormat="1" applyFont="1" applyFill="1" applyBorder="1" applyAlignment="1">
      <alignment horizontal="center" vertical="center"/>
    </xf>
    <xf numFmtId="192" fontId="65" fillId="0" borderId="66" xfId="0" applyNumberFormat="1" applyFont="1" applyFill="1" applyBorder="1" applyAlignment="1">
      <alignment horizontal="center" vertical="center" wrapText="1"/>
    </xf>
    <xf numFmtId="192" fontId="42" fillId="0" borderId="76" xfId="0" applyNumberFormat="1" applyFont="1" applyFill="1" applyBorder="1" applyAlignment="1" applyProtection="1">
      <alignment horizontal="center" vertical="center"/>
      <protection locked="0"/>
    </xf>
    <xf numFmtId="192" fontId="42" fillId="0" borderId="56" xfId="0" applyNumberFormat="1" applyFont="1" applyFill="1" applyBorder="1" applyAlignment="1" applyProtection="1">
      <alignment horizontal="center" vertical="center"/>
      <protection locked="0"/>
    </xf>
    <xf numFmtId="192" fontId="42" fillId="0" borderId="50" xfId="0" applyNumberFormat="1" applyFont="1" applyFill="1" applyBorder="1" applyAlignment="1">
      <alignment horizontal="center" vertical="center"/>
    </xf>
    <xf numFmtId="192" fontId="42" fillId="0" borderId="119" xfId="0" applyNumberFormat="1" applyFont="1" applyFill="1" applyBorder="1" applyAlignment="1" applyProtection="1">
      <alignment horizontal="center" vertical="center"/>
      <protection locked="0"/>
    </xf>
    <xf numFmtId="192" fontId="42" fillId="0" borderId="51" xfId="0" applyNumberFormat="1" applyFont="1" applyFill="1" applyBorder="1" applyAlignment="1">
      <alignment horizontal="center" vertical="center"/>
    </xf>
    <xf numFmtId="192" fontId="42" fillId="0" borderId="53" xfId="0" applyNumberFormat="1" applyFont="1" applyFill="1" applyBorder="1" applyAlignment="1">
      <alignment horizontal="center" vertical="center"/>
    </xf>
    <xf numFmtId="0" fontId="65" fillId="0" borderId="76" xfId="0" applyFont="1" applyBorder="1" applyAlignment="1">
      <alignment horizontal="center"/>
    </xf>
    <xf numFmtId="0" fontId="65" fillId="0" borderId="56" xfId="0" applyFont="1" applyBorder="1" applyAlignment="1">
      <alignment horizontal="center"/>
    </xf>
    <xf numFmtId="192" fontId="42" fillId="0" borderId="137" xfId="0" applyNumberFormat="1" applyFont="1" applyFill="1" applyBorder="1" applyAlignment="1" applyProtection="1">
      <alignment horizontal="center" vertical="center"/>
      <protection locked="0"/>
    </xf>
    <xf numFmtId="192" fontId="42" fillId="0" borderId="138" xfId="0" applyNumberFormat="1" applyFont="1" applyFill="1" applyBorder="1" applyAlignment="1" applyProtection="1">
      <alignment horizontal="center" vertical="center"/>
      <protection locked="0"/>
    </xf>
    <xf numFmtId="0" fontId="65" fillId="0" borderId="63" xfId="0" applyFont="1" applyBorder="1" applyAlignment="1">
      <alignment horizontal="center"/>
    </xf>
    <xf numFmtId="0" fontId="39" fillId="0" borderId="54" xfId="0" applyFont="1" applyBorder="1" applyAlignment="1">
      <alignment horizontal="left" wrapText="1"/>
    </xf>
    <xf numFmtId="0" fontId="65" fillId="0" borderId="76" xfId="0" applyFont="1" applyBorder="1" applyAlignment="1">
      <alignment vertical="center" wrapText="1"/>
    </xf>
    <xf numFmtId="0" fontId="65" fillId="0" borderId="56" xfId="0" applyFont="1" applyBorder="1" applyAlignment="1">
      <alignment vertical="center" wrapText="1"/>
    </xf>
    <xf numFmtId="0" fontId="65" fillId="0" borderId="77" xfId="0" applyFont="1" applyBorder="1" applyAlignment="1">
      <alignment vertical="center" wrapText="1"/>
    </xf>
    <xf numFmtId="192" fontId="42" fillId="19" borderId="94" xfId="0" applyNumberFormat="1" applyFont="1" applyFill="1" applyBorder="1" applyAlignment="1" applyProtection="1">
      <alignment horizontal="center" vertical="center" wrapText="1"/>
      <protection locked="0"/>
    </xf>
    <xf numFmtId="192" fontId="42" fillId="19" borderId="76" xfId="0" applyNumberFormat="1" applyFont="1" applyFill="1" applyBorder="1" applyAlignment="1" applyProtection="1">
      <alignment horizontal="center" vertical="center" wrapText="1"/>
      <protection locked="0"/>
    </xf>
    <xf numFmtId="192" fontId="42" fillId="19" borderId="56" xfId="0" applyNumberFormat="1" applyFont="1" applyFill="1" applyBorder="1" applyAlignment="1" applyProtection="1">
      <alignment horizontal="center" vertical="center" wrapText="1"/>
      <protection locked="0"/>
    </xf>
    <xf numFmtId="192" fontId="42" fillId="19" borderId="95" xfId="0" applyNumberFormat="1" applyFont="1" applyFill="1" applyBorder="1" applyAlignment="1" applyProtection="1">
      <alignment horizontal="center" vertical="center" wrapText="1"/>
      <protection locked="0"/>
    </xf>
    <xf numFmtId="192" fontId="42" fillId="19" borderId="96" xfId="0" applyNumberFormat="1" applyFont="1" applyFill="1" applyBorder="1" applyAlignment="1" applyProtection="1">
      <alignment horizontal="center" vertical="center" wrapText="1"/>
      <protection locked="0"/>
    </xf>
    <xf numFmtId="192" fontId="42" fillId="0" borderId="130" xfId="0" applyNumberFormat="1" applyFont="1" applyFill="1" applyBorder="1" applyAlignment="1" applyProtection="1">
      <alignment horizontal="center" vertical="center" wrapText="1"/>
      <protection locked="0"/>
    </xf>
    <xf numFmtId="0" fontId="39" fillId="0" borderId="51" xfId="0" applyFont="1" applyBorder="1" applyAlignment="1">
      <alignment wrapText="1"/>
    </xf>
    <xf numFmtId="0" fontId="65" fillId="0" borderId="41" xfId="0" applyFont="1" applyBorder="1" applyAlignment="1">
      <alignment vertical="center" wrapText="1"/>
    </xf>
    <xf numFmtId="0" fontId="65" fillId="0" borderId="57" xfId="0" applyFont="1" applyBorder="1" applyAlignment="1">
      <alignment vertical="center" wrapText="1"/>
    </xf>
    <xf numFmtId="0" fontId="65" fillId="0" borderId="9" xfId="0" applyFont="1" applyBorder="1" applyAlignment="1">
      <alignment vertical="center" wrapText="1"/>
    </xf>
    <xf numFmtId="192" fontId="42" fillId="19" borderId="98" xfId="0" applyNumberFormat="1" applyFont="1" applyFill="1" applyBorder="1" applyAlignment="1" applyProtection="1">
      <alignment horizontal="center" vertical="center" wrapText="1"/>
      <protection locked="0"/>
    </xf>
    <xf numFmtId="192" fontId="42" fillId="19" borderId="41" xfId="0" applyNumberFormat="1" applyFont="1" applyFill="1" applyBorder="1" applyAlignment="1" applyProtection="1">
      <alignment horizontal="center" vertical="center" wrapText="1"/>
      <protection locked="0"/>
    </xf>
    <xf numFmtId="192" fontId="42" fillId="19" borderId="57" xfId="0" applyNumberFormat="1" applyFont="1" applyFill="1" applyBorder="1" applyAlignment="1" applyProtection="1">
      <alignment horizontal="center" vertical="center" wrapText="1"/>
      <protection locked="0"/>
    </xf>
    <xf numFmtId="192" fontId="42" fillId="0" borderId="119" xfId="0" applyNumberFormat="1" applyFont="1" applyFill="1" applyBorder="1" applyAlignment="1" applyProtection="1">
      <alignment horizontal="center" vertical="center" wrapText="1"/>
      <protection locked="0"/>
    </xf>
    <xf numFmtId="192" fontId="42" fillId="0" borderId="98" xfId="0" applyNumberFormat="1" applyFont="1" applyFill="1" applyBorder="1" applyAlignment="1" applyProtection="1">
      <alignment horizontal="center" vertical="center" wrapText="1"/>
      <protection locked="0"/>
    </xf>
    <xf numFmtId="0" fontId="39" fillId="0" borderId="53" xfId="0" applyFont="1" applyBorder="1" applyAlignment="1">
      <alignment wrapText="1"/>
    </xf>
    <xf numFmtId="0" fontId="65" fillId="0" borderId="75" xfId="0" applyFont="1" applyBorder="1" applyAlignment="1">
      <alignment vertical="center" wrapText="1"/>
    </xf>
    <xf numFmtId="0" fontId="65" fillId="0" borderId="63" xfId="0" applyFont="1" applyBorder="1" applyAlignment="1">
      <alignment vertical="center" wrapText="1"/>
    </xf>
    <xf numFmtId="0" fontId="65" fillId="0" borderId="60" xfId="0" applyFont="1" applyBorder="1" applyAlignment="1">
      <alignment vertical="center" wrapText="1"/>
    </xf>
    <xf numFmtId="192" fontId="42" fillId="0" borderId="131" xfId="0" applyNumberFormat="1" applyFont="1" applyFill="1" applyBorder="1" applyAlignment="1" applyProtection="1">
      <alignment horizontal="center" vertical="center" wrapText="1"/>
      <protection locked="0"/>
    </xf>
    <xf numFmtId="192" fontId="42" fillId="19" borderId="105" xfId="0" applyNumberFormat="1" applyFont="1" applyFill="1" applyBorder="1" applyAlignment="1" applyProtection="1">
      <alignment horizontal="center" vertical="center" wrapText="1"/>
      <protection locked="0"/>
    </xf>
    <xf numFmtId="192" fontId="42" fillId="19" borderId="75" xfId="0" applyNumberFormat="1" applyFont="1" applyFill="1" applyBorder="1" applyAlignment="1" applyProtection="1">
      <alignment horizontal="center" vertical="center" wrapText="1"/>
      <protection locked="0"/>
    </xf>
    <xf numFmtId="192" fontId="42" fillId="19" borderId="63" xfId="0" applyNumberFormat="1" applyFont="1" applyFill="1" applyBorder="1" applyAlignment="1" applyProtection="1">
      <alignment horizontal="center" vertical="center" wrapText="1"/>
      <protection locked="0"/>
    </xf>
    <xf numFmtId="192" fontId="42" fillId="19" borderId="132" xfId="0" applyNumberFormat="1" applyFont="1" applyFill="1" applyBorder="1" applyAlignment="1" applyProtection="1">
      <alignment horizontal="center" vertical="center" wrapText="1"/>
      <protection locked="0"/>
    </xf>
    <xf numFmtId="192" fontId="42" fillId="19" borderId="118" xfId="0" applyNumberFormat="1" applyFont="1" applyFill="1" applyBorder="1" applyAlignment="1" applyProtection="1">
      <alignment horizontal="center" vertical="center" wrapText="1"/>
      <protection locked="0"/>
    </xf>
    <xf numFmtId="192" fontId="42" fillId="19" borderId="121" xfId="0" applyNumberFormat="1" applyFont="1" applyFill="1" applyBorder="1" applyAlignment="1" applyProtection="1">
      <alignment horizontal="center" vertical="center" wrapText="1"/>
      <protection locked="0"/>
    </xf>
    <xf numFmtId="192" fontId="42" fillId="19" borderId="137" xfId="0" applyNumberFormat="1" applyFont="1" applyFill="1" applyBorder="1" applyAlignment="1" applyProtection="1">
      <alignment horizontal="center" vertical="center" wrapText="1"/>
      <protection locked="0"/>
    </xf>
    <xf numFmtId="192" fontId="42" fillId="19" borderId="139" xfId="0" applyNumberFormat="1" applyFont="1" applyFill="1" applyBorder="1" applyAlignment="1" applyProtection="1">
      <alignment horizontal="center" vertical="center" wrapText="1"/>
      <protection locked="0"/>
    </xf>
    <xf numFmtId="192" fontId="42" fillId="0" borderId="118" xfId="0" applyNumberFormat="1" applyFont="1" applyFill="1" applyBorder="1" applyAlignment="1" applyProtection="1">
      <alignment horizontal="center" vertical="center" wrapText="1"/>
      <protection locked="0"/>
    </xf>
    <xf numFmtId="192" fontId="42" fillId="19" borderId="109" xfId="0" applyNumberFormat="1" applyFont="1" applyFill="1" applyBorder="1" applyAlignment="1" applyProtection="1">
      <alignment horizontal="center" vertical="center" wrapText="1"/>
      <protection locked="0"/>
    </xf>
    <xf numFmtId="192" fontId="42" fillId="19" borderId="114" xfId="0" applyNumberFormat="1" applyFont="1" applyFill="1" applyBorder="1" applyAlignment="1" applyProtection="1">
      <alignment horizontal="center" vertical="center" wrapText="1"/>
      <protection locked="0"/>
    </xf>
    <xf numFmtId="192" fontId="42" fillId="19" borderId="110" xfId="0" applyNumberFormat="1" applyFont="1" applyFill="1" applyBorder="1" applyAlignment="1" applyProtection="1">
      <alignment horizontal="center" vertical="center" wrapText="1"/>
      <protection locked="0"/>
    </xf>
    <xf numFmtId="192" fontId="42" fillId="19" borderId="131" xfId="0" applyNumberFormat="1" applyFont="1" applyFill="1" applyBorder="1" applyAlignment="1" applyProtection="1">
      <alignment horizontal="center" vertical="center" wrapText="1"/>
      <protection locked="0"/>
    </xf>
    <xf numFmtId="192" fontId="42" fillId="19" borderId="104" xfId="0" applyNumberFormat="1" applyFont="1" applyFill="1" applyBorder="1" applyAlignment="1" applyProtection="1">
      <alignment horizontal="center" vertical="center" wrapText="1"/>
      <protection locked="0"/>
    </xf>
    <xf numFmtId="192" fontId="42" fillId="0" borderId="125" xfId="0" applyNumberFormat="1" applyFont="1" applyFill="1" applyBorder="1" applyAlignment="1" applyProtection="1">
      <alignment horizontal="center" vertical="center" wrapText="1"/>
      <protection locked="0"/>
    </xf>
    <xf numFmtId="192" fontId="42" fillId="0" borderId="11" xfId="0" applyNumberFormat="1" applyFont="1" applyFill="1" applyBorder="1" applyAlignment="1" applyProtection="1">
      <alignment horizontal="center" vertical="center" wrapText="1"/>
      <protection locked="0"/>
    </xf>
    <xf numFmtId="0" fontId="42" fillId="0" borderId="76" xfId="0" applyFont="1" applyBorder="1" applyAlignment="1">
      <alignment vertical="center"/>
    </xf>
    <xf numFmtId="0" fontId="42" fillId="0" borderId="56" xfId="0" applyFont="1" applyBorder="1" applyAlignment="1">
      <alignment vertical="center"/>
    </xf>
    <xf numFmtId="0" fontId="42" fillId="0" borderId="77" xfId="0" applyFont="1" applyBorder="1" applyAlignment="1">
      <alignment vertical="center"/>
    </xf>
    <xf numFmtId="192" fontId="42" fillId="19" borderId="98" xfId="0" applyNumberFormat="1" applyFont="1" applyFill="1" applyBorder="1" applyAlignment="1" applyProtection="1">
      <alignment horizontal="center" vertical="center"/>
      <protection locked="0"/>
    </xf>
    <xf numFmtId="192" fontId="42" fillId="19" borderId="96" xfId="0" applyNumberFormat="1" applyFont="1" applyFill="1" applyBorder="1" applyAlignment="1" applyProtection="1">
      <alignment horizontal="center" vertical="center"/>
      <protection locked="0"/>
    </xf>
    <xf numFmtId="192" fontId="42" fillId="0" borderId="77" xfId="0" applyNumberFormat="1" applyFont="1" applyFill="1" applyBorder="1" applyAlignment="1" applyProtection="1">
      <alignment horizontal="center" vertical="center"/>
      <protection locked="0"/>
    </xf>
    <xf numFmtId="0" fontId="42" fillId="0" borderId="41" xfId="0" applyFont="1" applyBorder="1" applyAlignment="1">
      <alignment vertical="center"/>
    </xf>
    <xf numFmtId="0" fontId="42" fillId="0" borderId="57" xfId="0" applyFont="1" applyBorder="1" applyAlignment="1">
      <alignment vertical="center"/>
    </xf>
    <xf numFmtId="0" fontId="42" fillId="0" borderId="9" xfId="0" applyFont="1" applyBorder="1" applyAlignment="1">
      <alignment vertical="center"/>
    </xf>
    <xf numFmtId="192" fontId="42" fillId="19" borderId="100" xfId="0" applyNumberFormat="1" applyFont="1" applyFill="1" applyBorder="1" applyAlignment="1" applyProtection="1">
      <alignment horizontal="center" vertical="center"/>
      <protection locked="0"/>
    </xf>
    <xf numFmtId="192" fontId="42" fillId="0" borderId="9" xfId="0" applyNumberFormat="1" applyFont="1" applyFill="1" applyBorder="1" applyAlignment="1" applyProtection="1">
      <alignment horizontal="center" vertical="center"/>
      <protection locked="0"/>
    </xf>
    <xf numFmtId="0" fontId="42" fillId="0" borderId="75" xfId="0" applyFont="1" applyBorder="1" applyAlignment="1">
      <alignment vertical="center"/>
    </xf>
    <xf numFmtId="0" fontId="42" fillId="0" borderId="63" xfId="0" applyFont="1" applyBorder="1" applyAlignment="1">
      <alignment vertical="center"/>
    </xf>
    <xf numFmtId="0" fontId="42" fillId="0" borderId="60" xfId="0" applyFont="1" applyBorder="1" applyAlignment="1">
      <alignment vertical="center"/>
    </xf>
    <xf numFmtId="192" fontId="42" fillId="0" borderId="140" xfId="0" applyNumberFormat="1" applyFont="1" applyFill="1" applyBorder="1" applyAlignment="1" applyProtection="1">
      <alignment horizontal="center" vertical="center"/>
      <protection locked="0"/>
    </xf>
    <xf numFmtId="192" fontId="42" fillId="19" borderId="141" xfId="0" applyNumberFormat="1" applyFont="1" applyFill="1" applyBorder="1" applyAlignment="1" applyProtection="1">
      <alignment horizontal="center" vertical="center"/>
      <protection locked="0"/>
    </xf>
    <xf numFmtId="192" fontId="42" fillId="0" borderId="60" xfId="0" applyNumberFormat="1" applyFont="1" applyFill="1" applyBorder="1" applyAlignment="1" applyProtection="1">
      <alignment horizontal="center" vertical="center"/>
      <protection locked="0"/>
    </xf>
    <xf numFmtId="0" fontId="230" fillId="0" borderId="47" xfId="0" applyFont="1" applyFill="1" applyBorder="1" applyAlignment="1">
      <alignment horizontal="left" vertical="center"/>
    </xf>
    <xf numFmtId="192" fontId="42" fillId="19" borderId="126" xfId="0" applyNumberFormat="1" applyFont="1" applyFill="1" applyBorder="1" applyAlignment="1" applyProtection="1">
      <alignment horizontal="center" vertical="center"/>
      <protection locked="0"/>
    </xf>
    <xf numFmtId="192" fontId="42" fillId="19" borderId="107" xfId="0" applyNumberFormat="1" applyFont="1" applyFill="1" applyBorder="1" applyAlignment="1" applyProtection="1">
      <alignment horizontal="center" vertical="center"/>
      <protection locked="0"/>
    </xf>
    <xf numFmtId="192" fontId="42" fillId="19" borderId="131" xfId="0" applyNumberFormat="1" applyFont="1" applyFill="1" applyBorder="1" applyAlignment="1" applyProtection="1">
      <alignment horizontal="center" vertical="center"/>
      <protection locked="0"/>
    </xf>
    <xf numFmtId="192" fontId="42" fillId="19" borderId="104" xfId="0" applyNumberFormat="1" applyFont="1" applyFill="1" applyBorder="1" applyAlignment="1" applyProtection="1">
      <alignment horizontal="center" vertical="center"/>
      <protection locked="0"/>
    </xf>
    <xf numFmtId="192" fontId="42" fillId="0" borderId="142" xfId="0" applyNumberFormat="1" applyFont="1" applyFill="1" applyBorder="1" applyAlignment="1" applyProtection="1">
      <alignment horizontal="center" vertical="center"/>
      <protection locked="0"/>
    </xf>
    <xf numFmtId="192" fontId="42" fillId="0" borderId="0" xfId="0" applyNumberFormat="1" applyFont="1" applyFill="1" applyBorder="1" applyAlignment="1" applyProtection="1">
      <alignment horizontal="center" vertical="center"/>
      <protection locked="0"/>
    </xf>
    <xf numFmtId="14" fontId="41" fillId="19" borderId="76" xfId="0" applyNumberFormat="1" applyFont="1" applyFill="1" applyBorder="1" applyAlignment="1">
      <alignment horizontal="center" wrapText="1"/>
    </xf>
    <xf numFmtId="14" fontId="57" fillId="19" borderId="56" xfId="0" applyNumberFormat="1" applyFont="1" applyFill="1" applyBorder="1" applyAlignment="1">
      <alignment horizontal="center" wrapText="1"/>
    </xf>
    <xf numFmtId="14" fontId="57" fillId="19" borderId="76" xfId="0" applyNumberFormat="1" applyFont="1" applyFill="1" applyBorder="1" applyAlignment="1">
      <alignment horizontal="center" wrapText="1"/>
    </xf>
    <xf numFmtId="192" fontId="42" fillId="19" borderId="97" xfId="0" applyNumberFormat="1" applyFont="1" applyFill="1" applyBorder="1" applyAlignment="1" applyProtection="1">
      <alignment horizontal="center" vertical="center" wrapText="1"/>
      <protection locked="0"/>
    </xf>
    <xf numFmtId="192" fontId="42" fillId="19" borderId="120" xfId="0" applyNumberFormat="1" applyFont="1" applyFill="1" applyBorder="1" applyAlignment="1" applyProtection="1">
      <alignment horizontal="center" vertical="center" wrapText="1"/>
      <protection locked="0"/>
    </xf>
    <xf numFmtId="192" fontId="42" fillId="19" borderId="117" xfId="0" applyNumberFormat="1" applyFont="1" applyFill="1" applyBorder="1" applyAlignment="1" applyProtection="1">
      <alignment horizontal="center" vertical="center" wrapText="1"/>
      <protection locked="0"/>
    </xf>
    <xf numFmtId="192" fontId="42" fillId="19" borderId="67" xfId="0" applyNumberFormat="1" applyFont="1" applyFill="1" applyBorder="1" applyAlignment="1">
      <alignment horizontal="center" vertical="center" wrapText="1"/>
    </xf>
    <xf numFmtId="192" fontId="42" fillId="19" borderId="54" xfId="0" applyNumberFormat="1" applyFont="1" applyFill="1" applyBorder="1" applyAlignment="1" applyProtection="1">
      <alignment horizontal="center" vertical="center"/>
      <protection locked="0"/>
    </xf>
    <xf numFmtId="0" fontId="40" fillId="19" borderId="48" xfId="0" applyFont="1" applyFill="1" applyBorder="1" applyAlignment="1">
      <alignment horizontal="left" vertical="center" wrapText="1"/>
    </xf>
    <xf numFmtId="14" fontId="57" fillId="19" borderId="41" xfId="0" applyNumberFormat="1" applyFont="1" applyFill="1" applyBorder="1" applyAlignment="1">
      <alignment horizontal="center" wrapText="1"/>
    </xf>
    <xf numFmtId="14" fontId="57" fillId="19" borderId="57" xfId="0" applyNumberFormat="1" applyFont="1" applyFill="1" applyBorder="1" applyAlignment="1">
      <alignment horizontal="center" wrapText="1"/>
    </xf>
    <xf numFmtId="14" fontId="41" fillId="19" borderId="41" xfId="0" applyNumberFormat="1" applyFont="1" applyFill="1" applyBorder="1" applyAlignment="1">
      <alignment horizontal="center" wrapText="1"/>
    </xf>
    <xf numFmtId="14" fontId="41" fillId="19" borderId="57" xfId="0" applyNumberFormat="1" applyFont="1" applyFill="1" applyBorder="1" applyAlignment="1">
      <alignment horizontal="center" wrapText="1"/>
    </xf>
    <xf numFmtId="14" fontId="42" fillId="19" borderId="57" xfId="0" applyNumberFormat="1" applyFont="1" applyFill="1" applyBorder="1" applyAlignment="1" applyProtection="1">
      <alignment horizontal="left" vertical="center" wrapText="1"/>
      <protection locked="0"/>
    </xf>
    <xf numFmtId="192" fontId="42" fillId="19" borderId="119" xfId="0" applyNumberFormat="1" applyFont="1" applyFill="1" applyBorder="1" applyAlignment="1" applyProtection="1">
      <alignment horizontal="center" vertical="center" wrapText="1"/>
      <protection locked="0"/>
    </xf>
    <xf numFmtId="192" fontId="42" fillId="19" borderId="24" xfId="0" applyNumberFormat="1" applyFont="1" applyFill="1" applyBorder="1" applyAlignment="1">
      <alignment horizontal="center" vertical="center" wrapText="1"/>
    </xf>
    <xf numFmtId="192" fontId="42" fillId="19" borderId="51" xfId="0" applyNumberFormat="1" applyFont="1" applyFill="1" applyBorder="1" applyAlignment="1" applyProtection="1">
      <alignment horizontal="center" vertical="center"/>
      <protection locked="0"/>
    </xf>
    <xf numFmtId="14" fontId="57" fillId="19" borderId="75" xfId="0" applyNumberFormat="1" applyFont="1" applyFill="1" applyBorder="1" applyAlignment="1">
      <alignment horizontal="center" wrapText="1"/>
    </xf>
    <xf numFmtId="14" fontId="41" fillId="19" borderId="63" xfId="0" applyNumberFormat="1" applyFont="1" applyFill="1" applyBorder="1" applyAlignment="1">
      <alignment horizontal="center" wrapText="1"/>
    </xf>
    <xf numFmtId="14" fontId="57" fillId="19" borderId="63" xfId="0" applyNumberFormat="1" applyFont="1" applyFill="1" applyBorder="1" applyAlignment="1">
      <alignment horizontal="center" wrapText="1"/>
    </xf>
    <xf numFmtId="192" fontId="42" fillId="19" borderId="103" xfId="0" applyNumberFormat="1" applyFont="1" applyFill="1" applyBorder="1" applyAlignment="1" applyProtection="1">
      <alignment horizontal="center" vertical="center" wrapText="1"/>
      <protection locked="0"/>
    </xf>
    <xf numFmtId="192" fontId="42" fillId="19" borderId="102" xfId="0" applyNumberFormat="1" applyFont="1" applyFill="1" applyBorder="1" applyAlignment="1" applyProtection="1">
      <alignment horizontal="center" vertical="center" wrapText="1"/>
      <protection locked="0"/>
    </xf>
    <xf numFmtId="192" fontId="42" fillId="19" borderId="124" xfId="0" applyNumberFormat="1" applyFont="1" applyFill="1" applyBorder="1" applyAlignment="1" applyProtection="1">
      <alignment horizontal="center" vertical="center" wrapText="1"/>
      <protection locked="0"/>
    </xf>
    <xf numFmtId="192" fontId="42" fillId="19" borderId="26" xfId="0" applyNumberFormat="1" applyFont="1" applyFill="1" applyBorder="1" applyAlignment="1">
      <alignment horizontal="center" vertical="center" wrapText="1"/>
    </xf>
    <xf numFmtId="192" fontId="42" fillId="19" borderId="53" xfId="0" applyNumberFormat="1" applyFont="1" applyFill="1" applyBorder="1" applyAlignment="1" applyProtection="1">
      <alignment horizontal="center" vertical="center"/>
      <protection locked="0"/>
    </xf>
    <xf numFmtId="14" fontId="41" fillId="0" borderId="76" xfId="0" applyNumberFormat="1" applyFont="1" applyBorder="1" applyAlignment="1">
      <alignment horizontal="center" wrapText="1"/>
    </xf>
    <xf numFmtId="14" fontId="57" fillId="0" borderId="56" xfId="0" applyNumberFormat="1" applyFont="1" applyBorder="1" applyAlignment="1">
      <alignment horizontal="center" wrapText="1"/>
    </xf>
    <xf numFmtId="14" fontId="57" fillId="0" borderId="76" xfId="0" applyNumberFormat="1" applyFont="1" applyBorder="1" applyAlignment="1">
      <alignment horizontal="center" wrapText="1"/>
    </xf>
    <xf numFmtId="192" fontId="42" fillId="0" borderId="117" xfId="0" applyNumberFormat="1" applyFont="1" applyFill="1" applyBorder="1" applyAlignment="1" applyProtection="1">
      <alignment horizontal="center" vertical="center" wrapText="1"/>
      <protection locked="0"/>
    </xf>
    <xf numFmtId="192" fontId="42" fillId="0" borderId="22" xfId="0" applyNumberFormat="1" applyFont="1" applyFill="1" applyBorder="1" applyAlignment="1">
      <alignment horizontal="center" vertical="center" wrapText="1"/>
    </xf>
    <xf numFmtId="14" fontId="57" fillId="0" borderId="41" xfId="0" applyNumberFormat="1" applyFont="1" applyBorder="1" applyAlignment="1">
      <alignment horizontal="center" wrapText="1"/>
    </xf>
    <xf numFmtId="14" fontId="57" fillId="0" borderId="57" xfId="0" applyNumberFormat="1" applyFont="1" applyBorder="1" applyAlignment="1">
      <alignment horizontal="center" wrapText="1"/>
    </xf>
    <xf numFmtId="14" fontId="41" fillId="0" borderId="41" xfId="0" applyNumberFormat="1" applyFont="1" applyBorder="1" applyAlignment="1">
      <alignment horizontal="center" wrapText="1"/>
    </xf>
    <xf numFmtId="14" fontId="41" fillId="0" borderId="57" xfId="0" applyNumberFormat="1" applyFont="1" applyBorder="1" applyAlignment="1">
      <alignment horizontal="center" wrapText="1"/>
    </xf>
    <xf numFmtId="14" fontId="57" fillId="0" borderId="75" xfId="0" applyNumberFormat="1" applyFont="1" applyBorder="1" applyAlignment="1">
      <alignment horizontal="center" wrapText="1"/>
    </xf>
    <xf numFmtId="14" fontId="41" fillId="0" borderId="63" xfId="0" applyNumberFormat="1" applyFont="1" applyBorder="1" applyAlignment="1">
      <alignment horizontal="center" wrapText="1"/>
    </xf>
    <xf numFmtId="14" fontId="57" fillId="0" borderId="63" xfId="0" applyNumberFormat="1" applyFont="1" applyBorder="1" applyAlignment="1">
      <alignment horizontal="center" wrapText="1"/>
    </xf>
    <xf numFmtId="192" fontId="42" fillId="0" borderId="71" xfId="0" applyNumberFormat="1" applyFont="1" applyFill="1" applyBorder="1" applyAlignment="1">
      <alignment horizontal="center" vertical="center" wrapText="1"/>
    </xf>
    <xf numFmtId="0" fontId="57" fillId="0" borderId="76" xfId="0" applyFont="1" applyBorder="1" applyAlignment="1">
      <alignment horizontal="center"/>
    </xf>
    <xf numFmtId="0" fontId="57" fillId="0" borderId="56" xfId="0" applyFont="1" applyBorder="1" applyAlignment="1">
      <alignment horizontal="center"/>
    </xf>
    <xf numFmtId="0" fontId="65" fillId="0" borderId="77" xfId="0" applyFont="1" applyBorder="1" applyAlignment="1">
      <alignment horizontal="center"/>
    </xf>
    <xf numFmtId="192" fontId="42" fillId="19" borderId="94" xfId="0" applyNumberFormat="1" applyFont="1" applyFill="1" applyBorder="1" applyAlignment="1" applyProtection="1">
      <alignment horizontal="center" vertical="center"/>
      <protection locked="0"/>
    </xf>
    <xf numFmtId="0" fontId="234" fillId="0" borderId="38" xfId="0" applyFont="1" applyFill="1" applyBorder="1" applyAlignment="1">
      <alignment horizontal="left" vertical="top" wrapText="1"/>
    </xf>
    <xf numFmtId="0" fontId="57" fillId="0" borderId="41" xfId="0" applyFont="1" applyBorder="1" applyAlignment="1">
      <alignment horizontal="center"/>
    </xf>
    <xf numFmtId="0" fontId="57" fillId="0" borderId="57" xfId="0" applyFont="1" applyBorder="1" applyAlignment="1">
      <alignment horizontal="center"/>
    </xf>
    <xf numFmtId="192" fontId="42" fillId="0" borderId="143" xfId="0" applyNumberFormat="1" applyFont="1" applyFill="1" applyBorder="1" applyAlignment="1" applyProtection="1">
      <alignment horizontal="center" vertical="center"/>
      <protection locked="0"/>
    </xf>
    <xf numFmtId="0" fontId="65" fillId="0" borderId="65" xfId="0" applyFont="1" applyBorder="1" applyAlignment="1">
      <alignment vertical="center"/>
    </xf>
    <xf numFmtId="0" fontId="65" fillId="0" borderId="2" xfId="0" applyFont="1" applyBorder="1" applyAlignment="1">
      <alignment vertical="center"/>
    </xf>
    <xf numFmtId="14" fontId="235" fillId="0" borderId="76" xfId="0" applyNumberFormat="1" applyFont="1" applyBorder="1" applyAlignment="1">
      <alignment horizontal="center"/>
    </xf>
    <xf numFmtId="14" fontId="235" fillId="0" borderId="56" xfId="0" applyNumberFormat="1" applyFont="1" applyBorder="1" applyAlignment="1">
      <alignment horizontal="center"/>
    </xf>
    <xf numFmtId="0" fontId="235" fillId="0" borderId="76" xfId="0" applyFont="1" applyBorder="1" applyAlignment="1">
      <alignment horizontal="center"/>
    </xf>
    <xf numFmtId="0" fontId="235" fillId="0" borderId="56" xfId="0" applyFont="1" applyBorder="1" applyAlignment="1">
      <alignment horizontal="center"/>
    </xf>
    <xf numFmtId="192" fontId="66" fillId="0" borderId="22" xfId="0" applyNumberFormat="1" applyFont="1" applyFill="1" applyBorder="1" applyAlignment="1">
      <alignment horizontal="center" vertical="center"/>
    </xf>
    <xf numFmtId="14" fontId="235" fillId="0" borderId="41" xfId="0" applyNumberFormat="1" applyFont="1" applyBorder="1" applyAlignment="1">
      <alignment horizontal="center"/>
    </xf>
    <xf numFmtId="14" fontId="235" fillId="0" borderId="57" xfId="0" applyNumberFormat="1" applyFont="1" applyBorder="1" applyAlignment="1">
      <alignment horizontal="center"/>
    </xf>
    <xf numFmtId="0" fontId="235" fillId="0" borderId="41" xfId="0" applyFont="1" applyBorder="1" applyAlignment="1">
      <alignment horizontal="center"/>
    </xf>
    <xf numFmtId="0" fontId="235" fillId="0" borderId="57" xfId="0" applyFont="1" applyBorder="1" applyAlignment="1">
      <alignment horizontal="center"/>
    </xf>
    <xf numFmtId="192" fontId="42" fillId="20" borderId="99" xfId="0" applyNumberFormat="1" applyFont="1" applyFill="1" applyBorder="1" applyAlignment="1" applyProtection="1">
      <alignment horizontal="center" vertical="center"/>
      <protection locked="0"/>
    </xf>
    <xf numFmtId="192" fontId="42" fillId="20" borderId="100" xfId="0" applyNumberFormat="1" applyFont="1" applyFill="1" applyBorder="1" applyAlignment="1" applyProtection="1">
      <alignment horizontal="center" vertical="center"/>
      <protection locked="0"/>
    </xf>
    <xf numFmtId="192" fontId="66" fillId="0" borderId="24" xfId="0" applyNumberFormat="1" applyFont="1" applyFill="1" applyBorder="1" applyAlignment="1">
      <alignment horizontal="center" vertical="center"/>
    </xf>
    <xf numFmtId="14" fontId="235" fillId="0" borderId="75" xfId="0" applyNumberFormat="1" applyFont="1" applyBorder="1" applyAlignment="1">
      <alignment horizontal="center"/>
    </xf>
    <xf numFmtId="14" fontId="235" fillId="0" borderId="63" xfId="0" applyNumberFormat="1" applyFont="1" applyBorder="1" applyAlignment="1">
      <alignment horizontal="center"/>
    </xf>
    <xf numFmtId="192" fontId="66" fillId="0" borderId="71" xfId="0" applyNumberFormat="1" applyFont="1" applyFill="1" applyBorder="1" applyAlignment="1">
      <alignment horizontal="center" vertical="center"/>
    </xf>
    <xf numFmtId="0" fontId="39" fillId="0" borderId="116" xfId="0" applyFont="1" applyBorder="1" applyAlignment="1">
      <alignment wrapText="1"/>
    </xf>
    <xf numFmtId="0" fontId="65" fillId="0" borderId="39" xfId="0" applyFont="1" applyBorder="1" applyAlignment="1">
      <alignment vertical="center"/>
    </xf>
    <xf numFmtId="0" fontId="65" fillId="0" borderId="5" xfId="0" applyFont="1" applyBorder="1" applyAlignment="1">
      <alignment vertical="center"/>
    </xf>
    <xf numFmtId="0" fontId="236" fillId="19" borderId="0" xfId="0" applyFont="1" applyFill="1"/>
    <xf numFmtId="0" fontId="40" fillId="0" borderId="49" xfId="23" applyFont="1" applyFill="1" applyBorder="1" applyAlignment="1">
      <alignment horizontal="left" vertical="center" wrapText="1"/>
    </xf>
    <xf numFmtId="0" fontId="230" fillId="0" borderId="47" xfId="0" applyFont="1" applyFill="1" applyBorder="1" applyAlignment="1">
      <alignment horizontal="left" vertical="top"/>
    </xf>
    <xf numFmtId="14" fontId="41" fillId="0" borderId="76" xfId="0" applyNumberFormat="1" applyFont="1" applyBorder="1" applyAlignment="1" applyProtection="1">
      <alignment horizontal="center" wrapText="1"/>
      <protection locked="0"/>
    </xf>
    <xf numFmtId="14" fontId="41" fillId="0" borderId="56" xfId="0" applyNumberFormat="1" applyFont="1" applyBorder="1" applyAlignment="1" applyProtection="1">
      <alignment horizontal="center" wrapText="1"/>
      <protection locked="0"/>
    </xf>
    <xf numFmtId="192" fontId="42" fillId="0" borderId="111" xfId="0" applyNumberFormat="1" applyFont="1" applyFill="1" applyBorder="1" applyAlignment="1" applyProtection="1">
      <alignment horizontal="center" vertical="center"/>
      <protection locked="0"/>
    </xf>
    <xf numFmtId="192" fontId="42" fillId="0" borderId="112" xfId="0" applyNumberFormat="1" applyFont="1" applyFill="1" applyBorder="1" applyAlignment="1" applyProtection="1">
      <alignment horizontal="center" vertical="center"/>
      <protection locked="0"/>
    </xf>
    <xf numFmtId="192" fontId="42" fillId="0" borderId="113" xfId="0" applyNumberFormat="1" applyFont="1" applyFill="1" applyBorder="1" applyAlignment="1" applyProtection="1">
      <alignment horizontal="center" vertical="center"/>
      <protection locked="0"/>
    </xf>
    <xf numFmtId="192" fontId="42" fillId="20" borderId="121" xfId="0" applyNumberFormat="1" applyFont="1" applyFill="1" applyBorder="1" applyAlignment="1" applyProtection="1">
      <alignment horizontal="center" vertical="center"/>
      <protection locked="0"/>
    </xf>
    <xf numFmtId="14" fontId="41" fillId="0" borderId="39" xfId="0" applyNumberFormat="1" applyFont="1" applyBorder="1" applyAlignment="1" applyProtection="1">
      <alignment horizontal="center" wrapText="1"/>
      <protection locked="0"/>
    </xf>
    <xf numFmtId="14" fontId="41" fillId="0" borderId="68" xfId="0" applyNumberFormat="1" applyFont="1" applyBorder="1" applyAlignment="1" applyProtection="1">
      <alignment horizontal="center" wrapText="1"/>
      <protection locked="0"/>
    </xf>
    <xf numFmtId="192" fontId="42" fillId="0" borderId="97" xfId="0" applyNumberFormat="1" applyFont="1" applyFill="1" applyBorder="1" applyAlignment="1" applyProtection="1">
      <alignment horizontal="center" vertical="center"/>
      <protection locked="0"/>
    </xf>
    <xf numFmtId="14" fontId="41" fillId="19" borderId="65" xfId="0" applyNumberFormat="1" applyFont="1" applyFill="1" applyBorder="1" applyAlignment="1" applyProtection="1">
      <alignment horizontal="center" wrapText="1"/>
      <protection locked="0"/>
    </xf>
    <xf numFmtId="14" fontId="41" fillId="19" borderId="42" xfId="0" applyNumberFormat="1" applyFont="1" applyFill="1" applyBorder="1" applyAlignment="1" applyProtection="1">
      <alignment horizontal="center" wrapText="1"/>
      <protection locked="0"/>
    </xf>
    <xf numFmtId="14" fontId="41" fillId="0" borderId="75" xfId="0" applyNumberFormat="1" applyFont="1" applyBorder="1" applyAlignment="1" applyProtection="1">
      <alignment horizontal="center" wrapText="1"/>
      <protection locked="0"/>
    </xf>
    <xf numFmtId="14" fontId="41" fillId="0" borderId="72" xfId="0" applyNumberFormat="1" applyFont="1" applyBorder="1" applyAlignment="1" applyProtection="1">
      <alignment horizontal="center" wrapText="1"/>
      <protection locked="0"/>
    </xf>
    <xf numFmtId="14" fontId="41" fillId="0" borderId="63" xfId="0" applyNumberFormat="1" applyFont="1" applyBorder="1" applyAlignment="1" applyProtection="1">
      <alignment horizontal="center" wrapText="1"/>
      <protection locked="0"/>
    </xf>
    <xf numFmtId="192" fontId="42" fillId="0" borderId="102" xfId="0" applyNumberFormat="1" applyFont="1" applyFill="1" applyBorder="1" applyAlignment="1" applyProtection="1">
      <alignment horizontal="center" vertical="center"/>
      <protection locked="0"/>
    </xf>
    <xf numFmtId="192" fontId="42" fillId="20" borderId="130" xfId="0" applyNumberFormat="1" applyFont="1" applyFill="1" applyBorder="1" applyAlignment="1" applyProtection="1">
      <alignment horizontal="center" vertical="center"/>
      <protection locked="0"/>
    </xf>
    <xf numFmtId="192" fontId="42" fillId="0" borderId="54" xfId="0" applyNumberFormat="1" applyFont="1" applyFill="1" applyBorder="1" applyAlignment="1">
      <alignment horizontal="center" vertical="center"/>
    </xf>
    <xf numFmtId="192" fontId="42" fillId="19" borderId="75" xfId="0" applyNumberFormat="1" applyFont="1" applyFill="1" applyBorder="1" applyAlignment="1" applyProtection="1">
      <alignment horizontal="center" vertical="center"/>
      <protection locked="0"/>
    </xf>
    <xf numFmtId="192" fontId="42" fillId="19" borderId="63" xfId="0" applyNumberFormat="1" applyFont="1" applyFill="1" applyBorder="1" applyAlignment="1" applyProtection="1">
      <alignment horizontal="center" vertical="center"/>
      <protection locked="0"/>
    </xf>
    <xf numFmtId="192" fontId="42" fillId="0" borderId="94" xfId="0" applyNumberFormat="1" applyFont="1" applyFill="1" applyBorder="1" applyAlignment="1" applyProtection="1">
      <alignment horizontal="center" vertical="center" wrapText="1"/>
      <protection locked="0"/>
    </xf>
    <xf numFmtId="192" fontId="42" fillId="19" borderId="122" xfId="0" applyNumberFormat="1" applyFont="1" applyFill="1" applyBorder="1" applyAlignment="1" applyProtection="1">
      <alignment horizontal="center" vertical="center" wrapText="1"/>
      <protection locked="0"/>
    </xf>
    <xf numFmtId="192" fontId="42" fillId="0" borderId="77" xfId="0" applyNumberFormat="1" applyFont="1" applyFill="1" applyBorder="1" applyAlignment="1" applyProtection="1">
      <alignment horizontal="center" vertical="center" wrapText="1"/>
      <protection locked="0"/>
    </xf>
    <xf numFmtId="192" fontId="42" fillId="0" borderId="41" xfId="0" applyNumberFormat="1" applyFont="1" applyFill="1" applyBorder="1" applyAlignment="1" applyProtection="1">
      <alignment horizontal="center" vertical="center" wrapText="1"/>
      <protection locked="0"/>
    </xf>
    <xf numFmtId="192" fontId="42" fillId="0" borderId="9" xfId="0" applyNumberFormat="1" applyFont="1" applyFill="1" applyBorder="1" applyAlignment="1" applyProtection="1">
      <alignment horizontal="center" vertical="center" wrapText="1"/>
      <protection locked="0"/>
    </xf>
    <xf numFmtId="0" fontId="39" fillId="0" borderId="144" xfId="0" applyFont="1" applyBorder="1" applyAlignment="1">
      <alignment wrapText="1"/>
    </xf>
    <xf numFmtId="192" fontId="42" fillId="0" borderId="75" xfId="0" applyNumberFormat="1" applyFont="1" applyFill="1" applyBorder="1" applyAlignment="1" applyProtection="1">
      <alignment horizontal="center" vertical="center" wrapText="1"/>
      <protection locked="0"/>
    </xf>
    <xf numFmtId="192" fontId="42" fillId="0" borderId="60" xfId="0" applyNumberFormat="1" applyFont="1" applyFill="1" applyBorder="1" applyAlignment="1" applyProtection="1">
      <alignment horizontal="center" vertical="center" wrapText="1"/>
      <protection locked="0"/>
    </xf>
    <xf numFmtId="0" fontId="230" fillId="19" borderId="47" xfId="0" applyFont="1" applyFill="1" applyBorder="1" applyAlignment="1">
      <alignment horizontal="left" vertical="top" wrapText="1"/>
    </xf>
    <xf numFmtId="14" fontId="57" fillId="19" borderId="41" xfId="0" applyNumberFormat="1" applyFont="1" applyFill="1" applyBorder="1" applyAlignment="1">
      <alignment horizontal="center"/>
    </xf>
    <xf numFmtId="14" fontId="57" fillId="19" borderId="57" xfId="0" applyNumberFormat="1" applyFont="1" applyFill="1" applyBorder="1" applyAlignment="1">
      <alignment horizontal="center"/>
    </xf>
    <xf numFmtId="192" fontId="42" fillId="19" borderId="97" xfId="0" applyNumberFormat="1" applyFont="1" applyFill="1" applyBorder="1" applyAlignment="1" applyProtection="1">
      <alignment horizontal="center" vertical="center"/>
      <protection locked="0"/>
    </xf>
    <xf numFmtId="192" fontId="42" fillId="19" borderId="145" xfId="0" applyNumberFormat="1" applyFont="1" applyFill="1" applyBorder="1" applyAlignment="1" applyProtection="1">
      <alignment horizontal="center" vertical="center"/>
      <protection locked="0"/>
    </xf>
    <xf numFmtId="0" fontId="234" fillId="19" borderId="83" xfId="0" applyFont="1" applyFill="1" applyBorder="1" applyAlignment="1">
      <alignment horizontal="left" vertical="top" wrapText="1"/>
    </xf>
    <xf numFmtId="14" fontId="42" fillId="19" borderId="57" xfId="0" applyNumberFormat="1" applyFont="1" applyFill="1" applyBorder="1" applyAlignment="1" applyProtection="1">
      <alignment horizontal="center" wrapText="1"/>
      <protection locked="0"/>
    </xf>
    <xf numFmtId="192" fontId="42" fillId="19" borderId="101" xfId="0" applyNumberFormat="1" applyFont="1" applyFill="1" applyBorder="1" applyAlignment="1" applyProtection="1">
      <alignment horizontal="center" vertical="center"/>
      <protection locked="0"/>
    </xf>
    <xf numFmtId="14" fontId="41" fillId="19" borderId="72" xfId="0" applyNumberFormat="1" applyFont="1" applyFill="1" applyBorder="1" applyAlignment="1" applyProtection="1">
      <alignment horizontal="center" wrapText="1"/>
      <protection locked="0"/>
    </xf>
    <xf numFmtId="192" fontId="42" fillId="19" borderId="102" xfId="0" applyNumberFormat="1" applyFont="1" applyFill="1" applyBorder="1" applyAlignment="1" applyProtection="1">
      <alignment horizontal="center" vertical="center"/>
      <protection locked="0"/>
    </xf>
    <xf numFmtId="192" fontId="42" fillId="19" borderId="89" xfId="0" applyNumberFormat="1" applyFont="1" applyFill="1" applyBorder="1" applyAlignment="1" applyProtection="1">
      <alignment horizontal="center" vertical="center"/>
      <protection locked="0"/>
    </xf>
    <xf numFmtId="192" fontId="42" fillId="19" borderId="86" xfId="0" applyNumberFormat="1" applyFont="1" applyFill="1" applyBorder="1" applyAlignment="1" applyProtection="1">
      <alignment horizontal="center" vertical="center"/>
      <protection locked="0"/>
    </xf>
    <xf numFmtId="0" fontId="39" fillId="0" borderId="128" xfId="0" applyFont="1" applyBorder="1" applyAlignment="1">
      <alignment horizontal="left" wrapText="1"/>
    </xf>
    <xf numFmtId="14" fontId="41" fillId="0" borderId="41" xfId="0" applyNumberFormat="1" applyFont="1" applyBorder="1" applyAlignment="1" applyProtection="1">
      <alignment horizontal="center" wrapText="1"/>
      <protection locked="0"/>
    </xf>
    <xf numFmtId="14" fontId="41" fillId="0" borderId="57" xfId="0" applyNumberFormat="1" applyFont="1" applyBorder="1" applyAlignment="1" applyProtection="1">
      <alignment horizontal="center" wrapText="1"/>
      <protection locked="0"/>
    </xf>
    <xf numFmtId="0" fontId="39" fillId="0" borderId="129" xfId="0" applyFont="1" applyBorder="1" applyAlignment="1">
      <alignment horizontal="left" wrapText="1"/>
    </xf>
    <xf numFmtId="14" fontId="42" fillId="0" borderId="57" xfId="0" applyNumberFormat="1" applyFont="1" applyBorder="1" applyAlignment="1" applyProtection="1">
      <alignment horizontal="center" wrapText="1"/>
      <protection locked="0"/>
    </xf>
    <xf numFmtId="192" fontId="42" fillId="0" borderId="101" xfId="0" applyNumberFormat="1" applyFont="1" applyFill="1" applyBorder="1" applyAlignment="1" applyProtection="1">
      <alignment horizontal="center" vertical="center"/>
      <protection locked="0"/>
    </xf>
    <xf numFmtId="0" fontId="205" fillId="19" borderId="72" xfId="0" applyFont="1" applyFill="1" applyBorder="1"/>
    <xf numFmtId="191" fontId="42" fillId="44" borderId="59" xfId="0" applyNumberFormat="1" applyFont="1" applyFill="1" applyBorder="1" applyAlignment="1">
      <alignment horizontal="center" vertical="center"/>
    </xf>
    <xf numFmtId="191" fontId="42" fillId="44" borderId="77" xfId="0" applyNumberFormat="1" applyFont="1" applyFill="1" applyBorder="1" applyAlignment="1">
      <alignment horizontal="center" vertical="center"/>
    </xf>
    <xf numFmtId="191" fontId="65" fillId="0" borderId="20" xfId="0" applyNumberFormat="1" applyFont="1" applyBorder="1" applyAlignment="1">
      <alignment horizontal="center" vertical="center"/>
    </xf>
    <xf numFmtId="191" fontId="65" fillId="0" borderId="54" xfId="0" applyNumberFormat="1" applyFont="1" applyBorder="1" applyAlignment="1">
      <alignment horizontal="center" vertical="center"/>
    </xf>
    <xf numFmtId="0" fontId="39" fillId="0" borderId="144" xfId="0" applyFont="1" applyBorder="1" applyAlignment="1">
      <alignment horizontal="left" wrapText="1"/>
    </xf>
    <xf numFmtId="14" fontId="41" fillId="19" borderId="2" xfId="0" applyNumberFormat="1" applyFont="1" applyFill="1" applyBorder="1" applyAlignment="1" applyProtection="1">
      <alignment horizontal="center" wrapText="1"/>
      <protection locked="0"/>
    </xf>
    <xf numFmtId="14" fontId="42" fillId="0" borderId="4" xfId="0" applyNumberFormat="1" applyFont="1" applyBorder="1" applyAlignment="1" applyProtection="1">
      <alignment horizontal="center" vertical="center" wrapText="1"/>
      <protection locked="0"/>
    </xf>
    <xf numFmtId="14" fontId="42" fillId="0" borderId="42" xfId="0" applyNumberFormat="1" applyFont="1" applyBorder="1" applyAlignment="1" applyProtection="1">
      <alignment horizontal="center" vertical="center" wrapText="1"/>
      <protection locked="0"/>
    </xf>
    <xf numFmtId="14" fontId="41" fillId="0" borderId="55" xfId="0" applyNumberFormat="1" applyFont="1" applyBorder="1" applyAlignment="1" applyProtection="1">
      <alignment horizontal="left" vertical="center" wrapText="1"/>
      <protection locked="0"/>
    </xf>
    <xf numFmtId="14" fontId="41" fillId="0" borderId="69" xfId="0" applyNumberFormat="1" applyFont="1" applyBorder="1" applyAlignment="1" applyProtection="1">
      <alignment horizontal="left" vertical="center" wrapText="1"/>
      <protection locked="0"/>
    </xf>
    <xf numFmtId="14" fontId="41" fillId="0" borderId="7" xfId="0" applyNumberFormat="1" applyFont="1" applyBorder="1" applyAlignment="1" applyProtection="1">
      <alignment horizontal="left" vertical="center" wrapText="1"/>
      <protection locked="0"/>
    </xf>
    <xf numFmtId="191" fontId="42" fillId="44" borderId="65" xfId="0" applyNumberFormat="1" applyFont="1" applyFill="1" applyBorder="1" applyAlignment="1" applyProtection="1">
      <alignment horizontal="center" vertical="center"/>
      <protection locked="0"/>
    </xf>
    <xf numFmtId="191" fontId="42" fillId="44" borderId="42" xfId="0" applyNumberFormat="1" applyFont="1" applyFill="1" applyBorder="1" applyAlignment="1" applyProtection="1">
      <alignment horizontal="center" vertical="center"/>
      <protection locked="0"/>
    </xf>
    <xf numFmtId="191" fontId="42" fillId="44" borderId="31" xfId="0" applyNumberFormat="1" applyFont="1" applyFill="1" applyBorder="1" applyAlignment="1">
      <alignment horizontal="center" vertical="center"/>
    </xf>
    <xf numFmtId="191" fontId="42" fillId="44" borderId="7" xfId="0" applyNumberFormat="1" applyFont="1" applyFill="1" applyBorder="1" applyAlignment="1">
      <alignment horizontal="center" vertical="center"/>
    </xf>
    <xf numFmtId="191" fontId="65" fillId="0" borderId="25" xfId="0" applyNumberFormat="1" applyFont="1" applyBorder="1" applyAlignment="1">
      <alignment horizontal="center" vertical="center"/>
    </xf>
    <xf numFmtId="191" fontId="65" fillId="0" borderId="66" xfId="0" applyNumberFormat="1" applyFont="1" applyBorder="1" applyAlignment="1">
      <alignment horizontal="center" vertical="center"/>
    </xf>
    <xf numFmtId="0" fontId="39" fillId="0" borderId="73" xfId="0" applyFont="1" applyBorder="1" applyAlignment="1">
      <alignment wrapText="1"/>
    </xf>
    <xf numFmtId="191" fontId="42" fillId="44" borderId="14" xfId="0" applyNumberFormat="1" applyFont="1" applyFill="1" applyBorder="1" applyAlignment="1">
      <alignment horizontal="center" vertical="center"/>
    </xf>
    <xf numFmtId="191" fontId="42" fillId="44" borderId="60" xfId="0" applyNumberFormat="1" applyFont="1" applyFill="1" applyBorder="1" applyAlignment="1">
      <alignment horizontal="center" vertical="center"/>
    </xf>
    <xf numFmtId="191" fontId="65" fillId="0" borderId="73" xfId="0" applyNumberFormat="1" applyFont="1" applyBorder="1" applyAlignment="1">
      <alignment horizontal="center" vertical="center"/>
    </xf>
    <xf numFmtId="191" fontId="65" fillId="0" borderId="53" xfId="0" applyNumberFormat="1" applyFont="1" applyBorder="1" applyAlignment="1">
      <alignment horizontal="center" vertical="center"/>
    </xf>
    <xf numFmtId="14" fontId="209" fillId="0" borderId="76" xfId="0" applyNumberFormat="1" applyFont="1" applyBorder="1" applyAlignment="1" applyProtection="1">
      <alignment horizontal="center" vertical="center" wrapText="1"/>
      <protection locked="0"/>
    </xf>
    <xf numFmtId="14" fontId="209" fillId="0" borderId="77" xfId="0" applyNumberFormat="1" applyFont="1" applyBorder="1" applyAlignment="1" applyProtection="1">
      <alignment horizontal="center" vertical="center" wrapText="1"/>
      <protection locked="0"/>
    </xf>
    <xf numFmtId="14" fontId="209" fillId="0" borderId="56" xfId="0" applyNumberFormat="1" applyFont="1" applyBorder="1" applyAlignment="1" applyProtection="1">
      <alignment horizontal="center" vertical="center" wrapText="1"/>
      <protection locked="0"/>
    </xf>
    <xf numFmtId="14" fontId="209" fillId="0" borderId="41" xfId="0" applyNumberFormat="1" applyFont="1" applyBorder="1" applyAlignment="1" applyProtection="1">
      <alignment horizontal="center" vertical="center" wrapText="1"/>
      <protection locked="0"/>
    </xf>
    <xf numFmtId="14" fontId="209" fillId="0" borderId="57" xfId="0" applyNumberFormat="1" applyFont="1" applyBorder="1" applyAlignment="1" applyProtection="1">
      <alignment horizontal="center" vertical="center" wrapText="1"/>
      <protection locked="0"/>
    </xf>
    <xf numFmtId="14" fontId="209" fillId="0" borderId="75" xfId="0" applyNumberFormat="1" applyFont="1" applyBorder="1" applyAlignment="1" applyProtection="1">
      <alignment horizontal="center" vertical="center" wrapText="1"/>
      <protection locked="0"/>
    </xf>
    <xf numFmtId="14" fontId="209" fillId="0" borderId="60" xfId="0" applyNumberFormat="1" applyFont="1" applyBorder="1" applyAlignment="1" applyProtection="1">
      <alignment horizontal="center" vertical="center" wrapText="1"/>
      <protection locked="0"/>
    </xf>
    <xf numFmtId="14" fontId="209" fillId="0" borderId="63" xfId="0" applyNumberFormat="1" applyFont="1" applyBorder="1" applyAlignment="1" applyProtection="1">
      <alignment horizontal="center" vertical="center" wrapText="1"/>
      <protection locked="0"/>
    </xf>
    <xf numFmtId="0" fontId="237" fillId="0" borderId="0" xfId="0" applyFont="1"/>
    <xf numFmtId="180" fontId="113" fillId="21" borderId="8" xfId="0" applyNumberFormat="1" applyFont="1" applyFill="1" applyBorder="1" applyAlignment="1" applyProtection="1">
      <protection locked="0"/>
    </xf>
    <xf numFmtId="180" fontId="114" fillId="5" borderId="8" xfId="0" applyNumberFormat="1" applyFont="1" applyFill="1" applyBorder="1" applyProtection="1">
      <protection locked="0"/>
    </xf>
    <xf numFmtId="180" fontId="114" fillId="21" borderId="8" xfId="0" applyNumberFormat="1" applyFont="1" applyFill="1" applyBorder="1" applyAlignment="1" applyProtection="1">
      <alignment horizontal="right"/>
      <protection locked="0"/>
    </xf>
    <xf numFmtId="180" fontId="238" fillId="40" borderId="8" xfId="0" applyNumberFormat="1" applyFont="1" applyFill="1" applyBorder="1" applyProtection="1">
      <protection locked="0"/>
    </xf>
    <xf numFmtId="180" fontId="238" fillId="40" borderId="9" xfId="0" quotePrefix="1" applyNumberFormat="1" applyFont="1" applyFill="1" applyBorder="1" applyAlignment="1" applyProtection="1">
      <alignment horizontal="left"/>
      <protection locked="0"/>
    </xf>
    <xf numFmtId="180" fontId="238" fillId="40" borderId="10" xfId="0" applyNumberFormat="1" applyFont="1" applyFill="1" applyBorder="1" applyProtection="1">
      <protection locked="0"/>
    </xf>
    <xf numFmtId="180" fontId="225" fillId="0" borderId="0" xfId="0" applyNumberFormat="1" applyFont="1" applyFill="1" applyBorder="1" applyProtection="1">
      <protection locked="0"/>
    </xf>
    <xf numFmtId="180" fontId="225" fillId="0" borderId="0" xfId="0" applyNumberFormat="1" applyFont="1" applyFill="1" applyProtection="1">
      <protection locked="0"/>
    </xf>
    <xf numFmtId="180" fontId="114" fillId="0" borderId="0" xfId="0" applyNumberFormat="1" applyFont="1" applyFill="1" applyProtection="1">
      <protection locked="0"/>
    </xf>
    <xf numFmtId="180" fontId="225" fillId="2" borderId="8" xfId="0" applyNumberFormat="1" applyFont="1" applyFill="1" applyBorder="1" applyProtection="1">
      <protection locked="0"/>
    </xf>
    <xf numFmtId="180" fontId="225" fillId="0" borderId="0" xfId="0" applyNumberFormat="1" applyFont="1" applyBorder="1" applyProtection="1">
      <protection locked="0"/>
    </xf>
    <xf numFmtId="0" fontId="65" fillId="0" borderId="17" xfId="0" applyFont="1" applyFill="1" applyBorder="1"/>
    <xf numFmtId="0" fontId="65" fillId="0" borderId="18" xfId="0" applyFont="1" applyFill="1" applyBorder="1"/>
    <xf numFmtId="180" fontId="114" fillId="13" borderId="19" xfId="0" applyNumberFormat="1" applyFont="1" applyFill="1" applyBorder="1" applyProtection="1">
      <protection locked="0"/>
    </xf>
    <xf numFmtId="180" fontId="225" fillId="0" borderId="0" xfId="0" applyNumberFormat="1" applyFont="1" applyProtection="1">
      <protection locked="0"/>
    </xf>
    <xf numFmtId="180" fontId="114" fillId="0" borderId="0" xfId="0" applyNumberFormat="1" applyFont="1" applyFill="1" applyBorder="1" applyProtection="1">
      <protection locked="0"/>
    </xf>
    <xf numFmtId="180" fontId="113" fillId="21" borderId="9" xfId="0" applyNumberFormat="1" applyFont="1" applyFill="1" applyBorder="1" applyAlignment="1" applyProtection="1">
      <alignment horizontal="left"/>
      <protection locked="0"/>
    </xf>
    <xf numFmtId="180" fontId="112" fillId="13" borderId="8" xfId="0" applyNumberFormat="1" applyFont="1" applyFill="1" applyBorder="1" applyProtection="1">
      <protection locked="0"/>
    </xf>
    <xf numFmtId="180" fontId="239" fillId="0" borderId="7" xfId="0" applyNumberFormat="1" applyFont="1" applyFill="1" applyBorder="1" applyProtection="1">
      <protection locked="0"/>
    </xf>
    <xf numFmtId="180" fontId="240" fillId="0" borderId="8" xfId="0" applyNumberFormat="1" applyFont="1" applyBorder="1" applyProtection="1">
      <protection locked="0"/>
    </xf>
    <xf numFmtId="180" fontId="0" fillId="14" borderId="19" xfId="0" applyNumberFormat="1" applyFont="1" applyFill="1" applyBorder="1" applyProtection="1">
      <protection locked="0"/>
    </xf>
    <xf numFmtId="180" fontId="0" fillId="13" borderId="19" xfId="0" applyNumberFormat="1" applyFont="1" applyFill="1" applyBorder="1" applyProtection="1">
      <protection locked="0"/>
    </xf>
    <xf numFmtId="180" fontId="112" fillId="0" borderId="8" xfId="0" applyNumberFormat="1" applyFont="1" applyFill="1" applyBorder="1" applyProtection="1">
      <protection locked="0"/>
    </xf>
    <xf numFmtId="180" fontId="112" fillId="2" borderId="19" xfId="0" applyNumberFormat="1" applyFont="1" applyFill="1" applyBorder="1" applyProtection="1">
      <protection locked="0"/>
    </xf>
    <xf numFmtId="180" fontId="114" fillId="2" borderId="19" xfId="0" applyNumberFormat="1" applyFont="1" applyFill="1" applyBorder="1" applyProtection="1">
      <protection locked="0"/>
    </xf>
    <xf numFmtId="180" fontId="113" fillId="2" borderId="8" xfId="0" applyNumberFormat="1" applyFont="1" applyFill="1" applyBorder="1" applyAlignment="1" applyProtection="1">
      <alignment horizontal="left"/>
      <protection locked="0"/>
    </xf>
    <xf numFmtId="180" fontId="112" fillId="19" borderId="8" xfId="0" quotePrefix="1" applyNumberFormat="1" applyFont="1" applyFill="1" applyBorder="1" applyProtection="1">
      <protection locked="0"/>
    </xf>
    <xf numFmtId="180" fontId="114" fillId="2" borderId="8" xfId="0" quotePrefix="1" applyNumberFormat="1" applyFont="1" applyFill="1" applyBorder="1" applyProtection="1">
      <protection locked="0"/>
    </xf>
    <xf numFmtId="181" fontId="65" fillId="0" borderId="18" xfId="13" quotePrefix="1" applyNumberFormat="1" applyFont="1" applyFill="1" applyBorder="1"/>
    <xf numFmtId="181" fontId="65" fillId="0" borderId="18" xfId="13" applyNumberFormat="1" applyFont="1" applyFill="1" applyBorder="1"/>
    <xf numFmtId="0" fontId="65" fillId="0" borderId="18" xfId="13" applyFont="1" applyFill="1" applyBorder="1"/>
    <xf numFmtId="14" fontId="65" fillId="0" borderId="18" xfId="13" quotePrefix="1" applyNumberFormat="1" applyFont="1" applyFill="1" applyBorder="1"/>
    <xf numFmtId="0" fontId="65" fillId="0" borderId="18" xfId="13" quotePrefix="1" applyFont="1" applyFill="1" applyBorder="1"/>
    <xf numFmtId="180" fontId="8" fillId="2" borderId="8" xfId="0" quotePrefix="1" applyNumberFormat="1" applyFont="1" applyFill="1" applyBorder="1" applyProtection="1">
      <protection locked="0"/>
    </xf>
    <xf numFmtId="180" fontId="94" fillId="13" borderId="17" xfId="0" applyNumberFormat="1" applyFont="1" applyFill="1" applyBorder="1" applyProtection="1">
      <protection locked="0"/>
    </xf>
    <xf numFmtId="180" fontId="240" fillId="2" borderId="8" xfId="0" applyNumberFormat="1" applyFont="1" applyFill="1" applyBorder="1" applyProtection="1">
      <protection locked="0"/>
    </xf>
    <xf numFmtId="180" fontId="114" fillId="2" borderId="17" xfId="0" applyNumberFormat="1" applyFont="1" applyFill="1" applyBorder="1" applyProtection="1">
      <protection locked="0"/>
    </xf>
    <xf numFmtId="180" fontId="114" fillId="14" borderId="17" xfId="0" applyNumberFormat="1" applyFont="1" applyFill="1" applyBorder="1" applyProtection="1">
      <protection locked="0"/>
    </xf>
    <xf numFmtId="180" fontId="240" fillId="19" borderId="8" xfId="0" applyNumberFormat="1" applyFont="1" applyFill="1" applyBorder="1" applyProtection="1">
      <protection locked="0"/>
    </xf>
    <xf numFmtId="180" fontId="4" fillId="0" borderId="0" xfId="0" applyNumberFormat="1" applyFont="1" applyFill="1" applyProtection="1">
      <protection locked="0"/>
    </xf>
    <xf numFmtId="180" fontId="0" fillId="21" borderId="9" xfId="0" applyNumberFormat="1" applyFont="1" applyFill="1" applyBorder="1" applyAlignment="1" applyProtection="1">
      <alignment horizontal="right"/>
      <protection locked="0"/>
    </xf>
    <xf numFmtId="180" fontId="10" fillId="21" borderId="19" xfId="0" applyNumberFormat="1" applyFont="1" applyFill="1" applyBorder="1" applyProtection="1">
      <protection locked="0"/>
    </xf>
    <xf numFmtId="180" fontId="10" fillId="21" borderId="5" xfId="0" applyNumberFormat="1" applyFont="1" applyFill="1" applyBorder="1" applyProtection="1">
      <protection locked="0"/>
    </xf>
    <xf numFmtId="180" fontId="10" fillId="21" borderId="6" xfId="0" applyNumberFormat="1" applyFont="1" applyFill="1" applyBorder="1" applyProtection="1">
      <protection locked="0"/>
    </xf>
    <xf numFmtId="180" fontId="37" fillId="0" borderId="8" xfId="0" applyNumberFormat="1" applyFont="1" applyBorder="1" applyProtection="1">
      <protection locked="0"/>
    </xf>
    <xf numFmtId="180" fontId="37" fillId="2" borderId="8" xfId="0" applyNumberFormat="1" applyFont="1" applyFill="1" applyBorder="1" applyProtection="1">
      <protection locked="0"/>
    </xf>
    <xf numFmtId="180" fontId="0" fillId="3" borderId="8" xfId="0" applyNumberFormat="1" applyFont="1" applyFill="1" applyBorder="1" applyProtection="1">
      <protection locked="0"/>
    </xf>
    <xf numFmtId="180" fontId="0" fillId="2" borderId="8" xfId="0" quotePrefix="1" applyNumberFormat="1" applyFont="1" applyFill="1" applyBorder="1" applyAlignment="1" applyProtection="1">
      <alignment horizontal="right"/>
      <protection locked="0"/>
    </xf>
    <xf numFmtId="180" fontId="0" fillId="21" borderId="19" xfId="0" applyNumberFormat="1" applyFont="1" applyFill="1" applyBorder="1" applyProtection="1">
      <protection locked="0"/>
    </xf>
    <xf numFmtId="180" fontId="4" fillId="0" borderId="0" xfId="0" applyNumberFormat="1" applyFont="1" applyFill="1"/>
    <xf numFmtId="180" fontId="113" fillId="21" borderId="17" xfId="0" applyNumberFormat="1" applyFont="1" applyFill="1" applyBorder="1" applyProtection="1">
      <protection locked="0"/>
    </xf>
    <xf numFmtId="180" fontId="113" fillId="21" borderId="2" xfId="0" applyNumberFormat="1" applyFont="1" applyFill="1" applyBorder="1" applyProtection="1">
      <protection locked="0"/>
    </xf>
    <xf numFmtId="180" fontId="113" fillId="21" borderId="4" xfId="0" applyNumberFormat="1" applyFont="1" applyFill="1" applyBorder="1" applyProtection="1">
      <protection locked="0"/>
    </xf>
    <xf numFmtId="180" fontId="114" fillId="21" borderId="17" xfId="0" applyNumberFormat="1" applyFont="1" applyFill="1" applyBorder="1" applyProtection="1">
      <protection locked="0"/>
    </xf>
    <xf numFmtId="180" fontId="114" fillId="19" borderId="17" xfId="0" applyNumberFormat="1" applyFont="1" applyFill="1" applyBorder="1" applyProtection="1">
      <protection locked="0"/>
    </xf>
    <xf numFmtId="180" fontId="114" fillId="2" borderId="17" xfId="0" quotePrefix="1" applyNumberFormat="1" applyFont="1" applyFill="1" applyBorder="1" applyAlignment="1" applyProtection="1">
      <alignment horizontal="right"/>
      <protection locked="0"/>
    </xf>
    <xf numFmtId="180" fontId="114" fillId="2" borderId="17" xfId="0" applyNumberFormat="1" applyFont="1" applyFill="1" applyBorder="1" applyAlignment="1" applyProtection="1">
      <alignment horizontal="right"/>
      <protection locked="0"/>
    </xf>
    <xf numFmtId="180" fontId="114" fillId="5" borderId="2" xfId="0" applyNumberFormat="1" applyFont="1" applyFill="1" applyBorder="1" applyProtection="1">
      <protection locked="0"/>
    </xf>
    <xf numFmtId="180" fontId="216" fillId="19" borderId="19" xfId="0" applyNumberFormat="1" applyFont="1" applyFill="1" applyBorder="1" applyProtection="1">
      <protection locked="0"/>
    </xf>
    <xf numFmtId="180" fontId="216" fillId="22" borderId="19" xfId="0" applyNumberFormat="1" applyFont="1" applyFill="1" applyBorder="1" applyProtection="1">
      <protection locked="0"/>
    </xf>
    <xf numFmtId="180" fontId="216" fillId="21" borderId="5" xfId="0" applyNumberFormat="1" applyFont="1" applyFill="1" applyBorder="1" applyProtection="1">
      <protection locked="0"/>
    </xf>
    <xf numFmtId="180" fontId="114" fillId="22" borderId="19" xfId="0" applyNumberFormat="1" applyFont="1" applyFill="1" applyBorder="1" applyProtection="1">
      <protection locked="0"/>
    </xf>
    <xf numFmtId="0" fontId="225" fillId="0" borderId="0" xfId="0" applyFont="1"/>
    <xf numFmtId="180" fontId="228" fillId="5" borderId="8" xfId="0" applyNumberFormat="1" applyFont="1" applyFill="1" applyBorder="1" applyProtection="1">
      <protection locked="0"/>
    </xf>
    <xf numFmtId="180" fontId="74" fillId="21" borderId="8" xfId="0" applyNumberFormat="1" applyFont="1" applyFill="1" applyBorder="1" applyProtection="1">
      <protection locked="0"/>
    </xf>
    <xf numFmtId="180" fontId="74" fillId="5" borderId="8" xfId="0" applyNumberFormat="1" applyFont="1" applyFill="1" applyBorder="1" applyProtection="1">
      <protection locked="0"/>
    </xf>
    <xf numFmtId="180" fontId="8" fillId="19" borderId="8" xfId="0" applyNumberFormat="1" applyFont="1" applyFill="1" applyBorder="1" applyProtection="1">
      <protection locked="0"/>
    </xf>
    <xf numFmtId="180" fontId="0" fillId="32" borderId="8" xfId="0" applyNumberFormat="1" applyFont="1" applyFill="1" applyBorder="1" applyProtection="1">
      <protection locked="0"/>
    </xf>
    <xf numFmtId="180" fontId="0" fillId="0" borderId="19" xfId="0" applyNumberFormat="1" applyFont="1" applyFill="1" applyBorder="1" applyProtection="1">
      <protection locked="0"/>
    </xf>
    <xf numFmtId="180" fontId="0" fillId="5" borderId="5" xfId="0" applyNumberFormat="1" applyFont="1" applyFill="1" applyBorder="1" applyProtection="1">
      <protection locked="0"/>
    </xf>
    <xf numFmtId="180" fontId="37" fillId="0" borderId="8" xfId="0" quotePrefix="1" applyNumberFormat="1" applyFont="1" applyBorder="1" applyProtection="1">
      <protection locked="0"/>
    </xf>
    <xf numFmtId="180" fontId="37" fillId="2" borderId="8" xfId="0" quotePrefix="1" applyNumberFormat="1" applyFont="1" applyFill="1" applyBorder="1" applyProtection="1">
      <protection locked="0"/>
    </xf>
    <xf numFmtId="0" fontId="241" fillId="0" borderId="0" xfId="0" applyFont="1"/>
    <xf numFmtId="180" fontId="225" fillId="0" borderId="8" xfId="0" applyNumberFormat="1" applyFont="1" applyBorder="1" applyProtection="1">
      <protection locked="0"/>
    </xf>
    <xf numFmtId="180" fontId="112" fillId="0" borderId="8" xfId="0" applyNumberFormat="1" applyFont="1" applyBorder="1" applyAlignment="1" applyProtection="1">
      <alignment horizontal="left"/>
      <protection locked="0"/>
    </xf>
    <xf numFmtId="180" fontId="239" fillId="2" borderId="8" xfId="0" applyNumberFormat="1" applyFont="1" applyFill="1" applyBorder="1" applyProtection="1">
      <protection locked="0"/>
    </xf>
    <xf numFmtId="180" fontId="240" fillId="0" borderId="8" xfId="0" quotePrefix="1" applyNumberFormat="1" applyFont="1" applyBorder="1" applyProtection="1">
      <protection locked="0"/>
    </xf>
    <xf numFmtId="180" fontId="114" fillId="5" borderId="19" xfId="0" applyNumberFormat="1" applyFont="1" applyFill="1" applyBorder="1" applyProtection="1">
      <protection locked="0"/>
    </xf>
    <xf numFmtId="0" fontId="4" fillId="0" borderId="0" xfId="0" applyFont="1"/>
    <xf numFmtId="180" fontId="8" fillId="0" borderId="8" xfId="0" applyNumberFormat="1" applyFont="1" applyBorder="1" applyAlignment="1" applyProtection="1">
      <alignment horizontal="left"/>
      <protection locked="0"/>
    </xf>
    <xf numFmtId="180" fontId="8" fillId="0" borderId="8" xfId="0" applyNumberFormat="1" applyFont="1" applyBorder="1" applyProtection="1">
      <protection locked="0"/>
    </xf>
    <xf numFmtId="180" fontId="56" fillId="19" borderId="0" xfId="0" applyNumberFormat="1" applyFont="1" applyFill="1" applyProtection="1">
      <protection locked="0"/>
    </xf>
    <xf numFmtId="180" fontId="225" fillId="19" borderId="8" xfId="0" applyNumberFormat="1" applyFont="1" applyFill="1" applyBorder="1" applyProtection="1">
      <protection locked="0"/>
    </xf>
    <xf numFmtId="180" fontId="55" fillId="0" borderId="19" xfId="0" applyNumberFormat="1" applyFont="1" applyBorder="1" applyProtection="1">
      <protection locked="0"/>
    </xf>
    <xf numFmtId="180" fontId="114" fillId="32" borderId="8" xfId="0" applyNumberFormat="1" applyFont="1" applyFill="1" applyBorder="1" applyProtection="1">
      <protection locked="0"/>
    </xf>
    <xf numFmtId="180" fontId="225" fillId="19" borderId="0" xfId="0" applyNumberFormat="1" applyFont="1" applyFill="1" applyProtection="1">
      <protection locked="0"/>
    </xf>
    <xf numFmtId="180" fontId="242" fillId="0" borderId="0" xfId="0" applyNumberFormat="1" applyFont="1" applyFill="1" applyBorder="1" applyProtection="1">
      <protection locked="0"/>
    </xf>
    <xf numFmtId="180" fontId="113" fillId="21" borderId="9" xfId="0" applyNumberFormat="1" applyFont="1" applyFill="1" applyBorder="1" applyAlignment="1" applyProtection="1">
      <protection locked="0"/>
    </xf>
    <xf numFmtId="180" fontId="113" fillId="21" borderId="10" xfId="0" applyNumberFormat="1" applyFont="1" applyFill="1" applyBorder="1" applyAlignment="1" applyProtection="1">
      <protection locked="0"/>
    </xf>
    <xf numFmtId="180" fontId="228" fillId="21" borderId="8" xfId="0" applyNumberFormat="1" applyFont="1" applyFill="1" applyBorder="1" applyAlignment="1" applyProtection="1">
      <alignment horizontal="right"/>
      <protection locked="0"/>
    </xf>
    <xf numFmtId="180" fontId="227" fillId="19" borderId="8" xfId="0" applyNumberFormat="1" applyFont="1" applyFill="1" applyBorder="1" applyProtection="1">
      <protection locked="0"/>
    </xf>
    <xf numFmtId="180" fontId="112" fillId="0" borderId="10" xfId="0" applyNumberFormat="1" applyFont="1" applyBorder="1" applyProtection="1">
      <protection locked="0"/>
    </xf>
    <xf numFmtId="180" fontId="225" fillId="0" borderId="19" xfId="0" applyNumberFormat="1" applyFont="1" applyFill="1" applyBorder="1" applyProtection="1">
      <protection locked="0"/>
    </xf>
    <xf numFmtId="180" fontId="114" fillId="0" borderId="17" xfId="0" applyNumberFormat="1" applyFont="1" applyBorder="1" applyProtection="1">
      <protection locked="0"/>
    </xf>
    <xf numFmtId="180" fontId="10" fillId="21" borderId="9" xfId="0" applyNumberFormat="1" applyFont="1" applyFill="1" applyBorder="1" applyAlignment="1" applyProtection="1">
      <protection locked="0"/>
    </xf>
    <xf numFmtId="180" fontId="114" fillId="0" borderId="19" xfId="0" applyNumberFormat="1" applyFont="1" applyFill="1" applyBorder="1" applyProtection="1">
      <protection locked="0"/>
    </xf>
    <xf numFmtId="180" fontId="112" fillId="0" borderId="4" xfId="0" applyNumberFormat="1" applyFont="1" applyBorder="1" applyProtection="1">
      <protection locked="0"/>
    </xf>
    <xf numFmtId="180" fontId="76" fillId="0" borderId="3" xfId="0" applyNumberFormat="1" applyFont="1" applyFill="1" applyBorder="1" applyAlignment="1" applyProtection="1">
      <alignment horizontal="center"/>
      <protection locked="0"/>
    </xf>
    <xf numFmtId="180" fontId="240" fillId="2" borderId="8" xfId="0" quotePrefix="1" applyNumberFormat="1" applyFont="1" applyFill="1" applyBorder="1" applyProtection="1">
      <protection locked="0"/>
    </xf>
    <xf numFmtId="0" fontId="225" fillId="0" borderId="0" xfId="0" applyFont="1" applyFill="1" applyBorder="1"/>
    <xf numFmtId="0" fontId="42" fillId="0" borderId="19" xfId="13" applyFont="1" applyFill="1" applyBorder="1"/>
    <xf numFmtId="0" fontId="42" fillId="21" borderId="8" xfId="13" applyFont="1" applyFill="1" applyBorder="1"/>
    <xf numFmtId="180" fontId="0" fillId="0" borderId="3" xfId="0" applyNumberFormat="1" applyFont="1" applyFill="1" applyBorder="1" applyAlignment="1" applyProtection="1">
      <alignment horizontal="left"/>
      <protection locked="0"/>
    </xf>
    <xf numFmtId="180" fontId="56" fillId="0" borderId="3" xfId="0" applyNumberFormat="1" applyFont="1" applyFill="1" applyBorder="1" applyAlignment="1" applyProtection="1">
      <alignment horizontal="left"/>
      <protection locked="0"/>
    </xf>
    <xf numFmtId="180" fontId="0" fillId="0" borderId="3" xfId="0" applyNumberFormat="1" applyFont="1" applyFill="1" applyBorder="1" applyAlignment="1" applyProtection="1">
      <alignment horizontal="center"/>
      <protection locked="0"/>
    </xf>
    <xf numFmtId="180" fontId="42" fillId="0" borderId="3" xfId="0" applyNumberFormat="1" applyFont="1" applyFill="1" applyBorder="1" applyAlignment="1" applyProtection="1">
      <alignment horizontal="left"/>
      <protection locked="0"/>
    </xf>
    <xf numFmtId="180" fontId="42" fillId="0" borderId="3" xfId="0" applyNumberFormat="1" applyFont="1" applyFill="1" applyBorder="1" applyAlignment="1" applyProtection="1">
      <alignment horizontal="center"/>
      <protection locked="0"/>
    </xf>
    <xf numFmtId="180" fontId="42" fillId="0" borderId="0" xfId="0" applyNumberFormat="1" applyFont="1" applyFill="1" applyBorder="1" applyAlignment="1" applyProtection="1">
      <alignment horizontal="left"/>
      <protection locked="0"/>
    </xf>
    <xf numFmtId="180" fontId="114" fillId="0" borderId="7" xfId="0" quotePrefix="1" applyNumberFormat="1" applyFont="1" applyFill="1" applyBorder="1" applyProtection="1">
      <protection locked="0"/>
    </xf>
    <xf numFmtId="180" fontId="225" fillId="0" borderId="7" xfId="0" quotePrefix="1" applyNumberFormat="1" applyFont="1" applyFill="1" applyBorder="1" applyProtection="1">
      <protection locked="0"/>
    </xf>
    <xf numFmtId="180" fontId="240" fillId="2" borderId="8" xfId="0" applyNumberFormat="1" applyFont="1" applyFill="1" applyBorder="1" applyAlignment="1" applyProtection="1">
      <alignment horizontal="left"/>
      <protection locked="0"/>
    </xf>
    <xf numFmtId="180" fontId="112" fillId="0" borderId="8" xfId="0" applyNumberFormat="1" applyFont="1" applyFill="1" applyBorder="1" applyAlignment="1" applyProtection="1">
      <alignment horizontal="left"/>
      <protection locked="0"/>
    </xf>
    <xf numFmtId="180" fontId="0" fillId="0" borderId="8" xfId="0" applyNumberFormat="1" applyBorder="1" applyProtection="1">
      <protection locked="0"/>
    </xf>
    <xf numFmtId="180" fontId="114" fillId="33" borderId="8" xfId="0" applyNumberFormat="1" applyFont="1" applyFill="1" applyBorder="1" applyProtection="1">
      <protection locked="0"/>
    </xf>
    <xf numFmtId="180" fontId="0" fillId="33" borderId="8" xfId="0" applyNumberFormat="1" applyFont="1" applyFill="1" applyBorder="1" applyProtection="1">
      <protection locked="0"/>
    </xf>
    <xf numFmtId="180" fontId="114" fillId="33" borderId="17" xfId="0" applyNumberFormat="1" applyFont="1" applyFill="1" applyBorder="1" applyProtection="1">
      <protection locked="0"/>
    </xf>
    <xf numFmtId="0" fontId="42" fillId="0" borderId="54" xfId="0" applyFont="1" applyBorder="1" applyAlignment="1"/>
    <xf numFmtId="183" fontId="42" fillId="0" borderId="51" xfId="0" applyNumberFormat="1" applyFont="1" applyBorder="1" applyAlignment="1"/>
    <xf numFmtId="183" fontId="123" fillId="0" borderId="54" xfId="3" applyNumberFormat="1" applyFont="1" applyFill="1" applyBorder="1" applyAlignment="1"/>
    <xf numFmtId="180" fontId="10" fillId="21" borderId="8" xfId="0" applyNumberFormat="1" applyFont="1" applyFill="1" applyBorder="1" applyAlignment="1" applyProtection="1">
      <protection locked="0"/>
    </xf>
    <xf numFmtId="0" fontId="4" fillId="0" borderId="5" xfId="0" applyFont="1" applyBorder="1" applyAlignment="1" applyProtection="1">
      <alignment horizontal="left"/>
      <protection locked="0"/>
    </xf>
    <xf numFmtId="180" fontId="0" fillId="6" borderId="19" xfId="0" applyNumberFormat="1" applyFont="1" applyFill="1" applyBorder="1" applyProtection="1">
      <protection locked="0"/>
    </xf>
    <xf numFmtId="180" fontId="0" fillId="6" borderId="5" xfId="0" applyNumberFormat="1" applyFont="1" applyFill="1" applyBorder="1" applyProtection="1">
      <protection locked="0"/>
    </xf>
    <xf numFmtId="180" fontId="0" fillId="6" borderId="6" xfId="0" applyNumberFormat="1" applyFont="1" applyFill="1" applyBorder="1" applyProtection="1">
      <protection locked="0"/>
    </xf>
    <xf numFmtId="180" fontId="0" fillId="6" borderId="61" xfId="0" applyNumberFormat="1" applyFont="1" applyFill="1" applyBorder="1" applyProtection="1">
      <protection locked="0"/>
    </xf>
    <xf numFmtId="180" fontId="0" fillId="6" borderId="60" xfId="0" applyNumberFormat="1" applyFont="1" applyFill="1" applyBorder="1" applyProtection="1">
      <protection locked="0"/>
    </xf>
    <xf numFmtId="180" fontId="0" fillId="6" borderId="14" xfId="0" applyNumberFormat="1" applyFont="1" applyFill="1" applyBorder="1" applyProtection="1">
      <protection locked="0"/>
    </xf>
    <xf numFmtId="180" fontId="4" fillId="6" borderId="19" xfId="0" applyNumberFormat="1" applyFont="1" applyFill="1" applyBorder="1" applyProtection="1">
      <protection locked="0"/>
    </xf>
    <xf numFmtId="0" fontId="243" fillId="47" borderId="8" xfId="22" applyFont="1" applyFill="1" applyBorder="1"/>
    <xf numFmtId="0" fontId="123" fillId="47" borderId="8" xfId="22" applyFont="1" applyFill="1" applyBorder="1"/>
    <xf numFmtId="180" fontId="10" fillId="6" borderId="5" xfId="0" applyNumberFormat="1" applyFont="1" applyFill="1" applyBorder="1" applyProtection="1">
      <protection locked="0"/>
    </xf>
    <xf numFmtId="180" fontId="10" fillId="6" borderId="6" xfId="0" applyNumberFormat="1" applyFont="1" applyFill="1" applyBorder="1" applyProtection="1">
      <protection locked="0"/>
    </xf>
    <xf numFmtId="180" fontId="10" fillId="6" borderId="19" xfId="0" applyNumberFormat="1" applyFont="1" applyFill="1" applyBorder="1" applyProtection="1">
      <protection locked="0"/>
    </xf>
    <xf numFmtId="0" fontId="245" fillId="0" borderId="0" xfId="0" applyFont="1"/>
    <xf numFmtId="0" fontId="41" fillId="19" borderId="0" xfId="11" applyFont="1" applyFill="1" applyBorder="1" applyAlignment="1">
      <alignment vertical="center"/>
    </xf>
    <xf numFmtId="0" fontId="104" fillId="19" borderId="0" xfId="11" applyFont="1" applyFill="1" applyBorder="1"/>
    <xf numFmtId="0" fontId="104" fillId="0" borderId="0" xfId="11" applyFont="1" applyBorder="1"/>
    <xf numFmtId="0" fontId="104" fillId="0" borderId="0" xfId="11" applyFont="1" applyBorder="1" applyAlignment="1">
      <alignment horizontal="center"/>
    </xf>
    <xf numFmtId="0" fontId="42" fillId="0" borderId="0" xfId="11"/>
    <xf numFmtId="0" fontId="167" fillId="0" borderId="58" xfId="11" applyFont="1" applyBorder="1" applyAlignment="1">
      <alignment horizontal="center"/>
    </xf>
    <xf numFmtId="0" fontId="167" fillId="0" borderId="29" xfId="11" applyFont="1" applyBorder="1" applyAlignment="1">
      <alignment horizontal="center"/>
    </xf>
    <xf numFmtId="0" fontId="167" fillId="0" borderId="13" xfId="11" applyFont="1" applyBorder="1" applyAlignment="1">
      <alignment horizontal="center"/>
    </xf>
    <xf numFmtId="0" fontId="167" fillId="0" borderId="30" xfId="11" applyFont="1" applyBorder="1" applyAlignment="1">
      <alignment horizontal="center"/>
    </xf>
    <xf numFmtId="0" fontId="167" fillId="0" borderId="29" xfId="11" applyFont="1" applyFill="1" applyBorder="1" applyAlignment="1">
      <alignment horizontal="center"/>
    </xf>
    <xf numFmtId="0" fontId="167" fillId="0" borderId="52" xfId="11" applyFont="1" applyFill="1" applyBorder="1" applyAlignment="1">
      <alignment horizontal="center"/>
    </xf>
    <xf numFmtId="0" fontId="104" fillId="0" borderId="40" xfId="11" applyFont="1" applyBorder="1"/>
    <xf numFmtId="0" fontId="104" fillId="0" borderId="54" xfId="11" applyFont="1" applyBorder="1"/>
    <xf numFmtId="0" fontId="104" fillId="20" borderId="6" xfId="11" applyFont="1" applyFill="1" applyBorder="1" applyAlignment="1">
      <alignment horizontal="center"/>
    </xf>
    <xf numFmtId="183" fontId="104" fillId="20" borderId="5" xfId="11" applyNumberFormat="1" applyFont="1" applyFill="1" applyBorder="1" applyAlignment="1">
      <alignment horizontal="center"/>
    </xf>
    <xf numFmtId="0" fontId="104" fillId="20" borderId="68" xfId="11" applyFont="1" applyFill="1" applyBorder="1" applyAlignment="1">
      <alignment horizontal="center"/>
    </xf>
    <xf numFmtId="0" fontId="104" fillId="0" borderId="39" xfId="11" applyFont="1" applyBorder="1" applyAlignment="1">
      <alignment horizontal="center"/>
    </xf>
    <xf numFmtId="0" fontId="104" fillId="0" borderId="67" xfId="11" applyFont="1" applyBorder="1" applyAlignment="1">
      <alignment horizontal="center"/>
    </xf>
    <xf numFmtId="0" fontId="67" fillId="0" borderId="0" xfId="11" applyFont="1"/>
    <xf numFmtId="0" fontId="104" fillId="0" borderId="25" xfId="11" applyFont="1" applyBorder="1"/>
    <xf numFmtId="0" fontId="104" fillId="19" borderId="51" xfId="11" applyFont="1" applyFill="1" applyBorder="1"/>
    <xf numFmtId="0" fontId="104" fillId="20" borderId="10" xfId="11" applyFont="1" applyFill="1" applyBorder="1" applyAlignment="1">
      <alignment horizontal="center"/>
    </xf>
    <xf numFmtId="183" fontId="104" fillId="20" borderId="8" xfId="11" applyNumberFormat="1" applyFont="1" applyFill="1" applyBorder="1" applyAlignment="1">
      <alignment horizontal="center"/>
    </xf>
    <xf numFmtId="183" fontId="104" fillId="20" borderId="68" xfId="11" applyNumberFormat="1" applyFont="1" applyFill="1" applyBorder="1" applyAlignment="1">
      <alignment horizontal="center"/>
    </xf>
    <xf numFmtId="0" fontId="104" fillId="0" borderId="41" xfId="11" applyFont="1" applyBorder="1" applyAlignment="1">
      <alignment horizontal="center"/>
    </xf>
    <xf numFmtId="0" fontId="104" fillId="0" borderId="24" xfId="11" applyFont="1" applyBorder="1" applyAlignment="1">
      <alignment horizontal="center"/>
    </xf>
    <xf numFmtId="0" fontId="104" fillId="0" borderId="64" xfId="11" applyFont="1" applyBorder="1"/>
    <xf numFmtId="0" fontId="104" fillId="0" borderId="51" xfId="11" applyFont="1" applyBorder="1"/>
    <xf numFmtId="183" fontId="104" fillId="19" borderId="8" xfId="11" applyNumberFormat="1" applyFont="1" applyFill="1" applyBorder="1" applyAlignment="1">
      <alignment horizontal="center"/>
    </xf>
    <xf numFmtId="183" fontId="104" fillId="19" borderId="57" xfId="11" applyNumberFormat="1" applyFont="1" applyFill="1" applyBorder="1" applyAlignment="1">
      <alignment horizontal="center"/>
    </xf>
    <xf numFmtId="0" fontId="104" fillId="20" borderId="24" xfId="11" applyFont="1" applyFill="1" applyBorder="1" applyAlignment="1">
      <alignment horizontal="center"/>
    </xf>
    <xf numFmtId="0" fontId="104" fillId="0" borderId="66" xfId="11" applyFont="1" applyBorder="1"/>
    <xf numFmtId="183" fontId="104" fillId="19" borderId="4" xfId="11" applyNumberFormat="1" applyFont="1" applyFill="1" applyBorder="1" applyAlignment="1">
      <alignment horizontal="center"/>
    </xf>
    <xf numFmtId="183" fontId="104" fillId="19" borderId="2" xfId="11" applyNumberFormat="1" applyFont="1" applyFill="1" applyBorder="1" applyAlignment="1">
      <alignment horizontal="center"/>
    </xf>
    <xf numFmtId="183" fontId="104" fillId="19" borderId="69" xfId="11" applyNumberFormat="1" applyFont="1" applyFill="1" applyBorder="1" applyAlignment="1">
      <alignment horizontal="center"/>
    </xf>
    <xf numFmtId="0" fontId="44" fillId="0" borderId="0" xfId="11" applyFont="1"/>
    <xf numFmtId="0" fontId="104" fillId="19" borderId="4" xfId="11" applyFont="1" applyFill="1" applyBorder="1" applyAlignment="1">
      <alignment horizontal="center"/>
    </xf>
    <xf numFmtId="183" fontId="104" fillId="19" borderId="17" xfId="11" applyNumberFormat="1" applyFont="1" applyFill="1" applyBorder="1" applyAlignment="1">
      <alignment horizontal="center"/>
    </xf>
    <xf numFmtId="183" fontId="104" fillId="19" borderId="26" xfId="11" applyNumberFormat="1" applyFont="1" applyFill="1" applyBorder="1" applyAlignment="1">
      <alignment horizontal="center"/>
    </xf>
    <xf numFmtId="0" fontId="104" fillId="0" borderId="55" xfId="11" applyFont="1" applyBorder="1" applyAlignment="1">
      <alignment horizontal="center"/>
    </xf>
    <xf numFmtId="0" fontId="104" fillId="0" borderId="38" xfId="11" applyFont="1" applyBorder="1" applyAlignment="1">
      <alignment horizontal="center"/>
    </xf>
    <xf numFmtId="0" fontId="104" fillId="0" borderId="50" xfId="11" applyFont="1" applyBorder="1"/>
    <xf numFmtId="0" fontId="104" fillId="19" borderId="6" xfId="11" applyFont="1" applyFill="1" applyBorder="1" applyAlignment="1">
      <alignment horizontal="center"/>
    </xf>
    <xf numFmtId="183" fontId="104" fillId="19" borderId="19" xfId="11" applyNumberFormat="1" applyFont="1" applyFill="1" applyBorder="1" applyAlignment="1">
      <alignment horizontal="center"/>
    </xf>
    <xf numFmtId="183" fontId="104" fillId="19" borderId="67" xfId="11" applyNumberFormat="1" applyFont="1" applyFill="1" applyBorder="1" applyAlignment="1">
      <alignment horizontal="center"/>
    </xf>
    <xf numFmtId="183" fontId="104" fillId="0" borderId="6" xfId="11" applyNumberFormat="1" applyFont="1" applyFill="1" applyBorder="1" applyAlignment="1">
      <alignment horizontal="center"/>
    </xf>
    <xf numFmtId="183" fontId="104" fillId="0" borderId="5" xfId="11" applyNumberFormat="1" applyFont="1" applyFill="1" applyBorder="1" applyAlignment="1">
      <alignment horizontal="center"/>
    </xf>
    <xf numFmtId="183" fontId="104" fillId="0" borderId="68" xfId="11" applyNumberFormat="1" applyFont="1" applyFill="1" applyBorder="1" applyAlignment="1">
      <alignment horizontal="center"/>
    </xf>
    <xf numFmtId="0" fontId="104" fillId="0" borderId="51" xfId="11" applyFont="1" applyFill="1" applyBorder="1"/>
    <xf numFmtId="183" fontId="104" fillId="0" borderId="10" xfId="11" applyNumberFormat="1" applyFont="1" applyFill="1" applyBorder="1" applyAlignment="1">
      <alignment horizontal="center"/>
    </xf>
    <xf numFmtId="183" fontId="104" fillId="0" borderId="9" xfId="11" applyNumberFormat="1" applyFont="1" applyFill="1" applyBorder="1" applyAlignment="1">
      <alignment horizontal="center"/>
    </xf>
    <xf numFmtId="0" fontId="104" fillId="19" borderId="41" xfId="11" applyFont="1" applyFill="1" applyBorder="1" applyAlignment="1">
      <alignment horizontal="center"/>
    </xf>
    <xf numFmtId="183" fontId="104" fillId="20" borderId="10" xfId="11" applyNumberFormat="1" applyFont="1" applyFill="1" applyBorder="1" applyAlignment="1">
      <alignment horizontal="center"/>
    </xf>
    <xf numFmtId="0" fontId="104" fillId="0" borderId="10" xfId="11" applyFont="1" applyFill="1" applyBorder="1" applyAlignment="1">
      <alignment horizontal="center"/>
    </xf>
    <xf numFmtId="183" fontId="104" fillId="0" borderId="57" xfId="11" applyNumberFormat="1" applyFont="1" applyFill="1" applyBorder="1" applyAlignment="1">
      <alignment horizontal="center"/>
    </xf>
    <xf numFmtId="0" fontId="104" fillId="19" borderId="24" xfId="11" applyFont="1" applyFill="1" applyBorder="1" applyAlignment="1">
      <alignment horizontal="center"/>
    </xf>
    <xf numFmtId="0" fontId="103" fillId="0" borderId="64" xfId="11" applyFont="1" applyBorder="1"/>
    <xf numFmtId="183" fontId="104" fillId="20" borderId="9" xfId="11" applyNumberFormat="1" applyFont="1" applyFill="1" applyBorder="1" applyAlignment="1">
      <alignment horizontal="center"/>
    </xf>
    <xf numFmtId="183" fontId="104" fillId="20" borderId="57" xfId="11" applyNumberFormat="1" applyFont="1" applyFill="1" applyBorder="1" applyAlignment="1">
      <alignment horizontal="center"/>
    </xf>
    <xf numFmtId="0" fontId="104" fillId="19" borderId="65" xfId="11" applyFont="1" applyFill="1" applyBorder="1" applyAlignment="1">
      <alignment horizontal="center"/>
    </xf>
    <xf numFmtId="183" fontId="104" fillId="19" borderId="5" xfId="11" applyNumberFormat="1" applyFont="1" applyFill="1" applyBorder="1" applyAlignment="1">
      <alignment horizontal="center"/>
    </xf>
    <xf numFmtId="0" fontId="104" fillId="0" borderId="8" xfId="11" applyFont="1" applyBorder="1" applyAlignment="1">
      <alignment horizontal="center"/>
    </xf>
    <xf numFmtId="0" fontId="103" fillId="0" borderId="40" xfId="11" applyFont="1" applyBorder="1"/>
    <xf numFmtId="183" fontId="104" fillId="20" borderId="15" xfId="11" applyNumberFormat="1" applyFont="1" applyFill="1" applyBorder="1" applyAlignment="1">
      <alignment horizontal="center"/>
    </xf>
    <xf numFmtId="183" fontId="104" fillId="19" borderId="9" xfId="11" applyNumberFormat="1" applyFont="1" applyFill="1" applyBorder="1" applyAlignment="1">
      <alignment horizontal="center"/>
    </xf>
    <xf numFmtId="0" fontId="169" fillId="0" borderId="23" xfId="11" applyFont="1" applyBorder="1"/>
    <xf numFmtId="0" fontId="104" fillId="0" borderId="39" xfId="11" applyFont="1" applyFill="1" applyBorder="1" applyAlignment="1">
      <alignment horizontal="center"/>
    </xf>
    <xf numFmtId="0" fontId="104" fillId="0" borderId="67" xfId="11" applyFont="1" applyFill="1" applyBorder="1" applyAlignment="1">
      <alignment horizontal="center"/>
    </xf>
    <xf numFmtId="0" fontId="104" fillId="0" borderId="23" xfId="11" applyFont="1" applyBorder="1"/>
    <xf numFmtId="0" fontId="104" fillId="0" borderId="41" xfId="11" applyFont="1" applyFill="1" applyBorder="1" applyAlignment="1">
      <alignment horizontal="center"/>
    </xf>
    <xf numFmtId="0" fontId="104" fillId="0" borderId="24" xfId="11" applyFont="1" applyFill="1" applyBorder="1" applyAlignment="1">
      <alignment horizontal="center"/>
    </xf>
    <xf numFmtId="0" fontId="104" fillId="20" borderId="4" xfId="11" applyFont="1" applyFill="1" applyBorder="1" applyAlignment="1">
      <alignment horizontal="center"/>
    </xf>
    <xf numFmtId="183" fontId="104" fillId="20" borderId="42" xfId="11" applyNumberFormat="1" applyFont="1" applyFill="1" applyBorder="1" applyAlignment="1">
      <alignment horizontal="center"/>
    </xf>
    <xf numFmtId="0" fontId="169" fillId="0" borderId="25" xfId="11" applyFont="1" applyBorder="1"/>
    <xf numFmtId="183" fontId="104" fillId="19" borderId="3" xfId="11" applyNumberFormat="1" applyFont="1" applyFill="1" applyBorder="1" applyAlignment="1">
      <alignment horizontal="center"/>
    </xf>
    <xf numFmtId="183" fontId="104" fillId="19" borderId="42" xfId="11" applyNumberFormat="1" applyFont="1" applyFill="1" applyBorder="1" applyAlignment="1">
      <alignment horizontal="center"/>
    </xf>
    <xf numFmtId="0" fontId="104" fillId="0" borderId="65" xfId="11" applyFont="1" applyBorder="1" applyAlignment="1">
      <alignment horizontal="center"/>
    </xf>
    <xf numFmtId="0" fontId="104" fillId="0" borderId="26" xfId="11" applyFont="1" applyBorder="1" applyAlignment="1">
      <alignment horizontal="center"/>
    </xf>
    <xf numFmtId="0" fontId="67" fillId="0" borderId="0" xfId="11" applyFont="1" applyBorder="1"/>
    <xf numFmtId="182" fontId="103" fillId="19" borderId="1" xfId="11" applyNumberFormat="1" applyFont="1" applyFill="1" applyBorder="1" applyAlignment="1">
      <alignment horizontal="center"/>
    </xf>
    <xf numFmtId="0" fontId="103" fillId="19" borderId="19" xfId="11" applyFont="1" applyFill="1" applyBorder="1" applyAlignment="1">
      <alignment horizontal="center"/>
    </xf>
    <xf numFmtId="0" fontId="103" fillId="19" borderId="68" xfId="11" applyFont="1" applyFill="1" applyBorder="1" applyAlignment="1">
      <alignment horizontal="center"/>
    </xf>
    <xf numFmtId="183" fontId="104" fillId="20" borderId="6" xfId="11" applyNumberFormat="1" applyFont="1" applyFill="1" applyBorder="1" applyAlignment="1">
      <alignment horizontal="center"/>
    </xf>
    <xf numFmtId="183" fontId="104" fillId="19" borderId="68" xfId="11" applyNumberFormat="1" applyFont="1" applyFill="1" applyBorder="1" applyAlignment="1">
      <alignment horizontal="center"/>
    </xf>
    <xf numFmtId="0" fontId="169" fillId="19" borderId="25" xfId="11" applyFont="1" applyFill="1" applyBorder="1"/>
    <xf numFmtId="0" fontId="104" fillId="19" borderId="66" xfId="11" applyFont="1" applyFill="1" applyBorder="1"/>
    <xf numFmtId="183" fontId="104" fillId="20" borderId="17" xfId="11" applyNumberFormat="1" applyFont="1" applyFill="1" applyBorder="1" applyAlignment="1">
      <alignment horizontal="center"/>
    </xf>
    <xf numFmtId="183" fontId="104" fillId="19" borderId="24" xfId="11" applyNumberFormat="1" applyFont="1" applyFill="1" applyBorder="1" applyAlignment="1">
      <alignment horizontal="center"/>
    </xf>
    <xf numFmtId="0" fontId="103" fillId="19" borderId="40" xfId="11" applyFont="1" applyFill="1" applyBorder="1"/>
    <xf numFmtId="0" fontId="104" fillId="19" borderId="48" xfId="11" applyFont="1" applyFill="1" applyBorder="1"/>
    <xf numFmtId="183" fontId="104" fillId="20" borderId="3" xfId="11" applyNumberFormat="1" applyFont="1" applyFill="1" applyBorder="1" applyAlignment="1">
      <alignment horizontal="center"/>
    </xf>
    <xf numFmtId="0" fontId="104" fillId="0" borderId="17" xfId="11" applyFont="1" applyBorder="1" applyAlignment="1">
      <alignment horizontal="center"/>
    </xf>
    <xf numFmtId="0" fontId="104" fillId="0" borderId="3" xfId="11" applyFont="1" applyBorder="1" applyAlignment="1">
      <alignment horizontal="center"/>
    </xf>
    <xf numFmtId="0" fontId="104" fillId="0" borderId="18" xfId="11" applyFont="1" applyBorder="1" applyAlignment="1">
      <alignment horizontal="center"/>
    </xf>
    <xf numFmtId="0" fontId="103" fillId="19" borderId="27" xfId="11" applyFont="1" applyFill="1" applyBorder="1"/>
    <xf numFmtId="0" fontId="104" fillId="19" borderId="53" xfId="11" applyFont="1" applyFill="1" applyBorder="1"/>
    <xf numFmtId="183" fontId="104" fillId="20" borderId="73" xfId="11" applyNumberFormat="1" applyFont="1" applyFill="1" applyBorder="1" applyAlignment="1">
      <alignment horizontal="center"/>
    </xf>
    <xf numFmtId="0" fontId="104" fillId="0" borderId="45" xfId="11" applyFont="1" applyBorder="1" applyAlignment="1">
      <alignment horizontal="center"/>
    </xf>
    <xf numFmtId="0" fontId="104" fillId="0" borderId="11" xfId="11" applyFont="1" applyBorder="1" applyAlignment="1">
      <alignment horizontal="center"/>
    </xf>
    <xf numFmtId="0" fontId="104" fillId="0" borderId="71" xfId="11" applyFont="1" applyFill="1" applyBorder="1" applyAlignment="1">
      <alignment horizontal="center"/>
    </xf>
    <xf numFmtId="0" fontId="167" fillId="0" borderId="0" xfId="11" applyFont="1" applyBorder="1" applyAlignment="1">
      <alignment horizontal="center"/>
    </xf>
    <xf numFmtId="0" fontId="103" fillId="19" borderId="0" xfId="11" applyFont="1" applyFill="1" applyBorder="1" applyAlignment="1">
      <alignment horizontal="left"/>
    </xf>
    <xf numFmtId="182" fontId="103" fillId="19" borderId="0" xfId="11" applyNumberFormat="1" applyFont="1" applyFill="1" applyBorder="1" applyAlignment="1">
      <alignment horizontal="center"/>
    </xf>
    <xf numFmtId="0" fontId="103" fillId="19" borderId="0" xfId="11" applyFont="1" applyFill="1" applyBorder="1" applyAlignment="1">
      <alignment horizontal="center"/>
    </xf>
    <xf numFmtId="0" fontId="104" fillId="19" borderId="0" xfId="11" applyFont="1" applyFill="1" applyAlignment="1">
      <alignment horizontal="center"/>
    </xf>
    <xf numFmtId="0" fontId="67" fillId="19" borderId="0" xfId="11" applyFont="1" applyFill="1"/>
    <xf numFmtId="0" fontId="167" fillId="0" borderId="76" xfId="11" applyFont="1" applyBorder="1" applyAlignment="1">
      <alignment horizontal="center"/>
    </xf>
    <xf numFmtId="0" fontId="167" fillId="0" borderId="56" xfId="11" applyFont="1" applyBorder="1" applyAlignment="1">
      <alignment horizontal="center"/>
    </xf>
    <xf numFmtId="0" fontId="167" fillId="19" borderId="76" xfId="11" applyFont="1" applyFill="1" applyBorder="1" applyAlignment="1">
      <alignment horizontal="center"/>
    </xf>
    <xf numFmtId="0" fontId="167" fillId="19" borderId="43" xfId="11" applyFont="1" applyFill="1" applyBorder="1" applyAlignment="1">
      <alignment horizontal="center"/>
    </xf>
    <xf numFmtId="0" fontId="167" fillId="19" borderId="30" xfId="11" applyFont="1" applyFill="1" applyBorder="1" applyAlignment="1">
      <alignment horizontal="center"/>
    </xf>
    <xf numFmtId="0" fontId="169" fillId="0" borderId="55" xfId="11" applyFont="1" applyBorder="1"/>
    <xf numFmtId="0" fontId="104" fillId="20" borderId="39" xfId="11" applyFont="1" applyFill="1" applyBorder="1" applyAlignment="1">
      <alignment horizontal="center"/>
    </xf>
    <xf numFmtId="183" fontId="104" fillId="20" borderId="1" xfId="11" applyNumberFormat="1" applyFont="1" applyFill="1" applyBorder="1" applyAlignment="1">
      <alignment horizontal="center"/>
    </xf>
    <xf numFmtId="0" fontId="104" fillId="0" borderId="41" xfId="11" applyFont="1" applyBorder="1"/>
    <xf numFmtId="0" fontId="104" fillId="19" borderId="3" xfId="11" applyFont="1" applyFill="1" applyBorder="1"/>
    <xf numFmtId="183" fontId="104" fillId="20" borderId="25" xfId="11" applyNumberFormat="1" applyFont="1" applyFill="1" applyBorder="1" applyAlignment="1">
      <alignment horizontal="center"/>
    </xf>
    <xf numFmtId="183" fontId="104" fillId="20" borderId="69" xfId="11" applyNumberFormat="1" applyFont="1" applyFill="1" applyBorder="1" applyAlignment="1">
      <alignment horizontal="center"/>
    </xf>
    <xf numFmtId="0" fontId="169" fillId="0" borderId="40" xfId="11" applyFont="1" applyBorder="1"/>
    <xf numFmtId="0" fontId="104" fillId="19" borderId="2" xfId="11" applyFont="1" applyFill="1" applyBorder="1"/>
    <xf numFmtId="183" fontId="104" fillId="20" borderId="65" xfId="11" applyNumberFormat="1" applyFont="1" applyFill="1" applyBorder="1" applyAlignment="1">
      <alignment horizontal="center"/>
    </xf>
    <xf numFmtId="0" fontId="104" fillId="19" borderId="26" xfId="11" applyFont="1" applyFill="1" applyBorder="1" applyAlignment="1">
      <alignment horizontal="center"/>
    </xf>
    <xf numFmtId="0" fontId="104" fillId="0" borderId="7" xfId="11" applyFont="1" applyBorder="1"/>
    <xf numFmtId="0" fontId="104" fillId="20" borderId="55" xfId="11" applyFont="1" applyFill="1" applyBorder="1" applyAlignment="1">
      <alignment horizontal="center"/>
    </xf>
    <xf numFmtId="183" fontId="104" fillId="20" borderId="19" xfId="11" applyNumberFormat="1" applyFont="1" applyFill="1" applyBorder="1" applyAlignment="1">
      <alignment horizontal="center"/>
    </xf>
    <xf numFmtId="0" fontId="169" fillId="0" borderId="65" xfId="11" applyFont="1" applyBorder="1"/>
    <xf numFmtId="0" fontId="104" fillId="0" borderId="2" xfId="11" applyFont="1" applyBorder="1"/>
    <xf numFmtId="0" fontId="104" fillId="20" borderId="65" xfId="11" applyFont="1" applyFill="1" applyBorder="1" applyAlignment="1">
      <alignment horizontal="center"/>
    </xf>
    <xf numFmtId="183" fontId="104" fillId="20" borderId="18" xfId="11" applyNumberFormat="1" applyFont="1" applyFill="1" applyBorder="1" applyAlignment="1">
      <alignment horizontal="center"/>
    </xf>
    <xf numFmtId="183" fontId="104" fillId="19" borderId="38" xfId="11" applyNumberFormat="1" applyFont="1" applyFill="1" applyBorder="1" applyAlignment="1">
      <alignment horizontal="center"/>
    </xf>
    <xf numFmtId="0" fontId="104" fillId="19" borderId="55" xfId="11" applyFont="1" applyFill="1" applyBorder="1" applyAlignment="1">
      <alignment horizontal="center"/>
    </xf>
    <xf numFmtId="183" fontId="104" fillId="19" borderId="18" xfId="11" applyNumberFormat="1" applyFont="1" applyFill="1" applyBorder="1" applyAlignment="1">
      <alignment horizontal="center"/>
    </xf>
    <xf numFmtId="0" fontId="104" fillId="0" borderId="1" xfId="11" applyFont="1" applyBorder="1"/>
    <xf numFmtId="0" fontId="104" fillId="19" borderId="39" xfId="11" applyFont="1" applyFill="1" applyBorder="1" applyAlignment="1">
      <alignment horizontal="center"/>
    </xf>
    <xf numFmtId="0" fontId="104" fillId="0" borderId="15" xfId="11" applyFont="1" applyFill="1" applyBorder="1"/>
    <xf numFmtId="0" fontId="104" fillId="19" borderId="19" xfId="11" applyFont="1" applyFill="1" applyBorder="1" applyAlignment="1">
      <alignment horizontal="center"/>
    </xf>
    <xf numFmtId="0" fontId="104" fillId="19" borderId="68" xfId="11" applyFont="1" applyFill="1" applyBorder="1" applyAlignment="1">
      <alignment horizontal="center"/>
    </xf>
    <xf numFmtId="0" fontId="103" fillId="0" borderId="55" xfId="11" applyFont="1" applyBorder="1"/>
    <xf numFmtId="183" fontId="104" fillId="0" borderId="65" xfId="11" applyNumberFormat="1" applyFont="1" applyFill="1" applyBorder="1" applyAlignment="1">
      <alignment horizontal="center"/>
    </xf>
    <xf numFmtId="183" fontId="104" fillId="0" borderId="17" xfId="11" applyNumberFormat="1" applyFont="1" applyFill="1" applyBorder="1" applyAlignment="1">
      <alignment horizontal="center"/>
    </xf>
    <xf numFmtId="0" fontId="104" fillId="0" borderId="34" xfId="11" applyFont="1" applyBorder="1" applyAlignment="1">
      <alignment horizontal="center"/>
    </xf>
    <xf numFmtId="0" fontId="104" fillId="0" borderId="37" xfId="11" applyFont="1" applyFill="1" applyBorder="1" applyAlignment="1">
      <alignment horizontal="center"/>
    </xf>
    <xf numFmtId="0" fontId="104" fillId="19" borderId="5" xfId="11" applyFont="1" applyFill="1" applyBorder="1"/>
    <xf numFmtId="183" fontId="104" fillId="0" borderId="39" xfId="11" applyNumberFormat="1" applyFont="1" applyFill="1" applyBorder="1" applyAlignment="1">
      <alignment horizontal="center"/>
    </xf>
    <xf numFmtId="183" fontId="104" fillId="0" borderId="19" xfId="11" applyNumberFormat="1" applyFont="1" applyFill="1" applyBorder="1" applyAlignment="1">
      <alignment horizontal="center"/>
    </xf>
    <xf numFmtId="0" fontId="40" fillId="0" borderId="27" xfId="11" applyFont="1" applyFill="1" applyBorder="1" applyAlignment="1">
      <alignment horizontal="center"/>
    </xf>
    <xf numFmtId="0" fontId="104" fillId="0" borderId="28" xfId="11" applyFont="1" applyBorder="1" applyAlignment="1">
      <alignment horizontal="center"/>
    </xf>
    <xf numFmtId="0" fontId="104" fillId="0" borderId="65" xfId="11" applyFont="1" applyBorder="1"/>
    <xf numFmtId="183" fontId="104" fillId="49" borderId="55" xfId="11" applyNumberFormat="1" applyFont="1" applyFill="1" applyBorder="1" applyAlignment="1">
      <alignment horizontal="center"/>
    </xf>
    <xf numFmtId="0" fontId="104" fillId="0" borderId="40" xfId="11" applyFont="1" applyBorder="1" applyAlignment="1">
      <alignment horizontal="center"/>
    </xf>
    <xf numFmtId="0" fontId="104" fillId="0" borderId="69" xfId="11" applyFont="1" applyBorder="1" applyAlignment="1">
      <alignment horizontal="center"/>
    </xf>
    <xf numFmtId="0" fontId="104" fillId="0" borderId="55" xfId="11" applyFont="1" applyBorder="1"/>
    <xf numFmtId="183" fontId="104" fillId="49" borderId="39" xfId="11" applyNumberFormat="1" applyFont="1" applyFill="1" applyBorder="1" applyAlignment="1">
      <alignment horizontal="center"/>
    </xf>
    <xf numFmtId="0" fontId="104" fillId="0" borderId="64" xfId="11" applyFont="1" applyBorder="1" applyAlignment="1">
      <alignment horizontal="center"/>
    </xf>
    <xf numFmtId="0" fontId="104" fillId="0" borderId="68" xfId="11" applyFont="1" applyBorder="1" applyAlignment="1">
      <alignment horizontal="center"/>
    </xf>
    <xf numFmtId="0" fontId="167" fillId="0" borderId="55" xfId="11" applyFont="1" applyBorder="1"/>
    <xf numFmtId="183" fontId="104" fillId="19" borderId="55" xfId="11" applyNumberFormat="1" applyFont="1" applyFill="1" applyBorder="1" applyAlignment="1">
      <alignment horizontal="center"/>
    </xf>
    <xf numFmtId="183" fontId="104" fillId="19" borderId="7" xfId="11" applyNumberFormat="1" applyFont="1" applyFill="1" applyBorder="1" applyAlignment="1">
      <alignment horizontal="center"/>
    </xf>
    <xf numFmtId="0" fontId="104" fillId="20" borderId="42" xfId="11" applyFont="1" applyFill="1" applyBorder="1" applyAlignment="1">
      <alignment horizontal="center"/>
    </xf>
    <xf numFmtId="0" fontId="104" fillId="0" borderId="3" xfId="11" applyFont="1" applyBorder="1"/>
    <xf numFmtId="183" fontId="104" fillId="19" borderId="65" xfId="11" applyNumberFormat="1" applyFont="1" applyFill="1" applyBorder="1" applyAlignment="1">
      <alignment horizontal="center"/>
    </xf>
    <xf numFmtId="0" fontId="104" fillId="0" borderId="42" xfId="11" applyFont="1" applyBorder="1" applyAlignment="1">
      <alignment horizontal="center"/>
    </xf>
    <xf numFmtId="0" fontId="104" fillId="0" borderId="39" xfId="11" applyFont="1" applyBorder="1"/>
    <xf numFmtId="183" fontId="104" fillId="19" borderId="39" xfId="11" applyNumberFormat="1" applyFont="1" applyFill="1" applyBorder="1" applyAlignment="1">
      <alignment horizontal="center"/>
    </xf>
    <xf numFmtId="0" fontId="104" fillId="19" borderId="55" xfId="11" applyFont="1" applyFill="1" applyBorder="1"/>
    <xf numFmtId="0" fontId="104" fillId="20" borderId="41" xfId="11" applyFont="1" applyFill="1" applyBorder="1" applyAlignment="1">
      <alignment horizontal="center"/>
    </xf>
    <xf numFmtId="0" fontId="104" fillId="0" borderId="38" xfId="11" applyFont="1" applyFill="1" applyBorder="1" applyAlignment="1">
      <alignment horizontal="center"/>
    </xf>
    <xf numFmtId="0" fontId="104" fillId="0" borderId="9" xfId="11" applyFont="1" applyBorder="1"/>
    <xf numFmtId="0" fontId="104" fillId="19" borderId="39" xfId="11" applyFont="1" applyFill="1" applyBorder="1"/>
    <xf numFmtId="0" fontId="104" fillId="0" borderId="9" xfId="11" applyFont="1" applyFill="1" applyBorder="1"/>
    <xf numFmtId="183" fontId="104" fillId="20" borderId="41" xfId="11" applyNumberFormat="1" applyFont="1" applyFill="1" applyBorder="1" applyAlignment="1">
      <alignment horizontal="center"/>
    </xf>
    <xf numFmtId="182" fontId="104" fillId="20" borderId="41" xfId="11" applyNumberFormat="1" applyFont="1" applyFill="1" applyBorder="1" applyAlignment="1">
      <alignment horizontal="center"/>
    </xf>
    <xf numFmtId="0" fontId="173" fillId="19" borderId="0" xfId="11" applyFont="1" applyFill="1" applyBorder="1"/>
    <xf numFmtId="0" fontId="173" fillId="19" borderId="26" xfId="11" applyFont="1" applyFill="1" applyBorder="1" applyAlignment="1">
      <alignment horizontal="center"/>
    </xf>
    <xf numFmtId="0" fontId="173" fillId="19" borderId="38" xfId="11" applyFont="1" applyFill="1" applyBorder="1" applyAlignment="1">
      <alignment horizontal="center"/>
    </xf>
    <xf numFmtId="0" fontId="104" fillId="0" borderId="57" xfId="11" applyFont="1" applyBorder="1"/>
    <xf numFmtId="182" fontId="104" fillId="20" borderId="65" xfId="11" applyNumberFormat="1" applyFont="1" applyFill="1" applyBorder="1" applyAlignment="1">
      <alignment horizontal="center"/>
    </xf>
    <xf numFmtId="0" fontId="173" fillId="19" borderId="67" xfId="11" applyFont="1" applyFill="1" applyBorder="1" applyAlignment="1">
      <alignment horizontal="center"/>
    </xf>
    <xf numFmtId="0" fontId="104" fillId="19" borderId="0" xfId="11" applyFont="1" applyFill="1" applyBorder="1" applyAlignment="1">
      <alignment horizontal="left" vertical="center"/>
    </xf>
    <xf numFmtId="183" fontId="104" fillId="0" borderId="25" xfId="11" applyNumberFormat="1" applyFont="1" applyFill="1" applyBorder="1" applyAlignment="1">
      <alignment horizontal="center"/>
    </xf>
    <xf numFmtId="183" fontId="104" fillId="0" borderId="7" xfId="11" applyNumberFormat="1" applyFont="1" applyFill="1" applyBorder="1" applyAlignment="1">
      <alignment horizontal="center"/>
    </xf>
    <xf numFmtId="0" fontId="169" fillId="0" borderId="39" xfId="11" applyFont="1" applyBorder="1"/>
    <xf numFmtId="183" fontId="104" fillId="0" borderId="40" xfId="11" applyNumberFormat="1" applyFont="1" applyFill="1" applyBorder="1" applyAlignment="1">
      <alignment horizontal="center"/>
    </xf>
    <xf numFmtId="183" fontId="104" fillId="0" borderId="4" xfId="11" applyNumberFormat="1" applyFont="1" applyFill="1" applyBorder="1" applyAlignment="1">
      <alignment horizontal="center"/>
    </xf>
    <xf numFmtId="183" fontId="104" fillId="0" borderId="69" xfId="11" applyNumberFormat="1" applyFont="1" applyFill="1" applyBorder="1" applyAlignment="1">
      <alignment horizontal="center"/>
    </xf>
    <xf numFmtId="0" fontId="103" fillId="0" borderId="6" xfId="11" applyFont="1" applyFill="1" applyBorder="1"/>
    <xf numFmtId="0" fontId="103" fillId="0" borderId="68" xfId="11" applyFont="1" applyFill="1" applyBorder="1" applyAlignment="1">
      <alignment horizontal="center"/>
    </xf>
    <xf numFmtId="0" fontId="104" fillId="19" borderId="7" xfId="11" applyFont="1" applyFill="1" applyBorder="1"/>
    <xf numFmtId="183" fontId="104" fillId="20" borderId="55" xfId="11" applyNumberFormat="1" applyFont="1" applyFill="1" applyBorder="1" applyAlignment="1">
      <alignment horizontal="center"/>
    </xf>
    <xf numFmtId="183" fontId="104" fillId="20" borderId="4" xfId="11" applyNumberFormat="1" applyFont="1" applyFill="1" applyBorder="1" applyAlignment="1">
      <alignment horizontal="center"/>
    </xf>
    <xf numFmtId="183" fontId="104" fillId="0" borderId="55" xfId="11" applyNumberFormat="1" applyFont="1" applyFill="1" applyBorder="1" applyAlignment="1">
      <alignment horizontal="center"/>
    </xf>
    <xf numFmtId="183" fontId="104" fillId="0" borderId="18" xfId="11" applyNumberFormat="1" applyFont="1" applyFill="1" applyBorder="1" applyAlignment="1">
      <alignment horizontal="center"/>
    </xf>
    <xf numFmtId="0" fontId="169" fillId="0" borderId="64" xfId="11" applyFont="1" applyBorder="1"/>
    <xf numFmtId="0" fontId="104" fillId="0" borderId="5" xfId="11" applyFont="1" applyBorder="1"/>
    <xf numFmtId="0" fontId="124" fillId="0" borderId="40" xfId="11" applyFont="1" applyBorder="1"/>
    <xf numFmtId="0" fontId="174" fillId="0" borderId="25" xfId="11" applyFont="1" applyFill="1" applyBorder="1" applyAlignment="1">
      <alignment horizontal="center"/>
    </xf>
    <xf numFmtId="183" fontId="104" fillId="0" borderId="4" xfId="11" applyNumberFormat="1" applyFont="1" applyFill="1" applyBorder="1" applyAlignment="1">
      <alignment horizontal="center" vertical="center"/>
    </xf>
    <xf numFmtId="0" fontId="104" fillId="0" borderId="44" xfId="11" applyFont="1" applyBorder="1"/>
    <xf numFmtId="0" fontId="104" fillId="19" borderId="32" xfId="11" applyFont="1" applyFill="1" applyBorder="1"/>
    <xf numFmtId="0" fontId="174" fillId="0" borderId="27" xfId="11" applyFont="1" applyFill="1" applyBorder="1" applyAlignment="1">
      <alignment horizontal="center"/>
    </xf>
    <xf numFmtId="182" fontId="103" fillId="0" borderId="33" xfId="11" applyNumberFormat="1" applyFont="1" applyFill="1" applyBorder="1" applyAlignment="1">
      <alignment horizontal="center" vertical="center"/>
    </xf>
    <xf numFmtId="0" fontId="104" fillId="19" borderId="33" xfId="11" applyFont="1" applyFill="1" applyBorder="1" applyAlignment="1">
      <alignment horizontal="center"/>
    </xf>
    <xf numFmtId="0" fontId="42" fillId="0" borderId="0" xfId="11" applyFont="1" applyAlignment="1">
      <alignment horizontal="center"/>
    </xf>
    <xf numFmtId="0" fontId="42" fillId="0" borderId="0" xfId="11" applyBorder="1"/>
    <xf numFmtId="0" fontId="0" fillId="0" borderId="7" xfId="0" applyFont="1" applyBorder="1" applyProtection="1">
      <protection locked="0"/>
    </xf>
    <xf numFmtId="0" fontId="0" fillId="2" borderId="0" xfId="0" applyFont="1" applyFill="1" applyBorder="1" applyProtection="1">
      <protection locked="0"/>
    </xf>
    <xf numFmtId="0" fontId="0" fillId="0" borderId="0" xfId="0" applyFont="1" applyBorder="1" applyAlignment="1" applyProtection="1">
      <alignment horizontal="left"/>
      <protection locked="0"/>
    </xf>
    <xf numFmtId="0" fontId="0" fillId="0" borderId="31" xfId="0" applyFont="1" applyBorder="1" applyProtection="1">
      <protection locked="0"/>
    </xf>
    <xf numFmtId="0" fontId="0" fillId="0" borderId="0" xfId="0" quotePrefix="1" applyFont="1" applyBorder="1" applyAlignment="1" applyProtection="1">
      <alignment horizontal="left"/>
      <protection locked="0"/>
    </xf>
    <xf numFmtId="0" fontId="0" fillId="0" borderId="2" xfId="0" applyFont="1" applyBorder="1" applyAlignment="1" applyProtection="1">
      <alignment horizontal="left"/>
      <protection locked="0"/>
    </xf>
    <xf numFmtId="0" fontId="190" fillId="0" borderId="3" xfId="0" applyFont="1" applyBorder="1" applyProtection="1">
      <protection locked="0"/>
    </xf>
    <xf numFmtId="0" fontId="0" fillId="0" borderId="1" xfId="0" applyFont="1" applyBorder="1" applyAlignment="1" applyProtection="1">
      <alignment horizontal="left"/>
      <protection locked="0"/>
    </xf>
    <xf numFmtId="0" fontId="0" fillId="0" borderId="6" xfId="0" applyFont="1" applyBorder="1" applyProtection="1">
      <protection locked="0"/>
    </xf>
    <xf numFmtId="0" fontId="55" fillId="0" borderId="0" xfId="0" applyFont="1" applyBorder="1" applyProtection="1">
      <protection locked="0"/>
    </xf>
    <xf numFmtId="0" fontId="55" fillId="0" borderId="0" xfId="0" quotePrefix="1" applyFont="1" applyBorder="1" applyAlignment="1" applyProtection="1">
      <alignment horizontal="left"/>
      <protection locked="0"/>
    </xf>
    <xf numFmtId="0" fontId="55" fillId="0" borderId="3" xfId="0" applyFont="1" applyBorder="1" applyProtection="1">
      <protection locked="0"/>
    </xf>
    <xf numFmtId="0" fontId="55" fillId="0" borderId="3" xfId="0" quotePrefix="1" applyFont="1" applyBorder="1" applyAlignment="1" applyProtection="1">
      <alignment horizontal="left"/>
      <protection locked="0"/>
    </xf>
    <xf numFmtId="0" fontId="55" fillId="0" borderId="0" xfId="0" applyFont="1" applyBorder="1" applyAlignment="1" applyProtection="1">
      <alignment horizontal="left"/>
      <protection locked="0"/>
    </xf>
    <xf numFmtId="0" fontId="4" fillId="2" borderId="3" xfId="0" applyFont="1" applyFill="1" applyBorder="1" applyProtection="1">
      <protection locked="0"/>
    </xf>
    <xf numFmtId="180" fontId="0" fillId="0" borderId="0" xfId="0" applyNumberFormat="1" applyFont="1" applyAlignment="1">
      <alignment horizontal="left"/>
    </xf>
    <xf numFmtId="0" fontId="114" fillId="0" borderId="3" xfId="0" applyFont="1" applyBorder="1" applyAlignment="1" applyProtection="1">
      <alignment horizontal="left"/>
      <protection locked="0"/>
    </xf>
    <xf numFmtId="0" fontId="22" fillId="0" borderId="0" xfId="0" applyFont="1" applyProtection="1">
      <protection locked="0"/>
    </xf>
    <xf numFmtId="0" fontId="114" fillId="0" borderId="0" xfId="0" applyFont="1" applyBorder="1" applyAlignment="1" applyProtection="1">
      <alignment horizontal="left"/>
      <protection locked="0"/>
    </xf>
    <xf numFmtId="0" fontId="225" fillId="0" borderId="7" xfId="0" applyFont="1" applyBorder="1" applyAlignment="1" applyProtection="1">
      <alignment horizontal="left"/>
      <protection locked="0"/>
    </xf>
    <xf numFmtId="0" fontId="0" fillId="5" borderId="11" xfId="0" applyFont="1" applyFill="1" applyBorder="1" applyProtection="1">
      <protection locked="0"/>
    </xf>
    <xf numFmtId="0" fontId="94" fillId="0" borderId="1" xfId="0" applyFont="1" applyBorder="1" applyProtection="1">
      <protection locked="0"/>
    </xf>
    <xf numFmtId="0" fontId="114" fillId="0" borderId="2" xfId="0" applyFont="1" applyBorder="1" applyAlignment="1" applyProtection="1">
      <alignment horizontal="left"/>
      <protection locked="0"/>
    </xf>
    <xf numFmtId="0" fontId="114" fillId="0" borderId="7" xfId="0" applyFont="1" applyBorder="1" applyAlignment="1" applyProtection="1">
      <alignment horizontal="left"/>
      <protection locked="0"/>
    </xf>
    <xf numFmtId="0" fontId="114" fillId="0" borderId="1" xfId="0" applyFont="1" applyBorder="1" applyProtection="1">
      <protection locked="0"/>
    </xf>
    <xf numFmtId="0" fontId="114" fillId="0" borderId="6" xfId="0" applyFont="1" applyBorder="1" applyProtection="1">
      <protection locked="0"/>
    </xf>
    <xf numFmtId="0" fontId="114" fillId="0" borderId="3" xfId="0" applyFont="1" applyBorder="1" applyProtection="1">
      <protection locked="0"/>
    </xf>
    <xf numFmtId="0" fontId="114" fillId="0" borderId="4" xfId="0" applyFont="1" applyBorder="1" applyProtection="1">
      <protection locked="0"/>
    </xf>
    <xf numFmtId="0" fontId="114" fillId="0" borderId="0" xfId="0" applyFont="1" applyBorder="1" applyProtection="1">
      <protection locked="0"/>
    </xf>
    <xf numFmtId="0" fontId="114" fillId="0" borderId="31" xfId="0" applyFont="1" applyBorder="1" applyProtection="1">
      <protection locked="0"/>
    </xf>
    <xf numFmtId="180" fontId="113" fillId="20" borderId="19" xfId="0" applyNumberFormat="1" applyFont="1" applyFill="1" applyBorder="1" applyProtection="1">
      <protection locked="0"/>
    </xf>
    <xf numFmtId="0" fontId="114" fillId="0" borderId="5" xfId="0" applyFont="1" applyBorder="1" applyAlignment="1" applyProtection="1">
      <alignment horizontal="left"/>
      <protection locked="0"/>
    </xf>
    <xf numFmtId="0" fontId="0" fillId="0" borderId="31" xfId="0" quotePrefix="1" applyFont="1" applyBorder="1" applyAlignment="1" applyProtection="1">
      <alignment horizontal="left"/>
      <protection locked="0"/>
    </xf>
    <xf numFmtId="177" fontId="246" fillId="2" borderId="0" xfId="0" applyNumberFormat="1" applyFont="1" applyFill="1" applyBorder="1" applyProtection="1">
      <protection locked="0"/>
    </xf>
    <xf numFmtId="180" fontId="186" fillId="0" borderId="0" xfId="0" applyNumberFormat="1" applyFont="1" applyAlignment="1" applyProtection="1">
      <alignment horizontal="left"/>
      <protection locked="0"/>
    </xf>
    <xf numFmtId="180" fontId="186" fillId="6" borderId="8" xfId="0" applyNumberFormat="1" applyFont="1" applyFill="1" applyBorder="1" applyProtection="1">
      <protection locked="0"/>
    </xf>
    <xf numFmtId="180" fontId="76" fillId="0" borderId="8" xfId="0" applyNumberFormat="1" applyFont="1" applyBorder="1" applyProtection="1">
      <protection locked="0"/>
    </xf>
    <xf numFmtId="180" fontId="76" fillId="0" borderId="0" xfId="0" applyNumberFormat="1" applyFont="1" applyProtection="1">
      <protection locked="0"/>
    </xf>
    <xf numFmtId="176" fontId="186" fillId="0" borderId="8" xfId="5" applyFont="1" applyBorder="1" applyProtection="1">
      <protection locked="0"/>
    </xf>
    <xf numFmtId="180" fontId="186" fillId="6" borderId="61" xfId="0" applyNumberFormat="1" applyFont="1" applyFill="1" applyBorder="1" applyProtection="1">
      <protection locked="0"/>
    </xf>
    <xf numFmtId="180" fontId="186" fillId="0" borderId="61" xfId="0" applyNumberFormat="1" applyFont="1" applyBorder="1" applyProtection="1">
      <protection locked="0"/>
    </xf>
    <xf numFmtId="180" fontId="186" fillId="2" borderId="61" xfId="0" applyNumberFormat="1" applyFont="1" applyFill="1" applyBorder="1" applyProtection="1">
      <protection locked="0"/>
    </xf>
    <xf numFmtId="180" fontId="186" fillId="5" borderId="61" xfId="0" applyNumberFormat="1" applyFont="1" applyFill="1" applyBorder="1" applyProtection="1">
      <protection locked="0"/>
    </xf>
    <xf numFmtId="180" fontId="114" fillId="0" borderId="0" xfId="0" applyNumberFormat="1" applyFont="1" applyAlignment="1" applyProtection="1">
      <alignment horizontal="left"/>
      <protection locked="0"/>
    </xf>
    <xf numFmtId="180" fontId="114" fillId="6" borderId="8" xfId="0" applyNumberFormat="1" applyFont="1" applyFill="1" applyBorder="1" applyProtection="1">
      <protection locked="0"/>
    </xf>
    <xf numFmtId="180" fontId="228" fillId="3" borderId="8" xfId="0" applyNumberFormat="1" applyFont="1" applyFill="1" applyBorder="1" applyProtection="1">
      <protection locked="0"/>
    </xf>
    <xf numFmtId="0" fontId="114" fillId="0" borderId="7" xfId="0" applyFont="1" applyBorder="1" applyProtection="1">
      <protection locked="0"/>
    </xf>
    <xf numFmtId="180" fontId="228" fillId="6" borderId="8" xfId="0" applyNumberFormat="1" applyFont="1" applyFill="1" applyBorder="1" applyProtection="1">
      <protection locked="0"/>
    </xf>
    <xf numFmtId="180" fontId="228" fillId="0" borderId="0" xfId="0" applyNumberFormat="1" applyFont="1" applyAlignment="1" applyProtection="1">
      <alignment horizontal="left"/>
      <protection locked="0"/>
    </xf>
    <xf numFmtId="180" fontId="228" fillId="0" borderId="19" xfId="0" applyNumberFormat="1" applyFont="1" applyBorder="1" applyProtection="1">
      <protection locked="0"/>
    </xf>
    <xf numFmtId="180" fontId="228" fillId="2" borderId="19" xfId="0" applyNumberFormat="1" applyFont="1" applyFill="1" applyBorder="1" applyProtection="1">
      <protection locked="0"/>
    </xf>
    <xf numFmtId="0" fontId="56" fillId="0" borderId="4" xfId="0" applyFont="1" applyBorder="1" applyProtection="1">
      <protection locked="0"/>
    </xf>
    <xf numFmtId="0" fontId="56" fillId="0" borderId="31" xfId="0" applyFont="1" applyBorder="1" applyProtection="1">
      <protection locked="0"/>
    </xf>
    <xf numFmtId="180" fontId="186" fillId="0" borderId="19" xfId="0" applyNumberFormat="1" applyFont="1" applyBorder="1" applyProtection="1">
      <protection locked="0"/>
    </xf>
    <xf numFmtId="180" fontId="186" fillId="0" borderId="8" xfId="0" applyNumberFormat="1" applyFont="1" applyFill="1" applyBorder="1" applyProtection="1">
      <protection locked="0"/>
    </xf>
    <xf numFmtId="180" fontId="118" fillId="21" borderId="9" xfId="0" applyNumberFormat="1" applyFont="1" applyFill="1" applyBorder="1" applyAlignment="1" applyProtection="1">
      <protection locked="0"/>
    </xf>
    <xf numFmtId="180" fontId="118" fillId="21" borderId="10" xfId="0" applyNumberFormat="1" applyFont="1" applyFill="1" applyBorder="1" applyAlignment="1" applyProtection="1">
      <protection locked="0"/>
    </xf>
    <xf numFmtId="180" fontId="113" fillId="21" borderId="9" xfId="0" applyNumberFormat="1" applyFont="1" applyFill="1" applyBorder="1" applyAlignment="1" applyProtection="1">
      <protection locked="0"/>
    </xf>
    <xf numFmtId="180" fontId="113" fillId="21" borderId="10" xfId="0" applyNumberFormat="1" applyFont="1" applyFill="1" applyBorder="1" applyAlignment="1" applyProtection="1">
      <protection locked="0"/>
    </xf>
    <xf numFmtId="180" fontId="135" fillId="21" borderId="9" xfId="0" applyNumberFormat="1" applyFont="1" applyFill="1" applyBorder="1" applyAlignment="1" applyProtection="1">
      <protection locked="0"/>
    </xf>
    <xf numFmtId="180" fontId="135" fillId="21" borderId="10" xfId="0" applyNumberFormat="1" applyFont="1" applyFill="1" applyBorder="1" applyAlignment="1" applyProtection="1">
      <protection locked="0"/>
    </xf>
    <xf numFmtId="180" fontId="59" fillId="19" borderId="8" xfId="0" applyNumberFormat="1" applyFont="1" applyFill="1" applyBorder="1" applyAlignment="1" applyProtection="1">
      <protection locked="0"/>
    </xf>
    <xf numFmtId="0" fontId="56" fillId="19" borderId="8" xfId="0" applyFont="1" applyFill="1" applyBorder="1" applyAlignment="1" applyProtection="1">
      <protection locked="0"/>
    </xf>
    <xf numFmtId="180" fontId="223" fillId="21" borderId="5" xfId="12" applyNumberFormat="1" applyFont="1" applyFill="1" applyBorder="1" applyAlignment="1" applyProtection="1">
      <protection locked="0"/>
    </xf>
    <xf numFmtId="180" fontId="223" fillId="21" borderId="6" xfId="12" applyNumberFormat="1" applyFont="1" applyFill="1" applyBorder="1" applyAlignment="1" applyProtection="1">
      <protection locked="0"/>
    </xf>
    <xf numFmtId="180" fontId="223" fillId="21" borderId="9" xfId="12" applyNumberFormat="1" applyFont="1" applyFill="1" applyBorder="1" applyAlignment="1" applyProtection="1">
      <protection locked="0"/>
    </xf>
    <xf numFmtId="180" fontId="223" fillId="21" borderId="10" xfId="12" applyNumberFormat="1" applyFont="1" applyFill="1" applyBorder="1" applyAlignment="1" applyProtection="1">
      <protection locked="0"/>
    </xf>
    <xf numFmtId="180" fontId="84" fillId="19" borderId="9" xfId="0" applyNumberFormat="1" applyFont="1" applyFill="1" applyBorder="1" applyAlignment="1" applyProtection="1">
      <alignment horizontal="center"/>
      <protection locked="0"/>
    </xf>
    <xf numFmtId="180" fontId="84" fillId="19" borderId="15" xfId="0" applyNumberFormat="1" applyFont="1" applyFill="1" applyBorder="1" applyAlignment="1" applyProtection="1">
      <alignment horizontal="center"/>
      <protection locked="0"/>
    </xf>
    <xf numFmtId="180" fontId="84" fillId="19" borderId="10" xfId="0" applyNumberFormat="1" applyFont="1" applyFill="1" applyBorder="1" applyAlignment="1" applyProtection="1">
      <alignment horizontal="center"/>
      <protection locked="0"/>
    </xf>
    <xf numFmtId="180" fontId="216" fillId="19" borderId="8" xfId="0" applyNumberFormat="1" applyFont="1" applyFill="1" applyBorder="1" applyAlignment="1" applyProtection="1">
      <alignment horizontal="center"/>
      <protection locked="0"/>
    </xf>
    <xf numFmtId="180" fontId="0" fillId="15" borderId="60" xfId="0" applyNumberFormat="1" applyFont="1" applyFill="1" applyBorder="1" applyAlignment="1" applyProtection="1">
      <alignment horizontal="center"/>
      <protection locked="0"/>
    </xf>
    <xf numFmtId="180" fontId="0" fillId="15" borderId="72" xfId="0" applyNumberFormat="1" applyFont="1" applyFill="1" applyBorder="1" applyAlignment="1" applyProtection="1">
      <alignment horizontal="center"/>
      <protection locked="0"/>
    </xf>
    <xf numFmtId="180" fontId="0" fillId="15" borderId="14" xfId="0" applyNumberFormat="1" applyFont="1" applyFill="1" applyBorder="1" applyAlignment="1" applyProtection="1">
      <alignment horizontal="center"/>
      <protection locked="0"/>
    </xf>
    <xf numFmtId="180" fontId="60" fillId="2" borderId="58" xfId="0" applyNumberFormat="1" applyFont="1" applyFill="1" applyBorder="1" applyAlignment="1" applyProtection="1">
      <alignment horizontal="center"/>
      <protection locked="0"/>
    </xf>
    <xf numFmtId="180" fontId="60" fillId="2" borderId="62" xfId="0" applyNumberFormat="1" applyFont="1" applyFill="1" applyBorder="1" applyAlignment="1" applyProtection="1">
      <alignment horizontal="center"/>
      <protection locked="0"/>
    </xf>
    <xf numFmtId="180" fontId="60" fillId="2" borderId="12" xfId="0" applyNumberFormat="1" applyFont="1" applyFill="1" applyBorder="1" applyAlignment="1" applyProtection="1">
      <alignment horizontal="center"/>
      <protection locked="0"/>
    </xf>
    <xf numFmtId="180" fontId="217" fillId="21" borderId="9" xfId="0" applyNumberFormat="1" applyFont="1" applyFill="1" applyBorder="1" applyAlignment="1" applyProtection="1">
      <protection locked="0"/>
    </xf>
    <xf numFmtId="0" fontId="216" fillId="21" borderId="10" xfId="0" applyFont="1" applyFill="1" applyBorder="1" applyAlignment="1"/>
    <xf numFmtId="180" fontId="85" fillId="2" borderId="9" xfId="0" applyNumberFormat="1" applyFont="1" applyFill="1" applyBorder="1" applyAlignment="1" applyProtection="1">
      <alignment horizontal="center"/>
      <protection locked="0"/>
    </xf>
    <xf numFmtId="180" fontId="85" fillId="2" borderId="15" xfId="0" applyNumberFormat="1" applyFont="1" applyFill="1" applyBorder="1" applyAlignment="1" applyProtection="1">
      <alignment horizontal="center"/>
      <protection locked="0"/>
    </xf>
    <xf numFmtId="180" fontId="85" fillId="2" borderId="10" xfId="0" applyNumberFormat="1" applyFont="1" applyFill="1" applyBorder="1" applyAlignment="1" applyProtection="1">
      <alignment horizontal="center"/>
      <protection locked="0"/>
    </xf>
    <xf numFmtId="180" fontId="84" fillId="19" borderId="2" xfId="0" applyNumberFormat="1" applyFont="1" applyFill="1" applyBorder="1" applyAlignment="1" applyProtection="1">
      <alignment horizontal="center"/>
      <protection locked="0"/>
    </xf>
    <xf numFmtId="180" fontId="84" fillId="19" borderId="3" xfId="0" applyNumberFormat="1" applyFont="1" applyFill="1" applyBorder="1" applyAlignment="1" applyProtection="1">
      <alignment horizontal="center"/>
      <protection locked="0"/>
    </xf>
    <xf numFmtId="180" fontId="84" fillId="19" borderId="4" xfId="0" applyNumberFormat="1" applyFont="1" applyFill="1" applyBorder="1" applyAlignment="1" applyProtection="1">
      <alignment horizontal="center"/>
      <protection locked="0"/>
    </xf>
    <xf numFmtId="180" fontId="59" fillId="21" borderId="9" xfId="0" applyNumberFormat="1" applyFont="1" applyFill="1" applyBorder="1" applyAlignment="1" applyProtection="1">
      <protection locked="0"/>
    </xf>
    <xf numFmtId="0" fontId="56" fillId="21" borderId="10" xfId="0" applyFont="1" applyFill="1" applyBorder="1" applyAlignment="1"/>
    <xf numFmtId="180" fontId="76" fillId="0" borderId="60" xfId="0" applyNumberFormat="1" applyFont="1" applyFill="1" applyBorder="1" applyAlignment="1" applyProtection="1">
      <alignment horizontal="center"/>
      <protection locked="0"/>
    </xf>
    <xf numFmtId="180" fontId="76" fillId="0" borderId="3" xfId="0" applyNumberFormat="1" applyFont="1" applyFill="1" applyBorder="1" applyAlignment="1" applyProtection="1">
      <alignment horizontal="center"/>
      <protection locked="0"/>
    </xf>
    <xf numFmtId="180" fontId="76" fillId="0" borderId="4" xfId="0" applyNumberFormat="1" applyFont="1" applyFill="1" applyBorder="1" applyAlignment="1" applyProtection="1">
      <alignment horizontal="center"/>
      <protection locked="0"/>
    </xf>
    <xf numFmtId="180" fontId="59" fillId="21" borderId="10" xfId="0" applyNumberFormat="1" applyFont="1" applyFill="1" applyBorder="1" applyAlignment="1" applyProtection="1">
      <protection locked="0"/>
    </xf>
    <xf numFmtId="180" fontId="191" fillId="0" borderId="0" xfId="0" applyNumberFormat="1" applyFont="1" applyFill="1" applyAlignment="1" applyProtection="1">
      <alignment horizontal="center" wrapText="1"/>
      <protection locked="0"/>
    </xf>
    <xf numFmtId="181" fontId="42" fillId="0" borderId="7" xfId="13" applyNumberFormat="1" applyFill="1" applyBorder="1" applyAlignment="1">
      <alignment horizontal="center" vertical="center" wrapText="1"/>
    </xf>
    <xf numFmtId="181" fontId="42" fillId="42" borderId="5" xfId="13" applyNumberFormat="1" applyFill="1" applyBorder="1"/>
    <xf numFmtId="181" fontId="42" fillId="42" borderId="1" xfId="13" applyNumberFormat="1" applyFill="1" applyBorder="1"/>
    <xf numFmtId="181" fontId="42" fillId="42" borderId="6" xfId="13" applyNumberFormat="1" applyFill="1" applyBorder="1"/>
    <xf numFmtId="181" fontId="0" fillId="42" borderId="3" xfId="0" applyNumberFormat="1" applyFill="1" applyBorder="1" applyAlignment="1">
      <alignment horizontal="center" vertical="top" wrapText="1"/>
    </xf>
    <xf numFmtId="181" fontId="0" fillId="42" borderId="0" xfId="0" applyNumberFormat="1" applyFill="1" applyBorder="1" applyAlignment="1">
      <alignment horizontal="center" vertical="top" wrapText="1"/>
    </xf>
    <xf numFmtId="181" fontId="0" fillId="42" borderId="2" xfId="0" applyNumberFormat="1" applyFill="1" applyBorder="1" applyAlignment="1">
      <alignment horizontal="center"/>
    </xf>
    <xf numFmtId="181" fontId="0" fillId="42" borderId="3" xfId="0" applyNumberFormat="1" applyFill="1" applyBorder="1" applyAlignment="1">
      <alignment horizontal="center"/>
    </xf>
    <xf numFmtId="181" fontId="42" fillId="42" borderId="5" xfId="0" applyNumberFormat="1" applyFont="1" applyFill="1" applyBorder="1"/>
    <xf numFmtId="181" fontId="0" fillId="42" borderId="1" xfId="0" applyNumberFormat="1" applyFill="1" applyBorder="1"/>
    <xf numFmtId="181" fontId="0" fillId="42" borderId="6" xfId="0" applyNumberFormat="1" applyFill="1" applyBorder="1"/>
    <xf numFmtId="181" fontId="42" fillId="42" borderId="2" xfId="13" applyNumberFormat="1" applyFont="1" applyFill="1" applyBorder="1"/>
    <xf numFmtId="181" fontId="42" fillId="42" borderId="3" xfId="13" applyNumberFormat="1" applyFont="1" applyFill="1" applyBorder="1"/>
    <xf numFmtId="181" fontId="42" fillId="42" borderId="4" xfId="13" applyNumberFormat="1" applyFont="1" applyFill="1" applyBorder="1"/>
    <xf numFmtId="181" fontId="204" fillId="42" borderId="7" xfId="13" applyNumberFormat="1" applyFont="1" applyFill="1" applyBorder="1"/>
    <xf numFmtId="181" fontId="204" fillId="42" borderId="0" xfId="13" applyNumberFormat="1" applyFont="1" applyFill="1" applyBorder="1"/>
    <xf numFmtId="181" fontId="204" fillId="42" borderId="31" xfId="13" applyNumberFormat="1" applyFont="1" applyFill="1" applyBorder="1"/>
    <xf numFmtId="181" fontId="42" fillId="42" borderId="7" xfId="13" applyNumberFormat="1" applyFill="1" applyBorder="1"/>
    <xf numFmtId="181" fontId="42" fillId="42" borderId="0" xfId="13" applyNumberFormat="1" applyFill="1" applyBorder="1"/>
    <xf numFmtId="181" fontId="42" fillId="42" borderId="31" xfId="13" applyNumberFormat="1" applyFill="1" applyBorder="1"/>
    <xf numFmtId="181" fontId="42" fillId="42" borderId="0" xfId="13" applyNumberFormat="1" applyFill="1" applyBorder="1" applyAlignment="1">
      <alignment horizontal="center" vertical="top" wrapText="1"/>
    </xf>
    <xf numFmtId="181" fontId="42" fillId="42" borderId="7" xfId="0" applyNumberFormat="1" applyFont="1" applyFill="1" applyBorder="1"/>
    <xf numFmtId="181" fontId="0" fillId="42" borderId="0" xfId="0" applyNumberFormat="1" applyFill="1" applyBorder="1"/>
    <xf numFmtId="181" fontId="0" fillId="42" borderId="31" xfId="0" applyNumberFormat="1" applyFill="1" applyBorder="1"/>
    <xf numFmtId="181" fontId="0" fillId="42" borderId="7" xfId="0" applyNumberFormat="1" applyFill="1" applyBorder="1" applyAlignment="1">
      <alignment horizontal="center"/>
    </xf>
    <xf numFmtId="181" fontId="0" fillId="42" borderId="0" xfId="0" applyNumberFormat="1" applyFill="1" applyBorder="1" applyAlignment="1">
      <alignment horizontal="center"/>
    </xf>
    <xf numFmtId="181" fontId="0" fillId="42" borderId="7" xfId="0" applyNumberFormat="1" applyFill="1" applyBorder="1"/>
    <xf numFmtId="0" fontId="189" fillId="0" borderId="8" xfId="0" applyFont="1" applyBorder="1" applyAlignment="1">
      <alignment horizontal="left" vertical="center"/>
    </xf>
    <xf numFmtId="0" fontId="42" fillId="0" borderId="26" xfId="0" applyFont="1" applyBorder="1" applyAlignment="1">
      <alignment horizontal="center" vertical="center" wrapText="1"/>
    </xf>
    <xf numFmtId="0" fontId="42" fillId="0" borderId="38" xfId="0" applyFont="1" applyBorder="1" applyAlignment="1">
      <alignment horizontal="center" vertical="center" wrapText="1"/>
    </xf>
    <xf numFmtId="0" fontId="42" fillId="0" borderId="67" xfId="0" applyFont="1" applyBorder="1" applyAlignment="1">
      <alignment horizontal="center" vertical="center" wrapText="1"/>
    </xf>
    <xf numFmtId="183" fontId="123" fillId="0" borderId="66" xfId="3" applyNumberFormat="1" applyFont="1" applyFill="1" applyBorder="1" applyAlignment="1">
      <alignment horizontal="left" vertical="center" wrapText="1"/>
    </xf>
    <xf numFmtId="183" fontId="123" fillId="0" borderId="48" xfId="3" applyNumberFormat="1" applyFont="1" applyFill="1" applyBorder="1" applyAlignment="1">
      <alignment horizontal="left" vertical="center" wrapText="1"/>
    </xf>
    <xf numFmtId="183" fontId="123" fillId="0" borderId="50" xfId="3" applyNumberFormat="1" applyFont="1" applyFill="1" applyBorder="1" applyAlignment="1">
      <alignment horizontal="left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85" fontId="0" fillId="0" borderId="17" xfId="0" applyNumberFormat="1" applyBorder="1" applyAlignment="1">
      <alignment horizontal="center" vertical="center" wrapText="1"/>
    </xf>
    <xf numFmtId="0" fontId="91" fillId="0" borderId="17" xfId="0" applyFont="1" applyBorder="1" applyAlignment="1">
      <alignment horizontal="center" vertical="center" wrapText="1"/>
    </xf>
    <xf numFmtId="0" fontId="91" fillId="0" borderId="19" xfId="0" applyFont="1" applyBorder="1" applyAlignment="1">
      <alignment horizontal="center" vertical="center" wrapText="1"/>
    </xf>
    <xf numFmtId="0" fontId="87" fillId="0" borderId="17" xfId="0" applyFont="1" applyBorder="1" applyAlignment="1">
      <alignment horizontal="center" vertical="center" wrapText="1"/>
    </xf>
    <xf numFmtId="0" fontId="87" fillId="0" borderId="19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90" fillId="0" borderId="17" xfId="0" applyFont="1" applyBorder="1" applyAlignment="1">
      <alignment horizontal="center" wrapText="1"/>
    </xf>
    <xf numFmtId="184" fontId="0" fillId="0" borderId="17" xfId="0" applyNumberFormat="1" applyBorder="1" applyAlignment="1">
      <alignment horizontal="center" wrapText="1"/>
    </xf>
    <xf numFmtId="0" fontId="90" fillId="0" borderId="17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91" fillId="0" borderId="17" xfId="0" applyFont="1" applyBorder="1" applyAlignment="1">
      <alignment horizontal="center" wrapText="1"/>
    </xf>
    <xf numFmtId="0" fontId="91" fillId="0" borderId="18" xfId="0" applyFont="1" applyBorder="1" applyAlignment="1">
      <alignment horizontal="center" wrapText="1"/>
    </xf>
    <xf numFmtId="0" fontId="91" fillId="0" borderId="19" xfId="0" applyFont="1" applyBorder="1" applyAlignment="1">
      <alignment horizontal="center" wrapText="1"/>
    </xf>
    <xf numFmtId="0" fontId="87" fillId="0" borderId="17" xfId="0" applyFont="1" applyBorder="1" applyAlignment="1">
      <alignment horizontal="center" vertical="center"/>
    </xf>
    <xf numFmtId="0" fontId="87" fillId="0" borderId="18" xfId="0" applyFont="1" applyBorder="1" applyAlignment="1">
      <alignment horizontal="center" vertical="center"/>
    </xf>
    <xf numFmtId="0" fontId="87" fillId="0" borderId="19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84" fontId="0" fillId="0" borderId="17" xfId="0" applyNumberFormat="1" applyBorder="1" applyAlignment="1">
      <alignment horizontal="center" vertical="center"/>
    </xf>
    <xf numFmtId="184" fontId="0" fillId="0" borderId="17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wrapText="1"/>
    </xf>
    <xf numFmtId="0" fontId="87" fillId="0" borderId="18" xfId="0" applyFont="1" applyBorder="1" applyAlignment="1">
      <alignment horizontal="center" vertical="center" wrapText="1"/>
    </xf>
    <xf numFmtId="3" fontId="90" fillId="0" borderId="17" xfId="0" applyNumberFormat="1" applyFont="1" applyBorder="1" applyAlignment="1">
      <alignment horizontal="center" vertical="center" wrapText="1"/>
    </xf>
    <xf numFmtId="0" fontId="90" fillId="0" borderId="17" xfId="0" applyFont="1" applyBorder="1" applyAlignment="1">
      <alignment horizontal="center" vertical="center"/>
    </xf>
    <xf numFmtId="0" fontId="87" fillId="0" borderId="8" xfId="0" applyFont="1" applyBorder="1" applyAlignment="1">
      <alignment horizontal="center"/>
    </xf>
    <xf numFmtId="0" fontId="90" fillId="0" borderId="17" xfId="4" applyNumberFormat="1" applyFont="1" applyBorder="1" applyAlignment="1">
      <alignment horizontal="center" vertical="center" wrapText="1"/>
    </xf>
    <xf numFmtId="0" fontId="89" fillId="0" borderId="18" xfId="4" applyNumberFormat="1" applyFont="1" applyBorder="1" applyAlignment="1">
      <alignment horizontal="center" vertical="center" wrapText="1"/>
    </xf>
    <xf numFmtId="0" fontId="89" fillId="0" borderId="19" xfId="4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87" fillId="0" borderId="8" xfId="0" applyFont="1" applyBorder="1" applyAlignment="1">
      <alignment horizontal="center" vertical="center"/>
    </xf>
    <xf numFmtId="0" fontId="87" fillId="0" borderId="8" xfId="0" applyFont="1" applyBorder="1" applyAlignment="1">
      <alignment horizontal="center" vertical="center" wrapText="1"/>
    </xf>
    <xf numFmtId="0" fontId="88" fillId="0" borderId="8" xfId="0" applyFont="1" applyBorder="1" applyAlignment="1">
      <alignment horizontal="center" vertical="center"/>
    </xf>
    <xf numFmtId="0" fontId="210" fillId="39" borderId="47" xfId="20" applyFont="1" applyFill="1" applyBorder="1" applyAlignment="1">
      <alignment horizontal="center" vertical="center"/>
    </xf>
    <xf numFmtId="0" fontId="210" fillId="39" borderId="48" xfId="20" applyFont="1" applyFill="1" applyBorder="1" applyAlignment="1">
      <alignment horizontal="center" vertical="center"/>
    </xf>
    <xf numFmtId="0" fontId="210" fillId="39" borderId="49" xfId="20" applyFont="1" applyFill="1" applyBorder="1" applyAlignment="1">
      <alignment horizontal="center" vertical="center"/>
    </xf>
    <xf numFmtId="0" fontId="40" fillId="0" borderId="47" xfId="21" applyFont="1" applyFill="1" applyBorder="1" applyAlignment="1">
      <alignment horizontal="center" vertical="center"/>
    </xf>
    <xf numFmtId="0" fontId="40" fillId="0" borderId="48" xfId="21" applyFont="1" applyFill="1" applyBorder="1" applyAlignment="1">
      <alignment horizontal="center" vertical="center"/>
    </xf>
    <xf numFmtId="0" fontId="40" fillId="0" borderId="49" xfId="21" applyFont="1" applyFill="1" applyBorder="1" applyAlignment="1">
      <alignment horizontal="center" vertical="center"/>
    </xf>
    <xf numFmtId="0" fontId="39" fillId="0" borderId="47" xfId="0" applyFont="1" applyBorder="1" applyAlignment="1" applyProtection="1">
      <alignment horizontal="center" vertical="center" wrapText="1"/>
      <protection locked="0"/>
    </xf>
    <xf numFmtId="0" fontId="39" fillId="0" borderId="48" xfId="0" applyFont="1" applyBorder="1" applyAlignment="1" applyProtection="1">
      <alignment horizontal="center" vertical="center" wrapText="1"/>
      <protection locked="0"/>
    </xf>
    <xf numFmtId="0" fontId="39" fillId="0" borderId="49" xfId="0" applyFont="1" applyBorder="1" applyAlignment="1" applyProtection="1">
      <alignment horizontal="center" vertical="center" wrapText="1"/>
      <protection locked="0"/>
    </xf>
    <xf numFmtId="192" fontId="42" fillId="0" borderId="39" xfId="0" applyNumberFormat="1" applyFont="1" applyFill="1" applyBorder="1" applyAlignment="1">
      <alignment horizontal="center" vertical="center"/>
    </xf>
    <xf numFmtId="192" fontId="42" fillId="0" borderId="68" xfId="0" applyNumberFormat="1" applyFont="1" applyFill="1" applyBorder="1" applyAlignment="1">
      <alignment horizontal="center" vertical="center"/>
    </xf>
    <xf numFmtId="192" fontId="42" fillId="0" borderId="41" xfId="0" applyNumberFormat="1" applyFont="1" applyFill="1" applyBorder="1" applyAlignment="1">
      <alignment horizontal="center" vertical="center"/>
    </xf>
    <xf numFmtId="192" fontId="42" fillId="0" borderId="57" xfId="0" applyNumberFormat="1" applyFont="1" applyFill="1" applyBorder="1" applyAlignment="1">
      <alignment horizontal="center" vertical="center"/>
    </xf>
    <xf numFmtId="192" fontId="42" fillId="0" borderId="75" xfId="0" applyNumberFormat="1" applyFont="1" applyFill="1" applyBorder="1" applyAlignment="1">
      <alignment horizontal="center" vertical="center"/>
    </xf>
    <xf numFmtId="192" fontId="42" fillId="0" borderId="63" xfId="0" applyNumberFormat="1" applyFont="1" applyFill="1" applyBorder="1" applyAlignment="1">
      <alignment horizontal="center" vertical="center"/>
    </xf>
    <xf numFmtId="192" fontId="42" fillId="0" borderId="76" xfId="0" applyNumberFormat="1" applyFont="1" applyFill="1" applyBorder="1" applyAlignment="1">
      <alignment horizontal="center" vertical="center"/>
    </xf>
    <xf numFmtId="192" fontId="42" fillId="0" borderId="56" xfId="0" applyNumberFormat="1" applyFont="1" applyFill="1" applyBorder="1" applyAlignment="1">
      <alignment horizontal="center" vertical="center"/>
    </xf>
    <xf numFmtId="192" fontId="42" fillId="0" borderId="77" xfId="0" applyNumberFormat="1" applyFont="1" applyFill="1" applyBorder="1" applyAlignment="1">
      <alignment horizontal="center" vertical="center"/>
    </xf>
    <xf numFmtId="192" fontId="42" fillId="0" borderId="65" xfId="0" applyNumberFormat="1" applyFont="1" applyFill="1" applyBorder="1" applyAlignment="1">
      <alignment horizontal="center" vertical="center"/>
    </xf>
    <xf numFmtId="192" fontId="42" fillId="0" borderId="2" xfId="0" applyNumberFormat="1" applyFont="1" applyFill="1" applyBorder="1" applyAlignment="1">
      <alignment horizontal="center" vertical="center"/>
    </xf>
    <xf numFmtId="192" fontId="42" fillId="0" borderId="60" xfId="0" applyNumberFormat="1" applyFont="1" applyFill="1" applyBorder="1" applyAlignment="1">
      <alignment horizontal="center" vertical="center"/>
    </xf>
    <xf numFmtId="0" fontId="208" fillId="39" borderId="47" xfId="20" applyFont="1" applyFill="1" applyBorder="1" applyAlignment="1">
      <alignment horizontal="center" vertical="center"/>
    </xf>
    <xf numFmtId="0" fontId="208" fillId="39" borderId="48" xfId="20" applyFont="1" applyFill="1" applyBorder="1" applyAlignment="1">
      <alignment horizontal="center" vertical="center"/>
    </xf>
    <xf numFmtId="0" fontId="208" fillId="39" borderId="49" xfId="20" applyFont="1" applyFill="1" applyBorder="1" applyAlignment="1">
      <alignment horizontal="center" vertical="center"/>
    </xf>
    <xf numFmtId="9" fontId="39" fillId="0" borderId="47" xfId="0" applyNumberFormat="1" applyFont="1" applyBorder="1" applyAlignment="1" applyProtection="1">
      <alignment horizontal="center" vertical="center" wrapText="1"/>
      <protection locked="0"/>
    </xf>
    <xf numFmtId="0" fontId="40" fillId="0" borderId="47" xfId="0" applyFont="1" applyFill="1" applyBorder="1" applyAlignment="1">
      <alignment horizontal="center" vertical="center"/>
    </xf>
    <xf numFmtId="0" fontId="40" fillId="0" borderId="48" xfId="0" applyFont="1" applyFill="1" applyBorder="1" applyAlignment="1">
      <alignment horizontal="center" vertical="center"/>
    </xf>
    <xf numFmtId="0" fontId="40" fillId="0" borderId="49" xfId="0" applyFont="1" applyFill="1" applyBorder="1" applyAlignment="1">
      <alignment horizontal="center" vertical="center"/>
    </xf>
    <xf numFmtId="0" fontId="205" fillId="20" borderId="40" xfId="0" applyFont="1" applyFill="1" applyBorder="1" applyAlignment="1">
      <alignment horizontal="center" vertical="center" wrapText="1"/>
    </xf>
    <xf numFmtId="192" fontId="42" fillId="0" borderId="76" xfId="0" applyNumberFormat="1" applyFont="1" applyFill="1" applyBorder="1" applyAlignment="1">
      <alignment horizontal="center" vertical="center" wrapText="1"/>
    </xf>
    <xf numFmtId="192" fontId="42" fillId="0" borderId="56" xfId="0" applyNumberFormat="1" applyFont="1" applyFill="1" applyBorder="1" applyAlignment="1">
      <alignment horizontal="center" vertical="center" wrapText="1"/>
    </xf>
    <xf numFmtId="192" fontId="42" fillId="0" borderId="41" xfId="0" applyNumberFormat="1" applyFont="1" applyFill="1" applyBorder="1" applyAlignment="1">
      <alignment horizontal="center" vertical="center" wrapText="1"/>
    </xf>
    <xf numFmtId="192" fontId="42" fillId="0" borderId="57" xfId="0" applyNumberFormat="1" applyFont="1" applyFill="1" applyBorder="1" applyAlignment="1">
      <alignment horizontal="center" vertical="center" wrapText="1"/>
    </xf>
    <xf numFmtId="192" fontId="42" fillId="0" borderId="75" xfId="0" applyNumberFormat="1" applyFont="1" applyFill="1" applyBorder="1" applyAlignment="1">
      <alignment horizontal="center" vertical="center" wrapText="1"/>
    </xf>
    <xf numFmtId="192" fontId="42" fillId="0" borderId="63" xfId="0" applyNumberFormat="1" applyFont="1" applyFill="1" applyBorder="1" applyAlignment="1">
      <alignment horizontal="center" vertical="center" wrapText="1"/>
    </xf>
    <xf numFmtId="192" fontId="42" fillId="19" borderId="76" xfId="0" applyNumberFormat="1" applyFont="1" applyFill="1" applyBorder="1" applyAlignment="1">
      <alignment horizontal="center" vertical="center"/>
    </xf>
    <xf numFmtId="192" fontId="42" fillId="19" borderId="56" xfId="0" applyNumberFormat="1" applyFont="1" applyFill="1" applyBorder="1" applyAlignment="1">
      <alignment horizontal="center" vertical="center"/>
    </xf>
    <xf numFmtId="0" fontId="205" fillId="19" borderId="40" xfId="0" applyFont="1" applyFill="1" applyBorder="1" applyAlignment="1">
      <alignment horizontal="center" vertical="center" wrapText="1"/>
    </xf>
    <xf numFmtId="192" fontId="42" fillId="19" borderId="41" xfId="0" applyNumberFormat="1" applyFont="1" applyFill="1" applyBorder="1" applyAlignment="1">
      <alignment horizontal="center" vertical="center"/>
    </xf>
    <xf numFmtId="192" fontId="42" fillId="19" borderId="57" xfId="0" applyNumberFormat="1" applyFont="1" applyFill="1" applyBorder="1" applyAlignment="1">
      <alignment horizontal="center" vertical="center"/>
    </xf>
    <xf numFmtId="192" fontId="42" fillId="19" borderId="75" xfId="0" applyNumberFormat="1" applyFont="1" applyFill="1" applyBorder="1" applyAlignment="1">
      <alignment horizontal="center" vertical="center"/>
    </xf>
    <xf numFmtId="192" fontId="42" fillId="19" borderId="63" xfId="0" applyNumberFormat="1" applyFont="1" applyFill="1" applyBorder="1" applyAlignment="1">
      <alignment horizontal="center" vertical="center"/>
    </xf>
    <xf numFmtId="192" fontId="42" fillId="0" borderId="42" xfId="0" applyNumberFormat="1" applyFont="1" applyFill="1" applyBorder="1" applyAlignment="1">
      <alignment horizontal="center" vertical="center"/>
    </xf>
    <xf numFmtId="192" fontId="42" fillId="19" borderId="76" xfId="0" applyNumberFormat="1" applyFont="1" applyFill="1" applyBorder="1" applyAlignment="1">
      <alignment horizontal="center" vertical="center" wrapText="1"/>
    </xf>
    <xf numFmtId="192" fontId="42" fillId="19" borderId="56" xfId="0" applyNumberFormat="1" applyFont="1" applyFill="1" applyBorder="1" applyAlignment="1">
      <alignment horizontal="center" vertical="center" wrapText="1"/>
    </xf>
    <xf numFmtId="192" fontId="42" fillId="19" borderId="41" xfId="0" applyNumberFormat="1" applyFont="1" applyFill="1" applyBorder="1" applyAlignment="1">
      <alignment horizontal="center" vertical="center" wrapText="1"/>
    </xf>
    <xf numFmtId="192" fontId="42" fillId="19" borderId="57" xfId="0" applyNumberFormat="1" applyFont="1" applyFill="1" applyBorder="1" applyAlignment="1">
      <alignment horizontal="center" vertical="center" wrapText="1"/>
    </xf>
    <xf numFmtId="192" fontId="42" fillId="19" borderId="75" xfId="0" applyNumberFormat="1" applyFont="1" applyFill="1" applyBorder="1" applyAlignment="1">
      <alignment horizontal="center" vertical="center" wrapText="1"/>
    </xf>
    <xf numFmtId="192" fontId="42" fillId="19" borderId="63" xfId="0" applyNumberFormat="1" applyFont="1" applyFill="1" applyBorder="1" applyAlignment="1">
      <alignment horizontal="center" vertical="center" wrapText="1"/>
    </xf>
    <xf numFmtId="192" fontId="42" fillId="0" borderId="20" xfId="0" applyNumberFormat="1" applyFont="1" applyFill="1" applyBorder="1" applyAlignment="1">
      <alignment horizontal="center" vertical="center" wrapText="1"/>
    </xf>
    <xf numFmtId="192" fontId="42" fillId="0" borderId="22" xfId="0" applyNumberFormat="1" applyFont="1" applyFill="1" applyBorder="1" applyAlignment="1">
      <alignment horizontal="center" vertical="center" wrapText="1"/>
    </xf>
    <xf numFmtId="192" fontId="42" fillId="0" borderId="23" xfId="0" applyNumberFormat="1" applyFont="1" applyFill="1" applyBorder="1" applyAlignment="1">
      <alignment horizontal="center" vertical="center" wrapText="1"/>
    </xf>
    <xf numFmtId="192" fontId="42" fillId="0" borderId="24" xfId="0" applyNumberFormat="1" applyFont="1" applyFill="1" applyBorder="1" applyAlignment="1">
      <alignment horizontal="center" vertical="center" wrapText="1"/>
    </xf>
    <xf numFmtId="0" fontId="39" fillId="39" borderId="48" xfId="20" applyFont="1" applyFill="1" applyBorder="1" applyAlignment="1">
      <alignment horizontal="center" vertical="center"/>
    </xf>
    <xf numFmtId="0" fontId="39" fillId="39" borderId="49" xfId="20" applyFont="1" applyFill="1" applyBorder="1" applyAlignment="1">
      <alignment horizontal="center" vertical="center"/>
    </xf>
    <xf numFmtId="0" fontId="40" fillId="0" borderId="47" xfId="21" applyFont="1" applyFill="1" applyBorder="1" applyAlignment="1">
      <alignment horizontal="center" vertical="center" wrapText="1"/>
    </xf>
    <xf numFmtId="0" fontId="40" fillId="0" borderId="48" xfId="21" applyFont="1" applyFill="1" applyBorder="1" applyAlignment="1">
      <alignment horizontal="center" vertical="center" wrapText="1"/>
    </xf>
    <xf numFmtId="0" fontId="40" fillId="0" borderId="49" xfId="21" applyFont="1" applyFill="1" applyBorder="1" applyAlignment="1">
      <alignment horizontal="center" vertical="center" wrapText="1"/>
    </xf>
    <xf numFmtId="0" fontId="40" fillId="0" borderId="34" xfId="0" applyFont="1" applyFill="1" applyBorder="1" applyAlignment="1">
      <alignment horizontal="center" vertical="center"/>
    </xf>
    <xf numFmtId="0" fontId="40" fillId="0" borderId="40" xfId="0" applyFont="1" applyFill="1" applyBorder="1" applyAlignment="1">
      <alignment horizontal="center" vertical="center"/>
    </xf>
    <xf numFmtId="0" fontId="40" fillId="0" borderId="27" xfId="0" applyFont="1" applyFill="1" applyBorder="1" applyAlignment="1">
      <alignment horizontal="center" vertical="center"/>
    </xf>
    <xf numFmtId="0" fontId="210" fillId="39" borderId="34" xfId="20" applyFont="1" applyFill="1" applyBorder="1" applyAlignment="1">
      <alignment horizontal="center" vertical="center"/>
    </xf>
    <xf numFmtId="0" fontId="210" fillId="39" borderId="40" xfId="20" applyFont="1" applyFill="1" applyBorder="1" applyAlignment="1">
      <alignment horizontal="center" vertical="center"/>
    </xf>
    <xf numFmtId="0" fontId="210" fillId="39" borderId="27" xfId="20" applyFont="1" applyFill="1" applyBorder="1" applyAlignment="1">
      <alignment horizontal="center" vertical="center"/>
    </xf>
    <xf numFmtId="0" fontId="210" fillId="19" borderId="47" xfId="20" applyFont="1" applyFill="1" applyBorder="1" applyAlignment="1">
      <alignment horizontal="center" vertical="center"/>
    </xf>
    <xf numFmtId="0" fontId="210" fillId="19" borderId="48" xfId="20" applyFont="1" applyFill="1" applyBorder="1" applyAlignment="1">
      <alignment horizontal="center" vertical="center"/>
    </xf>
    <xf numFmtId="0" fontId="210" fillId="19" borderId="49" xfId="20" applyFont="1" applyFill="1" applyBorder="1" applyAlignment="1">
      <alignment horizontal="center" vertical="center"/>
    </xf>
    <xf numFmtId="0" fontId="40" fillId="19" borderId="47" xfId="0" applyFont="1" applyFill="1" applyBorder="1" applyAlignment="1">
      <alignment horizontal="center" vertical="center"/>
    </xf>
    <xf numFmtId="0" fontId="40" fillId="19" borderId="48" xfId="0" applyFont="1" applyFill="1" applyBorder="1" applyAlignment="1">
      <alignment horizontal="center" vertical="center"/>
    </xf>
    <xf numFmtId="0" fontId="40" fillId="19" borderId="49" xfId="0" applyFont="1" applyFill="1" applyBorder="1" applyAlignment="1">
      <alignment horizontal="center" vertical="center"/>
    </xf>
    <xf numFmtId="0" fontId="210" fillId="26" borderId="47" xfId="0" applyFont="1" applyFill="1" applyBorder="1" applyAlignment="1">
      <alignment horizontal="center" vertical="center"/>
    </xf>
    <xf numFmtId="0" fontId="210" fillId="26" borderId="48" xfId="0" applyFont="1" applyFill="1" applyBorder="1" applyAlignment="1">
      <alignment horizontal="center" vertical="center"/>
    </xf>
    <xf numFmtId="0" fontId="210" fillId="26" borderId="49" xfId="0" applyFont="1" applyFill="1" applyBorder="1" applyAlignment="1">
      <alignment horizontal="center" vertical="center"/>
    </xf>
    <xf numFmtId="0" fontId="40" fillId="19" borderId="47" xfId="21" applyFont="1" applyFill="1" applyBorder="1" applyAlignment="1">
      <alignment horizontal="center" vertical="center"/>
    </xf>
    <xf numFmtId="0" fontId="40" fillId="19" borderId="48" xfId="21" applyFont="1" applyFill="1" applyBorder="1" applyAlignment="1">
      <alignment horizontal="center" vertical="center"/>
    </xf>
    <xf numFmtId="0" fontId="40" fillId="19" borderId="49" xfId="21" applyFont="1" applyFill="1" applyBorder="1" applyAlignment="1">
      <alignment horizontal="center" vertical="center"/>
    </xf>
    <xf numFmtId="0" fontId="39" fillId="44" borderId="34" xfId="0" applyFont="1" applyFill="1" applyBorder="1" applyAlignment="1">
      <alignment horizontal="center" vertical="center"/>
    </xf>
    <xf numFmtId="0" fontId="39" fillId="0" borderId="40" xfId="0" applyFont="1" applyBorder="1"/>
    <xf numFmtId="1" fontId="41" fillId="19" borderId="58" xfId="0" applyNumberFormat="1" applyFont="1" applyFill="1" applyBorder="1" applyAlignment="1">
      <alignment horizontal="center" vertical="center"/>
    </xf>
    <xf numFmtId="1" fontId="41" fillId="19" borderId="62" xfId="0" applyNumberFormat="1" applyFont="1" applyFill="1" applyBorder="1" applyAlignment="1">
      <alignment horizontal="center" vertical="center"/>
    </xf>
    <xf numFmtId="1" fontId="42" fillId="19" borderId="58" xfId="0" applyNumberFormat="1" applyFont="1" applyFill="1" applyBorder="1" applyAlignment="1">
      <alignment horizontal="center" vertical="center"/>
    </xf>
    <xf numFmtId="1" fontId="42" fillId="19" borderId="62" xfId="0" applyNumberFormat="1" applyFont="1" applyFill="1" applyBorder="1" applyAlignment="1">
      <alignment horizontal="center" vertical="center"/>
    </xf>
    <xf numFmtId="0" fontId="39" fillId="45" borderId="47" xfId="0" applyFont="1" applyFill="1" applyBorder="1" applyAlignment="1">
      <alignment horizontal="center" vertical="center"/>
    </xf>
    <xf numFmtId="0" fontId="40" fillId="19" borderId="48" xfId="0" applyFont="1" applyFill="1" applyBorder="1"/>
    <xf numFmtId="0" fontId="40" fillId="19" borderId="87" xfId="0" applyFont="1" applyFill="1" applyBorder="1"/>
    <xf numFmtId="0" fontId="39" fillId="45" borderId="34" xfId="0" applyFont="1" applyFill="1" applyBorder="1" applyAlignment="1">
      <alignment horizontal="center" vertical="center" wrapText="1"/>
    </xf>
    <xf numFmtId="0" fontId="39" fillId="45" borderId="35" xfId="0" applyFont="1" applyFill="1" applyBorder="1" applyAlignment="1">
      <alignment horizontal="center" vertical="center" wrapText="1"/>
    </xf>
    <xf numFmtId="0" fontId="39" fillId="45" borderId="37" xfId="0" applyFont="1" applyFill="1" applyBorder="1" applyAlignment="1">
      <alignment horizontal="center" vertical="center" wrapText="1"/>
    </xf>
    <xf numFmtId="0" fontId="39" fillId="45" borderId="27" xfId="0" applyFont="1" applyFill="1" applyBorder="1" applyAlignment="1">
      <alignment horizontal="center" vertical="center" wrapText="1"/>
    </xf>
    <xf numFmtId="0" fontId="39" fillId="45" borderId="11" xfId="0" applyFont="1" applyFill="1" applyBorder="1" applyAlignment="1">
      <alignment horizontal="center" vertical="center" wrapText="1"/>
    </xf>
    <xf numFmtId="0" fontId="39" fillId="45" borderId="28" xfId="0" applyFont="1" applyFill="1" applyBorder="1" applyAlignment="1">
      <alignment horizontal="center" vertical="center" wrapText="1"/>
    </xf>
    <xf numFmtId="0" fontId="167" fillId="19" borderId="11" xfId="0" applyFont="1" applyFill="1" applyBorder="1" applyAlignment="1">
      <alignment horizontal="center" wrapText="1"/>
    </xf>
    <xf numFmtId="0" fontId="104" fillId="19" borderId="28" xfId="0" applyFont="1" applyFill="1" applyBorder="1"/>
    <xf numFmtId="0" fontId="39" fillId="45" borderId="78" xfId="0" applyFont="1" applyFill="1" applyBorder="1" applyAlignment="1">
      <alignment horizontal="center" vertical="center" wrapText="1"/>
    </xf>
    <xf numFmtId="0" fontId="39" fillId="45" borderId="40" xfId="0" applyFont="1" applyFill="1" applyBorder="1" applyAlignment="1">
      <alignment horizontal="center" vertical="center" wrapText="1"/>
    </xf>
    <xf numFmtId="0" fontId="39" fillId="45" borderId="83" xfId="0" applyFont="1" applyFill="1" applyBorder="1" applyAlignment="1">
      <alignment horizontal="center" vertical="center" wrapText="1"/>
    </xf>
    <xf numFmtId="0" fontId="39" fillId="45" borderId="80" xfId="0" applyFont="1" applyFill="1" applyBorder="1" applyAlignment="1">
      <alignment horizontal="center" vertical="center" wrapText="1"/>
    </xf>
    <xf numFmtId="0" fontId="39" fillId="45" borderId="79" xfId="0" applyFont="1" applyFill="1" applyBorder="1" applyAlignment="1">
      <alignment horizontal="center" vertical="center" wrapText="1"/>
    </xf>
    <xf numFmtId="0" fontId="39" fillId="45" borderId="84" xfId="0" applyFont="1" applyFill="1" applyBorder="1" applyAlignment="1">
      <alignment horizontal="center" vertical="center" wrapText="1"/>
    </xf>
    <xf numFmtId="0" fontId="39" fillId="45" borderId="81" xfId="0" applyFont="1" applyFill="1" applyBorder="1" applyAlignment="1">
      <alignment horizontal="center" vertical="center" wrapText="1"/>
    </xf>
    <xf numFmtId="0" fontId="39" fillId="0" borderId="79" xfId="0" applyFont="1" applyFill="1" applyBorder="1" applyAlignment="1">
      <alignment horizontal="center" vertical="center"/>
    </xf>
    <xf numFmtId="0" fontId="39" fillId="0" borderId="78" xfId="0" applyFont="1" applyFill="1" applyBorder="1" applyAlignment="1">
      <alignment horizontal="center" vertical="center"/>
    </xf>
    <xf numFmtId="0" fontId="39" fillId="0" borderId="84" xfId="0" applyFont="1" applyFill="1" applyBorder="1" applyAlignment="1">
      <alignment horizontal="center" vertical="center"/>
    </xf>
    <xf numFmtId="0" fontId="39" fillId="0" borderId="83" xfId="0" applyFont="1" applyFill="1" applyBorder="1" applyAlignment="1">
      <alignment horizontal="center" vertical="center"/>
    </xf>
    <xf numFmtId="0" fontId="39" fillId="0" borderId="81" xfId="0" applyFont="1" applyFill="1" applyBorder="1" applyAlignment="1">
      <alignment horizontal="center" vertical="center"/>
    </xf>
    <xf numFmtId="0" fontId="39" fillId="0" borderId="80" xfId="0" applyFont="1" applyFill="1" applyBorder="1" applyAlignment="1">
      <alignment horizontal="center" vertical="center"/>
    </xf>
    <xf numFmtId="0" fontId="40" fillId="19" borderId="84" xfId="0" applyFont="1" applyFill="1" applyBorder="1" applyAlignment="1">
      <alignment vertical="center"/>
    </xf>
    <xf numFmtId="0" fontId="39" fillId="45" borderId="82" xfId="0" applyFont="1" applyFill="1" applyBorder="1" applyAlignment="1">
      <alignment horizontal="center" vertical="center" wrapText="1"/>
    </xf>
    <xf numFmtId="0" fontId="40" fillId="19" borderId="85" xfId="0" applyFont="1" applyFill="1" applyBorder="1" applyAlignment="1">
      <alignment vertical="center"/>
    </xf>
    <xf numFmtId="0" fontId="40" fillId="19" borderId="86" xfId="0" applyFont="1" applyFill="1" applyBorder="1" applyAlignment="1">
      <alignment vertical="center"/>
    </xf>
    <xf numFmtId="9" fontId="39" fillId="0" borderId="48" xfId="0" applyNumberFormat="1" applyFont="1" applyBorder="1" applyAlignment="1" applyProtection="1">
      <alignment horizontal="center" vertical="center" wrapText="1"/>
      <protection locked="0"/>
    </xf>
    <xf numFmtId="9" fontId="39" fillId="0" borderId="49" xfId="0" applyNumberFormat="1" applyFont="1" applyBorder="1" applyAlignment="1" applyProtection="1">
      <alignment horizontal="center" vertical="center" wrapText="1"/>
      <protection locked="0"/>
    </xf>
    <xf numFmtId="0" fontId="104" fillId="19" borderId="11" xfId="0" applyFont="1" applyFill="1" applyBorder="1" applyAlignment="1"/>
    <xf numFmtId="0" fontId="39" fillId="45" borderId="58" xfId="0" applyFont="1" applyFill="1" applyBorder="1" applyAlignment="1">
      <alignment horizontal="center"/>
    </xf>
    <xf numFmtId="0" fontId="39" fillId="45" borderId="62" xfId="0" applyFont="1" applyFill="1" applyBorder="1" applyAlignment="1">
      <alignment horizontal="center"/>
    </xf>
    <xf numFmtId="0" fontId="39" fillId="45" borderId="52" xfId="0" applyFont="1" applyFill="1" applyBorder="1" applyAlignment="1">
      <alignment horizontal="center"/>
    </xf>
    <xf numFmtId="0" fontId="40" fillId="45" borderId="40" xfId="0" applyFont="1" applyFill="1" applyBorder="1" applyAlignment="1">
      <alignment horizontal="center"/>
    </xf>
    <xf numFmtId="0" fontId="40" fillId="45" borderId="38" xfId="0" applyFont="1" applyFill="1" applyBorder="1" applyAlignment="1">
      <alignment horizontal="center"/>
    </xf>
    <xf numFmtId="0" fontId="40" fillId="45" borderId="27" xfId="0" applyFont="1" applyFill="1" applyBorder="1" applyAlignment="1">
      <alignment horizontal="center"/>
    </xf>
    <xf numFmtId="0" fontId="40" fillId="45" borderId="28" xfId="0" applyFont="1" applyFill="1" applyBorder="1" applyAlignment="1">
      <alignment horizontal="center"/>
    </xf>
    <xf numFmtId="0" fontId="40" fillId="45" borderId="11" xfId="0" applyFont="1" applyFill="1" applyBorder="1" applyAlignment="1">
      <alignment horizontal="center"/>
    </xf>
    <xf numFmtId="0" fontId="167" fillId="19" borderId="34" xfId="0" applyFont="1" applyFill="1" applyBorder="1" applyAlignment="1">
      <alignment horizontal="center" wrapText="1"/>
    </xf>
    <xf numFmtId="0" fontId="167" fillId="19" borderId="35" xfId="0" applyFont="1" applyFill="1" applyBorder="1" applyAlignment="1">
      <alignment horizontal="center" wrapText="1"/>
    </xf>
    <xf numFmtId="0" fontId="167" fillId="19" borderId="37" xfId="0" applyFont="1" applyFill="1" applyBorder="1" applyAlignment="1">
      <alignment horizontal="center" wrapText="1"/>
    </xf>
    <xf numFmtId="0" fontId="167" fillId="19" borderId="40" xfId="0" applyFont="1" applyFill="1" applyBorder="1" applyAlignment="1">
      <alignment horizontal="center" wrapText="1"/>
    </xf>
    <xf numFmtId="0" fontId="167" fillId="19" borderId="0" xfId="0" applyFont="1" applyFill="1" applyBorder="1" applyAlignment="1">
      <alignment horizontal="center" wrapText="1"/>
    </xf>
    <xf numFmtId="0" fontId="167" fillId="19" borderId="38" xfId="0" applyFont="1" applyFill="1" applyBorder="1" applyAlignment="1">
      <alignment horizontal="center" wrapText="1"/>
    </xf>
    <xf numFmtId="191" fontId="39" fillId="45" borderId="34" xfId="0" applyNumberFormat="1" applyFont="1" applyFill="1" applyBorder="1" applyAlignment="1">
      <alignment horizontal="center" vertical="center"/>
    </xf>
    <xf numFmtId="191" fontId="39" fillId="45" borderId="37" xfId="0" applyNumberFormat="1" applyFont="1" applyFill="1" applyBorder="1" applyAlignment="1">
      <alignment horizontal="center" vertical="center"/>
    </xf>
    <xf numFmtId="192" fontId="42" fillId="20" borderId="76" xfId="0" applyNumberFormat="1" applyFont="1" applyFill="1" applyBorder="1" applyAlignment="1">
      <alignment horizontal="center" vertical="center"/>
    </xf>
    <xf numFmtId="192" fontId="42" fillId="20" borderId="56" xfId="0" applyNumberFormat="1" applyFont="1" applyFill="1" applyBorder="1" applyAlignment="1">
      <alignment horizontal="center" vertical="center"/>
    </xf>
    <xf numFmtId="192" fontId="42" fillId="20" borderId="75" xfId="0" applyNumberFormat="1" applyFont="1" applyFill="1" applyBorder="1" applyAlignment="1">
      <alignment horizontal="center" vertical="center"/>
    </xf>
    <xf numFmtId="192" fontId="42" fillId="20" borderId="63" xfId="0" applyNumberFormat="1" applyFont="1" applyFill="1" applyBorder="1" applyAlignment="1">
      <alignment horizontal="center" vertical="center"/>
    </xf>
    <xf numFmtId="0" fontId="104" fillId="19" borderId="0" xfId="0" applyFont="1" applyFill="1" applyBorder="1" applyAlignment="1"/>
    <xf numFmtId="0" fontId="39" fillId="19" borderId="47" xfId="0" applyFont="1" applyFill="1" applyBorder="1" applyAlignment="1" applyProtection="1">
      <alignment horizontal="center" vertical="center" wrapText="1"/>
      <protection locked="0"/>
    </xf>
    <xf numFmtId="0" fontId="39" fillId="19" borderId="48" xfId="0" applyFont="1" applyFill="1" applyBorder="1" applyAlignment="1" applyProtection="1">
      <alignment horizontal="center" vertical="center" wrapText="1"/>
      <protection locked="0"/>
    </xf>
    <xf numFmtId="0" fontId="39" fillId="19" borderId="49" xfId="0" applyFont="1" applyFill="1" applyBorder="1" applyAlignment="1" applyProtection="1">
      <alignment horizontal="center" vertical="center" wrapText="1"/>
      <protection locked="0"/>
    </xf>
    <xf numFmtId="10" fontId="39" fillId="0" borderId="47" xfId="0" applyNumberFormat="1" applyFont="1" applyBorder="1" applyAlignment="1" applyProtection="1">
      <alignment horizontal="center" vertical="center" wrapText="1"/>
      <protection locked="0"/>
    </xf>
    <xf numFmtId="192" fontId="42" fillId="19" borderId="39" xfId="0" applyNumberFormat="1" applyFont="1" applyFill="1" applyBorder="1" applyAlignment="1">
      <alignment horizontal="center" vertical="center"/>
    </xf>
    <xf numFmtId="192" fontId="42" fillId="19" borderId="5" xfId="0" applyNumberFormat="1" applyFont="1" applyFill="1" applyBorder="1" applyAlignment="1">
      <alignment horizontal="center" vertical="center"/>
    </xf>
    <xf numFmtId="192" fontId="42" fillId="19" borderId="9" xfId="0" applyNumberFormat="1" applyFont="1" applyFill="1" applyBorder="1" applyAlignment="1">
      <alignment horizontal="center" vertical="center"/>
    </xf>
    <xf numFmtId="192" fontId="42" fillId="19" borderId="60" xfId="0" applyNumberFormat="1" applyFont="1" applyFill="1" applyBorder="1" applyAlignment="1">
      <alignment horizontal="center" vertical="center"/>
    </xf>
    <xf numFmtId="192" fontId="42" fillId="20" borderId="41" xfId="0" applyNumberFormat="1" applyFont="1" applyFill="1" applyBorder="1" applyAlignment="1">
      <alignment horizontal="center" vertical="center"/>
    </xf>
    <xf numFmtId="192" fontId="42" fillId="20" borderId="57" xfId="0" applyNumberFormat="1" applyFont="1" applyFill="1" applyBorder="1" applyAlignment="1">
      <alignment horizontal="center" vertical="center"/>
    </xf>
    <xf numFmtId="0" fontId="39" fillId="19" borderId="47" xfId="0" applyNumberFormat="1" applyFont="1" applyFill="1" applyBorder="1" applyAlignment="1" applyProtection="1">
      <alignment horizontal="center" vertical="center" wrapText="1"/>
      <protection locked="0"/>
    </xf>
    <xf numFmtId="0" fontId="39" fillId="19" borderId="48" xfId="0" applyNumberFormat="1" applyFont="1" applyFill="1" applyBorder="1" applyAlignment="1" applyProtection="1">
      <alignment horizontal="center" vertical="center" wrapText="1"/>
      <protection locked="0"/>
    </xf>
    <xf numFmtId="0" fontId="39" fillId="19" borderId="49" xfId="0" applyNumberFormat="1" applyFont="1" applyFill="1" applyBorder="1" applyAlignment="1" applyProtection="1">
      <alignment horizontal="center" vertical="center" wrapText="1"/>
      <protection locked="0"/>
    </xf>
    <xf numFmtId="195" fontId="39" fillId="19" borderId="47" xfId="0" applyNumberFormat="1" applyFont="1" applyFill="1" applyBorder="1" applyAlignment="1" applyProtection="1">
      <alignment horizontal="center" vertical="center" wrapText="1"/>
      <protection locked="0"/>
    </xf>
    <xf numFmtId="0" fontId="39" fillId="0" borderId="47" xfId="21" applyFont="1" applyFill="1" applyBorder="1" applyAlignment="1">
      <alignment horizontal="center" vertical="center" wrapText="1"/>
    </xf>
    <xf numFmtId="0" fontId="39" fillId="0" borderId="48" xfId="21" applyFont="1" applyFill="1" applyBorder="1" applyAlignment="1">
      <alignment horizontal="center" vertical="center" wrapText="1"/>
    </xf>
    <xf numFmtId="0" fontId="39" fillId="0" borderId="49" xfId="21" applyFont="1" applyFill="1" applyBorder="1" applyAlignment="1">
      <alignment horizontal="center" vertical="center" wrapText="1"/>
    </xf>
    <xf numFmtId="192" fontId="42" fillId="19" borderId="23" xfId="0" applyNumberFormat="1" applyFont="1" applyFill="1" applyBorder="1" applyAlignment="1">
      <alignment horizontal="center" vertical="center"/>
    </xf>
    <xf numFmtId="192" fontId="42" fillId="19" borderId="24" xfId="0" applyNumberFormat="1" applyFont="1" applyFill="1" applyBorder="1" applyAlignment="1">
      <alignment horizontal="center" vertical="center"/>
    </xf>
    <xf numFmtId="192" fontId="42" fillId="0" borderId="23" xfId="0" applyNumberFormat="1" applyFont="1" applyFill="1" applyBorder="1" applyAlignment="1">
      <alignment horizontal="center" vertical="center"/>
    </xf>
    <xf numFmtId="192" fontId="42" fillId="0" borderId="24" xfId="0" applyNumberFormat="1" applyFont="1" applyFill="1" applyBorder="1" applyAlignment="1">
      <alignment horizontal="center" vertical="center"/>
    </xf>
    <xf numFmtId="192" fontId="42" fillId="0" borderId="73" xfId="0" applyNumberFormat="1" applyFont="1" applyFill="1" applyBorder="1" applyAlignment="1">
      <alignment horizontal="center" vertical="center" wrapText="1"/>
    </xf>
    <xf numFmtId="192" fontId="42" fillId="0" borderId="71" xfId="0" applyNumberFormat="1" applyFont="1" applyFill="1" applyBorder="1" applyAlignment="1">
      <alignment horizontal="center" vertical="center" wrapText="1"/>
    </xf>
    <xf numFmtId="0" fontId="39" fillId="0" borderId="34" xfId="0" applyFont="1" applyBorder="1" applyAlignment="1" applyProtection="1">
      <alignment horizontal="center" vertical="center" wrapText="1"/>
      <protection locked="0"/>
    </xf>
    <xf numFmtId="0" fontId="39" fillId="0" borderId="40" xfId="0" applyFont="1" applyBorder="1" applyAlignment="1" applyProtection="1">
      <alignment horizontal="center" vertical="center" wrapText="1"/>
      <protection locked="0"/>
    </xf>
    <xf numFmtId="0" fontId="39" fillId="0" borderId="27" xfId="0" applyFont="1" applyBorder="1" applyAlignment="1" applyProtection="1">
      <alignment horizontal="center" vertical="center" wrapText="1"/>
      <protection locked="0"/>
    </xf>
    <xf numFmtId="0" fontId="197" fillId="0" borderId="0" xfId="0" applyFont="1" applyAlignment="1"/>
    <xf numFmtId="0" fontId="0" fillId="0" borderId="0" xfId="0" applyAlignment="1"/>
    <xf numFmtId="0" fontId="193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94" fillId="0" borderId="0" xfId="0" applyFont="1" applyAlignment="1"/>
    <xf numFmtId="0" fontId="199" fillId="0" borderId="0" xfId="0" applyFont="1" applyAlignment="1">
      <alignment horizontal="left" wrapText="1"/>
    </xf>
    <xf numFmtId="0" fontId="201" fillId="0" borderId="0" xfId="0" applyFont="1" applyAlignment="1">
      <alignment horizontal="left" wrapText="1"/>
    </xf>
    <xf numFmtId="0" fontId="197" fillId="0" borderId="0" xfId="0" applyFont="1" applyAlignment="1">
      <alignment horizontal="center"/>
    </xf>
    <xf numFmtId="0" fontId="201" fillId="0" borderId="0" xfId="0" applyFont="1" applyAlignment="1">
      <alignment horizontal="left"/>
    </xf>
    <xf numFmtId="0" fontId="199" fillId="0" borderId="0" xfId="0" applyFont="1" applyAlignment="1">
      <alignment horizontal="left" vertical="top" wrapText="1"/>
    </xf>
    <xf numFmtId="0" fontId="56" fillId="0" borderId="6" xfId="0" quotePrefix="1" applyFont="1" applyBorder="1" applyAlignment="1" applyProtection="1">
      <alignment horizontal="left"/>
      <protection locked="0"/>
    </xf>
  </cellXfs>
  <cellStyles count="24">
    <cellStyle name="40% - 輔色1" xfId="15" builtinId="31"/>
    <cellStyle name="40% - 輔色4" xfId="16" builtinId="43"/>
    <cellStyle name="60% - 輔色2" xfId="22" builtinId="36"/>
    <cellStyle name="Euro" xfId="9"/>
    <cellStyle name="Hyperlink 2" xfId="23"/>
    <cellStyle name="Normal 2" xfId="1"/>
    <cellStyle name="Normal 3" xfId="6"/>
    <cellStyle name="Normal 4 2" xfId="17"/>
    <cellStyle name="Normal 45" xfId="20"/>
    <cellStyle name="Normal 47" xfId="21"/>
    <cellStyle name="Normal 54" xfId="19"/>
    <cellStyle name="Standard 2" xfId="2"/>
    <cellStyle name="Standard 3" xfId="13"/>
    <cellStyle name="一般" xfId="0" builtinId="0"/>
    <cellStyle name="一般 2" xfId="8"/>
    <cellStyle name="一般 3" xfId="11"/>
    <cellStyle name="一般 4" xfId="12"/>
    <cellStyle name="中等" xfId="7" builtinId="28"/>
    <cellStyle name="好" xfId="3" builtinId="26"/>
    <cellStyle name="百分比" xfId="4" builtinId="5"/>
    <cellStyle name="計算方式" xfId="14" builtinId="22"/>
    <cellStyle name="貨幣" xfId="5" builtinId="4"/>
    <cellStyle name="超連結 2" xfId="10"/>
    <cellStyle name="壞" xfId="18" builtinId="2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FF00"/>
      <color rgb="FFFFFF99"/>
      <color rgb="FF00CCFF"/>
      <color rgb="FF04797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4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2562225</xdr:colOff>
      <xdr:row>737</xdr:row>
      <xdr:rowOff>19050</xdr:rowOff>
    </xdr:from>
    <xdr:to>
      <xdr:col>0</xdr:col>
      <xdr:colOff>3086100</xdr:colOff>
      <xdr:row>742</xdr:row>
      <xdr:rowOff>0</xdr:rowOff>
    </xdr:to>
    <xdr:sp macro="" textlink="">
      <xdr:nvSpPr>
        <xdr:cNvPr id="2" name="Geschweifte Klammer rechts 6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5372100" y="21717000"/>
          <a:ext cx="523875" cy="933450"/>
        </a:xfrm>
        <a:prstGeom prst="rightBrace">
          <a:avLst/>
        </a:prstGeom>
        <a:solidFill>
          <a:schemeClr val="accent2">
            <a:lumMod val="75000"/>
          </a:schemeClr>
        </a:solidFill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de-DE"/>
        </a:p>
      </xdr:txBody>
    </xdr:sp>
    <xdr:clientData/>
  </xdr:twoCellAnchor>
  <xdr:twoCellAnchor>
    <xdr:from>
      <xdr:col>0</xdr:col>
      <xdr:colOff>2628900</xdr:colOff>
      <xdr:row>742</xdr:row>
      <xdr:rowOff>28575</xdr:rowOff>
    </xdr:from>
    <xdr:to>
      <xdr:col>0</xdr:col>
      <xdr:colOff>3152775</xdr:colOff>
      <xdr:row>745</xdr:row>
      <xdr:rowOff>152400</xdr:rowOff>
    </xdr:to>
    <xdr:sp macro="" textlink="">
      <xdr:nvSpPr>
        <xdr:cNvPr id="3" name="Geschweifte Klammer rechts 7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/>
      </xdr:nvSpPr>
      <xdr:spPr>
        <a:xfrm>
          <a:off x="5438775" y="22698075"/>
          <a:ext cx="523875" cy="933450"/>
        </a:xfrm>
        <a:prstGeom prst="rightBrace">
          <a:avLst/>
        </a:prstGeom>
        <a:solidFill>
          <a:schemeClr val="accent2">
            <a:lumMod val="75000"/>
          </a:schemeClr>
        </a:solidFill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de-DE"/>
        </a:p>
      </xdr:txBody>
    </xdr:sp>
    <xdr:clientData/>
  </xdr:twoCellAnchor>
  <xdr:twoCellAnchor>
    <xdr:from>
      <xdr:col>0</xdr:col>
      <xdr:colOff>2835088</xdr:colOff>
      <xdr:row>782</xdr:row>
      <xdr:rowOff>56030</xdr:rowOff>
    </xdr:from>
    <xdr:to>
      <xdr:col>0</xdr:col>
      <xdr:colOff>2958353</xdr:colOff>
      <xdr:row>786</xdr:row>
      <xdr:rowOff>0</xdr:rowOff>
    </xdr:to>
    <xdr:sp macro="" textlink="">
      <xdr:nvSpPr>
        <xdr:cNvPr id="4" name="Geschweifte Klammer rechts 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/>
      </xdr:nvSpPr>
      <xdr:spPr>
        <a:xfrm>
          <a:off x="10236013" y="4523255"/>
          <a:ext cx="123265" cy="59167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2711824</xdr:colOff>
      <xdr:row>725</xdr:row>
      <xdr:rowOff>33618</xdr:rowOff>
    </xdr:from>
    <xdr:to>
      <xdr:col>0</xdr:col>
      <xdr:colOff>2767853</xdr:colOff>
      <xdr:row>727</xdr:row>
      <xdr:rowOff>134470</xdr:rowOff>
    </xdr:to>
    <xdr:sp macro="" textlink="">
      <xdr:nvSpPr>
        <xdr:cNvPr id="5" name="Geschweifte Klammer rechts 3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/>
      </xdr:nvSpPr>
      <xdr:spPr>
        <a:xfrm>
          <a:off x="10112749" y="11492193"/>
          <a:ext cx="56029" cy="424702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3204883</xdr:colOff>
      <xdr:row>777</xdr:row>
      <xdr:rowOff>22412</xdr:rowOff>
    </xdr:from>
    <xdr:to>
      <xdr:col>0</xdr:col>
      <xdr:colOff>3260912</xdr:colOff>
      <xdr:row>779</xdr:row>
      <xdr:rowOff>145677</xdr:rowOff>
    </xdr:to>
    <xdr:sp macro="" textlink="">
      <xdr:nvSpPr>
        <xdr:cNvPr id="6" name="Geschweifte Klammer rechts 2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/>
      </xdr:nvSpPr>
      <xdr:spPr>
        <a:xfrm>
          <a:off x="10605808" y="15852962"/>
          <a:ext cx="56029" cy="44711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2487706</xdr:colOff>
      <xdr:row>846</xdr:row>
      <xdr:rowOff>56029</xdr:rowOff>
    </xdr:from>
    <xdr:to>
      <xdr:col>0</xdr:col>
      <xdr:colOff>2588559</xdr:colOff>
      <xdr:row>861</xdr:row>
      <xdr:rowOff>78441</xdr:rowOff>
    </xdr:to>
    <xdr:sp macro="" textlink="">
      <xdr:nvSpPr>
        <xdr:cNvPr id="7" name="Geschweifte Klammer rechts 5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SpPr/>
      </xdr:nvSpPr>
      <xdr:spPr>
        <a:xfrm>
          <a:off x="9888631" y="21820654"/>
          <a:ext cx="100853" cy="302278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2643693</xdr:colOff>
      <xdr:row>807</xdr:row>
      <xdr:rowOff>56029</xdr:rowOff>
    </xdr:from>
    <xdr:to>
      <xdr:col>0</xdr:col>
      <xdr:colOff>2689412</xdr:colOff>
      <xdr:row>812</xdr:row>
      <xdr:rowOff>134471</xdr:rowOff>
    </xdr:to>
    <xdr:sp macro="" textlink="">
      <xdr:nvSpPr>
        <xdr:cNvPr id="8" name="Geschweifte Klammer rechts 4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SpPr/>
      </xdr:nvSpPr>
      <xdr:spPr>
        <a:xfrm>
          <a:off x="10044618" y="28221454"/>
          <a:ext cx="45719" cy="107856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3541059</xdr:colOff>
      <xdr:row>821</xdr:row>
      <xdr:rowOff>78441</xdr:rowOff>
    </xdr:from>
    <xdr:to>
      <xdr:col>0</xdr:col>
      <xdr:colOff>3619500</xdr:colOff>
      <xdr:row>831</xdr:row>
      <xdr:rowOff>0</xdr:rowOff>
    </xdr:to>
    <xdr:sp macro="" textlink="">
      <xdr:nvSpPr>
        <xdr:cNvPr id="9" name="Geschweifte Klammer rechts 11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SpPr/>
      </xdr:nvSpPr>
      <xdr:spPr>
        <a:xfrm>
          <a:off x="10941984" y="30444141"/>
          <a:ext cx="78441" cy="1921809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2487706</xdr:colOff>
      <xdr:row>862</xdr:row>
      <xdr:rowOff>56029</xdr:rowOff>
    </xdr:from>
    <xdr:to>
      <xdr:col>0</xdr:col>
      <xdr:colOff>2588559</xdr:colOff>
      <xdr:row>877</xdr:row>
      <xdr:rowOff>78441</xdr:rowOff>
    </xdr:to>
    <xdr:sp macro="" textlink="">
      <xdr:nvSpPr>
        <xdr:cNvPr id="10" name="Geschweifte Klammer rechts 5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SpPr/>
      </xdr:nvSpPr>
      <xdr:spPr>
        <a:xfrm>
          <a:off x="1163731" y="137930404"/>
          <a:ext cx="0" cy="305850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2812677</xdr:colOff>
      <xdr:row>862</xdr:row>
      <xdr:rowOff>100853</xdr:rowOff>
    </xdr:from>
    <xdr:to>
      <xdr:col>0</xdr:col>
      <xdr:colOff>3036794</xdr:colOff>
      <xdr:row>878</xdr:row>
      <xdr:rowOff>11206</xdr:rowOff>
    </xdr:to>
    <xdr:sp macro="" textlink="">
      <xdr:nvSpPr>
        <xdr:cNvPr id="11" name="Geschweifte Klammer rechts 1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SpPr/>
      </xdr:nvSpPr>
      <xdr:spPr>
        <a:xfrm>
          <a:off x="10213602" y="34867103"/>
          <a:ext cx="224117" cy="3110753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2835088</xdr:colOff>
      <xdr:row>786</xdr:row>
      <xdr:rowOff>56030</xdr:rowOff>
    </xdr:from>
    <xdr:to>
      <xdr:col>0</xdr:col>
      <xdr:colOff>2958353</xdr:colOff>
      <xdr:row>791</xdr:row>
      <xdr:rowOff>0</xdr:rowOff>
    </xdr:to>
    <xdr:sp macro="" textlink="">
      <xdr:nvSpPr>
        <xdr:cNvPr id="17" name="Geschweifte Klammer rechts 6"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SpPr/>
      </xdr:nvSpPr>
      <xdr:spPr>
        <a:xfrm>
          <a:off x="19875313" y="134072780"/>
          <a:ext cx="0" cy="1539408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5558117</xdr:colOff>
      <xdr:row>767</xdr:row>
      <xdr:rowOff>22412</xdr:rowOff>
    </xdr:from>
    <xdr:to>
      <xdr:col>0</xdr:col>
      <xdr:colOff>5703793</xdr:colOff>
      <xdr:row>773</xdr:row>
      <xdr:rowOff>0</xdr:rowOff>
    </xdr:to>
    <xdr:sp macro="" textlink="">
      <xdr:nvSpPr>
        <xdr:cNvPr id="18" name="Geschweifte Klammer rechts 16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SpPr/>
      </xdr:nvSpPr>
      <xdr:spPr>
        <a:xfrm>
          <a:off x="19874192" y="131610287"/>
          <a:ext cx="2801" cy="119202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5602941</xdr:colOff>
      <xdr:row>759</xdr:row>
      <xdr:rowOff>0</xdr:rowOff>
    </xdr:from>
    <xdr:to>
      <xdr:col>0</xdr:col>
      <xdr:colOff>5715000</xdr:colOff>
      <xdr:row>766</xdr:row>
      <xdr:rowOff>145676</xdr:rowOff>
    </xdr:to>
    <xdr:sp macro="" textlink="">
      <xdr:nvSpPr>
        <xdr:cNvPr id="19" name="Geschweifte Klammer rechts 17">
          <a:extLst>
            <a:ext uri="{FF2B5EF4-FFF2-40B4-BE49-F238E27FC236}">
              <a16:creationId xmlns:a16="http://schemas.microsoft.com/office/drawing/2014/main" xmlns="" id="{00000000-0008-0000-0100-000013000000}"/>
            </a:ext>
          </a:extLst>
        </xdr:cNvPr>
        <xdr:cNvSpPr/>
      </xdr:nvSpPr>
      <xdr:spPr>
        <a:xfrm>
          <a:off x="19880916" y="129968625"/>
          <a:ext cx="0" cy="156252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5558117</xdr:colOff>
      <xdr:row>759</xdr:row>
      <xdr:rowOff>22412</xdr:rowOff>
    </xdr:from>
    <xdr:to>
      <xdr:col>0</xdr:col>
      <xdr:colOff>5703793</xdr:colOff>
      <xdr:row>767</xdr:row>
      <xdr:rowOff>0</xdr:rowOff>
    </xdr:to>
    <xdr:sp macro="" textlink="">
      <xdr:nvSpPr>
        <xdr:cNvPr id="20" name="Geschweifte Klammer rechts 11">
          <a:extLst>
            <a:ext uri="{FF2B5EF4-FFF2-40B4-BE49-F238E27FC236}">
              <a16:creationId xmlns:a16="http://schemas.microsoft.com/office/drawing/2014/main" xmlns="" id="{00000000-0008-0000-0100-000014000000}"/>
            </a:ext>
          </a:extLst>
        </xdr:cNvPr>
        <xdr:cNvSpPr/>
      </xdr:nvSpPr>
      <xdr:spPr>
        <a:xfrm>
          <a:off x="19874192" y="129991037"/>
          <a:ext cx="2801" cy="1596838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30779</xdr:rowOff>
    </xdr:from>
    <xdr:to>
      <xdr:col>4</xdr:col>
      <xdr:colOff>761999</xdr:colOff>
      <xdr:row>4</xdr:row>
      <xdr:rowOff>228599</xdr:rowOff>
    </xdr:to>
    <xdr:pic>
      <xdr:nvPicPr>
        <xdr:cNvPr id="4809" name="Picture 59" descr="EETS logo">
          <a:extLst>
            <a:ext uri="{FF2B5EF4-FFF2-40B4-BE49-F238E27FC236}">
              <a16:creationId xmlns:a16="http://schemas.microsoft.com/office/drawing/2014/main" xmlns="" id="{00000000-0008-0000-0000-0000C9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30779"/>
          <a:ext cx="3695699" cy="10741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123825</xdr:colOff>
      <xdr:row>50</xdr:row>
      <xdr:rowOff>30779</xdr:rowOff>
    </xdr:from>
    <xdr:to>
      <xdr:col>4</xdr:col>
      <xdr:colOff>742949</xdr:colOff>
      <xdr:row>54</xdr:row>
      <xdr:rowOff>228599</xdr:rowOff>
    </xdr:to>
    <xdr:pic>
      <xdr:nvPicPr>
        <xdr:cNvPr id="5" name="Picture 59" descr="EETS logo">
          <a:extLst>
            <a:ext uri="{FF2B5EF4-FFF2-40B4-BE49-F238E27FC236}">
              <a16:creationId xmlns:a16="http://schemas.microsoft.com/office/drawing/2014/main" xmlns="" id="{00000000-0008-0000-0000-0000C9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10165379"/>
          <a:ext cx="3695699" cy="10741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50</xdr:row>
      <xdr:rowOff>200025</xdr:rowOff>
    </xdr:from>
    <xdr:to>
      <xdr:col>2</xdr:col>
      <xdr:colOff>400050</xdr:colOff>
      <xdr:row>53</xdr:row>
      <xdr:rowOff>57150</xdr:rowOff>
    </xdr:to>
    <xdr:pic>
      <xdr:nvPicPr>
        <xdr:cNvPr id="2897" name="Picture 15">
          <a:extLst>
            <a:ext uri="{FF2B5EF4-FFF2-40B4-BE49-F238E27FC236}">
              <a16:creationId xmlns:a16="http://schemas.microsoft.com/office/drawing/2014/main" xmlns="" id="{00000000-0008-0000-0400-00005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10344150"/>
          <a:ext cx="1952625" cy="5334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57150</xdr:colOff>
      <xdr:row>50</xdr:row>
      <xdr:rowOff>114300</xdr:rowOff>
    </xdr:from>
    <xdr:to>
      <xdr:col>4</xdr:col>
      <xdr:colOff>438150</xdr:colOff>
      <xdr:row>53</xdr:row>
      <xdr:rowOff>152400</xdr:rowOff>
    </xdr:to>
    <xdr:pic>
      <xdr:nvPicPr>
        <xdr:cNvPr id="2898" name="圖片 3">
          <a:extLst>
            <a:ext uri="{FF2B5EF4-FFF2-40B4-BE49-F238E27FC236}">
              <a16:creationId xmlns:a16="http://schemas.microsoft.com/office/drawing/2014/main" xmlns="" id="{00000000-0008-0000-0400-00005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28875" y="10258425"/>
          <a:ext cx="1114425" cy="7143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0</xdr:row>
      <xdr:rowOff>180975</xdr:rowOff>
    </xdr:from>
    <xdr:to>
      <xdr:col>2</xdr:col>
      <xdr:colOff>381000</xdr:colOff>
      <xdr:row>3</xdr:row>
      <xdr:rowOff>47625</xdr:rowOff>
    </xdr:to>
    <xdr:pic>
      <xdr:nvPicPr>
        <xdr:cNvPr id="2899" name="Picture 19">
          <a:extLst>
            <a:ext uri="{FF2B5EF4-FFF2-40B4-BE49-F238E27FC236}">
              <a16:creationId xmlns:a16="http://schemas.microsoft.com/office/drawing/2014/main" xmlns="" id="{00000000-0008-0000-0400-00005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7625" y="180975"/>
          <a:ext cx="1933575" cy="5429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104775</xdr:colOff>
      <xdr:row>0</xdr:row>
      <xdr:rowOff>85725</xdr:rowOff>
    </xdr:from>
    <xdr:to>
      <xdr:col>4</xdr:col>
      <xdr:colOff>523875</xdr:colOff>
      <xdr:row>3</xdr:row>
      <xdr:rowOff>123825</xdr:rowOff>
    </xdr:to>
    <xdr:pic>
      <xdr:nvPicPr>
        <xdr:cNvPr id="2900" name="圖片 3">
          <a:extLst>
            <a:ext uri="{FF2B5EF4-FFF2-40B4-BE49-F238E27FC236}">
              <a16:creationId xmlns:a16="http://schemas.microsoft.com/office/drawing/2014/main" xmlns="" id="{00000000-0008-0000-0400-00005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76500" y="85725"/>
          <a:ext cx="1152525" cy="7143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3390900</xdr:colOff>
      <xdr:row>124</xdr:row>
      <xdr:rowOff>9525</xdr:rowOff>
    </xdr:from>
    <xdr:to>
      <xdr:col>3</xdr:col>
      <xdr:colOff>3914775</xdr:colOff>
      <xdr:row>129</xdr:row>
      <xdr:rowOff>142875</xdr:rowOff>
    </xdr:to>
    <xdr:sp macro="" textlink="">
      <xdr:nvSpPr>
        <xdr:cNvPr id="13" name="Geschweifte Klammer rechts 1">
          <a:extLst>
            <a:ext uri="{FF2B5EF4-FFF2-40B4-BE49-F238E27FC236}">
              <a16:creationId xmlns:a16="http://schemas.microsoft.com/office/drawing/2014/main" xmlns="" id="{00000000-0008-0000-0600-00000D000000}"/>
            </a:ext>
          </a:extLst>
        </xdr:cNvPr>
        <xdr:cNvSpPr/>
      </xdr:nvSpPr>
      <xdr:spPr>
        <a:xfrm>
          <a:off x="7324725" y="20345400"/>
          <a:ext cx="523875" cy="942975"/>
        </a:xfrm>
        <a:prstGeom prst="rightBrace">
          <a:avLst/>
        </a:prstGeom>
        <a:solidFill>
          <a:schemeClr val="accent2">
            <a:lumMod val="75000"/>
          </a:schemeClr>
        </a:solidFill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de-DE"/>
        </a:p>
      </xdr:txBody>
    </xdr:sp>
    <xdr:clientData/>
  </xdr:twoCellAnchor>
  <xdr:twoCellAnchor>
    <xdr:from>
      <xdr:col>3</xdr:col>
      <xdr:colOff>2505075</xdr:colOff>
      <xdr:row>140</xdr:row>
      <xdr:rowOff>19050</xdr:rowOff>
    </xdr:from>
    <xdr:to>
      <xdr:col>3</xdr:col>
      <xdr:colOff>3028950</xdr:colOff>
      <xdr:row>142</xdr:row>
      <xdr:rowOff>142875</xdr:rowOff>
    </xdr:to>
    <xdr:sp macro="" textlink="">
      <xdr:nvSpPr>
        <xdr:cNvPr id="14" name="Geschweifte Klammer rechts 2">
          <a:extLst>
            <a:ext uri="{FF2B5EF4-FFF2-40B4-BE49-F238E27FC236}">
              <a16:creationId xmlns:a16="http://schemas.microsoft.com/office/drawing/2014/main" xmlns="" id="{00000000-0008-0000-0600-00000E000000}"/>
            </a:ext>
          </a:extLst>
        </xdr:cNvPr>
        <xdr:cNvSpPr/>
      </xdr:nvSpPr>
      <xdr:spPr>
        <a:xfrm>
          <a:off x="6438900" y="22945725"/>
          <a:ext cx="523875" cy="447675"/>
        </a:xfrm>
        <a:prstGeom prst="rightBrace">
          <a:avLst/>
        </a:prstGeom>
        <a:solidFill>
          <a:schemeClr val="accent2">
            <a:lumMod val="75000"/>
          </a:schemeClr>
        </a:solidFill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de-DE"/>
        </a:p>
      </xdr:txBody>
    </xdr:sp>
    <xdr:clientData/>
  </xdr:twoCellAnchor>
  <xdr:twoCellAnchor>
    <xdr:from>
      <xdr:col>3</xdr:col>
      <xdr:colOff>2647949</xdr:colOff>
      <xdr:row>61</xdr:row>
      <xdr:rowOff>38100</xdr:rowOff>
    </xdr:from>
    <xdr:to>
      <xdr:col>3</xdr:col>
      <xdr:colOff>3019425</xdr:colOff>
      <xdr:row>65</xdr:row>
      <xdr:rowOff>0</xdr:rowOff>
    </xdr:to>
    <xdr:sp macro="" textlink="">
      <xdr:nvSpPr>
        <xdr:cNvPr id="15" name="Geschweifte Klammer rechts 3">
          <a:extLst>
            <a:ext uri="{FF2B5EF4-FFF2-40B4-BE49-F238E27FC236}">
              <a16:creationId xmlns:a16="http://schemas.microsoft.com/office/drawing/2014/main" xmlns="" id="{00000000-0008-0000-0600-00000F000000}"/>
            </a:ext>
          </a:extLst>
        </xdr:cNvPr>
        <xdr:cNvSpPr/>
      </xdr:nvSpPr>
      <xdr:spPr>
        <a:xfrm>
          <a:off x="6581774" y="10172700"/>
          <a:ext cx="371476" cy="609600"/>
        </a:xfrm>
        <a:prstGeom prst="rightBrace">
          <a:avLst>
            <a:gd name="adj1" fmla="val 8333"/>
            <a:gd name="adj2" fmla="val 59375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de-DE"/>
        </a:p>
      </xdr:txBody>
    </xdr:sp>
    <xdr:clientData/>
  </xdr:twoCellAnchor>
  <xdr:twoCellAnchor>
    <xdr:from>
      <xdr:col>3</xdr:col>
      <xdr:colOff>2419350</xdr:colOff>
      <xdr:row>31</xdr:row>
      <xdr:rowOff>161924</xdr:rowOff>
    </xdr:from>
    <xdr:to>
      <xdr:col>3</xdr:col>
      <xdr:colOff>2790826</xdr:colOff>
      <xdr:row>36</xdr:row>
      <xdr:rowOff>9524</xdr:rowOff>
    </xdr:to>
    <xdr:sp macro="" textlink="">
      <xdr:nvSpPr>
        <xdr:cNvPr id="16" name="Geschweifte Klammer rechts 4">
          <a:extLst>
            <a:ext uri="{FF2B5EF4-FFF2-40B4-BE49-F238E27FC236}">
              <a16:creationId xmlns:a16="http://schemas.microsoft.com/office/drawing/2014/main" xmlns="" id="{00000000-0008-0000-0600-000010000000}"/>
            </a:ext>
          </a:extLst>
        </xdr:cNvPr>
        <xdr:cNvSpPr/>
      </xdr:nvSpPr>
      <xdr:spPr>
        <a:xfrm>
          <a:off x="6353175" y="5438774"/>
          <a:ext cx="371476" cy="657225"/>
        </a:xfrm>
        <a:prstGeom prst="rightBrace">
          <a:avLst>
            <a:gd name="adj1" fmla="val 8333"/>
            <a:gd name="adj2" fmla="val 59375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de-DE"/>
        </a:p>
      </xdr:txBody>
    </xdr:sp>
    <xdr:clientData/>
  </xdr:twoCellAnchor>
  <xdr:twoCellAnchor>
    <xdr:from>
      <xdr:col>7</xdr:col>
      <xdr:colOff>2812677</xdr:colOff>
      <xdr:row>173</xdr:row>
      <xdr:rowOff>100853</xdr:rowOff>
    </xdr:from>
    <xdr:to>
      <xdr:col>7</xdr:col>
      <xdr:colOff>3036794</xdr:colOff>
      <xdr:row>189</xdr:row>
      <xdr:rowOff>11206</xdr:rowOff>
    </xdr:to>
    <xdr:sp macro="" textlink="">
      <xdr:nvSpPr>
        <xdr:cNvPr id="6" name="Geschweifte Klammer rechts 1">
          <a:extLst>
            <a:ext uri="{FF2B5EF4-FFF2-40B4-BE49-F238E27FC236}">
              <a16:creationId xmlns:a16="http://schemas.microsoft.com/office/drawing/2014/main" xmlns="" id="{00000000-0008-0000-0600-000006000000}"/>
            </a:ext>
          </a:extLst>
        </xdr:cNvPr>
        <xdr:cNvSpPr/>
      </xdr:nvSpPr>
      <xdr:spPr>
        <a:xfrm>
          <a:off x="10213602" y="28513928"/>
          <a:ext cx="224117" cy="2501153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2487706</xdr:colOff>
      <xdr:row>108</xdr:row>
      <xdr:rowOff>56029</xdr:rowOff>
    </xdr:from>
    <xdr:to>
      <xdr:col>7</xdr:col>
      <xdr:colOff>2588559</xdr:colOff>
      <xdr:row>123</xdr:row>
      <xdr:rowOff>78441</xdr:rowOff>
    </xdr:to>
    <xdr:sp macro="" textlink="">
      <xdr:nvSpPr>
        <xdr:cNvPr id="7" name="Geschweifte Klammer rechts 5">
          <a:extLst>
            <a:ext uri="{FF2B5EF4-FFF2-40B4-BE49-F238E27FC236}">
              <a16:creationId xmlns:a16="http://schemas.microsoft.com/office/drawing/2014/main" xmlns="" id="{00000000-0008-0000-0600-000007000000}"/>
            </a:ext>
          </a:extLst>
        </xdr:cNvPr>
        <xdr:cNvSpPr/>
      </xdr:nvSpPr>
      <xdr:spPr>
        <a:xfrm>
          <a:off x="9888631" y="17934454"/>
          <a:ext cx="100853" cy="245128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616324</xdr:colOff>
      <xdr:row>1</xdr:row>
      <xdr:rowOff>78441</xdr:rowOff>
    </xdr:from>
    <xdr:to>
      <xdr:col>7</xdr:col>
      <xdr:colOff>662043</xdr:colOff>
      <xdr:row>4</xdr:row>
      <xdr:rowOff>134471</xdr:rowOff>
    </xdr:to>
    <xdr:sp macro="" textlink="">
      <xdr:nvSpPr>
        <xdr:cNvPr id="8" name="Geschweifte Klammer rechts 7">
          <a:extLst>
            <a:ext uri="{FF2B5EF4-FFF2-40B4-BE49-F238E27FC236}">
              <a16:creationId xmlns:a16="http://schemas.microsoft.com/office/drawing/2014/main" xmlns="" id="{00000000-0008-0000-0600-000008000000}"/>
            </a:ext>
          </a:extLst>
        </xdr:cNvPr>
        <xdr:cNvSpPr/>
      </xdr:nvSpPr>
      <xdr:spPr>
        <a:xfrm>
          <a:off x="8017249" y="268941"/>
          <a:ext cx="45719" cy="54180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661147</xdr:colOff>
      <xdr:row>31</xdr:row>
      <xdr:rowOff>56029</xdr:rowOff>
    </xdr:from>
    <xdr:to>
      <xdr:col>7</xdr:col>
      <xdr:colOff>706866</xdr:colOff>
      <xdr:row>34</xdr:row>
      <xdr:rowOff>89647</xdr:rowOff>
    </xdr:to>
    <xdr:sp macro="" textlink="">
      <xdr:nvSpPr>
        <xdr:cNvPr id="9" name="Geschweifte Klammer rechts 8">
          <a:extLst>
            <a:ext uri="{FF2B5EF4-FFF2-40B4-BE49-F238E27FC236}">
              <a16:creationId xmlns:a16="http://schemas.microsoft.com/office/drawing/2014/main" xmlns="" id="{00000000-0008-0000-0600-000009000000}"/>
            </a:ext>
          </a:extLst>
        </xdr:cNvPr>
        <xdr:cNvSpPr/>
      </xdr:nvSpPr>
      <xdr:spPr>
        <a:xfrm>
          <a:off x="8062072" y="5170954"/>
          <a:ext cx="45719" cy="519393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660252</xdr:colOff>
      <xdr:row>43</xdr:row>
      <xdr:rowOff>44823</xdr:rowOff>
    </xdr:from>
    <xdr:to>
      <xdr:col>7</xdr:col>
      <xdr:colOff>705971</xdr:colOff>
      <xdr:row>46</xdr:row>
      <xdr:rowOff>112059</xdr:rowOff>
    </xdr:to>
    <xdr:sp macro="" textlink="">
      <xdr:nvSpPr>
        <xdr:cNvPr id="10" name="Geschweifte Klammer rechts 9">
          <a:extLst>
            <a:ext uri="{FF2B5EF4-FFF2-40B4-BE49-F238E27FC236}">
              <a16:creationId xmlns:a16="http://schemas.microsoft.com/office/drawing/2014/main" xmlns="" id="{00000000-0008-0000-0600-00000A000000}"/>
            </a:ext>
          </a:extLst>
        </xdr:cNvPr>
        <xdr:cNvSpPr/>
      </xdr:nvSpPr>
      <xdr:spPr>
        <a:xfrm>
          <a:off x="8061177" y="7121898"/>
          <a:ext cx="45719" cy="55301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739588</xdr:colOff>
      <xdr:row>13</xdr:row>
      <xdr:rowOff>67236</xdr:rowOff>
    </xdr:from>
    <xdr:to>
      <xdr:col>7</xdr:col>
      <xdr:colOff>918883</xdr:colOff>
      <xdr:row>18</xdr:row>
      <xdr:rowOff>145676</xdr:rowOff>
    </xdr:to>
    <xdr:sp macro="" textlink="">
      <xdr:nvSpPr>
        <xdr:cNvPr id="11" name="Geschweifte Klammer rechts 10">
          <a:extLst>
            <a:ext uri="{FF2B5EF4-FFF2-40B4-BE49-F238E27FC236}">
              <a16:creationId xmlns:a16="http://schemas.microsoft.com/office/drawing/2014/main" xmlns="" id="{00000000-0008-0000-0600-00000B000000}"/>
            </a:ext>
          </a:extLst>
        </xdr:cNvPr>
        <xdr:cNvSpPr/>
      </xdr:nvSpPr>
      <xdr:spPr>
        <a:xfrm>
          <a:off x="8140513" y="2200836"/>
          <a:ext cx="179295" cy="88806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728383</xdr:colOff>
      <xdr:row>72</xdr:row>
      <xdr:rowOff>44823</xdr:rowOff>
    </xdr:from>
    <xdr:to>
      <xdr:col>7</xdr:col>
      <xdr:colOff>774102</xdr:colOff>
      <xdr:row>75</xdr:row>
      <xdr:rowOff>0</xdr:rowOff>
    </xdr:to>
    <xdr:sp macro="" textlink="">
      <xdr:nvSpPr>
        <xdr:cNvPr id="12" name="Geschweifte Klammer rechts 12">
          <a:extLst>
            <a:ext uri="{FF2B5EF4-FFF2-40B4-BE49-F238E27FC236}">
              <a16:creationId xmlns:a16="http://schemas.microsoft.com/office/drawing/2014/main" xmlns="" id="{00000000-0008-0000-0600-00000C000000}"/>
            </a:ext>
          </a:extLst>
        </xdr:cNvPr>
        <xdr:cNvSpPr/>
      </xdr:nvSpPr>
      <xdr:spPr>
        <a:xfrm>
          <a:off x="8129308" y="11989173"/>
          <a:ext cx="45719" cy="440952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773206</xdr:colOff>
      <xdr:row>75</xdr:row>
      <xdr:rowOff>44823</xdr:rowOff>
    </xdr:from>
    <xdr:to>
      <xdr:col>7</xdr:col>
      <xdr:colOff>818925</xdr:colOff>
      <xdr:row>78</xdr:row>
      <xdr:rowOff>123265</xdr:rowOff>
    </xdr:to>
    <xdr:sp macro="" textlink="">
      <xdr:nvSpPr>
        <xdr:cNvPr id="17" name="Geschweifte Klammer rechts 13">
          <a:extLst>
            <a:ext uri="{FF2B5EF4-FFF2-40B4-BE49-F238E27FC236}">
              <a16:creationId xmlns:a16="http://schemas.microsoft.com/office/drawing/2014/main" xmlns="" id="{00000000-0008-0000-0600-000011000000}"/>
            </a:ext>
          </a:extLst>
        </xdr:cNvPr>
        <xdr:cNvSpPr/>
      </xdr:nvSpPr>
      <xdr:spPr>
        <a:xfrm>
          <a:off x="8174131" y="12474948"/>
          <a:ext cx="45719" cy="56421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1075765</xdr:colOff>
      <xdr:row>167</xdr:row>
      <xdr:rowOff>89647</xdr:rowOff>
    </xdr:from>
    <xdr:to>
      <xdr:col>7</xdr:col>
      <xdr:colOff>1121484</xdr:colOff>
      <xdr:row>172</xdr:row>
      <xdr:rowOff>112059</xdr:rowOff>
    </xdr:to>
    <xdr:sp macro="" textlink="">
      <xdr:nvSpPr>
        <xdr:cNvPr id="18" name="Geschweifte Klammer rechts 14">
          <a:extLst>
            <a:ext uri="{FF2B5EF4-FFF2-40B4-BE49-F238E27FC236}">
              <a16:creationId xmlns:a16="http://schemas.microsoft.com/office/drawing/2014/main" xmlns="" id="{00000000-0008-0000-0600-000012000000}"/>
            </a:ext>
          </a:extLst>
        </xdr:cNvPr>
        <xdr:cNvSpPr/>
      </xdr:nvSpPr>
      <xdr:spPr>
        <a:xfrm>
          <a:off x="8476690" y="27531172"/>
          <a:ext cx="45719" cy="83203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795618</xdr:colOff>
      <xdr:row>19</xdr:row>
      <xdr:rowOff>33618</xdr:rowOff>
    </xdr:from>
    <xdr:to>
      <xdr:col>7</xdr:col>
      <xdr:colOff>851647</xdr:colOff>
      <xdr:row>23</xdr:row>
      <xdr:rowOff>168088</xdr:rowOff>
    </xdr:to>
    <xdr:sp macro="" textlink="">
      <xdr:nvSpPr>
        <xdr:cNvPr id="19" name="Geschweifte Klammer rechts 15">
          <a:extLst>
            <a:ext uri="{FF2B5EF4-FFF2-40B4-BE49-F238E27FC236}">
              <a16:creationId xmlns:a16="http://schemas.microsoft.com/office/drawing/2014/main" xmlns="" id="{00000000-0008-0000-0600-000013000000}"/>
            </a:ext>
          </a:extLst>
        </xdr:cNvPr>
        <xdr:cNvSpPr/>
      </xdr:nvSpPr>
      <xdr:spPr>
        <a:xfrm>
          <a:off x="8196543" y="3138768"/>
          <a:ext cx="56029" cy="78217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1019736</xdr:colOff>
      <xdr:row>146</xdr:row>
      <xdr:rowOff>22412</xdr:rowOff>
    </xdr:from>
    <xdr:to>
      <xdr:col>7</xdr:col>
      <xdr:colOff>1065455</xdr:colOff>
      <xdr:row>150</xdr:row>
      <xdr:rowOff>100853</xdr:rowOff>
    </xdr:to>
    <xdr:sp macro="" textlink="">
      <xdr:nvSpPr>
        <xdr:cNvPr id="20" name="Geschweifte Klammer rechts 18">
          <a:extLst>
            <a:ext uri="{FF2B5EF4-FFF2-40B4-BE49-F238E27FC236}">
              <a16:creationId xmlns:a16="http://schemas.microsoft.com/office/drawing/2014/main" xmlns="" id="{00000000-0008-0000-0600-000014000000}"/>
            </a:ext>
          </a:extLst>
        </xdr:cNvPr>
        <xdr:cNvSpPr/>
      </xdr:nvSpPr>
      <xdr:spPr>
        <a:xfrm>
          <a:off x="8420661" y="24053987"/>
          <a:ext cx="45719" cy="72614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1008530</xdr:colOff>
      <xdr:row>124</xdr:row>
      <xdr:rowOff>22412</xdr:rowOff>
    </xdr:from>
    <xdr:to>
      <xdr:col>7</xdr:col>
      <xdr:colOff>1154206</xdr:colOff>
      <xdr:row>132</xdr:row>
      <xdr:rowOff>134470</xdr:rowOff>
    </xdr:to>
    <xdr:sp macro="" textlink="">
      <xdr:nvSpPr>
        <xdr:cNvPr id="21" name="Geschweifte Klammer rechts 19">
          <a:extLst>
            <a:ext uri="{FF2B5EF4-FFF2-40B4-BE49-F238E27FC236}">
              <a16:creationId xmlns:a16="http://schemas.microsoft.com/office/drawing/2014/main" xmlns="" id="{00000000-0008-0000-0600-000015000000}"/>
            </a:ext>
          </a:extLst>
        </xdr:cNvPr>
        <xdr:cNvSpPr/>
      </xdr:nvSpPr>
      <xdr:spPr>
        <a:xfrm>
          <a:off x="8409455" y="20491637"/>
          <a:ext cx="145676" cy="1407458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2711824</xdr:colOff>
      <xdr:row>69</xdr:row>
      <xdr:rowOff>33618</xdr:rowOff>
    </xdr:from>
    <xdr:to>
      <xdr:col>7</xdr:col>
      <xdr:colOff>2767853</xdr:colOff>
      <xdr:row>71</xdr:row>
      <xdr:rowOff>134470</xdr:rowOff>
    </xdr:to>
    <xdr:sp macro="" textlink="">
      <xdr:nvSpPr>
        <xdr:cNvPr id="22" name="Geschweifte Klammer rechts 3">
          <a:extLst>
            <a:ext uri="{FF2B5EF4-FFF2-40B4-BE49-F238E27FC236}">
              <a16:creationId xmlns:a16="http://schemas.microsoft.com/office/drawing/2014/main" xmlns="" id="{00000000-0008-0000-0600-000016000000}"/>
            </a:ext>
          </a:extLst>
        </xdr:cNvPr>
        <xdr:cNvSpPr/>
      </xdr:nvSpPr>
      <xdr:spPr>
        <a:xfrm>
          <a:off x="10112749" y="11492193"/>
          <a:ext cx="56029" cy="424702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3204883</xdr:colOff>
      <xdr:row>96</xdr:row>
      <xdr:rowOff>22412</xdr:rowOff>
    </xdr:from>
    <xdr:to>
      <xdr:col>7</xdr:col>
      <xdr:colOff>3260912</xdr:colOff>
      <xdr:row>98</xdr:row>
      <xdr:rowOff>145677</xdr:rowOff>
    </xdr:to>
    <xdr:sp macro="" textlink="">
      <xdr:nvSpPr>
        <xdr:cNvPr id="23" name="Geschweifte Klammer rechts 2">
          <a:extLst>
            <a:ext uri="{FF2B5EF4-FFF2-40B4-BE49-F238E27FC236}">
              <a16:creationId xmlns:a16="http://schemas.microsoft.com/office/drawing/2014/main" xmlns="" id="{00000000-0008-0000-0600-000017000000}"/>
            </a:ext>
          </a:extLst>
        </xdr:cNvPr>
        <xdr:cNvSpPr/>
      </xdr:nvSpPr>
      <xdr:spPr>
        <a:xfrm>
          <a:off x="10605808" y="15852962"/>
          <a:ext cx="56029" cy="44711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2643693</xdr:colOff>
      <xdr:row>140</xdr:row>
      <xdr:rowOff>56029</xdr:rowOff>
    </xdr:from>
    <xdr:to>
      <xdr:col>7</xdr:col>
      <xdr:colOff>2689412</xdr:colOff>
      <xdr:row>145</xdr:row>
      <xdr:rowOff>134471</xdr:rowOff>
    </xdr:to>
    <xdr:sp macro="" textlink="">
      <xdr:nvSpPr>
        <xdr:cNvPr id="24" name="Geschweifte Klammer rechts 4">
          <a:extLst>
            <a:ext uri="{FF2B5EF4-FFF2-40B4-BE49-F238E27FC236}">
              <a16:creationId xmlns:a16="http://schemas.microsoft.com/office/drawing/2014/main" xmlns="" id="{00000000-0008-0000-0600-000018000000}"/>
            </a:ext>
          </a:extLst>
        </xdr:cNvPr>
        <xdr:cNvSpPr/>
      </xdr:nvSpPr>
      <xdr:spPr>
        <a:xfrm>
          <a:off x="10044618" y="23116054"/>
          <a:ext cx="45719" cy="88806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2835088</xdr:colOff>
      <xdr:row>27</xdr:row>
      <xdr:rowOff>56030</xdr:rowOff>
    </xdr:from>
    <xdr:to>
      <xdr:col>7</xdr:col>
      <xdr:colOff>2958353</xdr:colOff>
      <xdr:row>31</xdr:row>
      <xdr:rowOff>0</xdr:rowOff>
    </xdr:to>
    <xdr:sp macro="" textlink="">
      <xdr:nvSpPr>
        <xdr:cNvPr id="25" name="Geschweifte Klammer rechts 6">
          <a:extLst>
            <a:ext uri="{FF2B5EF4-FFF2-40B4-BE49-F238E27FC236}">
              <a16:creationId xmlns:a16="http://schemas.microsoft.com/office/drawing/2014/main" xmlns="" id="{00000000-0008-0000-0600-000019000000}"/>
            </a:ext>
          </a:extLst>
        </xdr:cNvPr>
        <xdr:cNvSpPr/>
      </xdr:nvSpPr>
      <xdr:spPr>
        <a:xfrm>
          <a:off x="10236013" y="4523255"/>
          <a:ext cx="123265" cy="59167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3541059</xdr:colOff>
      <xdr:row>151</xdr:row>
      <xdr:rowOff>78441</xdr:rowOff>
    </xdr:from>
    <xdr:to>
      <xdr:col>7</xdr:col>
      <xdr:colOff>3619500</xdr:colOff>
      <xdr:row>161</xdr:row>
      <xdr:rowOff>0</xdr:rowOff>
    </xdr:to>
    <xdr:sp macro="" textlink="">
      <xdr:nvSpPr>
        <xdr:cNvPr id="26" name="Geschweifte Klammer rechts 11">
          <a:extLst>
            <a:ext uri="{FF2B5EF4-FFF2-40B4-BE49-F238E27FC236}">
              <a16:creationId xmlns:a16="http://schemas.microsoft.com/office/drawing/2014/main" xmlns="" id="{00000000-0008-0000-0600-00001A000000}"/>
            </a:ext>
          </a:extLst>
        </xdr:cNvPr>
        <xdr:cNvSpPr/>
      </xdr:nvSpPr>
      <xdr:spPr>
        <a:xfrm>
          <a:off x="10941984" y="24919641"/>
          <a:ext cx="78441" cy="155033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600075</xdr:colOff>
      <xdr:row>208</xdr:row>
      <xdr:rowOff>76200</xdr:rowOff>
    </xdr:from>
    <xdr:to>
      <xdr:col>7</xdr:col>
      <xdr:colOff>714375</xdr:colOff>
      <xdr:row>209</xdr:row>
      <xdr:rowOff>104775</xdr:rowOff>
    </xdr:to>
    <xdr:sp macro="" textlink="">
      <xdr:nvSpPr>
        <xdr:cNvPr id="28" name="Geschweifte Klammer rechts 2">
          <a:extLst>
            <a:ext uri="{FF2B5EF4-FFF2-40B4-BE49-F238E27FC236}">
              <a16:creationId xmlns:a16="http://schemas.microsoft.com/office/drawing/2014/main" xmlns="" id="{00000000-0008-0000-0600-00001C000000}"/>
            </a:ext>
          </a:extLst>
        </xdr:cNvPr>
        <xdr:cNvSpPr/>
      </xdr:nvSpPr>
      <xdr:spPr>
        <a:xfrm>
          <a:off x="8505825" y="1724025"/>
          <a:ext cx="114300" cy="190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640081</xdr:colOff>
      <xdr:row>257</xdr:row>
      <xdr:rowOff>38100</xdr:rowOff>
    </xdr:from>
    <xdr:to>
      <xdr:col>7</xdr:col>
      <xdr:colOff>685800</xdr:colOff>
      <xdr:row>259</xdr:row>
      <xdr:rowOff>104775</xdr:rowOff>
    </xdr:to>
    <xdr:sp macro="" textlink="">
      <xdr:nvSpPr>
        <xdr:cNvPr id="29" name="Geschweifte Klammer rechts 1">
          <a:extLst>
            <a:ext uri="{FF2B5EF4-FFF2-40B4-BE49-F238E27FC236}">
              <a16:creationId xmlns:a16="http://schemas.microsoft.com/office/drawing/2014/main" xmlns="" id="{00000000-0008-0000-0600-00001D000000}"/>
            </a:ext>
          </a:extLst>
        </xdr:cNvPr>
        <xdr:cNvSpPr/>
      </xdr:nvSpPr>
      <xdr:spPr>
        <a:xfrm>
          <a:off x="8803006" y="4762500"/>
          <a:ext cx="45719" cy="3905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661147</xdr:colOff>
      <xdr:row>39</xdr:row>
      <xdr:rowOff>56029</xdr:rowOff>
    </xdr:from>
    <xdr:to>
      <xdr:col>7</xdr:col>
      <xdr:colOff>706866</xdr:colOff>
      <xdr:row>42</xdr:row>
      <xdr:rowOff>89647</xdr:rowOff>
    </xdr:to>
    <xdr:sp macro="" textlink="">
      <xdr:nvSpPr>
        <xdr:cNvPr id="27" name="Geschweifte Klammer rechts 8">
          <a:extLst>
            <a:ext uri="{FF2B5EF4-FFF2-40B4-BE49-F238E27FC236}">
              <a16:creationId xmlns:a16="http://schemas.microsoft.com/office/drawing/2014/main" xmlns="" id="{00000000-0008-0000-0600-00001B000000}"/>
            </a:ext>
          </a:extLst>
        </xdr:cNvPr>
        <xdr:cNvSpPr/>
      </xdr:nvSpPr>
      <xdr:spPr>
        <a:xfrm>
          <a:off x="6233272" y="6513979"/>
          <a:ext cx="45719" cy="519393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660252</xdr:colOff>
      <xdr:row>55</xdr:row>
      <xdr:rowOff>44823</xdr:rowOff>
    </xdr:from>
    <xdr:to>
      <xdr:col>7</xdr:col>
      <xdr:colOff>705971</xdr:colOff>
      <xdr:row>61</xdr:row>
      <xdr:rowOff>112059</xdr:rowOff>
    </xdr:to>
    <xdr:sp macro="" textlink="">
      <xdr:nvSpPr>
        <xdr:cNvPr id="30" name="Geschweifte Klammer rechts 9">
          <a:extLst>
            <a:ext uri="{FF2B5EF4-FFF2-40B4-BE49-F238E27FC236}">
              <a16:creationId xmlns:a16="http://schemas.microsoft.com/office/drawing/2014/main" xmlns="" id="{00000000-0008-0000-0600-00001E000000}"/>
            </a:ext>
          </a:extLst>
        </xdr:cNvPr>
        <xdr:cNvSpPr/>
      </xdr:nvSpPr>
      <xdr:spPr>
        <a:xfrm>
          <a:off x="6232377" y="9112623"/>
          <a:ext cx="45719" cy="103878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773206</xdr:colOff>
      <xdr:row>86</xdr:row>
      <xdr:rowOff>44823</xdr:rowOff>
    </xdr:from>
    <xdr:to>
      <xdr:col>7</xdr:col>
      <xdr:colOff>818925</xdr:colOff>
      <xdr:row>89</xdr:row>
      <xdr:rowOff>123265</xdr:rowOff>
    </xdr:to>
    <xdr:sp macro="" textlink="">
      <xdr:nvSpPr>
        <xdr:cNvPr id="31" name="Geschweifte Klammer rechts 13">
          <a:extLst>
            <a:ext uri="{FF2B5EF4-FFF2-40B4-BE49-F238E27FC236}">
              <a16:creationId xmlns:a16="http://schemas.microsoft.com/office/drawing/2014/main" xmlns="" id="{00000000-0008-0000-0600-00001F000000}"/>
            </a:ext>
          </a:extLst>
        </xdr:cNvPr>
        <xdr:cNvSpPr/>
      </xdr:nvSpPr>
      <xdr:spPr>
        <a:xfrm>
          <a:off x="6345331" y="14132298"/>
          <a:ext cx="45719" cy="56421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2711824</xdr:colOff>
      <xdr:row>82</xdr:row>
      <xdr:rowOff>33618</xdr:rowOff>
    </xdr:from>
    <xdr:to>
      <xdr:col>7</xdr:col>
      <xdr:colOff>2767853</xdr:colOff>
      <xdr:row>85</xdr:row>
      <xdr:rowOff>134470</xdr:rowOff>
    </xdr:to>
    <xdr:sp macro="" textlink="">
      <xdr:nvSpPr>
        <xdr:cNvPr id="32" name="Geschweifte Klammer rechts 3">
          <a:extLst>
            <a:ext uri="{FF2B5EF4-FFF2-40B4-BE49-F238E27FC236}">
              <a16:creationId xmlns:a16="http://schemas.microsoft.com/office/drawing/2014/main" xmlns="" id="{00000000-0008-0000-0600-000020000000}"/>
            </a:ext>
          </a:extLst>
        </xdr:cNvPr>
        <xdr:cNvSpPr/>
      </xdr:nvSpPr>
      <xdr:spPr>
        <a:xfrm>
          <a:off x="8283949" y="13473393"/>
          <a:ext cx="56029" cy="58662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3204883</xdr:colOff>
      <xdr:row>112</xdr:row>
      <xdr:rowOff>22412</xdr:rowOff>
    </xdr:from>
    <xdr:to>
      <xdr:col>7</xdr:col>
      <xdr:colOff>3260912</xdr:colOff>
      <xdr:row>114</xdr:row>
      <xdr:rowOff>145677</xdr:rowOff>
    </xdr:to>
    <xdr:sp macro="" textlink="">
      <xdr:nvSpPr>
        <xdr:cNvPr id="33" name="Geschweifte Klammer rechts 2">
          <a:extLst>
            <a:ext uri="{FF2B5EF4-FFF2-40B4-BE49-F238E27FC236}">
              <a16:creationId xmlns:a16="http://schemas.microsoft.com/office/drawing/2014/main" xmlns="" id="{00000000-0008-0000-0600-000021000000}"/>
            </a:ext>
          </a:extLst>
        </xdr:cNvPr>
        <xdr:cNvSpPr/>
      </xdr:nvSpPr>
      <xdr:spPr>
        <a:xfrm>
          <a:off x="8777008" y="18319937"/>
          <a:ext cx="56029" cy="44711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2835088</xdr:colOff>
      <xdr:row>34</xdr:row>
      <xdr:rowOff>56030</xdr:rowOff>
    </xdr:from>
    <xdr:to>
      <xdr:col>7</xdr:col>
      <xdr:colOff>2958353</xdr:colOff>
      <xdr:row>39</xdr:row>
      <xdr:rowOff>0</xdr:rowOff>
    </xdr:to>
    <xdr:sp macro="" textlink="">
      <xdr:nvSpPr>
        <xdr:cNvPr id="34" name="Geschweifte Klammer rechts 6">
          <a:extLst>
            <a:ext uri="{FF2B5EF4-FFF2-40B4-BE49-F238E27FC236}">
              <a16:creationId xmlns:a16="http://schemas.microsoft.com/office/drawing/2014/main" xmlns="" id="{00000000-0008-0000-0600-000022000000}"/>
            </a:ext>
          </a:extLst>
        </xdr:cNvPr>
        <xdr:cNvSpPr/>
      </xdr:nvSpPr>
      <xdr:spPr>
        <a:xfrm>
          <a:off x="8407213" y="5704355"/>
          <a:ext cx="123265" cy="75359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5558117</xdr:colOff>
      <xdr:row>22</xdr:row>
      <xdr:rowOff>22412</xdr:rowOff>
    </xdr:from>
    <xdr:to>
      <xdr:col>7</xdr:col>
      <xdr:colOff>5703793</xdr:colOff>
      <xdr:row>28</xdr:row>
      <xdr:rowOff>0</xdr:rowOff>
    </xdr:to>
    <xdr:sp macro="" textlink="">
      <xdr:nvSpPr>
        <xdr:cNvPr id="35" name="Geschweifte Klammer rechts 16">
          <a:extLst>
            <a:ext uri="{FF2B5EF4-FFF2-40B4-BE49-F238E27FC236}">
              <a16:creationId xmlns:a16="http://schemas.microsoft.com/office/drawing/2014/main" xmlns="" id="{00000000-0008-0000-0600-000023000000}"/>
            </a:ext>
          </a:extLst>
        </xdr:cNvPr>
        <xdr:cNvSpPr/>
      </xdr:nvSpPr>
      <xdr:spPr>
        <a:xfrm>
          <a:off x="11130242" y="3727637"/>
          <a:ext cx="145676" cy="949138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5602941</xdr:colOff>
      <xdr:row>14</xdr:row>
      <xdr:rowOff>0</xdr:rowOff>
    </xdr:from>
    <xdr:to>
      <xdr:col>7</xdr:col>
      <xdr:colOff>5715000</xdr:colOff>
      <xdr:row>21</xdr:row>
      <xdr:rowOff>145676</xdr:rowOff>
    </xdr:to>
    <xdr:sp macro="" textlink="">
      <xdr:nvSpPr>
        <xdr:cNvPr id="36" name="Geschweifte Klammer rechts 17">
          <a:extLst>
            <a:ext uri="{FF2B5EF4-FFF2-40B4-BE49-F238E27FC236}">
              <a16:creationId xmlns:a16="http://schemas.microsoft.com/office/drawing/2014/main" xmlns="" id="{00000000-0008-0000-0600-000024000000}"/>
            </a:ext>
          </a:extLst>
        </xdr:cNvPr>
        <xdr:cNvSpPr/>
      </xdr:nvSpPr>
      <xdr:spPr>
        <a:xfrm>
          <a:off x="11175066" y="2409825"/>
          <a:ext cx="112059" cy="127915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5558117</xdr:colOff>
      <xdr:row>14</xdr:row>
      <xdr:rowOff>22412</xdr:rowOff>
    </xdr:from>
    <xdr:to>
      <xdr:col>7</xdr:col>
      <xdr:colOff>5703793</xdr:colOff>
      <xdr:row>22</xdr:row>
      <xdr:rowOff>0</xdr:rowOff>
    </xdr:to>
    <xdr:sp macro="" textlink="">
      <xdr:nvSpPr>
        <xdr:cNvPr id="37" name="Geschweifte Klammer rechts 11">
          <a:extLst>
            <a:ext uri="{FF2B5EF4-FFF2-40B4-BE49-F238E27FC236}">
              <a16:creationId xmlns:a16="http://schemas.microsoft.com/office/drawing/2014/main" xmlns="" id="{00000000-0008-0000-0600-000025000000}"/>
            </a:ext>
          </a:extLst>
        </xdr:cNvPr>
        <xdr:cNvSpPr/>
      </xdr:nvSpPr>
      <xdr:spPr>
        <a:xfrm>
          <a:off x="11130242" y="2432237"/>
          <a:ext cx="145676" cy="1272988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661147</xdr:colOff>
      <xdr:row>39</xdr:row>
      <xdr:rowOff>56029</xdr:rowOff>
    </xdr:from>
    <xdr:to>
      <xdr:col>7</xdr:col>
      <xdr:colOff>706866</xdr:colOff>
      <xdr:row>42</xdr:row>
      <xdr:rowOff>89647</xdr:rowOff>
    </xdr:to>
    <xdr:sp macro="" textlink="">
      <xdr:nvSpPr>
        <xdr:cNvPr id="38" name="Geschweifte Klammer rechts 8">
          <a:extLst>
            <a:ext uri="{FF2B5EF4-FFF2-40B4-BE49-F238E27FC236}">
              <a16:creationId xmlns:a16="http://schemas.microsoft.com/office/drawing/2014/main" xmlns="" id="{00000000-0008-0000-0600-000026000000}"/>
            </a:ext>
          </a:extLst>
        </xdr:cNvPr>
        <xdr:cNvSpPr/>
      </xdr:nvSpPr>
      <xdr:spPr>
        <a:xfrm>
          <a:off x="6233272" y="6513979"/>
          <a:ext cx="45719" cy="519393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660252</xdr:colOff>
      <xdr:row>55</xdr:row>
      <xdr:rowOff>44823</xdr:rowOff>
    </xdr:from>
    <xdr:to>
      <xdr:col>7</xdr:col>
      <xdr:colOff>705971</xdr:colOff>
      <xdr:row>61</xdr:row>
      <xdr:rowOff>112059</xdr:rowOff>
    </xdr:to>
    <xdr:sp macro="" textlink="">
      <xdr:nvSpPr>
        <xdr:cNvPr id="39" name="Geschweifte Klammer rechts 9">
          <a:extLst>
            <a:ext uri="{FF2B5EF4-FFF2-40B4-BE49-F238E27FC236}">
              <a16:creationId xmlns:a16="http://schemas.microsoft.com/office/drawing/2014/main" xmlns="" id="{00000000-0008-0000-0600-000027000000}"/>
            </a:ext>
          </a:extLst>
        </xdr:cNvPr>
        <xdr:cNvSpPr/>
      </xdr:nvSpPr>
      <xdr:spPr>
        <a:xfrm>
          <a:off x="6232377" y="9112623"/>
          <a:ext cx="45719" cy="103878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773206</xdr:colOff>
      <xdr:row>86</xdr:row>
      <xdr:rowOff>44823</xdr:rowOff>
    </xdr:from>
    <xdr:to>
      <xdr:col>7</xdr:col>
      <xdr:colOff>818925</xdr:colOff>
      <xdr:row>89</xdr:row>
      <xdr:rowOff>123265</xdr:rowOff>
    </xdr:to>
    <xdr:sp macro="" textlink="">
      <xdr:nvSpPr>
        <xdr:cNvPr id="40" name="Geschweifte Klammer rechts 13">
          <a:extLst>
            <a:ext uri="{FF2B5EF4-FFF2-40B4-BE49-F238E27FC236}">
              <a16:creationId xmlns:a16="http://schemas.microsoft.com/office/drawing/2014/main" xmlns="" id="{00000000-0008-0000-0600-000028000000}"/>
            </a:ext>
          </a:extLst>
        </xdr:cNvPr>
        <xdr:cNvSpPr/>
      </xdr:nvSpPr>
      <xdr:spPr>
        <a:xfrm>
          <a:off x="6345331" y="14132298"/>
          <a:ext cx="45719" cy="56421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2711824</xdr:colOff>
      <xdr:row>82</xdr:row>
      <xdr:rowOff>33618</xdr:rowOff>
    </xdr:from>
    <xdr:to>
      <xdr:col>7</xdr:col>
      <xdr:colOff>2767853</xdr:colOff>
      <xdr:row>85</xdr:row>
      <xdr:rowOff>134470</xdr:rowOff>
    </xdr:to>
    <xdr:sp macro="" textlink="">
      <xdr:nvSpPr>
        <xdr:cNvPr id="41" name="Geschweifte Klammer rechts 3">
          <a:extLst>
            <a:ext uri="{FF2B5EF4-FFF2-40B4-BE49-F238E27FC236}">
              <a16:creationId xmlns:a16="http://schemas.microsoft.com/office/drawing/2014/main" xmlns="" id="{00000000-0008-0000-0600-000029000000}"/>
            </a:ext>
          </a:extLst>
        </xdr:cNvPr>
        <xdr:cNvSpPr/>
      </xdr:nvSpPr>
      <xdr:spPr>
        <a:xfrm>
          <a:off x="8283949" y="13473393"/>
          <a:ext cx="56029" cy="58662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3204883</xdr:colOff>
      <xdr:row>112</xdr:row>
      <xdr:rowOff>22412</xdr:rowOff>
    </xdr:from>
    <xdr:to>
      <xdr:col>7</xdr:col>
      <xdr:colOff>3260912</xdr:colOff>
      <xdr:row>114</xdr:row>
      <xdr:rowOff>145677</xdr:rowOff>
    </xdr:to>
    <xdr:sp macro="" textlink="">
      <xdr:nvSpPr>
        <xdr:cNvPr id="42" name="Geschweifte Klammer rechts 2">
          <a:extLst>
            <a:ext uri="{FF2B5EF4-FFF2-40B4-BE49-F238E27FC236}">
              <a16:creationId xmlns:a16="http://schemas.microsoft.com/office/drawing/2014/main" xmlns="" id="{00000000-0008-0000-0600-00002A000000}"/>
            </a:ext>
          </a:extLst>
        </xdr:cNvPr>
        <xdr:cNvSpPr/>
      </xdr:nvSpPr>
      <xdr:spPr>
        <a:xfrm>
          <a:off x="8777008" y="18319937"/>
          <a:ext cx="56029" cy="44711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2835088</xdr:colOff>
      <xdr:row>34</xdr:row>
      <xdr:rowOff>56030</xdr:rowOff>
    </xdr:from>
    <xdr:to>
      <xdr:col>7</xdr:col>
      <xdr:colOff>2958353</xdr:colOff>
      <xdr:row>39</xdr:row>
      <xdr:rowOff>0</xdr:rowOff>
    </xdr:to>
    <xdr:sp macro="" textlink="">
      <xdr:nvSpPr>
        <xdr:cNvPr id="43" name="Geschweifte Klammer rechts 6">
          <a:extLst>
            <a:ext uri="{FF2B5EF4-FFF2-40B4-BE49-F238E27FC236}">
              <a16:creationId xmlns:a16="http://schemas.microsoft.com/office/drawing/2014/main" xmlns="" id="{00000000-0008-0000-0600-00002B000000}"/>
            </a:ext>
          </a:extLst>
        </xdr:cNvPr>
        <xdr:cNvSpPr/>
      </xdr:nvSpPr>
      <xdr:spPr>
        <a:xfrm>
          <a:off x="8407213" y="5704355"/>
          <a:ext cx="123265" cy="75359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5558117</xdr:colOff>
      <xdr:row>22</xdr:row>
      <xdr:rowOff>22412</xdr:rowOff>
    </xdr:from>
    <xdr:to>
      <xdr:col>7</xdr:col>
      <xdr:colOff>5703793</xdr:colOff>
      <xdr:row>28</xdr:row>
      <xdr:rowOff>0</xdr:rowOff>
    </xdr:to>
    <xdr:sp macro="" textlink="">
      <xdr:nvSpPr>
        <xdr:cNvPr id="44" name="Geschweifte Klammer rechts 16">
          <a:extLst>
            <a:ext uri="{FF2B5EF4-FFF2-40B4-BE49-F238E27FC236}">
              <a16:creationId xmlns:a16="http://schemas.microsoft.com/office/drawing/2014/main" xmlns="" id="{00000000-0008-0000-0600-00002C000000}"/>
            </a:ext>
          </a:extLst>
        </xdr:cNvPr>
        <xdr:cNvSpPr/>
      </xdr:nvSpPr>
      <xdr:spPr>
        <a:xfrm>
          <a:off x="11130242" y="3727637"/>
          <a:ext cx="145676" cy="949138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5602941</xdr:colOff>
      <xdr:row>14</xdr:row>
      <xdr:rowOff>0</xdr:rowOff>
    </xdr:from>
    <xdr:to>
      <xdr:col>7</xdr:col>
      <xdr:colOff>5715000</xdr:colOff>
      <xdr:row>21</xdr:row>
      <xdr:rowOff>145676</xdr:rowOff>
    </xdr:to>
    <xdr:sp macro="" textlink="">
      <xdr:nvSpPr>
        <xdr:cNvPr id="45" name="Geschweifte Klammer rechts 17">
          <a:extLst>
            <a:ext uri="{FF2B5EF4-FFF2-40B4-BE49-F238E27FC236}">
              <a16:creationId xmlns:a16="http://schemas.microsoft.com/office/drawing/2014/main" xmlns="" id="{00000000-0008-0000-0600-00002D000000}"/>
            </a:ext>
          </a:extLst>
        </xdr:cNvPr>
        <xdr:cNvSpPr/>
      </xdr:nvSpPr>
      <xdr:spPr>
        <a:xfrm>
          <a:off x="11175066" y="2409825"/>
          <a:ext cx="112059" cy="127915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5558117</xdr:colOff>
      <xdr:row>14</xdr:row>
      <xdr:rowOff>22412</xdr:rowOff>
    </xdr:from>
    <xdr:to>
      <xdr:col>7</xdr:col>
      <xdr:colOff>5703793</xdr:colOff>
      <xdr:row>22</xdr:row>
      <xdr:rowOff>0</xdr:rowOff>
    </xdr:to>
    <xdr:sp macro="" textlink="">
      <xdr:nvSpPr>
        <xdr:cNvPr id="46" name="Geschweifte Klammer rechts 11">
          <a:extLst>
            <a:ext uri="{FF2B5EF4-FFF2-40B4-BE49-F238E27FC236}">
              <a16:creationId xmlns:a16="http://schemas.microsoft.com/office/drawing/2014/main" xmlns="" id="{00000000-0008-0000-0600-00002E000000}"/>
            </a:ext>
          </a:extLst>
        </xdr:cNvPr>
        <xdr:cNvSpPr/>
      </xdr:nvSpPr>
      <xdr:spPr>
        <a:xfrm>
          <a:off x="11130242" y="2432237"/>
          <a:ext cx="145676" cy="1272988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600075</xdr:colOff>
      <xdr:row>138</xdr:row>
      <xdr:rowOff>76200</xdr:rowOff>
    </xdr:from>
    <xdr:to>
      <xdr:col>7</xdr:col>
      <xdr:colOff>714375</xdr:colOff>
      <xdr:row>139</xdr:row>
      <xdr:rowOff>104775</xdr:rowOff>
    </xdr:to>
    <xdr:sp macro="" textlink="">
      <xdr:nvSpPr>
        <xdr:cNvPr id="47" name="Geschweifte Klammer rechts 2">
          <a:extLst>
            <a:ext uri="{FF2B5EF4-FFF2-40B4-BE49-F238E27FC236}">
              <a16:creationId xmlns:a16="http://schemas.microsoft.com/office/drawing/2014/main" xmlns="" id="{00000000-0008-0000-0600-00002F000000}"/>
            </a:ext>
          </a:extLst>
        </xdr:cNvPr>
        <xdr:cNvSpPr/>
      </xdr:nvSpPr>
      <xdr:spPr>
        <a:xfrm>
          <a:off x="6896100" y="2533650"/>
          <a:ext cx="114300" cy="190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600075</xdr:colOff>
      <xdr:row>139</xdr:row>
      <xdr:rowOff>76200</xdr:rowOff>
    </xdr:from>
    <xdr:to>
      <xdr:col>7</xdr:col>
      <xdr:colOff>714375</xdr:colOff>
      <xdr:row>140</xdr:row>
      <xdr:rowOff>104775</xdr:rowOff>
    </xdr:to>
    <xdr:sp macro="" textlink="">
      <xdr:nvSpPr>
        <xdr:cNvPr id="48" name="Geschweifte Klammer rechts 2">
          <a:extLst>
            <a:ext uri="{FF2B5EF4-FFF2-40B4-BE49-F238E27FC236}">
              <a16:creationId xmlns:a16="http://schemas.microsoft.com/office/drawing/2014/main" xmlns="" id="{00000000-0008-0000-0600-000030000000}"/>
            </a:ext>
          </a:extLst>
        </xdr:cNvPr>
        <xdr:cNvSpPr/>
      </xdr:nvSpPr>
      <xdr:spPr>
        <a:xfrm>
          <a:off x="8505825" y="2695575"/>
          <a:ext cx="114300" cy="190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6</xdr:col>
      <xdr:colOff>257175</xdr:colOff>
      <xdr:row>0</xdr:row>
      <xdr:rowOff>161925</xdr:rowOff>
    </xdr:to>
    <xdr:sp macro="" textlink="">
      <xdr:nvSpPr>
        <xdr:cNvPr id="28" name="DTPicker1" hidden="1">
          <a:extLst>
            <a:ext uri="{63B3BB69-23CF-44E3-9099-C40C66FF867C}">
              <a14:compatExt xmlns:a14="http://schemas.microsoft.com/office/drawing/2010/main" spid="_x0000_s3074"/>
            </a:ext>
            <a:ext uri="{FF2B5EF4-FFF2-40B4-BE49-F238E27FC236}">
              <a16:creationId xmlns:a16="http://schemas.microsoft.com/office/drawing/2014/main" xmlns="" id="{00000000-0008-0000-1000-00001C000000}"/>
            </a:ext>
          </a:extLst>
        </xdr:cNvPr>
        <xdr:cNvSpPr/>
      </xdr:nvSpPr>
      <xdr:spPr bwMode="auto">
        <a:xfrm>
          <a:off x="7048500" y="2971800"/>
          <a:ext cx="257175" cy="25717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257175</xdr:colOff>
      <xdr:row>0</xdr:row>
      <xdr:rowOff>161925</xdr:rowOff>
    </xdr:to>
    <xdr:sp macro="" textlink="">
      <xdr:nvSpPr>
        <xdr:cNvPr id="29" name="DTPicker1" hidden="1">
          <a:extLst>
            <a:ext uri="{63B3BB69-23CF-44E3-9099-C40C66FF867C}">
              <a14:compatExt xmlns:a14="http://schemas.microsoft.com/office/drawing/2010/main" spid="_x0000_s3074"/>
            </a:ext>
            <a:ext uri="{FF2B5EF4-FFF2-40B4-BE49-F238E27FC236}">
              <a16:creationId xmlns:a16="http://schemas.microsoft.com/office/drawing/2014/main" xmlns="" id="{00000000-0008-0000-1000-00001D000000}"/>
            </a:ext>
          </a:extLst>
        </xdr:cNvPr>
        <xdr:cNvSpPr/>
      </xdr:nvSpPr>
      <xdr:spPr bwMode="auto">
        <a:xfrm>
          <a:off x="9820275" y="2686050"/>
          <a:ext cx="257175" cy="25717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257175</xdr:colOff>
      <xdr:row>1</xdr:row>
      <xdr:rowOff>38100</xdr:rowOff>
    </xdr:to>
    <xdr:sp macro="" textlink="">
      <xdr:nvSpPr>
        <xdr:cNvPr id="30" name="DTPicker1" hidden="1">
          <a:extLst>
            <a:ext uri="{63B3BB69-23CF-44E3-9099-C40C66FF867C}">
              <a14:compatExt xmlns:a14="http://schemas.microsoft.com/office/drawing/2010/main" spid="_x0000_s3075"/>
            </a:ext>
            <a:ext uri="{FF2B5EF4-FFF2-40B4-BE49-F238E27FC236}">
              <a16:creationId xmlns:a16="http://schemas.microsoft.com/office/drawing/2014/main" xmlns="" id="{00000000-0008-0000-1000-00001E000000}"/>
            </a:ext>
          </a:extLst>
        </xdr:cNvPr>
        <xdr:cNvSpPr/>
      </xdr:nvSpPr>
      <xdr:spPr bwMode="auto">
        <a:xfrm>
          <a:off x="7048500" y="4200525"/>
          <a:ext cx="257175" cy="25717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257175</xdr:colOff>
      <xdr:row>1</xdr:row>
      <xdr:rowOff>28575</xdr:rowOff>
    </xdr:to>
    <xdr:sp macro="" textlink="">
      <xdr:nvSpPr>
        <xdr:cNvPr id="31" name="DTPicker1" hidden="1">
          <a:extLst>
            <a:ext uri="{63B3BB69-23CF-44E3-9099-C40C66FF867C}">
              <a14:compatExt xmlns:a14="http://schemas.microsoft.com/office/drawing/2010/main" spid="_x0000_s3074"/>
            </a:ext>
            <a:ext uri="{FF2B5EF4-FFF2-40B4-BE49-F238E27FC236}">
              <a16:creationId xmlns:a16="http://schemas.microsoft.com/office/drawing/2014/main" xmlns="" id="{00000000-0008-0000-1000-00001F000000}"/>
            </a:ext>
          </a:extLst>
        </xdr:cNvPr>
        <xdr:cNvSpPr/>
      </xdr:nvSpPr>
      <xdr:spPr bwMode="auto">
        <a:xfrm>
          <a:off x="9820275" y="3629025"/>
          <a:ext cx="257175" cy="25717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257175</xdr:colOff>
      <xdr:row>0</xdr:row>
      <xdr:rowOff>161925</xdr:rowOff>
    </xdr:to>
    <xdr:pic>
      <xdr:nvPicPr>
        <xdr:cNvPr id="32" name="Picture 2" hidden="1">
          <a:extLst>
            <a:ext uri="{FF2B5EF4-FFF2-40B4-BE49-F238E27FC236}">
              <a16:creationId xmlns:a16="http://schemas.microsoft.com/office/drawing/2014/main" xmlns="" id="{00000000-0008-0000-1000-000020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2971800"/>
          <a:ext cx="257175" cy="25717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257175</xdr:colOff>
      <xdr:row>1</xdr:row>
      <xdr:rowOff>38100</xdr:rowOff>
    </xdr:to>
    <xdr:pic>
      <xdr:nvPicPr>
        <xdr:cNvPr id="33" name="Picture 3" hidden="1">
          <a:extLst>
            <a:ext uri="{FF2B5EF4-FFF2-40B4-BE49-F238E27FC236}">
              <a16:creationId xmlns:a16="http://schemas.microsoft.com/office/drawing/2014/main" xmlns="" id="{00000000-0008-0000-1000-000021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4200525"/>
          <a:ext cx="257175" cy="25717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257175</xdr:colOff>
      <xdr:row>0</xdr:row>
      <xdr:rowOff>161925</xdr:rowOff>
    </xdr:to>
    <xdr:sp macro="" textlink="">
      <xdr:nvSpPr>
        <xdr:cNvPr id="34" name="DTPicker1" hidden="1">
          <a:extLst>
            <a:ext uri="{63B3BB69-23CF-44E3-9099-C40C66FF867C}">
              <a14:compatExt xmlns:a14="http://schemas.microsoft.com/office/drawing/2010/main" spid="_x0000_s3074"/>
            </a:ext>
            <a:ext uri="{FF2B5EF4-FFF2-40B4-BE49-F238E27FC236}">
              <a16:creationId xmlns:a16="http://schemas.microsoft.com/office/drawing/2014/main" xmlns="" id="{00000000-0008-0000-1000-000022000000}"/>
            </a:ext>
          </a:extLst>
        </xdr:cNvPr>
        <xdr:cNvSpPr/>
      </xdr:nvSpPr>
      <xdr:spPr bwMode="auto">
        <a:xfrm>
          <a:off x="7048500" y="12753975"/>
          <a:ext cx="257175" cy="25717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257175</xdr:colOff>
      <xdr:row>0</xdr:row>
      <xdr:rowOff>161925</xdr:rowOff>
    </xdr:to>
    <xdr:sp macro="" textlink="">
      <xdr:nvSpPr>
        <xdr:cNvPr id="35" name="DTPicker1" hidden="1">
          <a:extLst>
            <a:ext uri="{63B3BB69-23CF-44E3-9099-C40C66FF867C}">
              <a14:compatExt xmlns:a14="http://schemas.microsoft.com/office/drawing/2010/main" spid="_x0000_s3074"/>
            </a:ext>
            <a:ext uri="{FF2B5EF4-FFF2-40B4-BE49-F238E27FC236}">
              <a16:creationId xmlns:a16="http://schemas.microsoft.com/office/drawing/2014/main" xmlns="" id="{00000000-0008-0000-1000-000023000000}"/>
            </a:ext>
          </a:extLst>
        </xdr:cNvPr>
        <xdr:cNvSpPr/>
      </xdr:nvSpPr>
      <xdr:spPr bwMode="auto">
        <a:xfrm>
          <a:off x="9820275" y="12468225"/>
          <a:ext cx="257175" cy="25717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257175</xdr:colOff>
      <xdr:row>1</xdr:row>
      <xdr:rowOff>0</xdr:rowOff>
    </xdr:to>
    <xdr:sp macro="" textlink="">
      <xdr:nvSpPr>
        <xdr:cNvPr id="36" name="DTPicker1" hidden="1">
          <a:extLst>
            <a:ext uri="{63B3BB69-23CF-44E3-9099-C40C66FF867C}">
              <a14:compatExt xmlns:a14="http://schemas.microsoft.com/office/drawing/2010/main" spid="_x0000_s3075"/>
            </a:ext>
            <a:ext uri="{FF2B5EF4-FFF2-40B4-BE49-F238E27FC236}">
              <a16:creationId xmlns:a16="http://schemas.microsoft.com/office/drawing/2014/main" xmlns="" id="{00000000-0008-0000-1000-000024000000}"/>
            </a:ext>
          </a:extLst>
        </xdr:cNvPr>
        <xdr:cNvSpPr/>
      </xdr:nvSpPr>
      <xdr:spPr bwMode="auto">
        <a:xfrm>
          <a:off x="7048500" y="14849475"/>
          <a:ext cx="257175" cy="25717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257175</xdr:colOff>
      <xdr:row>0</xdr:row>
      <xdr:rowOff>161925</xdr:rowOff>
    </xdr:to>
    <xdr:sp macro="" textlink="">
      <xdr:nvSpPr>
        <xdr:cNvPr id="37" name="DTPicker1" hidden="1">
          <a:extLst>
            <a:ext uri="{63B3BB69-23CF-44E3-9099-C40C66FF867C}">
              <a14:compatExt xmlns:a14="http://schemas.microsoft.com/office/drawing/2010/main" spid="_x0000_s3074"/>
            </a:ext>
            <a:ext uri="{FF2B5EF4-FFF2-40B4-BE49-F238E27FC236}">
              <a16:creationId xmlns:a16="http://schemas.microsoft.com/office/drawing/2014/main" xmlns="" id="{00000000-0008-0000-1000-000025000000}"/>
            </a:ext>
          </a:extLst>
        </xdr:cNvPr>
        <xdr:cNvSpPr/>
      </xdr:nvSpPr>
      <xdr:spPr bwMode="auto">
        <a:xfrm>
          <a:off x="9820275" y="14239875"/>
          <a:ext cx="257175" cy="25717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257175</xdr:colOff>
      <xdr:row>0</xdr:row>
      <xdr:rowOff>161925</xdr:rowOff>
    </xdr:to>
    <xdr:sp macro="" textlink="">
      <xdr:nvSpPr>
        <xdr:cNvPr id="38" name="DTPicker1" hidden="1">
          <a:extLst>
            <a:ext uri="{63B3BB69-23CF-44E3-9099-C40C66FF867C}">
              <a14:compatExt xmlns:a14="http://schemas.microsoft.com/office/drawing/2010/main" spid="_x0000_s3076"/>
            </a:ext>
            <a:ext uri="{FF2B5EF4-FFF2-40B4-BE49-F238E27FC236}">
              <a16:creationId xmlns:a16="http://schemas.microsoft.com/office/drawing/2014/main" xmlns="" id="{00000000-0008-0000-1000-000026000000}"/>
            </a:ext>
          </a:extLst>
        </xdr:cNvPr>
        <xdr:cNvSpPr/>
      </xdr:nvSpPr>
      <xdr:spPr bwMode="auto">
        <a:xfrm>
          <a:off x="11791950" y="20126325"/>
          <a:ext cx="257175" cy="25717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257175</xdr:colOff>
      <xdr:row>0</xdr:row>
      <xdr:rowOff>161925</xdr:rowOff>
    </xdr:to>
    <xdr:pic>
      <xdr:nvPicPr>
        <xdr:cNvPr id="39" name="Picture 2" hidden="1">
          <a:extLst>
            <a:ext uri="{FF2B5EF4-FFF2-40B4-BE49-F238E27FC236}">
              <a16:creationId xmlns:a16="http://schemas.microsoft.com/office/drawing/2014/main" xmlns="" id="{00000000-0008-0000-1000-000027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12753975"/>
          <a:ext cx="257175" cy="25717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257175</xdr:colOff>
      <xdr:row>1</xdr:row>
      <xdr:rowOff>0</xdr:rowOff>
    </xdr:to>
    <xdr:pic>
      <xdr:nvPicPr>
        <xdr:cNvPr id="40" name="Picture 3" hidden="1">
          <a:extLst>
            <a:ext uri="{FF2B5EF4-FFF2-40B4-BE49-F238E27FC236}">
              <a16:creationId xmlns:a16="http://schemas.microsoft.com/office/drawing/2014/main" xmlns="" id="{00000000-0008-0000-1000-000028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14849475"/>
          <a:ext cx="257175" cy="25717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257175</xdr:colOff>
      <xdr:row>0</xdr:row>
      <xdr:rowOff>161925</xdr:rowOff>
    </xdr:to>
    <xdr:sp macro="" textlink="">
      <xdr:nvSpPr>
        <xdr:cNvPr id="41" name="DTPicker1" hidden="1">
          <a:extLst>
            <a:ext uri="{63B3BB69-23CF-44E3-9099-C40C66FF867C}">
              <a14:compatExt xmlns:a14="http://schemas.microsoft.com/office/drawing/2010/main" spid="_x0000_s3074"/>
            </a:ext>
            <a:ext uri="{FF2B5EF4-FFF2-40B4-BE49-F238E27FC236}">
              <a16:creationId xmlns:a16="http://schemas.microsoft.com/office/drawing/2014/main" xmlns="" id="{00000000-0008-0000-1000-000029000000}"/>
            </a:ext>
          </a:extLst>
        </xdr:cNvPr>
        <xdr:cNvSpPr/>
      </xdr:nvSpPr>
      <xdr:spPr bwMode="auto">
        <a:xfrm>
          <a:off x="7048500" y="27517725"/>
          <a:ext cx="257175" cy="25717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257175</xdr:colOff>
      <xdr:row>0</xdr:row>
      <xdr:rowOff>161925</xdr:rowOff>
    </xdr:to>
    <xdr:pic>
      <xdr:nvPicPr>
        <xdr:cNvPr id="42" name="Picture 2" hidden="1">
          <a:extLst>
            <a:ext uri="{FF2B5EF4-FFF2-40B4-BE49-F238E27FC236}">
              <a16:creationId xmlns:a16="http://schemas.microsoft.com/office/drawing/2014/main" xmlns="" id="{00000000-0008-0000-1000-00002A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27517725"/>
          <a:ext cx="257175" cy="25717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257175</xdr:colOff>
      <xdr:row>1</xdr:row>
      <xdr:rowOff>19050</xdr:rowOff>
    </xdr:to>
    <xdr:sp macro="" textlink="">
      <xdr:nvSpPr>
        <xdr:cNvPr id="43" name="DTPicker1" hidden="1">
          <a:extLst>
            <a:ext uri="{63B3BB69-23CF-44E3-9099-C40C66FF867C}">
              <a14:compatExt xmlns:a14="http://schemas.microsoft.com/office/drawing/2010/main" spid="_x0000_s3074"/>
            </a:ext>
            <a:ext uri="{FF2B5EF4-FFF2-40B4-BE49-F238E27FC236}">
              <a16:creationId xmlns:a16="http://schemas.microsoft.com/office/drawing/2014/main" xmlns="" id="{00000000-0008-0000-1000-00002B000000}"/>
            </a:ext>
          </a:extLst>
        </xdr:cNvPr>
        <xdr:cNvSpPr/>
      </xdr:nvSpPr>
      <xdr:spPr bwMode="auto">
        <a:xfrm>
          <a:off x="7048500" y="1143000"/>
          <a:ext cx="257175" cy="25717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257175</xdr:colOff>
      <xdr:row>1</xdr:row>
      <xdr:rowOff>38100</xdr:rowOff>
    </xdr:to>
    <xdr:sp macro="" textlink="">
      <xdr:nvSpPr>
        <xdr:cNvPr id="44" name="DTPicker1" hidden="1">
          <a:extLst>
            <a:ext uri="{63B3BB69-23CF-44E3-9099-C40C66FF867C}">
              <a14:compatExt xmlns:a14="http://schemas.microsoft.com/office/drawing/2010/main" spid="_x0000_s3074"/>
            </a:ext>
            <a:ext uri="{FF2B5EF4-FFF2-40B4-BE49-F238E27FC236}">
              <a16:creationId xmlns:a16="http://schemas.microsoft.com/office/drawing/2014/main" xmlns="" id="{00000000-0008-0000-1000-00002C000000}"/>
            </a:ext>
          </a:extLst>
        </xdr:cNvPr>
        <xdr:cNvSpPr/>
      </xdr:nvSpPr>
      <xdr:spPr bwMode="auto">
        <a:xfrm>
          <a:off x="9820275" y="942975"/>
          <a:ext cx="257175" cy="25717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257175</xdr:colOff>
      <xdr:row>1</xdr:row>
      <xdr:rowOff>34636</xdr:rowOff>
    </xdr:to>
    <xdr:sp macro="" textlink="">
      <xdr:nvSpPr>
        <xdr:cNvPr id="45" name="DTPicker1" hidden="1">
          <a:extLst>
            <a:ext uri="{63B3BB69-23CF-44E3-9099-C40C66FF867C}">
              <a14:compatExt xmlns:a14="http://schemas.microsoft.com/office/drawing/2010/main" spid="_x0000_s3075"/>
            </a:ext>
            <a:ext uri="{FF2B5EF4-FFF2-40B4-BE49-F238E27FC236}">
              <a16:creationId xmlns:a16="http://schemas.microsoft.com/office/drawing/2014/main" xmlns="" id="{00000000-0008-0000-1000-00002D000000}"/>
            </a:ext>
          </a:extLst>
        </xdr:cNvPr>
        <xdr:cNvSpPr/>
      </xdr:nvSpPr>
      <xdr:spPr bwMode="auto">
        <a:xfrm>
          <a:off x="7048500" y="2019300"/>
          <a:ext cx="257175" cy="263236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257175</xdr:colOff>
      <xdr:row>1</xdr:row>
      <xdr:rowOff>38100</xdr:rowOff>
    </xdr:to>
    <xdr:sp macro="" textlink="">
      <xdr:nvSpPr>
        <xdr:cNvPr id="46" name="DTPicker1" hidden="1">
          <a:extLst>
            <a:ext uri="{63B3BB69-23CF-44E3-9099-C40C66FF867C}">
              <a14:compatExt xmlns:a14="http://schemas.microsoft.com/office/drawing/2010/main" spid="_x0000_s3074"/>
            </a:ext>
            <a:ext uri="{FF2B5EF4-FFF2-40B4-BE49-F238E27FC236}">
              <a16:creationId xmlns:a16="http://schemas.microsoft.com/office/drawing/2014/main" xmlns="" id="{00000000-0008-0000-1000-00002E000000}"/>
            </a:ext>
          </a:extLst>
        </xdr:cNvPr>
        <xdr:cNvSpPr/>
      </xdr:nvSpPr>
      <xdr:spPr bwMode="auto">
        <a:xfrm>
          <a:off x="9820275" y="1581150"/>
          <a:ext cx="257175" cy="25717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257175</xdr:colOff>
      <xdr:row>0</xdr:row>
      <xdr:rowOff>161925</xdr:rowOff>
    </xdr:to>
    <xdr:sp macro="" textlink="">
      <xdr:nvSpPr>
        <xdr:cNvPr id="47" name="DTPicker1" hidden="1">
          <a:extLst>
            <a:ext uri="{63B3BB69-23CF-44E3-9099-C40C66FF867C}">
              <a14:compatExt xmlns:a14="http://schemas.microsoft.com/office/drawing/2010/main" spid="_x0000_s3076"/>
            </a:ext>
            <a:ext uri="{FF2B5EF4-FFF2-40B4-BE49-F238E27FC236}">
              <a16:creationId xmlns:a16="http://schemas.microsoft.com/office/drawing/2014/main" xmlns="" id="{00000000-0008-0000-1000-00002F000000}"/>
            </a:ext>
          </a:extLst>
        </xdr:cNvPr>
        <xdr:cNvSpPr/>
      </xdr:nvSpPr>
      <xdr:spPr bwMode="auto">
        <a:xfrm>
          <a:off x="11791950" y="7696200"/>
          <a:ext cx="257175" cy="25717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257175</xdr:colOff>
      <xdr:row>1</xdr:row>
      <xdr:rowOff>76200</xdr:rowOff>
    </xdr:to>
    <xdr:sp macro="" textlink="">
      <xdr:nvSpPr>
        <xdr:cNvPr id="48" name="DTPicker1" hidden="1">
          <a:extLst>
            <a:ext uri="{63B3BB69-23CF-44E3-9099-C40C66FF867C}">
              <a14:compatExt xmlns:a14="http://schemas.microsoft.com/office/drawing/2010/main" spid="_x0000_s3077"/>
            </a:ext>
            <a:ext uri="{FF2B5EF4-FFF2-40B4-BE49-F238E27FC236}">
              <a16:creationId xmlns:a16="http://schemas.microsoft.com/office/drawing/2014/main" xmlns="" id="{00000000-0008-0000-1000-000030000000}"/>
            </a:ext>
          </a:extLst>
        </xdr:cNvPr>
        <xdr:cNvSpPr/>
      </xdr:nvSpPr>
      <xdr:spPr bwMode="auto">
        <a:xfrm>
          <a:off x="10477500" y="8572500"/>
          <a:ext cx="257175" cy="3810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257175</xdr:colOff>
      <xdr:row>1</xdr:row>
      <xdr:rowOff>19050</xdr:rowOff>
    </xdr:to>
    <xdr:pic>
      <xdr:nvPicPr>
        <xdr:cNvPr id="49" name="Picture 2" hidden="1">
          <a:extLst>
            <a:ext uri="{FF2B5EF4-FFF2-40B4-BE49-F238E27FC236}">
              <a16:creationId xmlns:a16="http://schemas.microsoft.com/office/drawing/2014/main" xmlns="" id="{00000000-0008-0000-1000-000031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1143000"/>
          <a:ext cx="257175" cy="25717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257175</xdr:colOff>
      <xdr:row>1</xdr:row>
      <xdr:rowOff>34636</xdr:rowOff>
    </xdr:to>
    <xdr:pic>
      <xdr:nvPicPr>
        <xdr:cNvPr id="50" name="Picture 3" hidden="1">
          <a:extLst>
            <a:ext uri="{FF2B5EF4-FFF2-40B4-BE49-F238E27FC236}">
              <a16:creationId xmlns:a16="http://schemas.microsoft.com/office/drawing/2014/main" xmlns="" id="{00000000-0008-0000-1000-000032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2019300"/>
          <a:ext cx="257175" cy="263236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15</xdr:col>
      <xdr:colOff>0</xdr:colOff>
      <xdr:row>0</xdr:row>
      <xdr:rowOff>0</xdr:rowOff>
    </xdr:from>
    <xdr:ext cx="257175" cy="257175"/>
    <xdr:sp macro="" textlink="">
      <xdr:nvSpPr>
        <xdr:cNvPr id="51" name="DTPicker1" hidden="1">
          <a:extLst>
            <a:ext uri="{63B3BB69-23CF-44E3-9099-C40C66FF867C}">
              <a14:compatExt xmlns:a14="http://schemas.microsoft.com/office/drawing/2010/main" spid="_x0000_s3076"/>
            </a:ext>
            <a:ext uri="{FF2B5EF4-FFF2-40B4-BE49-F238E27FC236}">
              <a16:creationId xmlns:a16="http://schemas.microsoft.com/office/drawing/2014/main" xmlns="" id="{00000000-0008-0000-1000-000033000000}"/>
            </a:ext>
          </a:extLst>
        </xdr:cNvPr>
        <xdr:cNvSpPr/>
      </xdr:nvSpPr>
      <xdr:spPr bwMode="auto">
        <a:xfrm>
          <a:off x="13106400" y="7696200"/>
          <a:ext cx="257175" cy="25717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0</xdr:row>
      <xdr:rowOff>0</xdr:rowOff>
    </xdr:from>
    <xdr:ext cx="257175" cy="380134"/>
    <xdr:sp macro="" textlink="">
      <xdr:nvSpPr>
        <xdr:cNvPr id="52" name="DTPicker1" hidden="1">
          <a:extLst>
            <a:ext uri="{63B3BB69-23CF-44E3-9099-C40C66FF867C}">
              <a14:compatExt xmlns:a14="http://schemas.microsoft.com/office/drawing/2010/main" spid="_x0000_s3077"/>
            </a:ext>
            <a:ext uri="{FF2B5EF4-FFF2-40B4-BE49-F238E27FC236}">
              <a16:creationId xmlns:a16="http://schemas.microsoft.com/office/drawing/2014/main" xmlns="" id="{00000000-0008-0000-1000-000034000000}"/>
            </a:ext>
          </a:extLst>
        </xdr:cNvPr>
        <xdr:cNvSpPr/>
      </xdr:nvSpPr>
      <xdr:spPr bwMode="auto">
        <a:xfrm>
          <a:off x="10477500" y="8286750"/>
          <a:ext cx="257175" cy="380134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0</xdr:row>
      <xdr:rowOff>0</xdr:rowOff>
    </xdr:from>
    <xdr:ext cx="257175" cy="257175"/>
    <xdr:sp macro="" textlink="">
      <xdr:nvSpPr>
        <xdr:cNvPr id="53" name="DTPicker1" hidden="1">
          <a:extLst>
            <a:ext uri="{63B3BB69-23CF-44E3-9099-C40C66FF867C}">
              <a14:compatExt xmlns:a14="http://schemas.microsoft.com/office/drawing/2010/main" spid="_x0000_s3074"/>
            </a:ext>
            <a:ext uri="{FF2B5EF4-FFF2-40B4-BE49-F238E27FC236}">
              <a16:creationId xmlns:a16="http://schemas.microsoft.com/office/drawing/2014/main" xmlns="" id="{00000000-0008-0000-1000-000035000000}"/>
            </a:ext>
          </a:extLst>
        </xdr:cNvPr>
        <xdr:cNvSpPr/>
      </xdr:nvSpPr>
      <xdr:spPr bwMode="auto">
        <a:xfrm>
          <a:off x="9820275" y="12753975"/>
          <a:ext cx="257175" cy="25717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257175" cy="257175"/>
    <xdr:sp macro="" textlink="">
      <xdr:nvSpPr>
        <xdr:cNvPr id="54" name="DTPicker1" hidden="1">
          <a:extLst>
            <a:ext uri="{63B3BB69-23CF-44E3-9099-C40C66FF867C}">
              <a14:compatExt xmlns:a14="http://schemas.microsoft.com/office/drawing/2010/main" spid="_x0000_s3075"/>
            </a:ext>
            <a:ext uri="{FF2B5EF4-FFF2-40B4-BE49-F238E27FC236}">
              <a16:creationId xmlns:a16="http://schemas.microsoft.com/office/drawing/2014/main" xmlns="" id="{00000000-0008-0000-1000-000036000000}"/>
            </a:ext>
          </a:extLst>
        </xdr:cNvPr>
        <xdr:cNvSpPr/>
      </xdr:nvSpPr>
      <xdr:spPr bwMode="auto">
        <a:xfrm>
          <a:off x="7048500" y="13935075"/>
          <a:ext cx="257175" cy="25717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0</xdr:row>
      <xdr:rowOff>0</xdr:rowOff>
    </xdr:from>
    <xdr:ext cx="257175" cy="257175"/>
    <xdr:sp macro="" textlink="">
      <xdr:nvSpPr>
        <xdr:cNvPr id="55" name="DTPicker1" hidden="1">
          <a:extLst>
            <a:ext uri="{63B3BB69-23CF-44E3-9099-C40C66FF867C}">
              <a14:compatExt xmlns:a14="http://schemas.microsoft.com/office/drawing/2010/main" spid="_x0000_s3074"/>
            </a:ext>
            <a:ext uri="{FF2B5EF4-FFF2-40B4-BE49-F238E27FC236}">
              <a16:creationId xmlns:a16="http://schemas.microsoft.com/office/drawing/2014/main" xmlns="" id="{00000000-0008-0000-1000-000037000000}"/>
            </a:ext>
          </a:extLst>
        </xdr:cNvPr>
        <xdr:cNvSpPr/>
      </xdr:nvSpPr>
      <xdr:spPr bwMode="auto">
        <a:xfrm>
          <a:off x="9820275" y="13325475"/>
          <a:ext cx="257175" cy="25717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257175" cy="257175"/>
    <xdr:pic>
      <xdr:nvPicPr>
        <xdr:cNvPr id="56" name="Picture 3" hidden="1">
          <a:extLst>
            <a:ext uri="{FF2B5EF4-FFF2-40B4-BE49-F238E27FC236}">
              <a16:creationId xmlns:a16="http://schemas.microsoft.com/office/drawing/2014/main" xmlns="" id="{00000000-0008-0000-1000-000038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13935075"/>
          <a:ext cx="257175" cy="25717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0</xdr:colOff>
      <xdr:row>0</xdr:row>
      <xdr:rowOff>0</xdr:rowOff>
    </xdr:from>
    <xdr:ext cx="257175" cy="257175"/>
    <xdr:sp macro="" textlink="">
      <xdr:nvSpPr>
        <xdr:cNvPr id="57" name="DTPicker1" hidden="1">
          <a:extLst>
            <a:ext uri="{63B3BB69-23CF-44E3-9099-C40C66FF867C}">
              <a14:compatExt xmlns:a14="http://schemas.microsoft.com/office/drawing/2010/main" spid="_x0000_s3074"/>
            </a:ext>
            <a:ext uri="{FF2B5EF4-FFF2-40B4-BE49-F238E27FC236}">
              <a16:creationId xmlns:a16="http://schemas.microsoft.com/office/drawing/2014/main" xmlns="" id="{00000000-0008-0000-1000-000039000000}"/>
            </a:ext>
          </a:extLst>
        </xdr:cNvPr>
        <xdr:cNvSpPr/>
      </xdr:nvSpPr>
      <xdr:spPr bwMode="auto">
        <a:xfrm>
          <a:off x="7048500" y="13630275"/>
          <a:ext cx="257175" cy="25717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257175" cy="257175"/>
    <xdr:pic>
      <xdr:nvPicPr>
        <xdr:cNvPr id="58" name="Picture 2" hidden="1">
          <a:extLst>
            <a:ext uri="{FF2B5EF4-FFF2-40B4-BE49-F238E27FC236}">
              <a16:creationId xmlns:a16="http://schemas.microsoft.com/office/drawing/2014/main" xmlns="" id="{00000000-0008-0000-1000-00003A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13630275"/>
          <a:ext cx="257175" cy="25717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0</xdr:row>
      <xdr:rowOff>0</xdr:rowOff>
    </xdr:from>
    <xdr:to>
      <xdr:col>16</xdr:col>
      <xdr:colOff>5648325</xdr:colOff>
      <xdr:row>11</xdr:row>
      <xdr:rowOff>0</xdr:rowOff>
    </xdr:to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xmlns="" id="{00000000-0008-0000-1000-00003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6697325" cy="2314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5648325</xdr:colOff>
      <xdr:row>11</xdr:row>
      <xdr:rowOff>0</xdr:rowOff>
    </xdr:to>
    <xdr:sp macro="" textlink="">
      <xdr:nvSpPr>
        <xdr:cNvPr id="60" name="AutoShape 2">
          <a:extLst>
            <a:ext uri="{FF2B5EF4-FFF2-40B4-BE49-F238E27FC236}">
              <a16:creationId xmlns:a16="http://schemas.microsoft.com/office/drawing/2014/main" xmlns="" id="{00000000-0008-0000-1000-00003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6697325" cy="2314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5648325</xdr:colOff>
      <xdr:row>11</xdr:row>
      <xdr:rowOff>0</xdr:rowOff>
    </xdr:to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xmlns="" id="{00000000-0008-0000-1000-00003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6697325" cy="23145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5648325</xdr:colOff>
      <xdr:row>11</xdr:row>
      <xdr:rowOff>0</xdr:rowOff>
    </xdr:to>
    <xdr:sp macro="" textlink="">
      <xdr:nvSpPr>
        <xdr:cNvPr id="62" name="AutoShape 2">
          <a:extLst>
            <a:ext uri="{FF2B5EF4-FFF2-40B4-BE49-F238E27FC236}">
              <a16:creationId xmlns:a16="http://schemas.microsoft.com/office/drawing/2014/main" xmlns="" id="{00000000-0008-0000-1000-00003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6697325" cy="2314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5648325</xdr:colOff>
      <xdr:row>11</xdr:row>
      <xdr:rowOff>0</xdr:rowOff>
    </xdr:to>
    <xdr:sp macro="" textlink="">
      <xdr:nvSpPr>
        <xdr:cNvPr id="63" name="AutoShape 2">
          <a:extLst>
            <a:ext uri="{FF2B5EF4-FFF2-40B4-BE49-F238E27FC236}">
              <a16:creationId xmlns:a16="http://schemas.microsoft.com/office/drawing/2014/main" xmlns="" id="{00000000-0008-0000-1000-00003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6697325" cy="2314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5648325</xdr:colOff>
      <xdr:row>11</xdr:row>
      <xdr:rowOff>0</xdr:rowOff>
    </xdr:to>
    <xdr:sp macro="" textlink="">
      <xdr:nvSpPr>
        <xdr:cNvPr id="64" name="AutoShape 2">
          <a:extLst>
            <a:ext uri="{FF2B5EF4-FFF2-40B4-BE49-F238E27FC236}">
              <a16:creationId xmlns:a16="http://schemas.microsoft.com/office/drawing/2014/main" xmlns="" id="{00000000-0008-0000-1000-00004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6697325" cy="23145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5648325</xdr:colOff>
      <xdr:row>11</xdr:row>
      <xdr:rowOff>0</xdr:rowOff>
    </xdr:to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xmlns="" id="{00000000-0008-0000-1000-00004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6697325" cy="2314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5648325</xdr:colOff>
      <xdr:row>11</xdr:row>
      <xdr:rowOff>0</xdr:rowOff>
    </xdr:to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xmlns="" id="{00000000-0008-0000-1000-00004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6697325" cy="2314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5648325</xdr:colOff>
      <xdr:row>11</xdr:row>
      <xdr:rowOff>0</xdr:rowOff>
    </xdr:to>
    <xdr:sp macro="" textlink="">
      <xdr:nvSpPr>
        <xdr:cNvPr id="67" name="AutoShape 2">
          <a:extLst>
            <a:ext uri="{FF2B5EF4-FFF2-40B4-BE49-F238E27FC236}">
              <a16:creationId xmlns:a16="http://schemas.microsoft.com/office/drawing/2014/main" xmlns="" id="{00000000-0008-0000-1000-00004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6697325" cy="2314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5648325</xdr:colOff>
      <xdr:row>11</xdr:row>
      <xdr:rowOff>0</xdr:rowOff>
    </xdr:to>
    <xdr:sp macro="" textlink="">
      <xdr:nvSpPr>
        <xdr:cNvPr id="68" name="AutoShape 2">
          <a:extLst>
            <a:ext uri="{FF2B5EF4-FFF2-40B4-BE49-F238E27FC236}">
              <a16:creationId xmlns:a16="http://schemas.microsoft.com/office/drawing/2014/main" xmlns="" id="{00000000-0008-0000-1000-00004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6697325" cy="23145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4518660</xdr:colOff>
      <xdr:row>11</xdr:row>
      <xdr:rowOff>0</xdr:rowOff>
    </xdr:to>
    <xdr:sp macro="" textlink="">
      <xdr:nvSpPr>
        <xdr:cNvPr id="69" name="AutoShape 2">
          <a:extLst>
            <a:ext uri="{FF2B5EF4-FFF2-40B4-BE49-F238E27FC236}">
              <a16:creationId xmlns:a16="http://schemas.microsoft.com/office/drawing/2014/main" xmlns="" id="{00000000-0008-0000-1000-00004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6701135" cy="2314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5648325</xdr:colOff>
      <xdr:row>11</xdr:row>
      <xdr:rowOff>0</xdr:rowOff>
    </xdr:to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xmlns="" id="{00000000-0008-0000-1000-00004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6697325" cy="2314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5648325</xdr:colOff>
      <xdr:row>11</xdr:row>
      <xdr:rowOff>0</xdr:rowOff>
    </xdr:to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xmlns="" id="{00000000-0008-0000-1000-00004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6697325" cy="2314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5648325</xdr:colOff>
      <xdr:row>11</xdr:row>
      <xdr:rowOff>0</xdr:rowOff>
    </xdr:to>
    <xdr:sp macro="" textlink="">
      <xdr:nvSpPr>
        <xdr:cNvPr id="72" name="AutoShape 2">
          <a:extLst>
            <a:ext uri="{FF2B5EF4-FFF2-40B4-BE49-F238E27FC236}">
              <a16:creationId xmlns:a16="http://schemas.microsoft.com/office/drawing/2014/main" xmlns="" id="{00000000-0008-0000-1000-00004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6697325" cy="2314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5648325</xdr:colOff>
      <xdr:row>11</xdr:row>
      <xdr:rowOff>0</xdr:rowOff>
    </xdr:to>
    <xdr:sp macro="" textlink="">
      <xdr:nvSpPr>
        <xdr:cNvPr id="73" name="AutoShape 2">
          <a:extLst>
            <a:ext uri="{FF2B5EF4-FFF2-40B4-BE49-F238E27FC236}">
              <a16:creationId xmlns:a16="http://schemas.microsoft.com/office/drawing/2014/main" xmlns="" id="{00000000-0008-0000-1000-00004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6697325" cy="2314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5648325</xdr:colOff>
      <xdr:row>11</xdr:row>
      <xdr:rowOff>0</xdr:rowOff>
    </xdr:to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xmlns="" id="{00000000-0008-0000-1000-00004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6697325" cy="2314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5648325</xdr:colOff>
      <xdr:row>11</xdr:row>
      <xdr:rowOff>0</xdr:rowOff>
    </xdr:to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xmlns="" id="{00000000-0008-0000-1000-00004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6697325" cy="2314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5648325</xdr:colOff>
      <xdr:row>11</xdr:row>
      <xdr:rowOff>0</xdr:rowOff>
    </xdr:to>
    <xdr:sp macro="" textlink="">
      <xdr:nvSpPr>
        <xdr:cNvPr id="76" name="AutoShape 2">
          <a:extLst>
            <a:ext uri="{FF2B5EF4-FFF2-40B4-BE49-F238E27FC236}">
              <a16:creationId xmlns:a16="http://schemas.microsoft.com/office/drawing/2014/main" xmlns="" id="{00000000-0008-0000-1000-00004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6697325" cy="2314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5394960</xdr:colOff>
      <xdr:row>11</xdr:row>
      <xdr:rowOff>0</xdr:rowOff>
    </xdr:to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xmlns="" id="{00000000-0008-0000-1000-00004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6701135" cy="2314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5394960</xdr:colOff>
      <xdr:row>11</xdr:row>
      <xdr:rowOff>0</xdr:rowOff>
    </xdr:to>
    <xdr:sp macro="" textlink="">
      <xdr:nvSpPr>
        <xdr:cNvPr id="78" name="AutoShape 2">
          <a:extLst>
            <a:ext uri="{FF2B5EF4-FFF2-40B4-BE49-F238E27FC236}">
              <a16:creationId xmlns:a16="http://schemas.microsoft.com/office/drawing/2014/main" xmlns="" id="{00000000-0008-0000-1000-00004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6701135" cy="23145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5648325</xdr:colOff>
      <xdr:row>11</xdr:row>
      <xdr:rowOff>0</xdr:rowOff>
    </xdr:to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xmlns="" id="{00000000-0008-0000-1000-00004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6697325" cy="23145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5648325</xdr:colOff>
      <xdr:row>11</xdr:row>
      <xdr:rowOff>0</xdr:rowOff>
    </xdr:to>
    <xdr:sp macro="" textlink="">
      <xdr:nvSpPr>
        <xdr:cNvPr id="80" name="AutoShape 2">
          <a:extLst>
            <a:ext uri="{FF2B5EF4-FFF2-40B4-BE49-F238E27FC236}">
              <a16:creationId xmlns:a16="http://schemas.microsoft.com/office/drawing/2014/main" xmlns="" id="{00000000-0008-0000-1000-00005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6697325" cy="2314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5648325</xdr:colOff>
      <xdr:row>11</xdr:row>
      <xdr:rowOff>0</xdr:rowOff>
    </xdr:to>
    <xdr:sp macro="" textlink="">
      <xdr:nvSpPr>
        <xdr:cNvPr id="81" name="AutoShape 2">
          <a:extLst>
            <a:ext uri="{FF2B5EF4-FFF2-40B4-BE49-F238E27FC236}">
              <a16:creationId xmlns:a16="http://schemas.microsoft.com/office/drawing/2014/main" xmlns="" id="{00000000-0008-0000-1000-00005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6697325" cy="2314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5648325</xdr:colOff>
      <xdr:row>11</xdr:row>
      <xdr:rowOff>0</xdr:rowOff>
    </xdr:to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xmlns="" id="{00000000-0008-0000-1000-00005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6697325" cy="2314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5648325</xdr:colOff>
      <xdr:row>11</xdr:row>
      <xdr:rowOff>0</xdr:rowOff>
    </xdr:to>
    <xdr:sp macro="" textlink="">
      <xdr:nvSpPr>
        <xdr:cNvPr id="83" name="AutoShape 2">
          <a:extLst>
            <a:ext uri="{FF2B5EF4-FFF2-40B4-BE49-F238E27FC236}">
              <a16:creationId xmlns:a16="http://schemas.microsoft.com/office/drawing/2014/main" xmlns="" id="{00000000-0008-0000-1000-00005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6697325" cy="2314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5648325</xdr:colOff>
      <xdr:row>11</xdr:row>
      <xdr:rowOff>0</xdr:rowOff>
    </xdr:to>
    <xdr:sp macro="" textlink="">
      <xdr:nvSpPr>
        <xdr:cNvPr id="84" name="AutoShape 2">
          <a:extLst>
            <a:ext uri="{FF2B5EF4-FFF2-40B4-BE49-F238E27FC236}">
              <a16:creationId xmlns:a16="http://schemas.microsoft.com/office/drawing/2014/main" xmlns="" id="{00000000-0008-0000-1000-00005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6697325" cy="2314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8</xdr:col>
      <xdr:colOff>0</xdr:colOff>
      <xdr:row>100</xdr:row>
      <xdr:rowOff>0</xdr:rowOff>
    </xdr:from>
    <xdr:ext cx="257175" cy="686600"/>
    <xdr:pic>
      <xdr:nvPicPr>
        <xdr:cNvPr id="85" name="DTPicker1" hidden="1">
          <a:extLst>
            <a:ext uri="{63B3BB69-23CF-44E3-9099-C40C66FF867C}">
              <a14:compatExt xmlns:a14="http://schemas.microsoft.com/office/drawing/2010/main" spid="_x0000_s3073"/>
            </a:ext>
            <a:ext uri="{FF2B5EF4-FFF2-40B4-BE49-F238E27FC236}">
              <a16:creationId xmlns:a16="http://schemas.microsoft.com/office/drawing/2014/main" xmlns="" id="{00000000-0008-0000-1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667875" y="30832425"/>
          <a:ext cx="257175" cy="6866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103</xdr:row>
      <xdr:rowOff>0</xdr:rowOff>
    </xdr:from>
    <xdr:ext cx="257175" cy="352664"/>
    <xdr:pic>
      <xdr:nvPicPr>
        <xdr:cNvPr id="86" name="DTPicker1" hidden="1">
          <a:extLst>
            <a:ext uri="{63B3BB69-23CF-44E3-9099-C40C66FF867C}">
              <a14:compatExt xmlns:a14="http://schemas.microsoft.com/office/drawing/2010/main" spid="_x0000_s3073"/>
            </a:ext>
            <a:ext uri="{FF2B5EF4-FFF2-40B4-BE49-F238E27FC236}">
              <a16:creationId xmlns:a16="http://schemas.microsoft.com/office/drawing/2014/main" xmlns="" id="{00000000-0008-0000-1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667875" y="31775400"/>
          <a:ext cx="257175" cy="352664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101</xdr:row>
      <xdr:rowOff>0</xdr:rowOff>
    </xdr:from>
    <xdr:ext cx="257175" cy="352665"/>
    <xdr:pic>
      <xdr:nvPicPr>
        <xdr:cNvPr id="87" name="DTPicker1" hidden="1">
          <a:extLst>
            <a:ext uri="{63B3BB69-23CF-44E3-9099-C40C66FF867C}">
              <a14:compatExt xmlns:a14="http://schemas.microsoft.com/office/drawing/2010/main" spid="_x0000_s3073"/>
            </a:ext>
            <a:ext uri="{FF2B5EF4-FFF2-40B4-BE49-F238E27FC236}">
              <a16:creationId xmlns:a16="http://schemas.microsoft.com/office/drawing/2014/main" xmlns="" id="{00000000-0008-0000-1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667875" y="31146750"/>
          <a:ext cx="257175" cy="352665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103</xdr:row>
      <xdr:rowOff>0</xdr:rowOff>
    </xdr:from>
    <xdr:ext cx="257175" cy="352665"/>
    <xdr:pic>
      <xdr:nvPicPr>
        <xdr:cNvPr id="88" name="DTPicker1" hidden="1">
          <a:extLst>
            <a:ext uri="{63B3BB69-23CF-44E3-9099-C40C66FF867C}">
              <a14:compatExt xmlns:a14="http://schemas.microsoft.com/office/drawing/2010/main" spid="_x0000_s3073"/>
            </a:ext>
            <a:ext uri="{FF2B5EF4-FFF2-40B4-BE49-F238E27FC236}">
              <a16:creationId xmlns:a16="http://schemas.microsoft.com/office/drawing/2014/main" xmlns="" id="{00000000-0008-0000-1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667875" y="31775400"/>
          <a:ext cx="257175" cy="352665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106</xdr:row>
      <xdr:rowOff>0</xdr:rowOff>
    </xdr:from>
    <xdr:ext cx="257175" cy="352664"/>
    <xdr:pic>
      <xdr:nvPicPr>
        <xdr:cNvPr id="89" name="DTPicker1" hidden="1">
          <a:extLst>
            <a:ext uri="{63B3BB69-23CF-44E3-9099-C40C66FF867C}">
              <a14:compatExt xmlns:a14="http://schemas.microsoft.com/office/drawing/2010/main" spid="_x0000_s3073"/>
            </a:ext>
            <a:ext uri="{FF2B5EF4-FFF2-40B4-BE49-F238E27FC236}">
              <a16:creationId xmlns:a16="http://schemas.microsoft.com/office/drawing/2014/main" xmlns="" id="{00000000-0008-0000-1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667875" y="32718375"/>
          <a:ext cx="257175" cy="352664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104</xdr:row>
      <xdr:rowOff>0</xdr:rowOff>
    </xdr:from>
    <xdr:ext cx="257175" cy="352665"/>
    <xdr:pic>
      <xdr:nvPicPr>
        <xdr:cNvPr id="90" name="DTPicker1" hidden="1">
          <a:extLst>
            <a:ext uri="{63B3BB69-23CF-44E3-9099-C40C66FF867C}">
              <a14:compatExt xmlns:a14="http://schemas.microsoft.com/office/drawing/2010/main" spid="_x0000_s3073"/>
            </a:ext>
            <a:ext uri="{FF2B5EF4-FFF2-40B4-BE49-F238E27FC236}">
              <a16:creationId xmlns:a16="http://schemas.microsoft.com/office/drawing/2014/main" xmlns="" id="{00000000-0008-0000-1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667875" y="32089725"/>
          <a:ext cx="257175" cy="352665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106</xdr:row>
      <xdr:rowOff>0</xdr:rowOff>
    </xdr:from>
    <xdr:ext cx="257175" cy="686600"/>
    <xdr:pic>
      <xdr:nvPicPr>
        <xdr:cNvPr id="91" name="DTPicker1" hidden="1">
          <a:extLst>
            <a:ext uri="{63B3BB69-23CF-44E3-9099-C40C66FF867C}">
              <a14:compatExt xmlns:a14="http://schemas.microsoft.com/office/drawing/2010/main" spid="_x0000_s3073"/>
            </a:ext>
            <a:ext uri="{FF2B5EF4-FFF2-40B4-BE49-F238E27FC236}">
              <a16:creationId xmlns:a16="http://schemas.microsoft.com/office/drawing/2014/main" xmlns="" id="{00000000-0008-0000-1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667875" y="32718375"/>
          <a:ext cx="257175" cy="6866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107</xdr:row>
      <xdr:rowOff>0</xdr:rowOff>
    </xdr:from>
    <xdr:ext cx="257175" cy="352664"/>
    <xdr:pic>
      <xdr:nvPicPr>
        <xdr:cNvPr id="92" name="DTPicker1" hidden="1">
          <a:extLst>
            <a:ext uri="{63B3BB69-23CF-44E3-9099-C40C66FF867C}">
              <a14:compatExt xmlns:a14="http://schemas.microsoft.com/office/drawing/2010/main" spid="_x0000_s3073"/>
            </a:ext>
            <a:ext uri="{FF2B5EF4-FFF2-40B4-BE49-F238E27FC236}">
              <a16:creationId xmlns:a16="http://schemas.microsoft.com/office/drawing/2014/main" xmlns="" id="{00000000-0008-0000-1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667875" y="33032700"/>
          <a:ext cx="257175" cy="352664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107</xdr:row>
      <xdr:rowOff>0</xdr:rowOff>
    </xdr:from>
    <xdr:ext cx="257175" cy="352665"/>
    <xdr:pic>
      <xdr:nvPicPr>
        <xdr:cNvPr id="93" name="DTPicker1" hidden="1">
          <a:extLst>
            <a:ext uri="{63B3BB69-23CF-44E3-9099-C40C66FF867C}">
              <a14:compatExt xmlns:a14="http://schemas.microsoft.com/office/drawing/2010/main" spid="_x0000_s3073"/>
            </a:ext>
            <a:ext uri="{FF2B5EF4-FFF2-40B4-BE49-F238E27FC236}">
              <a16:creationId xmlns:a16="http://schemas.microsoft.com/office/drawing/2014/main" xmlns="" id="{00000000-0008-0000-1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667875" y="33032700"/>
          <a:ext cx="257175" cy="352665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107</xdr:row>
      <xdr:rowOff>0</xdr:rowOff>
    </xdr:from>
    <xdr:ext cx="257175" cy="352665"/>
    <xdr:pic>
      <xdr:nvPicPr>
        <xdr:cNvPr id="94" name="DTPicker1" hidden="1">
          <a:extLst>
            <a:ext uri="{63B3BB69-23CF-44E3-9099-C40C66FF867C}">
              <a14:compatExt xmlns:a14="http://schemas.microsoft.com/office/drawing/2010/main" spid="_x0000_s3073"/>
            </a:ext>
            <a:ext uri="{FF2B5EF4-FFF2-40B4-BE49-F238E27FC236}">
              <a16:creationId xmlns:a16="http://schemas.microsoft.com/office/drawing/2014/main" xmlns="" id="{00000000-0008-0000-1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667875" y="33032700"/>
          <a:ext cx="257175" cy="352665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107</xdr:row>
      <xdr:rowOff>0</xdr:rowOff>
    </xdr:from>
    <xdr:ext cx="257175" cy="352664"/>
    <xdr:pic>
      <xdr:nvPicPr>
        <xdr:cNvPr id="95" name="DTPicker1" hidden="1">
          <a:extLst>
            <a:ext uri="{63B3BB69-23CF-44E3-9099-C40C66FF867C}">
              <a14:compatExt xmlns:a14="http://schemas.microsoft.com/office/drawing/2010/main" spid="_x0000_s3073"/>
            </a:ext>
            <a:ext uri="{FF2B5EF4-FFF2-40B4-BE49-F238E27FC236}">
              <a16:creationId xmlns:a16="http://schemas.microsoft.com/office/drawing/2014/main" xmlns="" id="{00000000-0008-0000-1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667875" y="33032700"/>
          <a:ext cx="257175" cy="352664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107</xdr:row>
      <xdr:rowOff>0</xdr:rowOff>
    </xdr:from>
    <xdr:ext cx="257175" cy="352665"/>
    <xdr:pic>
      <xdr:nvPicPr>
        <xdr:cNvPr id="96" name="DTPicker1" hidden="1">
          <a:extLst>
            <a:ext uri="{63B3BB69-23CF-44E3-9099-C40C66FF867C}">
              <a14:compatExt xmlns:a14="http://schemas.microsoft.com/office/drawing/2010/main" spid="_x0000_s3073"/>
            </a:ext>
            <a:ext uri="{FF2B5EF4-FFF2-40B4-BE49-F238E27FC236}">
              <a16:creationId xmlns:a16="http://schemas.microsoft.com/office/drawing/2014/main" xmlns="" id="{00000000-0008-0000-1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667875" y="33032700"/>
          <a:ext cx="257175" cy="352665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122</xdr:row>
      <xdr:rowOff>0</xdr:rowOff>
    </xdr:from>
    <xdr:ext cx="257175" cy="686600"/>
    <xdr:pic>
      <xdr:nvPicPr>
        <xdr:cNvPr id="97" name="DTPicker1" hidden="1">
          <a:extLst>
            <a:ext uri="{63B3BB69-23CF-44E3-9099-C40C66FF867C}">
              <a14:compatExt xmlns:a14="http://schemas.microsoft.com/office/drawing/2010/main" spid="_x0000_s3073"/>
            </a:ext>
            <a:ext uri="{FF2B5EF4-FFF2-40B4-BE49-F238E27FC236}">
              <a16:creationId xmlns:a16="http://schemas.microsoft.com/office/drawing/2014/main" xmlns="" id="{00000000-0008-0000-1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667875" y="37623750"/>
          <a:ext cx="257175" cy="68660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122</xdr:row>
      <xdr:rowOff>0</xdr:rowOff>
    </xdr:from>
    <xdr:ext cx="257175" cy="352664"/>
    <xdr:pic>
      <xdr:nvPicPr>
        <xdr:cNvPr id="98" name="DTPicker1" hidden="1">
          <a:extLst>
            <a:ext uri="{63B3BB69-23CF-44E3-9099-C40C66FF867C}">
              <a14:compatExt xmlns:a14="http://schemas.microsoft.com/office/drawing/2010/main" spid="_x0000_s3073"/>
            </a:ext>
            <a:ext uri="{FF2B5EF4-FFF2-40B4-BE49-F238E27FC236}">
              <a16:creationId xmlns:a16="http://schemas.microsoft.com/office/drawing/2014/main" xmlns="" id="{00000000-0008-0000-1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667875" y="37623750"/>
          <a:ext cx="257175" cy="352664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122</xdr:row>
      <xdr:rowOff>0</xdr:rowOff>
    </xdr:from>
    <xdr:ext cx="257175" cy="352665"/>
    <xdr:pic>
      <xdr:nvPicPr>
        <xdr:cNvPr id="99" name="DTPicker1" hidden="1">
          <a:extLst>
            <a:ext uri="{63B3BB69-23CF-44E3-9099-C40C66FF867C}">
              <a14:compatExt xmlns:a14="http://schemas.microsoft.com/office/drawing/2010/main" spid="_x0000_s3073"/>
            </a:ext>
            <a:ext uri="{FF2B5EF4-FFF2-40B4-BE49-F238E27FC236}">
              <a16:creationId xmlns:a16="http://schemas.microsoft.com/office/drawing/2014/main" xmlns="" id="{00000000-0008-0000-1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667875" y="37623750"/>
          <a:ext cx="257175" cy="352665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122</xdr:row>
      <xdr:rowOff>0</xdr:rowOff>
    </xdr:from>
    <xdr:ext cx="257175" cy="352665"/>
    <xdr:pic>
      <xdr:nvPicPr>
        <xdr:cNvPr id="100" name="DTPicker1" hidden="1">
          <a:extLst>
            <a:ext uri="{63B3BB69-23CF-44E3-9099-C40C66FF867C}">
              <a14:compatExt xmlns:a14="http://schemas.microsoft.com/office/drawing/2010/main" spid="_x0000_s3073"/>
            </a:ext>
            <a:ext uri="{FF2B5EF4-FFF2-40B4-BE49-F238E27FC236}">
              <a16:creationId xmlns:a16="http://schemas.microsoft.com/office/drawing/2014/main" xmlns="" id="{00000000-0008-0000-1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667875" y="37623750"/>
          <a:ext cx="257175" cy="352665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122</xdr:row>
      <xdr:rowOff>0</xdr:rowOff>
    </xdr:from>
    <xdr:ext cx="257175" cy="352664"/>
    <xdr:pic>
      <xdr:nvPicPr>
        <xdr:cNvPr id="101" name="DTPicker1" hidden="1">
          <a:extLst>
            <a:ext uri="{63B3BB69-23CF-44E3-9099-C40C66FF867C}">
              <a14:compatExt xmlns:a14="http://schemas.microsoft.com/office/drawing/2010/main" spid="_x0000_s3073"/>
            </a:ext>
            <a:ext uri="{FF2B5EF4-FFF2-40B4-BE49-F238E27FC236}">
              <a16:creationId xmlns:a16="http://schemas.microsoft.com/office/drawing/2014/main" xmlns="" id="{00000000-0008-0000-1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667875" y="37623750"/>
          <a:ext cx="257175" cy="352664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122</xdr:row>
      <xdr:rowOff>0</xdr:rowOff>
    </xdr:from>
    <xdr:ext cx="257175" cy="352665"/>
    <xdr:pic>
      <xdr:nvPicPr>
        <xdr:cNvPr id="102" name="DTPicker1" hidden="1">
          <a:extLst>
            <a:ext uri="{63B3BB69-23CF-44E3-9099-C40C66FF867C}">
              <a14:compatExt xmlns:a14="http://schemas.microsoft.com/office/drawing/2010/main" spid="_x0000_s3073"/>
            </a:ext>
            <a:ext uri="{FF2B5EF4-FFF2-40B4-BE49-F238E27FC236}">
              <a16:creationId xmlns:a16="http://schemas.microsoft.com/office/drawing/2014/main" xmlns="" id="{00000000-0008-0000-1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667875" y="37623750"/>
          <a:ext cx="257175" cy="35266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2</xdr:col>
      <xdr:colOff>619125</xdr:colOff>
      <xdr:row>5</xdr:row>
      <xdr:rowOff>0</xdr:rowOff>
    </xdr:to>
    <xdr:pic>
      <xdr:nvPicPr>
        <xdr:cNvPr id="2" name="Picture 2" descr="heading_6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9050"/>
          <a:ext cx="2047875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2</xdr:col>
      <xdr:colOff>619125</xdr:colOff>
      <xdr:row>4</xdr:row>
      <xdr:rowOff>190500</xdr:rowOff>
    </xdr:to>
    <xdr:pic>
      <xdr:nvPicPr>
        <xdr:cNvPr id="2" name="Picture 2" descr="heading_6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0"/>
          <a:ext cx="2038350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\judit\EETS%20Dropbox\Judit%20Lazar\Frankendland_EETS_EK-VK_2019_CZ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udit\AppData\Local\Temp\New%20address-%20Quotation%20form-SHA%20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ag"/>
      <sheetName val="Karlsbad-Marienbad"/>
      <sheetName val="KRU-HLU-PIL-BUD"/>
      <sheetName val="Gesamt"/>
      <sheetName val="Sheet1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计价表"/>
      <sheetName val="新大团报价单"/>
      <sheetName val="新小团报价单"/>
      <sheetName val="換算"/>
      <sheetName val="2018 coach"/>
      <sheetName val="Frankenland price2018"/>
      <sheetName val="2018 AT price"/>
      <sheetName val="2018 CZ"/>
      <sheetName val="2017-2018 HU price"/>
      <sheetName val="Croatia-Slovenia 2017-2018"/>
      <sheetName val="Slovakian Entrance + Meal fees"/>
      <sheetName val="Jungfrau_2018"/>
      <sheetName val="poland"/>
      <sheetName val="Major French+Italian entrances"/>
    </sheetNames>
    <sheetDataSet>
      <sheetData sheetId="0">
        <row r="2">
          <cell r="A2" t="str">
            <v>D1</v>
          </cell>
          <cell r="R2" t="str">
            <v>D1</v>
          </cell>
        </row>
        <row r="3">
          <cell r="A3" t="str">
            <v>D2</v>
          </cell>
          <cell r="R3" t="str">
            <v>D2</v>
          </cell>
          <cell r="S3" t="str">
            <v xml:space="preserve"> </v>
          </cell>
          <cell r="T3" t="str">
            <v xml:space="preserve"> </v>
          </cell>
        </row>
        <row r="4">
          <cell r="A4" t="str">
            <v>D3</v>
          </cell>
          <cell r="R4" t="str">
            <v>D3</v>
          </cell>
          <cell r="S4" t="str">
            <v xml:space="preserve"> </v>
          </cell>
          <cell r="T4" t="str">
            <v xml:space="preserve"> </v>
          </cell>
        </row>
        <row r="5">
          <cell r="A5" t="str">
            <v>D4</v>
          </cell>
          <cell r="R5" t="str">
            <v>D4</v>
          </cell>
          <cell r="S5" t="str">
            <v xml:space="preserve"> </v>
          </cell>
          <cell r="T5" t="str">
            <v xml:space="preserve"> </v>
          </cell>
        </row>
        <row r="6">
          <cell r="A6" t="str">
            <v>D5</v>
          </cell>
          <cell r="R6" t="str">
            <v>D5</v>
          </cell>
          <cell r="S6" t="str">
            <v xml:space="preserve">  </v>
          </cell>
          <cell r="T6" t="str">
            <v xml:space="preserve"> </v>
          </cell>
        </row>
        <row r="7">
          <cell r="A7" t="str">
            <v>D6</v>
          </cell>
          <cell r="R7" t="str">
            <v>D6</v>
          </cell>
          <cell r="S7" t="str">
            <v xml:space="preserve"> </v>
          </cell>
          <cell r="T7" t="str">
            <v xml:space="preserve"> </v>
          </cell>
        </row>
        <row r="8">
          <cell r="A8" t="str">
            <v>D7</v>
          </cell>
          <cell r="R8" t="str">
            <v>D7</v>
          </cell>
          <cell r="S8" t="str">
            <v xml:space="preserve"> </v>
          </cell>
          <cell r="T8" t="str">
            <v xml:space="preserve"> </v>
          </cell>
        </row>
        <row r="9">
          <cell r="A9" t="str">
            <v>D8</v>
          </cell>
          <cell r="R9" t="str">
            <v>D8</v>
          </cell>
          <cell r="S9" t="str">
            <v xml:space="preserve"> </v>
          </cell>
          <cell r="T9" t="str">
            <v xml:space="preserve"> </v>
          </cell>
        </row>
        <row r="10">
          <cell r="A10" t="str">
            <v>D9</v>
          </cell>
          <cell r="R10" t="str">
            <v>D9</v>
          </cell>
          <cell r="S10" t="str">
            <v xml:space="preserve"> </v>
          </cell>
          <cell r="T10" t="str">
            <v xml:space="preserve"> </v>
          </cell>
        </row>
        <row r="11">
          <cell r="A11" t="str">
            <v>D10</v>
          </cell>
          <cell r="R11" t="str">
            <v>D10</v>
          </cell>
          <cell r="S11" t="str">
            <v xml:space="preserve"> </v>
          </cell>
          <cell r="T11" t="str">
            <v xml:space="preserve"> </v>
          </cell>
        </row>
        <row r="12">
          <cell r="A12" t="str">
            <v>D11</v>
          </cell>
          <cell r="R12" t="str">
            <v>D11</v>
          </cell>
          <cell r="S12" t="str">
            <v xml:space="preserve"> </v>
          </cell>
          <cell r="T12" t="str">
            <v xml:space="preserve"> </v>
          </cell>
        </row>
        <row r="13">
          <cell r="A13" t="str">
            <v>D12</v>
          </cell>
          <cell r="R13" t="str">
            <v>D12</v>
          </cell>
          <cell r="S13" t="str">
            <v xml:space="preserve"> </v>
          </cell>
          <cell r="T13" t="str">
            <v xml:space="preserve"> </v>
          </cell>
        </row>
        <row r="14">
          <cell r="A14" t="str">
            <v>D13</v>
          </cell>
          <cell r="R14" t="str">
            <v>D13</v>
          </cell>
          <cell r="S14" t="str">
            <v xml:space="preserve"> </v>
          </cell>
          <cell r="T14" t="str">
            <v xml:space="preserve"> </v>
          </cell>
        </row>
        <row r="15">
          <cell r="A15" t="str">
            <v>D14</v>
          </cell>
          <cell r="R15" t="str">
            <v>D14</v>
          </cell>
          <cell r="S15" t="str">
            <v xml:space="preserve"> </v>
          </cell>
          <cell r="T15" t="str">
            <v xml:space="preserve"> </v>
          </cell>
        </row>
        <row r="16">
          <cell r="A16" t="str">
            <v>D15</v>
          </cell>
          <cell r="R16" t="str">
            <v>D15</v>
          </cell>
          <cell r="S16" t="str">
            <v xml:space="preserve"> </v>
          </cell>
          <cell r="T16" t="str">
            <v xml:space="preserve"> </v>
          </cell>
        </row>
        <row r="17">
          <cell r="A17" t="str">
            <v>D16</v>
          </cell>
          <cell r="B17" t="str">
            <v xml:space="preserve">    </v>
          </cell>
          <cell r="C17" t="str">
            <v xml:space="preserve"> </v>
          </cell>
          <cell r="R17" t="str">
            <v>D16</v>
          </cell>
          <cell r="S17" t="str">
            <v xml:space="preserve"> </v>
          </cell>
          <cell r="T17" t="str">
            <v xml:space="preserve"> </v>
          </cell>
        </row>
        <row r="18">
          <cell r="A18" t="str">
            <v>D17</v>
          </cell>
          <cell r="B18" t="str">
            <v xml:space="preserve"> </v>
          </cell>
          <cell r="C18" t="str">
            <v xml:space="preserve"> </v>
          </cell>
          <cell r="R18" t="str">
            <v>D17</v>
          </cell>
          <cell r="S18" t="str">
            <v xml:space="preserve"> </v>
          </cell>
          <cell r="T18" t="str">
            <v xml:space="preserve"> </v>
          </cell>
        </row>
        <row r="19">
          <cell r="A19" t="str">
            <v>D18</v>
          </cell>
          <cell r="B19" t="str">
            <v xml:space="preserve"> </v>
          </cell>
          <cell r="C19" t="str">
            <v xml:space="preserve"> </v>
          </cell>
          <cell r="R19" t="str">
            <v>D18</v>
          </cell>
          <cell r="S19" t="str">
            <v xml:space="preserve"> </v>
          </cell>
          <cell r="T19" t="str">
            <v xml:space="preserve"> </v>
          </cell>
        </row>
        <row r="20">
          <cell r="A20" t="str">
            <v>D19</v>
          </cell>
          <cell r="B20" t="str">
            <v xml:space="preserve"> </v>
          </cell>
          <cell r="C20" t="str">
            <v xml:space="preserve"> </v>
          </cell>
          <cell r="R20" t="str">
            <v>D19</v>
          </cell>
          <cell r="S20" t="str">
            <v xml:space="preserve"> </v>
          </cell>
          <cell r="T20" t="str">
            <v xml:space="preserve"> </v>
          </cell>
        </row>
        <row r="21">
          <cell r="A21" t="str">
            <v>D20</v>
          </cell>
          <cell r="B21" t="str">
            <v xml:space="preserve"> </v>
          </cell>
          <cell r="C21" t="str">
            <v xml:space="preserve"> </v>
          </cell>
          <cell r="R21" t="str">
            <v>D20</v>
          </cell>
          <cell r="S21" t="str">
            <v>VIE</v>
          </cell>
          <cell r="T21" t="str">
            <v>SOFITEL</v>
          </cell>
        </row>
        <row r="30">
          <cell r="C30" t="str">
            <v>15+1</v>
          </cell>
          <cell r="D30" t="str">
            <v>20+1</v>
          </cell>
          <cell r="E30" t="str">
            <v>25+1</v>
          </cell>
          <cell r="F30" t="str">
            <v>30+1</v>
          </cell>
          <cell r="G30" t="str">
            <v>35+1</v>
          </cell>
          <cell r="H30" t="str">
            <v>40+1</v>
          </cell>
          <cell r="I30" t="str">
            <v>45+1</v>
          </cell>
          <cell r="J30" t="str">
            <v>10+1</v>
          </cell>
          <cell r="K30" t="str">
            <v>13+1</v>
          </cell>
          <cell r="L30" t="str">
            <v>14+1</v>
          </cell>
          <cell r="M30" t="str">
            <v>SIN.SUPP</v>
          </cell>
          <cell r="N30" t="str">
            <v>26+1</v>
          </cell>
          <cell r="O30" t="str">
            <v>27+1</v>
          </cell>
          <cell r="P30" t="str">
            <v>38+2</v>
          </cell>
          <cell r="Q30" t="str">
            <v>39+2</v>
          </cell>
          <cell r="T30" t="str">
            <v>10+0</v>
          </cell>
          <cell r="U30" t="str">
            <v>9+0</v>
          </cell>
          <cell r="V30" t="str">
            <v>8+0</v>
          </cell>
          <cell r="W30" t="str">
            <v>7+0</v>
          </cell>
          <cell r="X30" t="str">
            <v>6+0</v>
          </cell>
          <cell r="Y30" t="str">
            <v>5+0</v>
          </cell>
          <cell r="Z30" t="str">
            <v>4+0</v>
          </cell>
          <cell r="AA30" t="str">
            <v>3+0</v>
          </cell>
          <cell r="AB30" t="str">
            <v>2+0</v>
          </cell>
          <cell r="AC30" t="str">
            <v>10+1</v>
          </cell>
          <cell r="AD30" t="str">
            <v>SIN.SUPP</v>
          </cell>
          <cell r="AE30" t="str">
            <v>9+1</v>
          </cell>
          <cell r="AF30" t="str">
            <v>8+1</v>
          </cell>
          <cell r="AG30" t="str">
            <v>7+1</v>
          </cell>
          <cell r="AH30" t="str">
            <v>6+1</v>
          </cell>
          <cell r="AI30" t="str">
            <v>5+1</v>
          </cell>
        </row>
        <row r="31">
          <cell r="K31">
            <v>0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 t="str">
            <v>BRUTTO</v>
          </cell>
          <cell r="S31" t="str">
            <v>EURO</v>
          </cell>
        </row>
        <row r="34">
          <cell r="C34" t="str">
            <v>10+0</v>
          </cell>
          <cell r="D34" t="str">
            <v>15+0</v>
          </cell>
          <cell r="E34" t="str">
            <v>20+0</v>
          </cell>
          <cell r="F34" t="str">
            <v>25+0</v>
          </cell>
          <cell r="G34" t="str">
            <v>30+0</v>
          </cell>
          <cell r="H34" t="str">
            <v>17+1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taedelmuseum.de/en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nhduesseldorf@nh-hotels.com" TargetMode="External"/><Relationship Id="rId13" Type="http://schemas.openxmlformats.org/officeDocument/2006/relationships/hyperlink" Target="mailto:nhleipzigmesse@nh-hotels.com" TargetMode="External"/><Relationship Id="rId18" Type="http://schemas.openxmlformats.org/officeDocument/2006/relationships/hyperlink" Target="mailto:nhmannheimviernheim@nh-hotels.com" TargetMode="External"/><Relationship Id="rId3" Type="http://schemas.openxmlformats.org/officeDocument/2006/relationships/hyperlink" Target="mailto:nhmagdeburg@nh-hotels.com;%20049%2039203-700%20/%200049%2039203-70100" TargetMode="External"/><Relationship Id="rId21" Type="http://schemas.openxmlformats.org/officeDocument/2006/relationships/hyperlink" Target="mailto:nhfrankfurtairportwest@nh-hotels.com" TargetMode="External"/><Relationship Id="rId7" Type="http://schemas.openxmlformats.org/officeDocument/2006/relationships/hyperlink" Target="mailto:nhkloesterlenoerdlingen@nh-hotels.com" TargetMode="External"/><Relationship Id="rId12" Type="http://schemas.openxmlformats.org/officeDocument/2006/relationships/hyperlink" Target="mailto:nhhornerrennbahn@nh-hotels.com" TargetMode="External"/><Relationship Id="rId17" Type="http://schemas.openxmlformats.org/officeDocument/2006/relationships/hyperlink" Target="mailto:nhhirschbergheidelberg@nh-hotels.com" TargetMode="External"/><Relationship Id="rId25" Type="http://schemas.openxmlformats.org/officeDocument/2006/relationships/drawing" Target="../drawings/drawing5.xml"/><Relationship Id="rId2" Type="http://schemas.openxmlformats.org/officeDocument/2006/relationships/hyperlink" Target="mailto:nhfuerthnuernberg@nh-hotels.com" TargetMode="External"/><Relationship Id="rId16" Type="http://schemas.openxmlformats.org/officeDocument/2006/relationships/hyperlink" Target="mailto:nhbingen@nh-hotels.com" TargetMode="External"/><Relationship Id="rId20" Type="http://schemas.openxmlformats.org/officeDocument/2006/relationships/hyperlink" Target="mailto:nhwiesbaden@nh-hotels.com" TargetMode="External"/><Relationship Id="rId1" Type="http://schemas.openxmlformats.org/officeDocument/2006/relationships/hyperlink" Target="mailto:nherlangen@nh-hotels.com" TargetMode="External"/><Relationship Id="rId6" Type="http://schemas.openxmlformats.org/officeDocument/2006/relationships/hyperlink" Target="mailto:nhkoelnaltstadt@nh-hotels.com" TargetMode="External"/><Relationship Id="rId11" Type="http://schemas.openxmlformats.org/officeDocument/2006/relationships/hyperlink" Target="mailto:nhhamburgaltona@nh-hotels.com" TargetMode="External"/><Relationship Id="rId24" Type="http://schemas.openxmlformats.org/officeDocument/2006/relationships/hyperlink" Target="mailto:nhmannheim@nh-hotels.com" TargetMode="External"/><Relationship Id="rId5" Type="http://schemas.openxmlformats.org/officeDocument/2006/relationships/hyperlink" Target="mailto:nhstuttgartairport@nh-hotels.com" TargetMode="External"/><Relationship Id="rId15" Type="http://schemas.openxmlformats.org/officeDocument/2006/relationships/hyperlink" Target="mailto:nhschwerin@nh-hotels.com" TargetMode="External"/><Relationship Id="rId23" Type="http://schemas.openxmlformats.org/officeDocument/2006/relationships/hyperlink" Target="mailto:nhfrankfurtniederrad@nh-hotels.com" TargetMode="External"/><Relationship Id="rId10" Type="http://schemas.openxmlformats.org/officeDocument/2006/relationships/hyperlink" Target="mailto:nhoberhausen@nh-hotels.com" TargetMode="External"/><Relationship Id="rId19" Type="http://schemas.openxmlformats.org/officeDocument/2006/relationships/hyperlink" Target="mailto:nhweinheim@nh-hotels.com" TargetMode="External"/><Relationship Id="rId4" Type="http://schemas.openxmlformats.org/officeDocument/2006/relationships/hyperlink" Target="mailto:nhstuttgartsindelfingen@nh-hotels.com" TargetMode="External"/><Relationship Id="rId9" Type="http://schemas.openxmlformats.org/officeDocument/2006/relationships/hyperlink" Target="mailto:nhessen@nh-hotels.com" TargetMode="External"/><Relationship Id="rId14" Type="http://schemas.openxmlformats.org/officeDocument/2006/relationships/hyperlink" Target="mailto:nhleipzigzentrum@nh-hotels.com" TargetMode="External"/><Relationship Id="rId22" Type="http://schemas.openxmlformats.org/officeDocument/2006/relationships/hyperlink" Target="mailto:nhfrankfurtmoerfelden@nh-hotels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M2002"/>
  <sheetViews>
    <sheetView zoomScale="80" zoomScaleNormal="80" workbookViewId="0">
      <selection activeCell="E2" sqref="E2"/>
    </sheetView>
  </sheetViews>
  <sheetFormatPr defaultColWidth="9" defaultRowHeight="15.5"/>
  <cols>
    <col min="1" max="1" width="9.83203125" style="286" customWidth="1"/>
    <col min="2" max="2" width="12.9140625" style="286" customWidth="1"/>
    <col min="3" max="3" width="10.25" style="286" customWidth="1"/>
    <col min="4" max="4" width="28.75" style="286" customWidth="1"/>
    <col min="5" max="7" width="9.58203125" style="286" customWidth="1"/>
    <col min="8" max="8" width="10.5" style="286" customWidth="1"/>
    <col min="9" max="13" width="9.58203125" style="286" customWidth="1"/>
    <col min="14" max="14" width="8.1640625" style="286" customWidth="1"/>
    <col min="15" max="15" width="7.5" style="286" customWidth="1"/>
    <col min="16" max="16" width="9.6640625" style="286" customWidth="1"/>
    <col min="17" max="17" width="12.75" style="286" customWidth="1"/>
    <col min="18" max="35" width="9.58203125" style="286" customWidth="1"/>
    <col min="36" max="221" width="9" style="287"/>
    <col min="222" max="16384" width="9" style="286"/>
  </cols>
  <sheetData>
    <row r="1" spans="1:221" s="309" customFormat="1" ht="18" thickBot="1">
      <c r="A1" s="356" t="s">
        <v>132</v>
      </c>
      <c r="B1" s="357" t="s">
        <v>133</v>
      </c>
      <c r="C1" s="358" t="s">
        <v>134</v>
      </c>
      <c r="D1" s="359" t="s">
        <v>135</v>
      </c>
      <c r="E1" s="129" t="s">
        <v>193</v>
      </c>
      <c r="F1" s="129" t="s">
        <v>136</v>
      </c>
      <c r="G1" s="129" t="s">
        <v>137</v>
      </c>
      <c r="H1" s="129" t="s">
        <v>138</v>
      </c>
      <c r="I1" s="360" t="s">
        <v>194</v>
      </c>
      <c r="J1" s="361" t="s">
        <v>510</v>
      </c>
      <c r="K1" s="362"/>
      <c r="L1" s="363" t="s">
        <v>139</v>
      </c>
      <c r="M1" s="364" t="s">
        <v>195</v>
      </c>
      <c r="N1" s="129" t="s">
        <v>196</v>
      </c>
      <c r="O1" s="2750" t="s">
        <v>4755</v>
      </c>
      <c r="P1" s="285" t="s">
        <v>4756</v>
      </c>
      <c r="R1" s="356" t="s">
        <v>132</v>
      </c>
      <c r="S1" s="357" t="s">
        <v>133</v>
      </c>
      <c r="T1" s="358" t="s">
        <v>134</v>
      </c>
      <c r="U1" s="359" t="s">
        <v>135</v>
      </c>
      <c r="V1" s="129" t="s">
        <v>193</v>
      </c>
      <c r="W1" s="129" t="s">
        <v>136</v>
      </c>
      <c r="X1" s="129" t="s">
        <v>137</v>
      </c>
      <c r="Y1" s="129" t="s">
        <v>138</v>
      </c>
      <c r="Z1" s="129" t="s">
        <v>194</v>
      </c>
      <c r="AA1" s="129" t="s">
        <v>139</v>
      </c>
      <c r="AB1" s="365" t="s">
        <v>152</v>
      </c>
      <c r="AC1" s="365" t="s">
        <v>152</v>
      </c>
      <c r="AD1" s="364" t="s">
        <v>195</v>
      </c>
      <c r="AE1" s="129" t="s">
        <v>196</v>
      </c>
      <c r="AF1" s="285"/>
      <c r="AG1" s="285"/>
      <c r="AH1" s="285"/>
      <c r="AI1" s="285"/>
      <c r="AJ1" s="285"/>
      <c r="AK1" s="285"/>
      <c r="AL1" s="285"/>
      <c r="AM1" s="285"/>
      <c r="AN1" s="285"/>
      <c r="AO1" s="285"/>
      <c r="AP1" s="285"/>
      <c r="AQ1" s="285"/>
      <c r="AR1" s="285"/>
      <c r="AS1" s="285"/>
      <c r="AT1" s="285"/>
      <c r="AU1" s="285"/>
      <c r="AV1" s="285"/>
      <c r="AW1" s="285"/>
      <c r="AX1" s="285"/>
      <c r="AY1" s="285"/>
      <c r="AZ1" s="285"/>
      <c r="BA1" s="285"/>
      <c r="BB1" s="285"/>
      <c r="BC1" s="285"/>
      <c r="BD1" s="285"/>
      <c r="BE1" s="285"/>
      <c r="BF1" s="285"/>
      <c r="BG1" s="285"/>
      <c r="BH1" s="285"/>
      <c r="BI1" s="285"/>
      <c r="BJ1" s="285"/>
      <c r="BK1" s="285"/>
      <c r="BL1" s="285"/>
      <c r="BM1" s="285"/>
      <c r="BN1" s="285"/>
      <c r="BO1" s="285"/>
      <c r="BP1" s="285"/>
      <c r="BQ1" s="285"/>
      <c r="BR1" s="285"/>
      <c r="BS1" s="285"/>
      <c r="BT1" s="285"/>
      <c r="BU1" s="285"/>
      <c r="BV1" s="285"/>
      <c r="BW1" s="285"/>
      <c r="BX1" s="285"/>
      <c r="BY1" s="285"/>
      <c r="BZ1" s="285"/>
      <c r="CA1" s="285"/>
      <c r="CB1" s="285"/>
      <c r="CC1" s="285"/>
      <c r="CD1" s="285"/>
      <c r="CE1" s="285"/>
      <c r="CF1" s="285"/>
      <c r="CG1" s="285"/>
      <c r="CH1" s="285"/>
      <c r="CI1" s="285"/>
      <c r="CJ1" s="285"/>
      <c r="CK1" s="285"/>
      <c r="CL1" s="285"/>
      <c r="CM1" s="285"/>
      <c r="CN1" s="285"/>
      <c r="CO1" s="285"/>
      <c r="CP1" s="285"/>
      <c r="CQ1" s="285"/>
      <c r="CR1" s="285"/>
      <c r="CS1" s="285"/>
      <c r="CT1" s="285"/>
      <c r="CU1" s="285"/>
      <c r="CV1" s="285"/>
      <c r="CW1" s="285"/>
      <c r="CX1" s="285"/>
      <c r="CY1" s="285"/>
      <c r="CZ1" s="285"/>
      <c r="DA1" s="285"/>
      <c r="DB1" s="285"/>
      <c r="DC1" s="285"/>
      <c r="DD1" s="285"/>
      <c r="DE1" s="285"/>
      <c r="DF1" s="285"/>
      <c r="DG1" s="285"/>
      <c r="DH1" s="285"/>
      <c r="DI1" s="285"/>
      <c r="DJ1" s="285"/>
      <c r="DK1" s="285"/>
      <c r="DL1" s="285"/>
      <c r="DM1" s="285"/>
      <c r="DN1" s="285"/>
      <c r="DO1" s="285"/>
      <c r="DP1" s="285"/>
      <c r="DQ1" s="285"/>
      <c r="DR1" s="285"/>
      <c r="DS1" s="285"/>
      <c r="DT1" s="285"/>
      <c r="DU1" s="285"/>
      <c r="DV1" s="285"/>
      <c r="DW1" s="285"/>
      <c r="DX1" s="285"/>
      <c r="DY1" s="285"/>
      <c r="DZ1" s="285"/>
      <c r="EA1" s="285"/>
      <c r="EB1" s="285"/>
      <c r="EC1" s="285"/>
      <c r="ED1" s="285"/>
      <c r="EE1" s="285"/>
      <c r="EF1" s="285"/>
      <c r="EG1" s="285"/>
      <c r="EH1" s="285"/>
      <c r="EI1" s="285"/>
      <c r="EJ1" s="285"/>
      <c r="EK1" s="285"/>
      <c r="EL1" s="285"/>
      <c r="EM1" s="285"/>
      <c r="EN1" s="285"/>
      <c r="EO1" s="285"/>
      <c r="EP1" s="285"/>
      <c r="EQ1" s="285"/>
      <c r="ER1" s="285"/>
      <c r="ES1" s="285"/>
      <c r="ET1" s="285"/>
      <c r="EU1" s="285"/>
      <c r="EV1" s="285"/>
      <c r="EW1" s="285"/>
      <c r="EX1" s="285"/>
      <c r="EY1" s="285"/>
      <c r="EZ1" s="285"/>
      <c r="FA1" s="285"/>
      <c r="FB1" s="285"/>
      <c r="FC1" s="285"/>
      <c r="FD1" s="285"/>
      <c r="FE1" s="285"/>
      <c r="FF1" s="285"/>
      <c r="FG1" s="285"/>
      <c r="FH1" s="285"/>
      <c r="FI1" s="285"/>
      <c r="FJ1" s="285"/>
      <c r="FK1" s="285"/>
      <c r="FL1" s="285"/>
      <c r="FM1" s="285"/>
      <c r="FN1" s="285"/>
      <c r="FO1" s="285"/>
      <c r="FP1" s="285"/>
      <c r="FQ1" s="285"/>
      <c r="FR1" s="285"/>
      <c r="FS1" s="285"/>
      <c r="FT1" s="285"/>
      <c r="FU1" s="285"/>
      <c r="FV1" s="285"/>
      <c r="FW1" s="285"/>
      <c r="FX1" s="285"/>
      <c r="FY1" s="285"/>
      <c r="FZ1" s="285"/>
      <c r="GA1" s="285"/>
      <c r="GB1" s="285"/>
      <c r="GC1" s="285"/>
      <c r="GD1" s="285"/>
      <c r="GE1" s="285"/>
      <c r="GF1" s="285"/>
      <c r="GG1" s="285"/>
      <c r="GH1" s="285"/>
      <c r="GI1" s="285"/>
      <c r="GJ1" s="285"/>
      <c r="GK1" s="285"/>
      <c r="GL1" s="285"/>
      <c r="GM1" s="285"/>
      <c r="GN1" s="285"/>
      <c r="GO1" s="285"/>
      <c r="GP1" s="285"/>
      <c r="GQ1" s="285"/>
      <c r="GR1" s="285"/>
      <c r="GS1" s="285"/>
      <c r="GT1" s="285"/>
      <c r="GU1" s="285"/>
      <c r="GV1" s="285"/>
      <c r="GW1" s="285"/>
      <c r="GX1" s="285"/>
      <c r="GY1" s="285"/>
      <c r="GZ1" s="285"/>
      <c r="HA1" s="285"/>
      <c r="HB1" s="285"/>
      <c r="HC1" s="285"/>
      <c r="HD1" s="285"/>
      <c r="HE1" s="285"/>
      <c r="HF1" s="285"/>
      <c r="HG1" s="285"/>
      <c r="HH1" s="285"/>
      <c r="HI1" s="285"/>
      <c r="HJ1" s="285"/>
      <c r="HK1" s="285"/>
      <c r="HL1" s="285"/>
      <c r="HM1" s="285"/>
    </row>
    <row r="2" spans="1:221" s="309" customFormat="1">
      <c r="A2" s="308" t="s">
        <v>4851</v>
      </c>
      <c r="B2" s="2529" t="s">
        <v>4780</v>
      </c>
      <c r="C2" s="268" t="s">
        <v>4824</v>
      </c>
      <c r="D2" s="2528"/>
      <c r="E2" s="2779">
        <v>80</v>
      </c>
      <c r="F2" s="663">
        <v>18</v>
      </c>
      <c r="G2" s="670">
        <v>30</v>
      </c>
      <c r="H2" s="283"/>
      <c r="I2" s="1853">
        <v>185</v>
      </c>
      <c r="J2" s="1853">
        <v>500</v>
      </c>
      <c r="K2" s="292"/>
      <c r="L2" s="665">
        <v>80</v>
      </c>
      <c r="M2" s="663">
        <v>50</v>
      </c>
      <c r="N2" s="1317"/>
      <c r="O2" s="2778">
        <v>3.13</v>
      </c>
      <c r="P2" s="286" t="s">
        <v>4788</v>
      </c>
      <c r="R2" s="308" t="s">
        <v>511</v>
      </c>
      <c r="S2" s="53" t="s">
        <v>135</v>
      </c>
      <c r="T2" s="268" t="s">
        <v>135</v>
      </c>
      <c r="U2" s="62"/>
      <c r="V2" s="274"/>
      <c r="W2" s="275"/>
      <c r="X2" s="275"/>
      <c r="Y2" s="276"/>
      <c r="Z2" s="277"/>
      <c r="AA2" s="277"/>
      <c r="AB2" s="278"/>
      <c r="AC2" s="278"/>
      <c r="AD2" s="278"/>
      <c r="AE2" s="279"/>
      <c r="AF2" s="285"/>
      <c r="AG2" s="285"/>
      <c r="AH2" s="285"/>
      <c r="AI2" s="285"/>
      <c r="AJ2" s="285"/>
      <c r="AK2" s="285"/>
      <c r="AL2" s="285"/>
      <c r="AM2" s="285"/>
      <c r="AN2" s="285"/>
      <c r="AO2" s="285"/>
      <c r="AP2" s="285"/>
      <c r="AQ2" s="285"/>
      <c r="AR2" s="285"/>
      <c r="AS2" s="285"/>
      <c r="AT2" s="285"/>
      <c r="AU2" s="285"/>
      <c r="AV2" s="285"/>
      <c r="AW2" s="285"/>
      <c r="AX2" s="285"/>
      <c r="AY2" s="285"/>
      <c r="AZ2" s="285"/>
      <c r="BA2" s="285"/>
      <c r="BB2" s="285"/>
      <c r="BC2" s="285"/>
      <c r="BD2" s="285"/>
      <c r="BE2" s="285"/>
      <c r="BF2" s="285"/>
      <c r="BG2" s="285"/>
      <c r="BH2" s="285"/>
      <c r="BI2" s="285"/>
      <c r="BJ2" s="285"/>
      <c r="BK2" s="285"/>
      <c r="BL2" s="285"/>
      <c r="BM2" s="285"/>
      <c r="BN2" s="285"/>
      <c r="BO2" s="285"/>
      <c r="BP2" s="285"/>
      <c r="BQ2" s="285"/>
      <c r="BR2" s="285"/>
      <c r="BS2" s="285"/>
      <c r="BT2" s="285"/>
      <c r="BU2" s="285"/>
      <c r="BV2" s="285"/>
      <c r="BW2" s="285"/>
      <c r="BX2" s="285"/>
      <c r="BY2" s="285"/>
      <c r="BZ2" s="285"/>
      <c r="CA2" s="285"/>
      <c r="CB2" s="285"/>
      <c r="CC2" s="285"/>
      <c r="CD2" s="285"/>
      <c r="CE2" s="285"/>
      <c r="CF2" s="285"/>
      <c r="CG2" s="285"/>
      <c r="CH2" s="285"/>
      <c r="CI2" s="285"/>
      <c r="CJ2" s="285"/>
      <c r="CK2" s="285"/>
      <c r="CL2" s="285"/>
      <c r="CM2" s="285"/>
      <c r="CN2" s="285"/>
      <c r="CO2" s="285"/>
      <c r="CP2" s="285"/>
      <c r="CQ2" s="285"/>
      <c r="CR2" s="285"/>
      <c r="CS2" s="285"/>
      <c r="CT2" s="285"/>
      <c r="CU2" s="285"/>
      <c r="CV2" s="285"/>
      <c r="CW2" s="285"/>
      <c r="CX2" s="285"/>
      <c r="CY2" s="285"/>
      <c r="CZ2" s="285"/>
      <c r="DA2" s="285"/>
      <c r="DB2" s="285"/>
      <c r="DC2" s="285"/>
      <c r="DD2" s="285"/>
      <c r="DE2" s="285"/>
      <c r="DF2" s="285"/>
      <c r="DG2" s="285"/>
      <c r="DH2" s="285"/>
      <c r="DI2" s="285"/>
      <c r="DJ2" s="285"/>
      <c r="DK2" s="285"/>
      <c r="DL2" s="285"/>
      <c r="DM2" s="285"/>
      <c r="DN2" s="285"/>
      <c r="DO2" s="285"/>
      <c r="DP2" s="285"/>
      <c r="DQ2" s="285"/>
      <c r="DR2" s="285"/>
      <c r="DS2" s="285"/>
      <c r="DT2" s="285"/>
      <c r="DU2" s="285"/>
      <c r="DV2" s="285"/>
      <c r="DW2" s="285"/>
      <c r="DX2" s="285"/>
      <c r="DY2" s="285"/>
      <c r="DZ2" s="285"/>
      <c r="EA2" s="285"/>
      <c r="EB2" s="285"/>
      <c r="EC2" s="285"/>
      <c r="ED2" s="285"/>
      <c r="EE2" s="285"/>
      <c r="EF2" s="285"/>
      <c r="EG2" s="285"/>
      <c r="EH2" s="285"/>
      <c r="EI2" s="285"/>
      <c r="EJ2" s="285"/>
      <c r="EK2" s="285"/>
      <c r="EL2" s="285"/>
      <c r="EM2" s="285"/>
      <c r="EN2" s="285"/>
      <c r="EO2" s="285"/>
      <c r="EP2" s="285"/>
      <c r="EQ2" s="285"/>
      <c r="ER2" s="285"/>
      <c r="ES2" s="285"/>
      <c r="ET2" s="285"/>
      <c r="EU2" s="285"/>
      <c r="EV2" s="285"/>
      <c r="EW2" s="285"/>
      <c r="EX2" s="285"/>
      <c r="EY2" s="285"/>
      <c r="EZ2" s="285"/>
      <c r="FA2" s="285"/>
      <c r="FB2" s="285"/>
      <c r="FC2" s="285"/>
      <c r="FD2" s="285"/>
      <c r="FE2" s="285"/>
      <c r="FF2" s="285"/>
      <c r="FG2" s="285"/>
      <c r="FH2" s="285"/>
      <c r="FI2" s="285"/>
      <c r="FJ2" s="285"/>
      <c r="FK2" s="285"/>
      <c r="FL2" s="285"/>
      <c r="FM2" s="285"/>
      <c r="FN2" s="285"/>
      <c r="FO2" s="285"/>
      <c r="FP2" s="285"/>
      <c r="FQ2" s="285"/>
      <c r="FR2" s="285"/>
      <c r="FS2" s="285"/>
      <c r="FT2" s="285"/>
      <c r="FU2" s="285"/>
      <c r="FV2" s="285"/>
      <c r="FW2" s="285"/>
      <c r="FX2" s="285"/>
      <c r="FY2" s="285"/>
      <c r="FZ2" s="285"/>
      <c r="GA2" s="285"/>
      <c r="GB2" s="285"/>
      <c r="GC2" s="285"/>
      <c r="GD2" s="285"/>
      <c r="GE2" s="285"/>
      <c r="GF2" s="285"/>
      <c r="GG2" s="285"/>
      <c r="GH2" s="285"/>
      <c r="GI2" s="285"/>
      <c r="GJ2" s="285"/>
      <c r="GK2" s="285"/>
      <c r="GL2" s="285"/>
      <c r="GM2" s="285"/>
      <c r="GN2" s="285"/>
      <c r="GO2" s="285"/>
      <c r="GP2" s="285"/>
      <c r="GQ2" s="285"/>
      <c r="GR2" s="285"/>
      <c r="GS2" s="285"/>
      <c r="GT2" s="285"/>
      <c r="GU2" s="285"/>
      <c r="GV2" s="285"/>
      <c r="GW2" s="285"/>
      <c r="GX2" s="285"/>
      <c r="GY2" s="285"/>
      <c r="GZ2" s="285"/>
      <c r="HA2" s="285"/>
      <c r="HB2" s="285"/>
      <c r="HC2" s="285"/>
      <c r="HD2" s="285"/>
      <c r="HE2" s="285"/>
      <c r="HF2" s="285"/>
      <c r="HG2" s="285"/>
      <c r="HH2" s="285"/>
      <c r="HI2" s="285"/>
      <c r="HJ2" s="285"/>
      <c r="HK2" s="285"/>
      <c r="HL2" s="285"/>
      <c r="HM2" s="285"/>
    </row>
    <row r="3" spans="1:221" s="309" customFormat="1">
      <c r="A3" s="308" t="s">
        <v>4852</v>
      </c>
      <c r="B3" s="2529" t="s">
        <v>4861</v>
      </c>
      <c r="C3" s="2527" t="s">
        <v>4862</v>
      </c>
      <c r="D3" s="62"/>
      <c r="E3" s="2779">
        <v>87</v>
      </c>
      <c r="F3" s="663">
        <v>15</v>
      </c>
      <c r="G3" s="670">
        <v>33.5</v>
      </c>
      <c r="H3" s="1891">
        <v>17</v>
      </c>
      <c r="I3" s="289"/>
      <c r="J3" s="1853">
        <v>500</v>
      </c>
      <c r="K3" s="292"/>
      <c r="L3" s="665">
        <v>80</v>
      </c>
      <c r="M3" s="663">
        <v>65</v>
      </c>
      <c r="N3" s="1317"/>
      <c r="O3" s="2778">
        <v>4.13</v>
      </c>
      <c r="P3" s="1357">
        <v>4</v>
      </c>
      <c r="R3" s="308" t="s">
        <v>140</v>
      </c>
      <c r="S3" s="270" t="s">
        <v>135</v>
      </c>
      <c r="T3" s="268" t="s">
        <v>135</v>
      </c>
      <c r="U3" s="62"/>
      <c r="V3" s="274"/>
      <c r="W3" s="275"/>
      <c r="X3" s="275"/>
      <c r="Y3" s="276"/>
      <c r="Z3" s="277"/>
      <c r="AA3" s="277"/>
      <c r="AB3" s="278"/>
      <c r="AC3" s="278"/>
      <c r="AD3" s="278"/>
      <c r="AE3" s="279"/>
      <c r="AF3" s="285"/>
      <c r="AG3" s="285"/>
      <c r="AH3" s="285"/>
      <c r="AI3" s="285"/>
      <c r="AJ3" s="285"/>
      <c r="AK3" s="285"/>
      <c r="AL3" s="285"/>
      <c r="AM3" s="285"/>
      <c r="AN3" s="285"/>
      <c r="AO3" s="285"/>
      <c r="AP3" s="285"/>
      <c r="AQ3" s="285"/>
      <c r="AR3" s="285"/>
      <c r="AS3" s="285"/>
      <c r="AT3" s="285"/>
      <c r="AU3" s="285"/>
      <c r="AV3" s="285"/>
      <c r="AW3" s="285"/>
      <c r="AX3" s="285"/>
      <c r="AY3" s="285"/>
      <c r="AZ3" s="285"/>
      <c r="BA3" s="285"/>
      <c r="BB3" s="285"/>
      <c r="BC3" s="285"/>
      <c r="BD3" s="285"/>
      <c r="BE3" s="285"/>
      <c r="BF3" s="285"/>
      <c r="BG3" s="285"/>
      <c r="BH3" s="285"/>
      <c r="BI3" s="285"/>
      <c r="BJ3" s="285"/>
      <c r="BK3" s="285"/>
      <c r="BL3" s="285"/>
      <c r="BM3" s="285"/>
      <c r="BN3" s="285"/>
      <c r="BO3" s="285"/>
      <c r="BP3" s="285"/>
      <c r="BQ3" s="285"/>
      <c r="BR3" s="285"/>
      <c r="BS3" s="285"/>
      <c r="BT3" s="285"/>
      <c r="BU3" s="285"/>
      <c r="BV3" s="285"/>
      <c r="BW3" s="285"/>
      <c r="BX3" s="285"/>
      <c r="BY3" s="285"/>
      <c r="BZ3" s="285"/>
      <c r="CA3" s="285"/>
      <c r="CB3" s="285"/>
      <c r="CC3" s="285"/>
      <c r="CD3" s="285"/>
      <c r="CE3" s="285"/>
      <c r="CF3" s="285"/>
      <c r="CG3" s="285"/>
      <c r="CH3" s="285"/>
      <c r="CI3" s="285"/>
      <c r="CJ3" s="285"/>
      <c r="CK3" s="285"/>
      <c r="CL3" s="285"/>
      <c r="CM3" s="285"/>
      <c r="CN3" s="285"/>
      <c r="CO3" s="285"/>
      <c r="CP3" s="285"/>
      <c r="CQ3" s="285"/>
      <c r="CR3" s="285"/>
      <c r="CS3" s="285"/>
      <c r="CT3" s="285"/>
      <c r="CU3" s="285"/>
      <c r="CV3" s="285"/>
      <c r="CW3" s="285"/>
      <c r="CX3" s="285"/>
      <c r="CY3" s="285"/>
      <c r="CZ3" s="285"/>
      <c r="DA3" s="285"/>
      <c r="DB3" s="285"/>
      <c r="DC3" s="285"/>
      <c r="DD3" s="285"/>
      <c r="DE3" s="285"/>
      <c r="DF3" s="285"/>
      <c r="DG3" s="285"/>
      <c r="DH3" s="285"/>
      <c r="DI3" s="285"/>
      <c r="DJ3" s="285"/>
      <c r="DK3" s="285"/>
      <c r="DL3" s="285"/>
      <c r="DM3" s="285"/>
      <c r="DN3" s="285"/>
      <c r="DO3" s="285"/>
      <c r="DP3" s="285"/>
      <c r="DQ3" s="285"/>
      <c r="DR3" s="285"/>
      <c r="DS3" s="285"/>
      <c r="DT3" s="285"/>
      <c r="DU3" s="285"/>
      <c r="DV3" s="285"/>
      <c r="DW3" s="285"/>
      <c r="DX3" s="285"/>
      <c r="DY3" s="285"/>
      <c r="DZ3" s="285"/>
      <c r="EA3" s="285"/>
      <c r="EB3" s="285"/>
      <c r="EC3" s="285"/>
      <c r="ED3" s="285"/>
      <c r="EE3" s="285"/>
      <c r="EF3" s="285"/>
      <c r="EG3" s="285"/>
      <c r="EH3" s="285"/>
      <c r="EI3" s="285"/>
      <c r="EJ3" s="285"/>
      <c r="EK3" s="285"/>
      <c r="EL3" s="285"/>
      <c r="EM3" s="285"/>
      <c r="EN3" s="285"/>
      <c r="EO3" s="285"/>
      <c r="EP3" s="285"/>
      <c r="EQ3" s="285"/>
      <c r="ER3" s="285"/>
      <c r="ES3" s="285"/>
      <c r="ET3" s="285"/>
      <c r="EU3" s="285"/>
      <c r="EV3" s="285"/>
      <c r="EW3" s="285"/>
      <c r="EX3" s="285"/>
      <c r="EY3" s="285"/>
      <c r="EZ3" s="285"/>
      <c r="FA3" s="285"/>
      <c r="FB3" s="285"/>
      <c r="FC3" s="285"/>
      <c r="FD3" s="285"/>
      <c r="FE3" s="285"/>
      <c r="FF3" s="285"/>
      <c r="FG3" s="285"/>
      <c r="FH3" s="285"/>
      <c r="FI3" s="285"/>
      <c r="FJ3" s="285"/>
      <c r="FK3" s="285"/>
      <c r="FL3" s="285"/>
      <c r="FM3" s="285"/>
      <c r="FN3" s="285"/>
      <c r="FO3" s="285"/>
      <c r="FP3" s="285"/>
      <c r="FQ3" s="285"/>
      <c r="FR3" s="285"/>
      <c r="FS3" s="285"/>
      <c r="FT3" s="285"/>
      <c r="FU3" s="285"/>
      <c r="FV3" s="285"/>
      <c r="FW3" s="285"/>
      <c r="FX3" s="285"/>
      <c r="FY3" s="285"/>
      <c r="FZ3" s="285"/>
      <c r="GA3" s="285"/>
      <c r="GB3" s="285"/>
      <c r="GC3" s="285"/>
      <c r="GD3" s="285"/>
      <c r="GE3" s="285"/>
      <c r="GF3" s="285"/>
      <c r="GG3" s="285"/>
      <c r="GH3" s="285"/>
      <c r="GI3" s="285"/>
      <c r="GJ3" s="285"/>
      <c r="GK3" s="285"/>
      <c r="GL3" s="285"/>
      <c r="GM3" s="285"/>
      <c r="GN3" s="285"/>
      <c r="GO3" s="285"/>
      <c r="GP3" s="285"/>
      <c r="GQ3" s="285"/>
      <c r="GR3" s="285"/>
      <c r="GS3" s="285"/>
      <c r="GT3" s="285"/>
      <c r="GU3" s="285"/>
      <c r="GV3" s="285"/>
      <c r="GW3" s="285"/>
      <c r="GX3" s="285"/>
      <c r="GY3" s="285"/>
      <c r="GZ3" s="285"/>
      <c r="HA3" s="285"/>
      <c r="HB3" s="285"/>
      <c r="HC3" s="285"/>
      <c r="HD3" s="285"/>
      <c r="HE3" s="285"/>
      <c r="HF3" s="285"/>
      <c r="HG3" s="285"/>
      <c r="HH3" s="285"/>
      <c r="HI3" s="285"/>
      <c r="HJ3" s="285"/>
      <c r="HK3" s="285"/>
      <c r="HL3" s="285"/>
      <c r="HM3" s="285"/>
    </row>
    <row r="4" spans="1:221" s="309" customFormat="1">
      <c r="A4" s="308" t="s">
        <v>4853</v>
      </c>
      <c r="B4" s="2529" t="s">
        <v>4863</v>
      </c>
      <c r="C4" s="2527" t="s">
        <v>4866</v>
      </c>
      <c r="D4" s="62"/>
      <c r="E4" s="2779">
        <v>67</v>
      </c>
      <c r="F4" s="2784" t="s">
        <v>4796</v>
      </c>
      <c r="G4" s="670" t="s">
        <v>4865</v>
      </c>
      <c r="H4" s="2785">
        <v>47.5</v>
      </c>
      <c r="I4" s="289"/>
      <c r="J4" s="1853">
        <v>500</v>
      </c>
      <c r="K4" s="292"/>
      <c r="L4" s="665">
        <v>80</v>
      </c>
      <c r="M4" s="663">
        <v>40</v>
      </c>
      <c r="N4" s="1317"/>
      <c r="O4" s="2778">
        <v>1.86</v>
      </c>
      <c r="P4" s="1357">
        <v>4</v>
      </c>
      <c r="R4" s="308" t="s">
        <v>141</v>
      </c>
      <c r="S4" s="270" t="s">
        <v>135</v>
      </c>
      <c r="T4" s="268" t="s">
        <v>135</v>
      </c>
      <c r="U4" s="62"/>
      <c r="V4" s="274"/>
      <c r="W4" s="275"/>
      <c r="X4" s="275"/>
      <c r="Y4" s="276"/>
      <c r="Z4" s="277"/>
      <c r="AA4" s="277"/>
      <c r="AB4" s="278"/>
      <c r="AC4" s="278"/>
      <c r="AD4" s="278"/>
      <c r="AE4" s="279"/>
      <c r="AF4" s="285"/>
      <c r="AG4" s="285"/>
      <c r="AH4" s="285"/>
      <c r="AI4" s="285"/>
      <c r="AJ4" s="285"/>
      <c r="AK4" s="285"/>
      <c r="AL4" s="285"/>
      <c r="AM4" s="285"/>
      <c r="AN4" s="285"/>
      <c r="AO4" s="285"/>
      <c r="AP4" s="285"/>
      <c r="AQ4" s="285"/>
      <c r="AR4" s="285"/>
      <c r="AS4" s="285"/>
      <c r="AT4" s="285"/>
      <c r="AU4" s="285"/>
      <c r="AV4" s="285"/>
      <c r="AW4" s="285"/>
      <c r="AX4" s="285"/>
      <c r="AY4" s="285"/>
      <c r="AZ4" s="285"/>
      <c r="BA4" s="285"/>
      <c r="BB4" s="285"/>
      <c r="BC4" s="285"/>
      <c r="BD4" s="285"/>
      <c r="BE4" s="285"/>
      <c r="BF4" s="285"/>
      <c r="BG4" s="285"/>
      <c r="BH4" s="285"/>
      <c r="BI4" s="285"/>
      <c r="BJ4" s="285"/>
      <c r="BK4" s="285"/>
      <c r="BL4" s="285"/>
      <c r="BM4" s="285"/>
      <c r="BN4" s="285"/>
      <c r="BO4" s="285"/>
      <c r="BP4" s="285"/>
      <c r="BQ4" s="285"/>
      <c r="BR4" s="285"/>
      <c r="BS4" s="285"/>
      <c r="BT4" s="285"/>
      <c r="BU4" s="285"/>
      <c r="BV4" s="285"/>
      <c r="BW4" s="285"/>
      <c r="BX4" s="285"/>
      <c r="BY4" s="285"/>
      <c r="BZ4" s="285"/>
      <c r="CA4" s="285"/>
      <c r="CB4" s="285"/>
      <c r="CC4" s="285"/>
      <c r="CD4" s="285"/>
      <c r="CE4" s="285"/>
      <c r="CF4" s="285"/>
      <c r="CG4" s="285"/>
      <c r="CH4" s="285"/>
      <c r="CI4" s="285"/>
      <c r="CJ4" s="285"/>
      <c r="CK4" s="285"/>
      <c r="CL4" s="285"/>
      <c r="CM4" s="285"/>
      <c r="CN4" s="285"/>
      <c r="CO4" s="285"/>
      <c r="CP4" s="285"/>
      <c r="CQ4" s="285"/>
      <c r="CR4" s="285"/>
      <c r="CS4" s="285"/>
      <c r="CT4" s="285"/>
      <c r="CU4" s="285"/>
      <c r="CV4" s="285"/>
      <c r="CW4" s="285"/>
      <c r="CX4" s="285"/>
      <c r="CY4" s="285"/>
      <c r="CZ4" s="285"/>
      <c r="DA4" s="285"/>
      <c r="DB4" s="285"/>
      <c r="DC4" s="285"/>
      <c r="DD4" s="285"/>
      <c r="DE4" s="285"/>
      <c r="DF4" s="285"/>
      <c r="DG4" s="285"/>
      <c r="DH4" s="285"/>
      <c r="DI4" s="285"/>
      <c r="DJ4" s="285"/>
      <c r="DK4" s="285"/>
      <c r="DL4" s="285"/>
      <c r="DM4" s="285"/>
      <c r="DN4" s="285"/>
      <c r="DO4" s="285"/>
      <c r="DP4" s="285"/>
      <c r="DQ4" s="285"/>
      <c r="DR4" s="285"/>
      <c r="DS4" s="285"/>
      <c r="DT4" s="285"/>
      <c r="DU4" s="285"/>
      <c r="DV4" s="285"/>
      <c r="DW4" s="285"/>
      <c r="DX4" s="285"/>
      <c r="DY4" s="285"/>
      <c r="DZ4" s="285"/>
      <c r="EA4" s="285"/>
      <c r="EB4" s="285"/>
      <c r="EC4" s="285"/>
      <c r="ED4" s="285"/>
      <c r="EE4" s="285"/>
      <c r="EF4" s="285"/>
      <c r="EG4" s="285"/>
      <c r="EH4" s="285"/>
      <c r="EI4" s="285"/>
      <c r="EJ4" s="285"/>
      <c r="EK4" s="285"/>
      <c r="EL4" s="285"/>
      <c r="EM4" s="285"/>
      <c r="EN4" s="285"/>
      <c r="EO4" s="285"/>
      <c r="EP4" s="285"/>
      <c r="EQ4" s="285"/>
      <c r="ER4" s="285"/>
      <c r="ES4" s="285"/>
      <c r="ET4" s="285"/>
      <c r="EU4" s="285"/>
      <c r="EV4" s="285"/>
      <c r="EW4" s="285"/>
      <c r="EX4" s="285"/>
      <c r="EY4" s="285"/>
      <c r="EZ4" s="285"/>
      <c r="FA4" s="285"/>
      <c r="FB4" s="285"/>
      <c r="FC4" s="285"/>
      <c r="FD4" s="285"/>
      <c r="FE4" s="285"/>
      <c r="FF4" s="285"/>
      <c r="FG4" s="285"/>
      <c r="FH4" s="285"/>
      <c r="FI4" s="285"/>
      <c r="FJ4" s="285"/>
      <c r="FK4" s="285"/>
      <c r="FL4" s="285"/>
      <c r="FM4" s="285"/>
      <c r="FN4" s="285"/>
      <c r="FO4" s="285"/>
      <c r="FP4" s="285"/>
      <c r="FQ4" s="285"/>
      <c r="FR4" s="285"/>
      <c r="FS4" s="285"/>
      <c r="FT4" s="285"/>
      <c r="FU4" s="285"/>
      <c r="FV4" s="285"/>
      <c r="FW4" s="285"/>
      <c r="FX4" s="285"/>
      <c r="FY4" s="285"/>
      <c r="FZ4" s="285"/>
      <c r="GA4" s="285"/>
      <c r="GB4" s="285"/>
      <c r="GC4" s="285"/>
      <c r="GD4" s="285"/>
      <c r="GE4" s="285"/>
      <c r="GF4" s="285"/>
      <c r="GG4" s="285"/>
      <c r="GH4" s="285"/>
      <c r="GI4" s="285"/>
      <c r="GJ4" s="285"/>
      <c r="GK4" s="285"/>
      <c r="GL4" s="285"/>
      <c r="GM4" s="285"/>
      <c r="GN4" s="285"/>
      <c r="GO4" s="285"/>
      <c r="GP4" s="285"/>
      <c r="GQ4" s="285"/>
      <c r="GR4" s="285"/>
      <c r="GS4" s="285"/>
      <c r="GT4" s="285"/>
      <c r="GU4" s="285"/>
      <c r="GV4" s="285"/>
      <c r="GW4" s="285"/>
      <c r="GX4" s="285"/>
      <c r="GY4" s="285"/>
      <c r="GZ4" s="285"/>
      <c r="HA4" s="285"/>
      <c r="HB4" s="285"/>
      <c r="HC4" s="285"/>
      <c r="HD4" s="285"/>
      <c r="HE4" s="285"/>
      <c r="HF4" s="285"/>
      <c r="HG4" s="285"/>
      <c r="HH4" s="285"/>
      <c r="HI4" s="285"/>
      <c r="HJ4" s="285"/>
      <c r="HK4" s="285"/>
      <c r="HL4" s="285"/>
      <c r="HM4" s="285"/>
    </row>
    <row r="5" spans="1:221" s="309" customFormat="1">
      <c r="A5" s="308" t="s">
        <v>4854</v>
      </c>
      <c r="B5" s="2765" t="s">
        <v>4781</v>
      </c>
      <c r="C5" s="2527" t="s">
        <v>4825</v>
      </c>
      <c r="D5" s="62"/>
      <c r="E5" s="2779">
        <v>79</v>
      </c>
      <c r="F5" s="2784">
        <v>22</v>
      </c>
      <c r="G5" s="2780" t="s">
        <v>420</v>
      </c>
      <c r="H5" s="664">
        <v>21</v>
      </c>
      <c r="I5" s="665">
        <v>100</v>
      </c>
      <c r="J5" s="1853">
        <v>500</v>
      </c>
      <c r="K5" s="292"/>
      <c r="L5" s="665">
        <v>80</v>
      </c>
      <c r="M5" s="663">
        <v>48</v>
      </c>
      <c r="N5" s="1317"/>
      <c r="O5" s="2778">
        <v>1.33</v>
      </c>
      <c r="P5" s="1357">
        <v>2</v>
      </c>
      <c r="R5" s="308" t="s">
        <v>142</v>
      </c>
      <c r="S5" s="53" t="s">
        <v>135</v>
      </c>
      <c r="T5" s="268" t="s">
        <v>135</v>
      </c>
      <c r="U5" s="62"/>
      <c r="V5" s="274"/>
      <c r="W5" s="275"/>
      <c r="X5" s="280"/>
      <c r="Y5" s="276"/>
      <c r="Z5" s="277"/>
      <c r="AA5" s="278"/>
      <c r="AB5" s="278"/>
      <c r="AC5" s="278"/>
      <c r="AD5" s="278"/>
      <c r="AE5" s="279"/>
      <c r="AF5" s="285"/>
      <c r="AG5" s="285"/>
      <c r="AH5" s="285"/>
      <c r="AI5" s="285"/>
      <c r="AJ5" s="285"/>
      <c r="AK5" s="285"/>
      <c r="AL5" s="285"/>
      <c r="AM5" s="285"/>
      <c r="AN5" s="285"/>
      <c r="AO5" s="285"/>
      <c r="AP5" s="285"/>
      <c r="AQ5" s="285"/>
      <c r="AR5" s="285"/>
      <c r="AS5" s="285"/>
      <c r="AT5" s="285"/>
      <c r="AU5" s="285"/>
      <c r="AV5" s="285"/>
      <c r="AW5" s="285"/>
      <c r="AX5" s="285"/>
      <c r="AY5" s="285"/>
      <c r="AZ5" s="285"/>
      <c r="BA5" s="285"/>
      <c r="BB5" s="285"/>
      <c r="BC5" s="285"/>
      <c r="BD5" s="285"/>
      <c r="BE5" s="285"/>
      <c r="BF5" s="285"/>
      <c r="BG5" s="285"/>
      <c r="BH5" s="285"/>
      <c r="BI5" s="285"/>
      <c r="BJ5" s="285"/>
      <c r="BK5" s="285"/>
      <c r="BL5" s="285"/>
      <c r="BM5" s="285"/>
      <c r="BN5" s="285"/>
      <c r="BO5" s="285"/>
      <c r="BP5" s="285"/>
      <c r="BQ5" s="285"/>
      <c r="BR5" s="285"/>
      <c r="BS5" s="285"/>
      <c r="BT5" s="285"/>
      <c r="BU5" s="285"/>
      <c r="BV5" s="285"/>
      <c r="BW5" s="285"/>
      <c r="BX5" s="285"/>
      <c r="BY5" s="285"/>
      <c r="BZ5" s="285"/>
      <c r="CA5" s="285"/>
      <c r="CB5" s="285"/>
      <c r="CC5" s="285"/>
      <c r="CD5" s="285"/>
      <c r="CE5" s="285"/>
      <c r="CF5" s="285"/>
      <c r="CG5" s="285"/>
      <c r="CH5" s="285"/>
      <c r="CI5" s="285"/>
      <c r="CJ5" s="285"/>
      <c r="CK5" s="285"/>
      <c r="CL5" s="285"/>
      <c r="CM5" s="285"/>
      <c r="CN5" s="285"/>
      <c r="CO5" s="285"/>
      <c r="CP5" s="285"/>
      <c r="CQ5" s="285"/>
      <c r="CR5" s="285"/>
      <c r="CS5" s="285"/>
      <c r="CT5" s="285"/>
      <c r="CU5" s="285"/>
      <c r="CV5" s="285"/>
      <c r="CW5" s="285"/>
      <c r="CX5" s="285"/>
      <c r="CY5" s="285"/>
      <c r="CZ5" s="285"/>
      <c r="DA5" s="285"/>
      <c r="DB5" s="285"/>
      <c r="DC5" s="285"/>
      <c r="DD5" s="285"/>
      <c r="DE5" s="285"/>
      <c r="DF5" s="285"/>
      <c r="DG5" s="285"/>
      <c r="DH5" s="285"/>
      <c r="DI5" s="285"/>
      <c r="DJ5" s="285"/>
      <c r="DK5" s="285"/>
      <c r="DL5" s="285"/>
      <c r="DM5" s="285"/>
      <c r="DN5" s="285"/>
      <c r="DO5" s="285"/>
      <c r="DP5" s="285"/>
      <c r="DQ5" s="285"/>
      <c r="DR5" s="285"/>
      <c r="DS5" s="285"/>
      <c r="DT5" s="285"/>
      <c r="DU5" s="285"/>
      <c r="DV5" s="285"/>
      <c r="DW5" s="285"/>
      <c r="DX5" s="285"/>
      <c r="DY5" s="285"/>
      <c r="DZ5" s="285"/>
      <c r="EA5" s="285"/>
      <c r="EB5" s="285"/>
      <c r="EC5" s="285"/>
      <c r="ED5" s="285"/>
      <c r="EE5" s="285"/>
      <c r="EF5" s="285"/>
      <c r="EG5" s="285"/>
      <c r="EH5" s="285"/>
      <c r="EI5" s="285"/>
      <c r="EJ5" s="285"/>
      <c r="EK5" s="285"/>
      <c r="EL5" s="285"/>
      <c r="EM5" s="285"/>
      <c r="EN5" s="285"/>
      <c r="EO5" s="285"/>
      <c r="EP5" s="285"/>
      <c r="EQ5" s="285"/>
      <c r="ER5" s="285"/>
      <c r="ES5" s="285"/>
      <c r="ET5" s="285"/>
      <c r="EU5" s="285"/>
      <c r="EV5" s="285"/>
      <c r="EW5" s="285"/>
      <c r="EX5" s="285"/>
      <c r="EY5" s="285"/>
      <c r="EZ5" s="285"/>
      <c r="FA5" s="285"/>
      <c r="FB5" s="285"/>
      <c r="FC5" s="285"/>
      <c r="FD5" s="285"/>
      <c r="FE5" s="285"/>
      <c r="FF5" s="285"/>
      <c r="FG5" s="285"/>
      <c r="FH5" s="285"/>
      <c r="FI5" s="285"/>
      <c r="FJ5" s="285"/>
      <c r="FK5" s="285"/>
      <c r="FL5" s="285"/>
      <c r="FM5" s="285"/>
      <c r="FN5" s="285"/>
      <c r="FO5" s="285"/>
      <c r="FP5" s="285"/>
      <c r="FQ5" s="285"/>
      <c r="FR5" s="285"/>
      <c r="FS5" s="285"/>
      <c r="FT5" s="285"/>
      <c r="FU5" s="285"/>
      <c r="FV5" s="285"/>
      <c r="FW5" s="285"/>
      <c r="FX5" s="285"/>
      <c r="FY5" s="285"/>
      <c r="FZ5" s="285"/>
      <c r="GA5" s="285"/>
      <c r="GB5" s="285"/>
      <c r="GC5" s="285"/>
      <c r="GD5" s="285"/>
      <c r="GE5" s="285"/>
      <c r="GF5" s="285"/>
      <c r="GG5" s="285"/>
      <c r="GH5" s="285"/>
      <c r="GI5" s="285"/>
      <c r="GJ5" s="285"/>
      <c r="GK5" s="285"/>
      <c r="GL5" s="285"/>
      <c r="GM5" s="285"/>
      <c r="GN5" s="285"/>
      <c r="GO5" s="285"/>
      <c r="GP5" s="285"/>
      <c r="GQ5" s="285"/>
      <c r="GR5" s="285"/>
      <c r="GS5" s="285"/>
      <c r="GT5" s="285"/>
      <c r="GU5" s="285"/>
      <c r="GV5" s="285"/>
      <c r="GW5" s="285"/>
      <c r="GX5" s="285"/>
      <c r="GY5" s="285"/>
      <c r="GZ5" s="285"/>
      <c r="HA5" s="285"/>
      <c r="HB5" s="285"/>
      <c r="HC5" s="285"/>
      <c r="HD5" s="285"/>
      <c r="HE5" s="285"/>
      <c r="HF5" s="285"/>
      <c r="HG5" s="285"/>
      <c r="HH5" s="285"/>
      <c r="HI5" s="285"/>
      <c r="HJ5" s="285"/>
      <c r="HK5" s="285"/>
      <c r="HL5" s="285"/>
      <c r="HM5" s="285"/>
    </row>
    <row r="6" spans="1:221" s="309" customFormat="1">
      <c r="A6" s="308" t="s">
        <v>4855</v>
      </c>
      <c r="B6" s="2529" t="s">
        <v>4826</v>
      </c>
      <c r="C6" s="2527" t="s">
        <v>4833</v>
      </c>
      <c r="D6" s="62"/>
      <c r="E6" s="2779">
        <v>84</v>
      </c>
      <c r="F6" s="288">
        <v>20</v>
      </c>
      <c r="G6" s="2780">
        <v>25</v>
      </c>
      <c r="H6" s="283"/>
      <c r="I6" s="665">
        <v>162.5</v>
      </c>
      <c r="J6" s="1853">
        <v>500</v>
      </c>
      <c r="K6" s="292"/>
      <c r="L6" s="665">
        <v>80</v>
      </c>
      <c r="M6" s="663">
        <v>45</v>
      </c>
      <c r="N6" s="1317"/>
      <c r="O6" s="2778">
        <v>1.34</v>
      </c>
      <c r="P6" s="1357" t="s">
        <v>4790</v>
      </c>
      <c r="R6" s="308" t="s">
        <v>143</v>
      </c>
      <c r="S6" s="53" t="s">
        <v>73</v>
      </c>
      <c r="T6" s="268" t="s">
        <v>135</v>
      </c>
      <c r="U6" s="62"/>
      <c r="V6" s="274"/>
      <c r="W6" s="275"/>
      <c r="X6" s="276"/>
      <c r="Y6" s="276"/>
      <c r="Z6" s="277"/>
      <c r="AA6" s="277"/>
      <c r="AB6" s="278"/>
      <c r="AC6" s="278"/>
      <c r="AD6" s="278"/>
      <c r="AE6" s="279"/>
      <c r="AF6" s="285"/>
      <c r="AG6" s="285"/>
      <c r="AH6" s="285"/>
      <c r="AI6" s="285"/>
      <c r="AJ6" s="285"/>
      <c r="AK6" s="285"/>
      <c r="AL6" s="285"/>
      <c r="AM6" s="285"/>
      <c r="AN6" s="285"/>
      <c r="AO6" s="285"/>
      <c r="AP6" s="285"/>
      <c r="AQ6" s="285"/>
      <c r="AR6" s="285"/>
      <c r="AS6" s="285"/>
      <c r="AT6" s="285"/>
      <c r="AU6" s="285"/>
      <c r="AV6" s="285"/>
      <c r="AW6" s="285"/>
      <c r="AX6" s="285"/>
      <c r="AY6" s="285"/>
      <c r="AZ6" s="285"/>
      <c r="BA6" s="285"/>
      <c r="BB6" s="285"/>
      <c r="BC6" s="285"/>
      <c r="BD6" s="285"/>
      <c r="BE6" s="285"/>
      <c r="BF6" s="285"/>
      <c r="BG6" s="285"/>
      <c r="BH6" s="285"/>
      <c r="BI6" s="285"/>
      <c r="BJ6" s="285"/>
      <c r="BK6" s="285"/>
      <c r="BL6" s="285"/>
      <c r="BM6" s="285"/>
      <c r="BN6" s="285"/>
      <c r="BO6" s="285"/>
      <c r="BP6" s="285"/>
      <c r="BQ6" s="285"/>
      <c r="BR6" s="285"/>
      <c r="BS6" s="285"/>
      <c r="BT6" s="285"/>
      <c r="BU6" s="285"/>
      <c r="BV6" s="285"/>
      <c r="BW6" s="285"/>
      <c r="BX6" s="285"/>
      <c r="BY6" s="285"/>
      <c r="BZ6" s="285"/>
      <c r="CA6" s="285"/>
      <c r="CB6" s="285"/>
      <c r="CC6" s="285"/>
      <c r="CD6" s="285"/>
      <c r="CE6" s="285"/>
      <c r="CF6" s="285"/>
      <c r="CG6" s="285"/>
      <c r="CH6" s="285"/>
      <c r="CI6" s="285"/>
      <c r="CJ6" s="285"/>
      <c r="CK6" s="285"/>
      <c r="CL6" s="285"/>
      <c r="CM6" s="285"/>
      <c r="CN6" s="285"/>
      <c r="CO6" s="285"/>
      <c r="CP6" s="285"/>
      <c r="CQ6" s="285"/>
      <c r="CR6" s="285"/>
      <c r="CS6" s="285"/>
      <c r="CT6" s="285"/>
      <c r="CU6" s="285"/>
      <c r="CV6" s="285"/>
      <c r="CW6" s="285"/>
      <c r="CX6" s="285"/>
      <c r="CY6" s="285"/>
      <c r="CZ6" s="285"/>
      <c r="DA6" s="285"/>
      <c r="DB6" s="285"/>
      <c r="DC6" s="285"/>
      <c r="DD6" s="285"/>
      <c r="DE6" s="285"/>
      <c r="DF6" s="285"/>
      <c r="DG6" s="285"/>
      <c r="DH6" s="285"/>
      <c r="DI6" s="285"/>
      <c r="DJ6" s="285"/>
      <c r="DK6" s="285"/>
      <c r="DL6" s="285"/>
      <c r="DM6" s="285"/>
      <c r="DN6" s="285"/>
      <c r="DO6" s="285"/>
      <c r="DP6" s="285"/>
      <c r="DQ6" s="285"/>
      <c r="DR6" s="285"/>
      <c r="DS6" s="285"/>
      <c r="DT6" s="285"/>
      <c r="DU6" s="285"/>
      <c r="DV6" s="285"/>
      <c r="DW6" s="285"/>
      <c r="DX6" s="285"/>
      <c r="DY6" s="285"/>
      <c r="DZ6" s="285"/>
      <c r="EA6" s="285"/>
      <c r="EB6" s="285"/>
      <c r="EC6" s="285"/>
      <c r="ED6" s="285"/>
      <c r="EE6" s="285"/>
      <c r="EF6" s="285"/>
      <c r="EG6" s="285"/>
      <c r="EH6" s="285"/>
      <c r="EI6" s="285"/>
      <c r="EJ6" s="285"/>
      <c r="EK6" s="285"/>
      <c r="EL6" s="285"/>
      <c r="EM6" s="285"/>
      <c r="EN6" s="285"/>
      <c r="EO6" s="285"/>
      <c r="EP6" s="285"/>
      <c r="EQ6" s="285"/>
      <c r="ER6" s="285"/>
      <c r="ES6" s="285"/>
      <c r="ET6" s="285"/>
      <c r="EU6" s="285"/>
      <c r="EV6" s="285"/>
      <c r="EW6" s="285"/>
      <c r="EX6" s="285"/>
      <c r="EY6" s="285"/>
      <c r="EZ6" s="285"/>
      <c r="FA6" s="285"/>
      <c r="FB6" s="285"/>
      <c r="FC6" s="285"/>
      <c r="FD6" s="285"/>
      <c r="FE6" s="285"/>
      <c r="FF6" s="285"/>
      <c r="FG6" s="285"/>
      <c r="FH6" s="285"/>
      <c r="FI6" s="285"/>
      <c r="FJ6" s="285"/>
      <c r="FK6" s="285"/>
      <c r="FL6" s="285"/>
      <c r="FM6" s="285"/>
      <c r="FN6" s="285"/>
      <c r="FO6" s="285"/>
      <c r="FP6" s="285"/>
      <c r="FQ6" s="285"/>
      <c r="FR6" s="285"/>
      <c r="FS6" s="285"/>
      <c r="FT6" s="285"/>
      <c r="FU6" s="285"/>
      <c r="FV6" s="285"/>
      <c r="FW6" s="285"/>
      <c r="FX6" s="285"/>
      <c r="FY6" s="285"/>
      <c r="FZ6" s="285"/>
      <c r="GA6" s="285"/>
      <c r="GB6" s="285"/>
      <c r="GC6" s="285"/>
      <c r="GD6" s="285"/>
      <c r="GE6" s="285"/>
      <c r="GF6" s="285"/>
      <c r="GG6" s="285"/>
      <c r="GH6" s="285"/>
      <c r="GI6" s="285"/>
      <c r="GJ6" s="285"/>
      <c r="GK6" s="285"/>
      <c r="GL6" s="285"/>
      <c r="GM6" s="285"/>
      <c r="GN6" s="285"/>
      <c r="GO6" s="285"/>
      <c r="GP6" s="285"/>
      <c r="GQ6" s="285"/>
      <c r="GR6" s="285"/>
      <c r="GS6" s="285"/>
      <c r="GT6" s="285"/>
      <c r="GU6" s="285"/>
      <c r="GV6" s="285"/>
      <c r="GW6" s="285"/>
      <c r="GX6" s="285"/>
      <c r="GY6" s="285"/>
      <c r="GZ6" s="285"/>
      <c r="HA6" s="285"/>
      <c r="HB6" s="285"/>
      <c r="HC6" s="285"/>
      <c r="HD6" s="285"/>
      <c r="HE6" s="285"/>
      <c r="HF6" s="285"/>
      <c r="HG6" s="285"/>
      <c r="HH6" s="285"/>
      <c r="HI6" s="285"/>
      <c r="HJ6" s="285"/>
      <c r="HK6" s="285"/>
      <c r="HL6" s="285"/>
      <c r="HM6" s="285"/>
    </row>
    <row r="7" spans="1:221" s="309" customFormat="1">
      <c r="A7" s="308" t="s">
        <v>4856</v>
      </c>
      <c r="B7" s="53" t="s">
        <v>4782</v>
      </c>
      <c r="C7" s="268" t="s">
        <v>4867</v>
      </c>
      <c r="D7" s="62"/>
      <c r="E7" s="2770">
        <v>90</v>
      </c>
      <c r="F7" s="2788">
        <v>21</v>
      </c>
      <c r="G7" s="2789">
        <v>18.5</v>
      </c>
      <c r="H7" s="664">
        <v>16</v>
      </c>
      <c r="I7" s="665">
        <v>130</v>
      </c>
      <c r="J7" s="1853">
        <v>500</v>
      </c>
      <c r="K7" s="292"/>
      <c r="L7" s="665">
        <v>80</v>
      </c>
      <c r="M7" s="1889">
        <v>60</v>
      </c>
      <c r="N7" s="1317"/>
      <c r="O7" s="2783">
        <v>1.33</v>
      </c>
      <c r="P7" s="1357" t="s">
        <v>4791</v>
      </c>
      <c r="R7" s="308" t="s">
        <v>144</v>
      </c>
      <c r="S7" s="53" t="s">
        <v>135</v>
      </c>
      <c r="T7" s="268" t="s">
        <v>135</v>
      </c>
      <c r="U7" s="62"/>
      <c r="V7" s="274"/>
      <c r="W7" s="275"/>
      <c r="X7" s="276"/>
      <c r="Y7" s="276"/>
      <c r="Z7" s="277"/>
      <c r="AA7" s="278"/>
      <c r="AB7" s="278"/>
      <c r="AC7" s="278"/>
      <c r="AD7" s="278"/>
      <c r="AE7" s="279"/>
      <c r="AF7" s="285"/>
      <c r="AG7" s="285"/>
      <c r="AH7" s="285"/>
      <c r="AI7" s="285"/>
      <c r="AJ7" s="285"/>
      <c r="AK7" s="285"/>
      <c r="AL7" s="285"/>
      <c r="AM7" s="285"/>
      <c r="AN7" s="285"/>
      <c r="AO7" s="285"/>
      <c r="AP7" s="285"/>
      <c r="AQ7" s="285"/>
      <c r="AR7" s="285"/>
      <c r="AS7" s="285"/>
      <c r="AT7" s="285"/>
      <c r="AU7" s="285"/>
      <c r="AV7" s="285"/>
      <c r="AW7" s="285"/>
      <c r="AX7" s="285"/>
      <c r="AY7" s="285"/>
      <c r="AZ7" s="285"/>
      <c r="BA7" s="285"/>
      <c r="BB7" s="285"/>
      <c r="BC7" s="285"/>
      <c r="BD7" s="285"/>
      <c r="BE7" s="285"/>
      <c r="BF7" s="285"/>
      <c r="BG7" s="285"/>
      <c r="BH7" s="285"/>
      <c r="BI7" s="285"/>
      <c r="BJ7" s="285"/>
      <c r="BK7" s="285"/>
      <c r="BL7" s="285"/>
      <c r="BM7" s="285"/>
      <c r="BN7" s="285"/>
      <c r="BO7" s="285"/>
      <c r="BP7" s="285"/>
      <c r="BQ7" s="285"/>
      <c r="BR7" s="285"/>
      <c r="BS7" s="285"/>
      <c r="BT7" s="285"/>
      <c r="BU7" s="285"/>
      <c r="BV7" s="285"/>
      <c r="BW7" s="285"/>
      <c r="BX7" s="285"/>
      <c r="BY7" s="285"/>
      <c r="BZ7" s="285"/>
      <c r="CA7" s="285"/>
      <c r="CB7" s="285"/>
      <c r="CC7" s="285"/>
      <c r="CD7" s="285"/>
      <c r="CE7" s="285"/>
      <c r="CF7" s="285"/>
      <c r="CG7" s="285"/>
      <c r="CH7" s="285"/>
      <c r="CI7" s="285"/>
      <c r="CJ7" s="285"/>
      <c r="CK7" s="285"/>
      <c r="CL7" s="285"/>
      <c r="CM7" s="285"/>
      <c r="CN7" s="285"/>
      <c r="CO7" s="285"/>
      <c r="CP7" s="285"/>
      <c r="CQ7" s="285"/>
      <c r="CR7" s="285"/>
      <c r="CS7" s="285"/>
      <c r="CT7" s="285"/>
      <c r="CU7" s="285"/>
      <c r="CV7" s="285"/>
      <c r="CW7" s="285"/>
      <c r="CX7" s="285"/>
      <c r="CY7" s="285"/>
      <c r="CZ7" s="285"/>
      <c r="DA7" s="285"/>
      <c r="DB7" s="285"/>
      <c r="DC7" s="285"/>
      <c r="DD7" s="285"/>
      <c r="DE7" s="285"/>
      <c r="DF7" s="285"/>
      <c r="DG7" s="285"/>
      <c r="DH7" s="285"/>
      <c r="DI7" s="285"/>
      <c r="DJ7" s="285"/>
      <c r="DK7" s="285"/>
      <c r="DL7" s="285"/>
      <c r="DM7" s="285"/>
      <c r="DN7" s="285"/>
      <c r="DO7" s="285"/>
      <c r="DP7" s="285"/>
      <c r="DQ7" s="285"/>
      <c r="DR7" s="285"/>
      <c r="DS7" s="285"/>
      <c r="DT7" s="285"/>
      <c r="DU7" s="285"/>
      <c r="DV7" s="285"/>
      <c r="DW7" s="285"/>
      <c r="DX7" s="285"/>
      <c r="DY7" s="285"/>
      <c r="DZ7" s="285"/>
      <c r="EA7" s="285"/>
      <c r="EB7" s="285"/>
      <c r="EC7" s="285"/>
      <c r="ED7" s="285"/>
      <c r="EE7" s="285"/>
      <c r="EF7" s="285"/>
      <c r="EG7" s="285"/>
      <c r="EH7" s="285"/>
      <c r="EI7" s="285"/>
      <c r="EJ7" s="285"/>
      <c r="EK7" s="285"/>
      <c r="EL7" s="285"/>
      <c r="EM7" s="285"/>
      <c r="EN7" s="285"/>
      <c r="EO7" s="285"/>
      <c r="EP7" s="285"/>
      <c r="EQ7" s="285"/>
      <c r="ER7" s="285"/>
      <c r="ES7" s="285"/>
      <c r="ET7" s="285"/>
      <c r="EU7" s="285"/>
      <c r="EV7" s="285"/>
      <c r="EW7" s="285"/>
      <c r="EX7" s="285"/>
      <c r="EY7" s="285"/>
      <c r="EZ7" s="285"/>
      <c r="FA7" s="285"/>
      <c r="FB7" s="285"/>
      <c r="FC7" s="285"/>
      <c r="FD7" s="285"/>
      <c r="FE7" s="285"/>
      <c r="FF7" s="285"/>
      <c r="FG7" s="285"/>
      <c r="FH7" s="285"/>
      <c r="FI7" s="285"/>
      <c r="FJ7" s="285"/>
      <c r="FK7" s="285"/>
      <c r="FL7" s="285"/>
      <c r="FM7" s="285"/>
      <c r="FN7" s="285"/>
      <c r="FO7" s="285"/>
      <c r="FP7" s="285"/>
      <c r="FQ7" s="285"/>
      <c r="FR7" s="285"/>
      <c r="FS7" s="285"/>
      <c r="FT7" s="285"/>
      <c r="FU7" s="285"/>
      <c r="FV7" s="285"/>
      <c r="FW7" s="285"/>
      <c r="FX7" s="285"/>
      <c r="FY7" s="285"/>
      <c r="FZ7" s="285"/>
      <c r="GA7" s="285"/>
      <c r="GB7" s="285"/>
      <c r="GC7" s="285"/>
      <c r="GD7" s="285"/>
      <c r="GE7" s="285"/>
      <c r="GF7" s="285"/>
      <c r="GG7" s="285"/>
      <c r="GH7" s="285"/>
      <c r="GI7" s="285"/>
      <c r="GJ7" s="285"/>
      <c r="GK7" s="285"/>
      <c r="GL7" s="285"/>
      <c r="GM7" s="285"/>
      <c r="GN7" s="285"/>
      <c r="GO7" s="285"/>
      <c r="GP7" s="285"/>
      <c r="GQ7" s="285"/>
      <c r="GR7" s="285"/>
      <c r="GS7" s="285"/>
      <c r="GT7" s="285"/>
      <c r="GU7" s="285"/>
      <c r="GV7" s="285"/>
      <c r="GW7" s="285"/>
      <c r="GX7" s="285"/>
      <c r="GY7" s="285"/>
      <c r="GZ7" s="285"/>
      <c r="HA7" s="285"/>
      <c r="HB7" s="285"/>
      <c r="HC7" s="285"/>
      <c r="HD7" s="285"/>
      <c r="HE7" s="285"/>
      <c r="HF7" s="285"/>
      <c r="HG7" s="285"/>
      <c r="HH7" s="285"/>
      <c r="HI7" s="285"/>
      <c r="HJ7" s="285"/>
      <c r="HK7" s="285"/>
      <c r="HL7" s="285"/>
      <c r="HM7" s="285"/>
    </row>
    <row r="8" spans="1:221" s="309" customFormat="1">
      <c r="A8" s="308" t="s">
        <v>4857</v>
      </c>
      <c r="B8" s="53" t="s">
        <v>4783</v>
      </c>
      <c r="C8" s="268" t="s">
        <v>4787</v>
      </c>
      <c r="D8" s="62"/>
      <c r="E8" s="2782">
        <v>73</v>
      </c>
      <c r="F8" s="1889">
        <v>25</v>
      </c>
      <c r="G8" s="664">
        <v>25</v>
      </c>
      <c r="H8" s="283"/>
      <c r="I8" s="665">
        <v>70</v>
      </c>
      <c r="J8" s="1853">
        <v>500</v>
      </c>
      <c r="K8" s="1890">
        <v>260.8</v>
      </c>
      <c r="L8" s="665">
        <v>80</v>
      </c>
      <c r="M8" s="1891">
        <v>64</v>
      </c>
      <c r="N8" s="1317"/>
      <c r="O8" s="2769">
        <v>1.6</v>
      </c>
      <c r="P8" s="1357">
        <v>2</v>
      </c>
      <c r="R8" s="308" t="s">
        <v>145</v>
      </c>
      <c r="S8" s="53" t="s">
        <v>135</v>
      </c>
      <c r="T8" s="310" t="s">
        <v>135</v>
      </c>
      <c r="U8" s="62"/>
      <c r="V8" s="274"/>
      <c r="W8" s="275"/>
      <c r="X8" s="275"/>
      <c r="Y8" s="276"/>
      <c r="Z8" s="277"/>
      <c r="AA8" s="278"/>
      <c r="AB8" s="278"/>
      <c r="AC8" s="278"/>
      <c r="AD8" s="278"/>
      <c r="AE8" s="279"/>
      <c r="AF8" s="285"/>
      <c r="AG8" s="285"/>
      <c r="AH8" s="285"/>
      <c r="AI8" s="285"/>
      <c r="AJ8" s="285"/>
      <c r="AK8" s="285"/>
      <c r="AL8" s="285"/>
      <c r="AM8" s="285"/>
      <c r="AN8" s="285"/>
      <c r="AO8" s="285"/>
      <c r="AP8" s="285"/>
      <c r="AQ8" s="285"/>
      <c r="AR8" s="285"/>
      <c r="AS8" s="285"/>
      <c r="AT8" s="285"/>
      <c r="AU8" s="285"/>
      <c r="AV8" s="285"/>
      <c r="AW8" s="285"/>
      <c r="AX8" s="285"/>
      <c r="AY8" s="285"/>
      <c r="AZ8" s="285"/>
      <c r="BA8" s="285"/>
      <c r="BB8" s="285"/>
      <c r="BC8" s="285"/>
      <c r="BD8" s="285"/>
      <c r="BE8" s="285"/>
      <c r="BF8" s="285"/>
      <c r="BG8" s="285"/>
      <c r="BH8" s="285"/>
      <c r="BI8" s="285"/>
      <c r="BJ8" s="285"/>
      <c r="BK8" s="285"/>
      <c r="BL8" s="285"/>
      <c r="BM8" s="285"/>
      <c r="BN8" s="285"/>
      <c r="BO8" s="285"/>
      <c r="BP8" s="285"/>
      <c r="BQ8" s="285"/>
      <c r="BR8" s="285"/>
      <c r="BS8" s="285"/>
      <c r="BT8" s="285"/>
      <c r="BU8" s="285"/>
      <c r="BV8" s="285"/>
      <c r="BW8" s="285"/>
      <c r="BX8" s="285"/>
      <c r="BY8" s="285"/>
      <c r="BZ8" s="285"/>
      <c r="CA8" s="285"/>
      <c r="CB8" s="285"/>
      <c r="CC8" s="285"/>
      <c r="CD8" s="285"/>
      <c r="CE8" s="285"/>
      <c r="CF8" s="285"/>
      <c r="CG8" s="285"/>
      <c r="CH8" s="285"/>
      <c r="CI8" s="285"/>
      <c r="CJ8" s="285"/>
      <c r="CK8" s="285"/>
      <c r="CL8" s="285"/>
      <c r="CM8" s="285"/>
      <c r="CN8" s="285"/>
      <c r="CO8" s="285"/>
      <c r="CP8" s="285"/>
      <c r="CQ8" s="285"/>
      <c r="CR8" s="285"/>
      <c r="CS8" s="285"/>
      <c r="CT8" s="285"/>
      <c r="CU8" s="285"/>
      <c r="CV8" s="285"/>
      <c r="CW8" s="285"/>
      <c r="CX8" s="285"/>
      <c r="CY8" s="285"/>
      <c r="CZ8" s="285"/>
      <c r="DA8" s="285"/>
      <c r="DB8" s="285"/>
      <c r="DC8" s="285"/>
      <c r="DD8" s="285"/>
      <c r="DE8" s="285"/>
      <c r="DF8" s="285"/>
      <c r="DG8" s="285"/>
      <c r="DH8" s="285"/>
      <c r="DI8" s="285"/>
      <c r="DJ8" s="285"/>
      <c r="DK8" s="285"/>
      <c r="DL8" s="285"/>
      <c r="DM8" s="285"/>
      <c r="DN8" s="285"/>
      <c r="DO8" s="285"/>
      <c r="DP8" s="285"/>
      <c r="DQ8" s="285"/>
      <c r="DR8" s="285"/>
      <c r="DS8" s="285"/>
      <c r="DT8" s="285"/>
      <c r="DU8" s="285"/>
      <c r="DV8" s="285"/>
      <c r="DW8" s="285"/>
      <c r="DX8" s="285"/>
      <c r="DY8" s="285"/>
      <c r="DZ8" s="285"/>
      <c r="EA8" s="285"/>
      <c r="EB8" s="285"/>
      <c r="EC8" s="285"/>
      <c r="ED8" s="285"/>
      <c r="EE8" s="285"/>
      <c r="EF8" s="285"/>
      <c r="EG8" s="285"/>
      <c r="EH8" s="285"/>
      <c r="EI8" s="285"/>
      <c r="EJ8" s="285"/>
      <c r="EK8" s="285"/>
      <c r="EL8" s="285"/>
      <c r="EM8" s="285"/>
      <c r="EN8" s="285"/>
      <c r="EO8" s="285"/>
      <c r="EP8" s="285"/>
      <c r="EQ8" s="285"/>
      <c r="ER8" s="285"/>
      <c r="ES8" s="285"/>
      <c r="ET8" s="285"/>
      <c r="EU8" s="285"/>
      <c r="EV8" s="285"/>
      <c r="EW8" s="285"/>
      <c r="EX8" s="285"/>
      <c r="EY8" s="285"/>
      <c r="EZ8" s="285"/>
      <c r="FA8" s="285"/>
      <c r="FB8" s="285"/>
      <c r="FC8" s="285"/>
      <c r="FD8" s="285"/>
      <c r="FE8" s="285"/>
      <c r="FF8" s="285"/>
      <c r="FG8" s="285"/>
      <c r="FH8" s="285"/>
      <c r="FI8" s="285"/>
      <c r="FJ8" s="285"/>
      <c r="FK8" s="285"/>
      <c r="FL8" s="285"/>
      <c r="FM8" s="285"/>
      <c r="FN8" s="285"/>
      <c r="FO8" s="285"/>
      <c r="FP8" s="285"/>
      <c r="FQ8" s="285"/>
      <c r="FR8" s="285"/>
      <c r="FS8" s="285"/>
      <c r="FT8" s="285"/>
      <c r="FU8" s="285"/>
      <c r="FV8" s="285"/>
      <c r="FW8" s="285"/>
      <c r="FX8" s="285"/>
      <c r="FY8" s="285"/>
      <c r="FZ8" s="285"/>
      <c r="GA8" s="285"/>
      <c r="GB8" s="285"/>
      <c r="GC8" s="285"/>
      <c r="GD8" s="285"/>
      <c r="GE8" s="285"/>
      <c r="GF8" s="285"/>
      <c r="GG8" s="285"/>
      <c r="GH8" s="285"/>
      <c r="GI8" s="285"/>
      <c r="GJ8" s="285"/>
      <c r="GK8" s="285"/>
      <c r="GL8" s="285"/>
      <c r="GM8" s="285"/>
      <c r="GN8" s="285"/>
      <c r="GO8" s="285"/>
      <c r="GP8" s="285"/>
      <c r="GQ8" s="285"/>
      <c r="GR8" s="285"/>
      <c r="GS8" s="285"/>
      <c r="GT8" s="285"/>
      <c r="GU8" s="285"/>
      <c r="GV8" s="285"/>
      <c r="GW8" s="285"/>
      <c r="GX8" s="285"/>
      <c r="GY8" s="285"/>
      <c r="GZ8" s="285"/>
      <c r="HA8" s="285"/>
      <c r="HB8" s="285"/>
      <c r="HC8" s="285"/>
      <c r="HD8" s="285"/>
      <c r="HE8" s="285"/>
      <c r="HF8" s="285"/>
      <c r="HG8" s="285"/>
      <c r="HH8" s="285"/>
      <c r="HI8" s="285"/>
      <c r="HJ8" s="285"/>
      <c r="HK8" s="285"/>
      <c r="HL8" s="285"/>
      <c r="HM8" s="285"/>
    </row>
    <row r="9" spans="1:221" s="309" customFormat="1">
      <c r="A9" s="308" t="s">
        <v>4858</v>
      </c>
      <c r="B9" s="53" t="s">
        <v>4784</v>
      </c>
      <c r="C9" s="268" t="s">
        <v>4827</v>
      </c>
      <c r="D9" s="62"/>
      <c r="E9" s="2779">
        <v>100</v>
      </c>
      <c r="F9" s="288">
        <v>45</v>
      </c>
      <c r="G9" s="663">
        <v>68</v>
      </c>
      <c r="H9" s="283" t="s">
        <v>4754</v>
      </c>
      <c r="I9" s="289"/>
      <c r="J9" s="1853">
        <v>500</v>
      </c>
      <c r="K9" s="1890">
        <v>88</v>
      </c>
      <c r="L9" s="665">
        <v>80</v>
      </c>
      <c r="M9" s="664">
        <v>85</v>
      </c>
      <c r="N9" s="1317"/>
      <c r="O9" s="2778">
        <v>3</v>
      </c>
      <c r="P9" s="1357">
        <v>5</v>
      </c>
      <c r="R9" s="308" t="s">
        <v>146</v>
      </c>
      <c r="S9" s="53" t="s">
        <v>135</v>
      </c>
      <c r="T9" s="310" t="s">
        <v>135</v>
      </c>
      <c r="U9" s="62"/>
      <c r="V9" s="274"/>
      <c r="W9" s="275"/>
      <c r="X9" s="275"/>
      <c r="Y9" s="276"/>
      <c r="Z9" s="277"/>
      <c r="AA9" s="278"/>
      <c r="AB9" s="278"/>
      <c r="AC9" s="278"/>
      <c r="AD9" s="278"/>
      <c r="AE9" s="279"/>
      <c r="AF9" s="285"/>
      <c r="AG9" s="285"/>
      <c r="AH9" s="285"/>
      <c r="AI9" s="285"/>
      <c r="AJ9" s="285"/>
      <c r="AK9" s="285"/>
      <c r="AL9" s="285"/>
      <c r="AM9" s="285"/>
      <c r="AN9" s="285"/>
      <c r="AO9" s="285"/>
      <c r="AP9" s="285"/>
      <c r="AQ9" s="285"/>
      <c r="AR9" s="285"/>
      <c r="AS9" s="285"/>
      <c r="AT9" s="285"/>
      <c r="AU9" s="285"/>
      <c r="AV9" s="285"/>
      <c r="AW9" s="285"/>
      <c r="AX9" s="285"/>
      <c r="AY9" s="285"/>
      <c r="AZ9" s="285"/>
      <c r="BA9" s="285"/>
      <c r="BB9" s="285"/>
      <c r="BC9" s="285"/>
      <c r="BD9" s="285"/>
      <c r="BE9" s="285"/>
      <c r="BF9" s="285"/>
      <c r="BG9" s="285"/>
      <c r="BH9" s="285"/>
      <c r="BI9" s="285"/>
      <c r="BJ9" s="285"/>
      <c r="BK9" s="285"/>
      <c r="BL9" s="285"/>
      <c r="BM9" s="285"/>
      <c r="BN9" s="285"/>
      <c r="BO9" s="285"/>
      <c r="BP9" s="285"/>
      <c r="BQ9" s="285"/>
      <c r="BR9" s="285"/>
      <c r="BS9" s="285"/>
      <c r="BT9" s="285"/>
      <c r="BU9" s="285"/>
      <c r="BV9" s="285"/>
      <c r="BW9" s="285"/>
      <c r="BX9" s="285"/>
      <c r="BY9" s="285"/>
      <c r="BZ9" s="285"/>
      <c r="CA9" s="285"/>
      <c r="CB9" s="285"/>
      <c r="CC9" s="285"/>
      <c r="CD9" s="285"/>
      <c r="CE9" s="285"/>
      <c r="CF9" s="285"/>
      <c r="CG9" s="285"/>
      <c r="CH9" s="285"/>
      <c r="CI9" s="285"/>
      <c r="CJ9" s="285"/>
      <c r="CK9" s="285"/>
      <c r="CL9" s="285"/>
      <c r="CM9" s="285"/>
      <c r="CN9" s="285"/>
      <c r="CO9" s="285"/>
      <c r="CP9" s="285"/>
      <c r="CQ9" s="285"/>
      <c r="CR9" s="285"/>
      <c r="CS9" s="285"/>
      <c r="CT9" s="285"/>
      <c r="CU9" s="285"/>
      <c r="CV9" s="285"/>
      <c r="CW9" s="285"/>
      <c r="CX9" s="285"/>
      <c r="CY9" s="285"/>
      <c r="CZ9" s="285"/>
      <c r="DA9" s="285"/>
      <c r="DB9" s="285"/>
      <c r="DC9" s="285"/>
      <c r="DD9" s="285"/>
      <c r="DE9" s="285"/>
      <c r="DF9" s="285"/>
      <c r="DG9" s="285"/>
      <c r="DH9" s="285"/>
      <c r="DI9" s="285"/>
      <c r="DJ9" s="285"/>
      <c r="DK9" s="285"/>
      <c r="DL9" s="285"/>
      <c r="DM9" s="285"/>
      <c r="DN9" s="285"/>
      <c r="DO9" s="285"/>
      <c r="DP9" s="285"/>
      <c r="DQ9" s="285"/>
      <c r="DR9" s="285"/>
      <c r="DS9" s="285"/>
      <c r="DT9" s="285"/>
      <c r="DU9" s="285"/>
      <c r="DV9" s="285"/>
      <c r="DW9" s="285"/>
      <c r="DX9" s="285"/>
      <c r="DY9" s="285"/>
      <c r="DZ9" s="285"/>
      <c r="EA9" s="285"/>
      <c r="EB9" s="285"/>
      <c r="EC9" s="285"/>
      <c r="ED9" s="285"/>
      <c r="EE9" s="285"/>
      <c r="EF9" s="285"/>
      <c r="EG9" s="285"/>
      <c r="EH9" s="285"/>
      <c r="EI9" s="285"/>
      <c r="EJ9" s="285"/>
      <c r="EK9" s="285"/>
      <c r="EL9" s="285"/>
      <c r="EM9" s="285"/>
      <c r="EN9" s="285"/>
      <c r="EO9" s="285"/>
      <c r="EP9" s="285"/>
      <c r="EQ9" s="285"/>
      <c r="ER9" s="285"/>
      <c r="ES9" s="285"/>
      <c r="ET9" s="285"/>
      <c r="EU9" s="285"/>
      <c r="EV9" s="285"/>
      <c r="EW9" s="285"/>
      <c r="EX9" s="285"/>
      <c r="EY9" s="285"/>
      <c r="EZ9" s="285"/>
      <c r="FA9" s="285"/>
      <c r="FB9" s="285"/>
      <c r="FC9" s="285"/>
      <c r="FD9" s="285"/>
      <c r="FE9" s="285"/>
      <c r="FF9" s="285"/>
      <c r="FG9" s="285"/>
      <c r="FH9" s="285"/>
      <c r="FI9" s="285"/>
      <c r="FJ9" s="285"/>
      <c r="FK9" s="285"/>
      <c r="FL9" s="285"/>
      <c r="FM9" s="285"/>
      <c r="FN9" s="285"/>
      <c r="FO9" s="285"/>
      <c r="FP9" s="285"/>
      <c r="FQ9" s="285"/>
      <c r="FR9" s="285"/>
      <c r="FS9" s="285"/>
      <c r="FT9" s="285"/>
      <c r="FU9" s="285"/>
      <c r="FV9" s="285"/>
      <c r="FW9" s="285"/>
      <c r="FX9" s="285"/>
      <c r="FY9" s="285"/>
      <c r="FZ9" s="285"/>
      <c r="GA9" s="285"/>
      <c r="GB9" s="285"/>
      <c r="GC9" s="285"/>
      <c r="GD9" s="285"/>
      <c r="GE9" s="285"/>
      <c r="GF9" s="285"/>
      <c r="GG9" s="285"/>
      <c r="GH9" s="285"/>
      <c r="GI9" s="285"/>
      <c r="GJ9" s="285"/>
      <c r="GK9" s="285"/>
      <c r="GL9" s="285"/>
      <c r="GM9" s="285"/>
      <c r="GN9" s="285"/>
      <c r="GO9" s="285"/>
      <c r="GP9" s="285"/>
      <c r="GQ9" s="285"/>
      <c r="GR9" s="285"/>
      <c r="GS9" s="285"/>
      <c r="GT9" s="285"/>
      <c r="GU9" s="285"/>
      <c r="GV9" s="285"/>
      <c r="GW9" s="285"/>
      <c r="GX9" s="285"/>
      <c r="GY9" s="285"/>
      <c r="GZ9" s="285"/>
      <c r="HA9" s="285"/>
      <c r="HB9" s="285"/>
      <c r="HC9" s="285"/>
      <c r="HD9" s="285"/>
      <c r="HE9" s="285"/>
      <c r="HF9" s="285"/>
      <c r="HG9" s="285"/>
      <c r="HH9" s="285"/>
      <c r="HI9" s="285"/>
      <c r="HJ9" s="285"/>
      <c r="HK9" s="285"/>
      <c r="HL9" s="285"/>
      <c r="HM9" s="285"/>
    </row>
    <row r="10" spans="1:221" s="309" customFormat="1">
      <c r="A10" s="308" t="s">
        <v>4859</v>
      </c>
      <c r="B10" s="274" t="s">
        <v>4785</v>
      </c>
      <c r="C10" s="268" t="s">
        <v>4827</v>
      </c>
      <c r="D10" s="62"/>
      <c r="E10" s="2779">
        <v>100</v>
      </c>
      <c r="F10" s="288">
        <v>35</v>
      </c>
      <c r="G10" s="288">
        <v>80</v>
      </c>
      <c r="H10" s="664">
        <v>30.5</v>
      </c>
      <c r="I10" s="665">
        <v>90</v>
      </c>
      <c r="J10" s="1853">
        <v>500</v>
      </c>
      <c r="K10" s="292"/>
      <c r="L10" s="665">
        <v>80</v>
      </c>
      <c r="M10" s="664">
        <v>85</v>
      </c>
      <c r="N10" s="1317"/>
      <c r="O10" s="2778">
        <v>3</v>
      </c>
      <c r="P10" s="1357" t="s">
        <v>4789</v>
      </c>
      <c r="R10" s="308" t="s">
        <v>147</v>
      </c>
      <c r="S10" s="274" t="s">
        <v>135</v>
      </c>
      <c r="T10" s="268" t="s">
        <v>135</v>
      </c>
      <c r="U10" s="62"/>
      <c r="V10" s="274"/>
      <c r="W10" s="275"/>
      <c r="X10" s="275"/>
      <c r="Y10" s="276"/>
      <c r="Z10" s="277"/>
      <c r="AA10" s="277"/>
      <c r="AB10" s="278"/>
      <c r="AC10" s="278"/>
      <c r="AD10" s="278"/>
      <c r="AE10" s="279"/>
      <c r="AF10" s="285"/>
      <c r="AG10" s="285"/>
      <c r="AH10" s="285"/>
      <c r="AI10" s="285"/>
      <c r="AJ10" s="285"/>
      <c r="AK10" s="285"/>
      <c r="AL10" s="285"/>
      <c r="AM10" s="285"/>
      <c r="AN10" s="285"/>
      <c r="AO10" s="285"/>
      <c r="AP10" s="285"/>
      <c r="AQ10" s="285"/>
      <c r="AR10" s="285"/>
      <c r="AS10" s="285"/>
      <c r="AT10" s="285"/>
      <c r="AU10" s="285"/>
      <c r="AV10" s="285"/>
      <c r="AW10" s="285"/>
      <c r="AX10" s="285"/>
      <c r="AY10" s="285"/>
      <c r="AZ10" s="285"/>
      <c r="BA10" s="285"/>
      <c r="BB10" s="285"/>
      <c r="BC10" s="285"/>
      <c r="BD10" s="285"/>
      <c r="BE10" s="285"/>
      <c r="BF10" s="285"/>
      <c r="BG10" s="285"/>
      <c r="BH10" s="285"/>
      <c r="BI10" s="285"/>
      <c r="BJ10" s="285"/>
      <c r="BK10" s="285"/>
      <c r="BL10" s="285"/>
      <c r="BM10" s="285"/>
      <c r="BN10" s="285"/>
      <c r="BO10" s="285"/>
      <c r="BP10" s="285"/>
      <c r="BQ10" s="285"/>
      <c r="BR10" s="285"/>
      <c r="BS10" s="285"/>
      <c r="BT10" s="285"/>
      <c r="BU10" s="285"/>
      <c r="BV10" s="285"/>
      <c r="BW10" s="285"/>
      <c r="BX10" s="285"/>
      <c r="BY10" s="285"/>
      <c r="BZ10" s="285"/>
      <c r="CA10" s="285"/>
      <c r="CB10" s="285"/>
      <c r="CC10" s="285"/>
      <c r="CD10" s="285"/>
      <c r="CE10" s="285"/>
      <c r="CF10" s="285"/>
      <c r="CG10" s="285"/>
      <c r="CH10" s="285"/>
      <c r="CI10" s="285"/>
      <c r="CJ10" s="285"/>
      <c r="CK10" s="285"/>
      <c r="CL10" s="285"/>
      <c r="CM10" s="285"/>
      <c r="CN10" s="285"/>
      <c r="CO10" s="285"/>
      <c r="CP10" s="285"/>
      <c r="CQ10" s="285"/>
      <c r="CR10" s="285"/>
      <c r="CS10" s="285"/>
      <c r="CT10" s="285"/>
      <c r="CU10" s="285"/>
      <c r="CV10" s="285"/>
      <c r="CW10" s="285"/>
      <c r="CX10" s="285"/>
      <c r="CY10" s="285"/>
      <c r="CZ10" s="285"/>
      <c r="DA10" s="285"/>
      <c r="DB10" s="285"/>
      <c r="DC10" s="285"/>
      <c r="DD10" s="285"/>
      <c r="DE10" s="285"/>
      <c r="DF10" s="285"/>
      <c r="DG10" s="285"/>
      <c r="DH10" s="285"/>
      <c r="DI10" s="285"/>
      <c r="DJ10" s="285"/>
      <c r="DK10" s="285"/>
      <c r="DL10" s="285"/>
      <c r="DM10" s="285"/>
      <c r="DN10" s="285"/>
      <c r="DO10" s="285"/>
      <c r="DP10" s="285"/>
      <c r="DQ10" s="285"/>
      <c r="DR10" s="285"/>
      <c r="DS10" s="285"/>
      <c r="DT10" s="285"/>
      <c r="DU10" s="285"/>
      <c r="DV10" s="285"/>
      <c r="DW10" s="285"/>
      <c r="DX10" s="285"/>
      <c r="DY10" s="285"/>
      <c r="DZ10" s="285"/>
      <c r="EA10" s="285"/>
      <c r="EB10" s="285"/>
      <c r="EC10" s="285"/>
      <c r="ED10" s="285"/>
      <c r="EE10" s="285"/>
      <c r="EF10" s="285"/>
      <c r="EG10" s="285"/>
      <c r="EH10" s="285"/>
      <c r="EI10" s="285"/>
      <c r="EJ10" s="285"/>
      <c r="EK10" s="285"/>
      <c r="EL10" s="285"/>
      <c r="EM10" s="285"/>
      <c r="EN10" s="285"/>
      <c r="EO10" s="285"/>
      <c r="EP10" s="285"/>
      <c r="EQ10" s="285"/>
      <c r="ER10" s="285"/>
      <c r="ES10" s="285"/>
      <c r="ET10" s="285"/>
      <c r="EU10" s="285"/>
      <c r="EV10" s="285"/>
      <c r="EW10" s="285"/>
      <c r="EX10" s="285"/>
      <c r="EY10" s="285"/>
      <c r="EZ10" s="285"/>
      <c r="FA10" s="285"/>
      <c r="FB10" s="285"/>
      <c r="FC10" s="285"/>
      <c r="FD10" s="285"/>
      <c r="FE10" s="285"/>
      <c r="FF10" s="285"/>
      <c r="FG10" s="285"/>
      <c r="FH10" s="285"/>
      <c r="FI10" s="285"/>
      <c r="FJ10" s="285"/>
      <c r="FK10" s="285"/>
      <c r="FL10" s="285"/>
      <c r="FM10" s="285"/>
      <c r="FN10" s="285"/>
      <c r="FO10" s="285"/>
      <c r="FP10" s="285"/>
      <c r="FQ10" s="285"/>
      <c r="FR10" s="285"/>
      <c r="FS10" s="285"/>
      <c r="FT10" s="285"/>
      <c r="FU10" s="285"/>
      <c r="FV10" s="285"/>
      <c r="FW10" s="285"/>
      <c r="FX10" s="285"/>
      <c r="FY10" s="285"/>
      <c r="FZ10" s="285"/>
      <c r="GA10" s="285"/>
      <c r="GB10" s="285"/>
      <c r="GC10" s="285"/>
      <c r="GD10" s="285"/>
      <c r="GE10" s="285"/>
      <c r="GF10" s="285"/>
      <c r="GG10" s="285"/>
      <c r="GH10" s="285"/>
      <c r="GI10" s="285"/>
      <c r="GJ10" s="285"/>
      <c r="GK10" s="285"/>
      <c r="GL10" s="285"/>
      <c r="GM10" s="285"/>
      <c r="GN10" s="285"/>
      <c r="GO10" s="285"/>
      <c r="GP10" s="285"/>
      <c r="GQ10" s="285"/>
      <c r="GR10" s="285"/>
      <c r="GS10" s="285"/>
      <c r="GT10" s="285"/>
      <c r="GU10" s="285"/>
      <c r="GV10" s="285"/>
      <c r="GW10" s="285"/>
      <c r="GX10" s="285"/>
      <c r="GY10" s="285"/>
      <c r="GZ10" s="285"/>
      <c r="HA10" s="285"/>
      <c r="HB10" s="285"/>
      <c r="HC10" s="285"/>
      <c r="HD10" s="285"/>
      <c r="HE10" s="285"/>
      <c r="HF10" s="285"/>
      <c r="HG10" s="285"/>
      <c r="HH10" s="285"/>
      <c r="HI10" s="285"/>
      <c r="HJ10" s="285"/>
      <c r="HK10" s="285"/>
      <c r="HL10" s="285"/>
      <c r="HM10" s="285"/>
    </row>
    <row r="11" spans="1:221" s="309" customFormat="1">
      <c r="A11" s="308" t="s">
        <v>4860</v>
      </c>
      <c r="B11" s="274" t="s">
        <v>4786</v>
      </c>
      <c r="C11" s="310" t="s">
        <v>4750</v>
      </c>
      <c r="D11" s="62"/>
      <c r="E11" s="2770"/>
      <c r="F11" s="288">
        <v>25</v>
      </c>
      <c r="G11" s="288" t="s">
        <v>4789</v>
      </c>
      <c r="H11" s="664"/>
      <c r="I11" s="289">
        <v>90</v>
      </c>
      <c r="J11" s="1853">
        <v>500</v>
      </c>
      <c r="K11" s="292">
        <v>35</v>
      </c>
      <c r="L11" s="289"/>
      <c r="M11" s="283"/>
      <c r="N11" s="1317"/>
      <c r="O11" s="1357"/>
      <c r="P11" s="1357"/>
      <c r="R11" s="308" t="s">
        <v>148</v>
      </c>
      <c r="S11" s="274" t="s">
        <v>135</v>
      </c>
      <c r="T11" s="268" t="s">
        <v>135</v>
      </c>
      <c r="U11" s="62"/>
      <c r="V11" s="274"/>
      <c r="W11" s="275"/>
      <c r="X11" s="275"/>
      <c r="Y11" s="276"/>
      <c r="Z11" s="277"/>
      <c r="AA11" s="277"/>
      <c r="AB11" s="278"/>
      <c r="AC11" s="278"/>
      <c r="AD11" s="278"/>
      <c r="AE11" s="279"/>
      <c r="AF11" s="285"/>
      <c r="AG11" s="285"/>
      <c r="AH11" s="285"/>
      <c r="AI11" s="285"/>
      <c r="AJ11" s="285"/>
      <c r="AK11" s="285"/>
      <c r="AL11" s="285"/>
      <c r="AM11" s="285"/>
      <c r="AN11" s="285"/>
      <c r="AO11" s="285"/>
      <c r="AP11" s="285"/>
      <c r="AQ11" s="285"/>
      <c r="AR11" s="285"/>
      <c r="AS11" s="285"/>
      <c r="AT11" s="285"/>
      <c r="AU11" s="285"/>
      <c r="AV11" s="285"/>
      <c r="AW11" s="285"/>
      <c r="AX11" s="285"/>
      <c r="AY11" s="285"/>
      <c r="AZ11" s="285"/>
      <c r="BA11" s="285"/>
      <c r="BB11" s="285"/>
      <c r="BC11" s="285"/>
      <c r="BD11" s="285"/>
      <c r="BE11" s="285"/>
      <c r="BF11" s="285"/>
      <c r="BG11" s="285"/>
      <c r="BH11" s="285"/>
      <c r="BI11" s="285"/>
      <c r="BJ11" s="285"/>
      <c r="BK11" s="285"/>
      <c r="BL11" s="285"/>
      <c r="BM11" s="285"/>
      <c r="BN11" s="285"/>
      <c r="BO11" s="285"/>
      <c r="BP11" s="285"/>
      <c r="BQ11" s="285"/>
      <c r="BR11" s="285"/>
      <c r="BS11" s="285"/>
      <c r="BT11" s="285"/>
      <c r="BU11" s="285"/>
      <c r="BV11" s="285"/>
      <c r="BW11" s="285"/>
      <c r="BX11" s="285"/>
      <c r="BY11" s="285"/>
      <c r="BZ11" s="285"/>
      <c r="CA11" s="285"/>
      <c r="CB11" s="285"/>
      <c r="CC11" s="285"/>
      <c r="CD11" s="285"/>
      <c r="CE11" s="285"/>
      <c r="CF11" s="285"/>
      <c r="CG11" s="285"/>
      <c r="CH11" s="285"/>
      <c r="CI11" s="285"/>
      <c r="CJ11" s="285"/>
      <c r="CK11" s="285"/>
      <c r="CL11" s="285"/>
      <c r="CM11" s="285"/>
      <c r="CN11" s="285"/>
      <c r="CO11" s="285"/>
      <c r="CP11" s="285"/>
      <c r="CQ11" s="285"/>
      <c r="CR11" s="285"/>
      <c r="CS11" s="285"/>
      <c r="CT11" s="285"/>
      <c r="CU11" s="285"/>
      <c r="CV11" s="285"/>
      <c r="CW11" s="285"/>
      <c r="CX11" s="285"/>
      <c r="CY11" s="285"/>
      <c r="CZ11" s="285"/>
      <c r="DA11" s="285"/>
      <c r="DB11" s="285"/>
      <c r="DC11" s="285"/>
      <c r="DD11" s="285"/>
      <c r="DE11" s="285"/>
      <c r="DF11" s="285"/>
      <c r="DG11" s="285"/>
      <c r="DH11" s="285"/>
      <c r="DI11" s="285"/>
      <c r="DJ11" s="285"/>
      <c r="DK11" s="285"/>
      <c r="DL11" s="285"/>
      <c r="DM11" s="285"/>
      <c r="DN11" s="285"/>
      <c r="DO11" s="285"/>
      <c r="DP11" s="285"/>
      <c r="DQ11" s="285"/>
      <c r="DR11" s="285"/>
      <c r="DS11" s="285"/>
      <c r="DT11" s="285"/>
      <c r="DU11" s="285"/>
      <c r="DV11" s="285"/>
      <c r="DW11" s="285"/>
      <c r="DX11" s="285"/>
      <c r="DY11" s="285"/>
      <c r="DZ11" s="285"/>
      <c r="EA11" s="285"/>
      <c r="EB11" s="285"/>
      <c r="EC11" s="285"/>
      <c r="ED11" s="285"/>
      <c r="EE11" s="285"/>
      <c r="EF11" s="285"/>
      <c r="EG11" s="285"/>
      <c r="EH11" s="285"/>
      <c r="EI11" s="285"/>
      <c r="EJ11" s="285"/>
      <c r="EK11" s="285"/>
      <c r="EL11" s="285"/>
      <c r="EM11" s="285"/>
      <c r="EN11" s="285"/>
      <c r="EO11" s="285"/>
      <c r="EP11" s="285"/>
      <c r="EQ11" s="285"/>
      <c r="ER11" s="285"/>
      <c r="ES11" s="285"/>
      <c r="ET11" s="285"/>
      <c r="EU11" s="285"/>
      <c r="EV11" s="285"/>
      <c r="EW11" s="285"/>
      <c r="EX11" s="285"/>
      <c r="EY11" s="285"/>
      <c r="EZ11" s="285"/>
      <c r="FA11" s="285"/>
      <c r="FB11" s="285"/>
      <c r="FC11" s="285"/>
      <c r="FD11" s="285"/>
      <c r="FE11" s="285"/>
      <c r="FF11" s="285"/>
      <c r="FG11" s="285"/>
      <c r="FH11" s="285"/>
      <c r="FI11" s="285"/>
      <c r="FJ11" s="285"/>
      <c r="FK11" s="285"/>
      <c r="FL11" s="285"/>
      <c r="FM11" s="285"/>
      <c r="FN11" s="285"/>
      <c r="FO11" s="285"/>
      <c r="FP11" s="285"/>
      <c r="FQ11" s="285"/>
      <c r="FR11" s="285"/>
      <c r="FS11" s="285"/>
      <c r="FT11" s="285"/>
      <c r="FU11" s="285"/>
      <c r="FV11" s="285"/>
      <c r="FW11" s="285"/>
      <c r="FX11" s="285"/>
      <c r="FY11" s="285"/>
      <c r="FZ11" s="285"/>
      <c r="GA11" s="285"/>
      <c r="GB11" s="285"/>
      <c r="GC11" s="285"/>
      <c r="GD11" s="285"/>
      <c r="GE11" s="285"/>
      <c r="GF11" s="285"/>
      <c r="GG11" s="285"/>
      <c r="GH11" s="285"/>
      <c r="GI11" s="285"/>
      <c r="GJ11" s="285"/>
      <c r="GK11" s="285"/>
      <c r="GL11" s="285"/>
      <c r="GM11" s="285"/>
      <c r="GN11" s="285"/>
      <c r="GO11" s="285"/>
      <c r="GP11" s="285"/>
      <c r="GQ11" s="285"/>
      <c r="GR11" s="285"/>
      <c r="GS11" s="285"/>
      <c r="GT11" s="285"/>
      <c r="GU11" s="285"/>
      <c r="GV11" s="285"/>
      <c r="GW11" s="285"/>
      <c r="GX11" s="285"/>
      <c r="GY11" s="285"/>
      <c r="GZ11" s="285"/>
      <c r="HA11" s="285"/>
      <c r="HB11" s="285"/>
      <c r="HC11" s="285"/>
      <c r="HD11" s="285"/>
      <c r="HE11" s="285"/>
      <c r="HF11" s="285"/>
      <c r="HG11" s="285"/>
      <c r="HH11" s="285"/>
      <c r="HI11" s="285"/>
      <c r="HJ11" s="285"/>
      <c r="HK11" s="285"/>
      <c r="HL11" s="285"/>
      <c r="HM11" s="285"/>
    </row>
    <row r="12" spans="1:221" s="309" customFormat="1">
      <c r="A12" s="308" t="s">
        <v>149</v>
      </c>
      <c r="B12" s="53" t="s">
        <v>4751</v>
      </c>
      <c r="C12" s="268" t="s">
        <v>4751</v>
      </c>
      <c r="D12" s="62"/>
      <c r="E12" s="2770"/>
      <c r="F12" s="2771"/>
      <c r="G12" s="288"/>
      <c r="H12" s="664">
        <v>20.72</v>
      </c>
      <c r="I12" s="665" t="s">
        <v>4757</v>
      </c>
      <c r="J12" s="666">
        <v>110</v>
      </c>
      <c r="K12" s="666" t="s">
        <v>4794</v>
      </c>
      <c r="L12" s="289"/>
      <c r="M12" s="283"/>
      <c r="N12" s="1317"/>
      <c r="O12" s="1357"/>
      <c r="P12" s="1357"/>
      <c r="R12" s="308" t="s">
        <v>149</v>
      </c>
      <c r="S12" s="53" t="s">
        <v>135</v>
      </c>
      <c r="T12" s="268" t="s">
        <v>135</v>
      </c>
      <c r="U12" s="62"/>
      <c r="V12" s="274"/>
      <c r="W12" s="269"/>
      <c r="X12" s="275"/>
      <c r="Y12" s="276"/>
      <c r="Z12" s="277"/>
      <c r="AA12" s="277"/>
      <c r="AB12" s="278"/>
      <c r="AC12" s="278"/>
      <c r="AD12" s="278"/>
      <c r="AE12" s="279"/>
      <c r="AF12" s="285"/>
      <c r="AG12" s="285"/>
      <c r="AH12" s="285"/>
      <c r="AI12" s="285"/>
      <c r="AJ12" s="285"/>
      <c r="AK12" s="285"/>
      <c r="AL12" s="285"/>
      <c r="AM12" s="285"/>
      <c r="AN12" s="285"/>
      <c r="AO12" s="285"/>
      <c r="AP12" s="285"/>
      <c r="AQ12" s="285"/>
      <c r="AR12" s="285"/>
      <c r="AS12" s="285"/>
      <c r="AT12" s="285"/>
      <c r="AU12" s="285"/>
      <c r="AV12" s="285"/>
      <c r="AW12" s="285"/>
      <c r="AX12" s="285"/>
      <c r="AY12" s="285"/>
      <c r="AZ12" s="285"/>
      <c r="BA12" s="285"/>
      <c r="BB12" s="285"/>
      <c r="BC12" s="285"/>
      <c r="BD12" s="285"/>
      <c r="BE12" s="285"/>
      <c r="BF12" s="285"/>
      <c r="BG12" s="285"/>
      <c r="BH12" s="285"/>
      <c r="BI12" s="285"/>
      <c r="BJ12" s="285"/>
      <c r="BK12" s="285"/>
      <c r="BL12" s="285"/>
      <c r="BM12" s="285"/>
      <c r="BN12" s="285"/>
      <c r="BO12" s="285"/>
      <c r="BP12" s="285"/>
      <c r="BQ12" s="285"/>
      <c r="BR12" s="285"/>
      <c r="BS12" s="285"/>
      <c r="BT12" s="285"/>
      <c r="BU12" s="285"/>
      <c r="BV12" s="285"/>
      <c r="BW12" s="285"/>
      <c r="BX12" s="285"/>
      <c r="BY12" s="285"/>
      <c r="BZ12" s="285"/>
      <c r="CA12" s="285"/>
      <c r="CB12" s="285"/>
      <c r="CC12" s="285"/>
      <c r="CD12" s="285"/>
      <c r="CE12" s="285"/>
      <c r="CF12" s="285"/>
      <c r="CG12" s="285"/>
      <c r="CH12" s="285"/>
      <c r="CI12" s="285"/>
      <c r="CJ12" s="285"/>
      <c r="CK12" s="285"/>
      <c r="CL12" s="285"/>
      <c r="CM12" s="285"/>
      <c r="CN12" s="285"/>
      <c r="CO12" s="285"/>
      <c r="CP12" s="285"/>
      <c r="CQ12" s="285"/>
      <c r="CR12" s="285"/>
      <c r="CS12" s="285"/>
      <c r="CT12" s="285"/>
      <c r="CU12" s="285"/>
      <c r="CV12" s="285"/>
      <c r="CW12" s="285"/>
      <c r="CX12" s="285"/>
      <c r="CY12" s="285"/>
      <c r="CZ12" s="285"/>
      <c r="DA12" s="285"/>
      <c r="DB12" s="285"/>
      <c r="DC12" s="285"/>
      <c r="DD12" s="285"/>
      <c r="DE12" s="285"/>
      <c r="DF12" s="285"/>
      <c r="DG12" s="285"/>
      <c r="DH12" s="285"/>
      <c r="DI12" s="285"/>
      <c r="DJ12" s="285"/>
      <c r="DK12" s="285"/>
      <c r="DL12" s="285"/>
      <c r="DM12" s="285"/>
      <c r="DN12" s="285"/>
      <c r="DO12" s="285"/>
      <c r="DP12" s="285"/>
      <c r="DQ12" s="285"/>
      <c r="DR12" s="285"/>
      <c r="DS12" s="285"/>
      <c r="DT12" s="285"/>
      <c r="DU12" s="285"/>
      <c r="DV12" s="285"/>
      <c r="DW12" s="285"/>
      <c r="DX12" s="285"/>
      <c r="DY12" s="285"/>
      <c r="DZ12" s="285"/>
      <c r="EA12" s="285"/>
      <c r="EB12" s="285"/>
      <c r="EC12" s="285"/>
      <c r="ED12" s="285"/>
      <c r="EE12" s="285"/>
      <c r="EF12" s="285"/>
      <c r="EG12" s="285"/>
      <c r="EH12" s="285"/>
      <c r="EI12" s="285"/>
      <c r="EJ12" s="285"/>
      <c r="EK12" s="285"/>
      <c r="EL12" s="285"/>
      <c r="EM12" s="285"/>
      <c r="EN12" s="285"/>
      <c r="EO12" s="285"/>
      <c r="EP12" s="285"/>
      <c r="EQ12" s="285"/>
      <c r="ER12" s="285"/>
      <c r="ES12" s="285"/>
      <c r="ET12" s="285"/>
      <c r="EU12" s="285"/>
      <c r="EV12" s="285"/>
      <c r="EW12" s="285"/>
      <c r="EX12" s="285"/>
      <c r="EY12" s="285"/>
      <c r="EZ12" s="285"/>
      <c r="FA12" s="285"/>
      <c r="FB12" s="285"/>
      <c r="FC12" s="285"/>
      <c r="FD12" s="285"/>
      <c r="FE12" s="285"/>
      <c r="FF12" s="285"/>
      <c r="FG12" s="285"/>
      <c r="FH12" s="285"/>
      <c r="FI12" s="285"/>
      <c r="FJ12" s="285"/>
      <c r="FK12" s="285"/>
      <c r="FL12" s="285"/>
      <c r="FM12" s="285"/>
      <c r="FN12" s="285"/>
      <c r="FO12" s="285"/>
      <c r="FP12" s="285"/>
      <c r="FQ12" s="285"/>
      <c r="FR12" s="285"/>
      <c r="FS12" s="285"/>
      <c r="FT12" s="285"/>
      <c r="FU12" s="285"/>
      <c r="FV12" s="285"/>
      <c r="FW12" s="285"/>
      <c r="FX12" s="285"/>
      <c r="FY12" s="285"/>
      <c r="FZ12" s="285"/>
      <c r="GA12" s="285"/>
      <c r="GB12" s="285"/>
      <c r="GC12" s="285"/>
      <c r="GD12" s="285"/>
      <c r="GE12" s="285"/>
      <c r="GF12" s="285"/>
      <c r="GG12" s="285"/>
      <c r="GH12" s="285"/>
      <c r="GI12" s="285"/>
      <c r="GJ12" s="285"/>
      <c r="GK12" s="285"/>
      <c r="GL12" s="285"/>
      <c r="GM12" s="285"/>
      <c r="GN12" s="285"/>
      <c r="GO12" s="285"/>
      <c r="GP12" s="285"/>
      <c r="GQ12" s="285"/>
      <c r="GR12" s="285"/>
      <c r="GS12" s="285"/>
      <c r="GT12" s="285"/>
      <c r="GU12" s="285"/>
      <c r="GV12" s="285"/>
      <c r="GW12" s="285"/>
      <c r="GX12" s="285"/>
      <c r="GY12" s="285"/>
      <c r="GZ12" s="285"/>
      <c r="HA12" s="285"/>
      <c r="HB12" s="285"/>
      <c r="HC12" s="285"/>
      <c r="HD12" s="285"/>
      <c r="HE12" s="285"/>
      <c r="HF12" s="285"/>
      <c r="HG12" s="285"/>
      <c r="HH12" s="285"/>
      <c r="HI12" s="285"/>
      <c r="HJ12" s="285"/>
      <c r="HK12" s="285"/>
      <c r="HL12" s="285"/>
      <c r="HM12" s="285"/>
    </row>
    <row r="13" spans="1:221" s="309" customFormat="1">
      <c r="A13" s="308" t="s">
        <v>150</v>
      </c>
      <c r="B13" s="53" t="s">
        <v>4752</v>
      </c>
      <c r="C13" s="268" t="s">
        <v>4752</v>
      </c>
      <c r="D13" s="62"/>
      <c r="E13" s="2770"/>
      <c r="F13" s="2771"/>
      <c r="G13" s="288"/>
      <c r="H13" s="664">
        <v>2</v>
      </c>
      <c r="I13" s="665" t="s">
        <v>4829</v>
      </c>
      <c r="J13" s="666">
        <v>160</v>
      </c>
      <c r="K13" s="666" t="s">
        <v>4795</v>
      </c>
      <c r="L13" s="289"/>
      <c r="M13" s="283"/>
      <c r="N13" s="1317"/>
      <c r="O13" s="1357"/>
      <c r="P13" s="1357"/>
      <c r="R13" s="308" t="s">
        <v>150</v>
      </c>
      <c r="S13" s="53" t="s">
        <v>135</v>
      </c>
      <c r="T13" s="268" t="s">
        <v>135</v>
      </c>
      <c r="U13" s="62"/>
      <c r="V13" s="274"/>
      <c r="W13" s="275"/>
      <c r="X13" s="275"/>
      <c r="Y13" s="276"/>
      <c r="Z13" s="277"/>
      <c r="AA13" s="277"/>
      <c r="AB13" s="278"/>
      <c r="AC13" s="278"/>
      <c r="AD13" s="278"/>
      <c r="AE13" s="279"/>
      <c r="AF13" s="285"/>
      <c r="AG13" s="285"/>
      <c r="AH13" s="285"/>
      <c r="AI13" s="285"/>
      <c r="AJ13" s="285"/>
      <c r="AK13" s="285"/>
      <c r="AL13" s="285"/>
      <c r="AM13" s="285"/>
      <c r="AN13" s="285"/>
      <c r="AO13" s="285"/>
      <c r="AP13" s="285"/>
      <c r="AQ13" s="285"/>
      <c r="AR13" s="285"/>
      <c r="AS13" s="285"/>
      <c r="AT13" s="285"/>
      <c r="AU13" s="285"/>
      <c r="AV13" s="285"/>
      <c r="AW13" s="285"/>
      <c r="AX13" s="285"/>
      <c r="AY13" s="285"/>
      <c r="AZ13" s="285"/>
      <c r="BA13" s="285"/>
      <c r="BB13" s="285"/>
      <c r="BC13" s="285"/>
      <c r="BD13" s="285"/>
      <c r="BE13" s="285"/>
      <c r="BF13" s="285"/>
      <c r="BG13" s="285"/>
      <c r="BH13" s="285"/>
      <c r="BI13" s="285"/>
      <c r="BJ13" s="285"/>
      <c r="BK13" s="285"/>
      <c r="BL13" s="285"/>
      <c r="BM13" s="285"/>
      <c r="BN13" s="285"/>
      <c r="BO13" s="285"/>
      <c r="BP13" s="285"/>
      <c r="BQ13" s="285"/>
      <c r="BR13" s="285"/>
      <c r="BS13" s="285"/>
      <c r="BT13" s="285"/>
      <c r="BU13" s="285"/>
      <c r="BV13" s="285"/>
      <c r="BW13" s="285"/>
      <c r="BX13" s="285"/>
      <c r="BY13" s="285"/>
      <c r="BZ13" s="285"/>
      <c r="CA13" s="285"/>
      <c r="CB13" s="285"/>
      <c r="CC13" s="285"/>
      <c r="CD13" s="285"/>
      <c r="CE13" s="285"/>
      <c r="CF13" s="285"/>
      <c r="CG13" s="285"/>
      <c r="CH13" s="285"/>
      <c r="CI13" s="285"/>
      <c r="CJ13" s="285"/>
      <c r="CK13" s="285"/>
      <c r="CL13" s="285"/>
      <c r="CM13" s="285"/>
      <c r="CN13" s="285"/>
      <c r="CO13" s="285"/>
      <c r="CP13" s="285"/>
      <c r="CQ13" s="285"/>
      <c r="CR13" s="285"/>
      <c r="CS13" s="285"/>
      <c r="CT13" s="285"/>
      <c r="CU13" s="285"/>
      <c r="CV13" s="285"/>
      <c r="CW13" s="285"/>
      <c r="CX13" s="285"/>
      <c r="CY13" s="285"/>
      <c r="CZ13" s="285"/>
      <c r="DA13" s="285"/>
      <c r="DB13" s="285"/>
      <c r="DC13" s="285"/>
      <c r="DD13" s="285"/>
      <c r="DE13" s="285"/>
      <c r="DF13" s="285"/>
      <c r="DG13" s="285"/>
      <c r="DH13" s="285"/>
      <c r="DI13" s="285"/>
      <c r="DJ13" s="285"/>
      <c r="DK13" s="285"/>
      <c r="DL13" s="285"/>
      <c r="DM13" s="285"/>
      <c r="DN13" s="285"/>
      <c r="DO13" s="285"/>
      <c r="DP13" s="285"/>
      <c r="DQ13" s="285"/>
      <c r="DR13" s="285"/>
      <c r="DS13" s="285"/>
      <c r="DT13" s="285"/>
      <c r="DU13" s="285"/>
      <c r="DV13" s="285"/>
      <c r="DW13" s="285"/>
      <c r="DX13" s="285"/>
      <c r="DY13" s="285"/>
      <c r="DZ13" s="285"/>
      <c r="EA13" s="285"/>
      <c r="EB13" s="285"/>
      <c r="EC13" s="285"/>
      <c r="ED13" s="285"/>
      <c r="EE13" s="285"/>
      <c r="EF13" s="285"/>
      <c r="EG13" s="285"/>
      <c r="EH13" s="285"/>
      <c r="EI13" s="285"/>
      <c r="EJ13" s="285"/>
      <c r="EK13" s="285"/>
      <c r="EL13" s="285"/>
      <c r="EM13" s="285"/>
      <c r="EN13" s="285"/>
      <c r="EO13" s="285"/>
      <c r="EP13" s="285"/>
      <c r="EQ13" s="285"/>
      <c r="ER13" s="285"/>
      <c r="ES13" s="285"/>
      <c r="ET13" s="285"/>
      <c r="EU13" s="285"/>
      <c r="EV13" s="285"/>
      <c r="EW13" s="285"/>
      <c r="EX13" s="285"/>
      <c r="EY13" s="285"/>
      <c r="EZ13" s="285"/>
      <c r="FA13" s="285"/>
      <c r="FB13" s="285"/>
      <c r="FC13" s="285"/>
      <c r="FD13" s="285"/>
      <c r="FE13" s="285"/>
      <c r="FF13" s="285"/>
      <c r="FG13" s="285"/>
      <c r="FH13" s="285"/>
      <c r="FI13" s="285"/>
      <c r="FJ13" s="285"/>
      <c r="FK13" s="285"/>
      <c r="FL13" s="285"/>
      <c r="FM13" s="285"/>
      <c r="FN13" s="285"/>
      <c r="FO13" s="285"/>
      <c r="FP13" s="285"/>
      <c r="FQ13" s="285"/>
      <c r="FR13" s="285"/>
      <c r="FS13" s="285"/>
      <c r="FT13" s="285"/>
      <c r="FU13" s="285"/>
      <c r="FV13" s="285"/>
      <c r="FW13" s="285"/>
      <c r="FX13" s="285"/>
      <c r="FY13" s="285"/>
      <c r="FZ13" s="285"/>
      <c r="GA13" s="285"/>
      <c r="GB13" s="285"/>
      <c r="GC13" s="285"/>
      <c r="GD13" s="285"/>
      <c r="GE13" s="285"/>
      <c r="GF13" s="285"/>
      <c r="GG13" s="285"/>
      <c r="GH13" s="285"/>
      <c r="GI13" s="285"/>
      <c r="GJ13" s="285"/>
      <c r="GK13" s="285"/>
      <c r="GL13" s="285"/>
      <c r="GM13" s="285"/>
      <c r="GN13" s="285"/>
      <c r="GO13" s="285"/>
      <c r="GP13" s="285"/>
      <c r="GQ13" s="285"/>
      <c r="GR13" s="285"/>
      <c r="GS13" s="285"/>
      <c r="GT13" s="285"/>
      <c r="GU13" s="285"/>
      <c r="GV13" s="285"/>
      <c r="GW13" s="285"/>
      <c r="GX13" s="285"/>
      <c r="GY13" s="285"/>
      <c r="GZ13" s="285"/>
      <c r="HA13" s="285"/>
      <c r="HB13" s="285"/>
      <c r="HC13" s="285"/>
      <c r="HD13" s="285"/>
      <c r="HE13" s="285"/>
      <c r="HF13" s="285"/>
      <c r="HG13" s="285"/>
      <c r="HH13" s="285"/>
      <c r="HI13" s="285"/>
      <c r="HJ13" s="285"/>
      <c r="HK13" s="285"/>
      <c r="HL13" s="285"/>
      <c r="HM13" s="285"/>
    </row>
    <row r="14" spans="1:221" s="309" customFormat="1">
      <c r="A14" s="308" t="s">
        <v>151</v>
      </c>
      <c r="B14" s="2529" t="s">
        <v>4759</v>
      </c>
      <c r="C14" s="2527" t="s">
        <v>4760</v>
      </c>
      <c r="D14" s="2528"/>
      <c r="E14" s="2770"/>
      <c r="F14" s="288"/>
      <c r="G14" s="288"/>
      <c r="H14" s="664">
        <v>1.5</v>
      </c>
      <c r="I14" s="1853" t="s">
        <v>4832</v>
      </c>
      <c r="J14" s="1853">
        <v>750</v>
      </c>
      <c r="K14" s="1853" t="s">
        <v>4801</v>
      </c>
      <c r="L14" s="1321"/>
      <c r="M14" s="283"/>
      <c r="N14" s="1349"/>
      <c r="O14" s="1357"/>
      <c r="P14" s="1357"/>
      <c r="R14" s="308" t="s">
        <v>151</v>
      </c>
      <c r="S14" s="53" t="s">
        <v>135</v>
      </c>
      <c r="T14" s="268" t="s">
        <v>135</v>
      </c>
      <c r="U14" s="62"/>
      <c r="V14" s="274"/>
      <c r="W14" s="275"/>
      <c r="X14" s="275"/>
      <c r="Y14" s="276"/>
      <c r="Z14" s="277"/>
      <c r="AA14" s="277"/>
      <c r="AB14" s="278"/>
      <c r="AC14" s="278"/>
      <c r="AD14" s="278"/>
      <c r="AE14" s="279"/>
      <c r="AF14" s="285"/>
      <c r="AG14" s="285"/>
      <c r="AH14" s="285"/>
      <c r="AI14" s="285"/>
      <c r="AJ14" s="285"/>
      <c r="AK14" s="285"/>
      <c r="AL14" s="285"/>
      <c r="AM14" s="285"/>
      <c r="AN14" s="285"/>
      <c r="AO14" s="285"/>
      <c r="AP14" s="285"/>
      <c r="AQ14" s="285"/>
      <c r="AR14" s="285"/>
      <c r="AS14" s="285"/>
      <c r="AT14" s="285"/>
      <c r="AU14" s="285"/>
      <c r="AV14" s="285"/>
      <c r="AW14" s="285"/>
      <c r="AX14" s="285"/>
      <c r="AY14" s="285"/>
      <c r="AZ14" s="285"/>
      <c r="BA14" s="285"/>
      <c r="BB14" s="285"/>
      <c r="BC14" s="285"/>
      <c r="BD14" s="285"/>
      <c r="BE14" s="285"/>
      <c r="BF14" s="285"/>
      <c r="BG14" s="285"/>
      <c r="BH14" s="285"/>
      <c r="BI14" s="285"/>
      <c r="BJ14" s="285"/>
      <c r="BK14" s="285"/>
      <c r="BL14" s="285"/>
      <c r="BM14" s="285"/>
      <c r="BN14" s="285"/>
      <c r="BO14" s="285"/>
      <c r="BP14" s="285"/>
      <c r="BQ14" s="285"/>
      <c r="BR14" s="285"/>
      <c r="BS14" s="285"/>
      <c r="BT14" s="285"/>
      <c r="BU14" s="285"/>
      <c r="BV14" s="285"/>
      <c r="BW14" s="285"/>
      <c r="BX14" s="285"/>
      <c r="BY14" s="285"/>
      <c r="BZ14" s="285"/>
      <c r="CA14" s="285"/>
      <c r="CB14" s="285"/>
      <c r="CC14" s="285"/>
      <c r="CD14" s="285"/>
      <c r="CE14" s="285"/>
      <c r="CF14" s="285"/>
      <c r="CG14" s="285"/>
      <c r="CH14" s="285"/>
      <c r="CI14" s="285"/>
      <c r="CJ14" s="285"/>
      <c r="CK14" s="285"/>
      <c r="CL14" s="285"/>
      <c r="CM14" s="285"/>
      <c r="CN14" s="285"/>
      <c r="CO14" s="285"/>
      <c r="CP14" s="285"/>
      <c r="CQ14" s="285"/>
      <c r="CR14" s="285"/>
      <c r="CS14" s="285"/>
      <c r="CT14" s="285"/>
      <c r="CU14" s="285"/>
      <c r="CV14" s="285"/>
      <c r="CW14" s="285"/>
      <c r="CX14" s="285"/>
      <c r="CY14" s="285"/>
      <c r="CZ14" s="285"/>
      <c r="DA14" s="285"/>
      <c r="DB14" s="285"/>
      <c r="DC14" s="285"/>
      <c r="DD14" s="285"/>
      <c r="DE14" s="285"/>
      <c r="DF14" s="285"/>
      <c r="DG14" s="285"/>
      <c r="DH14" s="285"/>
      <c r="DI14" s="285"/>
      <c r="DJ14" s="285"/>
      <c r="DK14" s="285"/>
      <c r="DL14" s="285"/>
      <c r="DM14" s="285"/>
      <c r="DN14" s="285"/>
      <c r="DO14" s="285"/>
      <c r="DP14" s="285"/>
      <c r="DQ14" s="285"/>
      <c r="DR14" s="285"/>
      <c r="DS14" s="285"/>
      <c r="DT14" s="285"/>
      <c r="DU14" s="285"/>
      <c r="DV14" s="285"/>
      <c r="DW14" s="285"/>
      <c r="DX14" s="285"/>
      <c r="DY14" s="285"/>
      <c r="DZ14" s="285"/>
      <c r="EA14" s="285"/>
      <c r="EB14" s="285"/>
      <c r="EC14" s="285"/>
      <c r="ED14" s="285"/>
      <c r="EE14" s="285"/>
      <c r="EF14" s="285"/>
      <c r="EG14" s="285"/>
      <c r="EH14" s="285"/>
      <c r="EI14" s="285"/>
      <c r="EJ14" s="285"/>
      <c r="EK14" s="285"/>
      <c r="EL14" s="285"/>
      <c r="EM14" s="285"/>
      <c r="EN14" s="285"/>
      <c r="EO14" s="285"/>
      <c r="EP14" s="285"/>
      <c r="EQ14" s="285"/>
      <c r="ER14" s="285"/>
      <c r="ES14" s="285"/>
      <c r="ET14" s="285"/>
      <c r="EU14" s="285"/>
      <c r="EV14" s="285"/>
      <c r="EW14" s="285"/>
      <c r="EX14" s="285"/>
      <c r="EY14" s="285"/>
      <c r="EZ14" s="285"/>
      <c r="FA14" s="285"/>
      <c r="FB14" s="285"/>
      <c r="FC14" s="285"/>
      <c r="FD14" s="285"/>
      <c r="FE14" s="285"/>
      <c r="FF14" s="285"/>
      <c r="FG14" s="285"/>
      <c r="FH14" s="285"/>
      <c r="FI14" s="285"/>
      <c r="FJ14" s="285"/>
      <c r="FK14" s="285"/>
      <c r="FL14" s="285"/>
      <c r="FM14" s="285"/>
      <c r="FN14" s="285"/>
      <c r="FO14" s="285"/>
      <c r="FP14" s="285"/>
      <c r="FQ14" s="285"/>
      <c r="FR14" s="285"/>
      <c r="FS14" s="285"/>
      <c r="FT14" s="285"/>
      <c r="FU14" s="285"/>
      <c r="FV14" s="285"/>
      <c r="FW14" s="285"/>
      <c r="FX14" s="285"/>
      <c r="FY14" s="285"/>
      <c r="FZ14" s="285"/>
      <c r="GA14" s="285"/>
      <c r="GB14" s="285"/>
      <c r="GC14" s="285"/>
      <c r="GD14" s="285"/>
      <c r="GE14" s="285"/>
      <c r="GF14" s="285"/>
      <c r="GG14" s="285"/>
      <c r="GH14" s="285"/>
      <c r="GI14" s="285"/>
      <c r="GJ14" s="285"/>
      <c r="GK14" s="285"/>
      <c r="GL14" s="285"/>
      <c r="GM14" s="285"/>
      <c r="GN14" s="285"/>
      <c r="GO14" s="285"/>
      <c r="GP14" s="285"/>
      <c r="GQ14" s="285"/>
      <c r="GR14" s="285"/>
      <c r="GS14" s="285"/>
      <c r="GT14" s="285"/>
      <c r="GU14" s="285"/>
      <c r="GV14" s="285"/>
      <c r="GW14" s="285"/>
      <c r="GX14" s="285"/>
      <c r="GY14" s="285"/>
      <c r="GZ14" s="285"/>
      <c r="HA14" s="285"/>
      <c r="HB14" s="285"/>
      <c r="HC14" s="285"/>
      <c r="HD14" s="285"/>
      <c r="HE14" s="285"/>
      <c r="HF14" s="285"/>
      <c r="HG14" s="285"/>
      <c r="HH14" s="285"/>
      <c r="HI14" s="285"/>
      <c r="HJ14" s="285"/>
      <c r="HK14" s="285"/>
      <c r="HL14" s="285"/>
      <c r="HM14" s="285"/>
    </row>
    <row r="15" spans="1:221" s="309" customFormat="1">
      <c r="A15" s="308" t="s">
        <v>370</v>
      </c>
      <c r="B15" s="2524" t="s">
        <v>4680</v>
      </c>
      <c r="C15" s="2519" t="s">
        <v>4680</v>
      </c>
      <c r="D15" s="2520"/>
      <c r="E15" s="2770"/>
      <c r="F15" s="288"/>
      <c r="G15" s="288"/>
      <c r="H15" s="283"/>
      <c r="I15" s="1321"/>
      <c r="J15" s="1853">
        <v>450</v>
      </c>
      <c r="K15" s="1853" t="s">
        <v>4820</v>
      </c>
      <c r="L15" s="1853"/>
      <c r="M15" s="664"/>
      <c r="N15" s="1349"/>
      <c r="O15" s="2772"/>
      <c r="P15" s="1357"/>
      <c r="R15" s="308" t="s">
        <v>370</v>
      </c>
      <c r="S15" s="53" t="s">
        <v>135</v>
      </c>
      <c r="T15" s="268" t="s">
        <v>135</v>
      </c>
      <c r="U15" s="62"/>
      <c r="V15" s="274"/>
      <c r="W15" s="275"/>
      <c r="X15" s="275"/>
      <c r="Y15" s="276"/>
      <c r="Z15" s="277"/>
      <c r="AA15" s="277"/>
      <c r="AB15" s="278"/>
      <c r="AC15" s="278"/>
      <c r="AD15" s="278"/>
      <c r="AE15" s="279"/>
      <c r="AF15" s="285"/>
      <c r="AG15" s="285"/>
      <c r="AH15" s="285"/>
      <c r="AI15" s="285"/>
      <c r="AJ15" s="285"/>
      <c r="AK15" s="285"/>
      <c r="AL15" s="285"/>
      <c r="AM15" s="285"/>
      <c r="AN15" s="285"/>
      <c r="AO15" s="285"/>
      <c r="AP15" s="285"/>
      <c r="AQ15" s="285"/>
      <c r="AR15" s="285"/>
      <c r="AS15" s="285"/>
      <c r="AT15" s="285"/>
      <c r="AU15" s="285"/>
      <c r="AV15" s="285"/>
      <c r="AW15" s="285"/>
      <c r="AX15" s="285"/>
      <c r="AY15" s="285"/>
      <c r="AZ15" s="285"/>
      <c r="BA15" s="285"/>
      <c r="BB15" s="285"/>
      <c r="BC15" s="285"/>
      <c r="BD15" s="285"/>
      <c r="BE15" s="285"/>
      <c r="BF15" s="285"/>
      <c r="BG15" s="285"/>
      <c r="BH15" s="285"/>
      <c r="BI15" s="285"/>
      <c r="BJ15" s="285"/>
      <c r="BK15" s="285"/>
      <c r="BL15" s="285"/>
      <c r="BM15" s="285"/>
      <c r="BN15" s="285"/>
      <c r="BO15" s="285"/>
      <c r="BP15" s="285"/>
      <c r="BQ15" s="285"/>
      <c r="BR15" s="285"/>
      <c r="BS15" s="285"/>
      <c r="BT15" s="285"/>
      <c r="BU15" s="285"/>
      <c r="BV15" s="285"/>
      <c r="BW15" s="285"/>
      <c r="BX15" s="285"/>
      <c r="BY15" s="285"/>
      <c r="BZ15" s="285"/>
      <c r="CA15" s="285"/>
      <c r="CB15" s="285"/>
      <c r="CC15" s="285"/>
      <c r="CD15" s="285"/>
      <c r="CE15" s="285"/>
      <c r="CF15" s="285"/>
      <c r="CG15" s="285"/>
      <c r="CH15" s="285"/>
      <c r="CI15" s="285"/>
      <c r="CJ15" s="285"/>
      <c r="CK15" s="285"/>
      <c r="CL15" s="285"/>
      <c r="CM15" s="285"/>
      <c r="CN15" s="285"/>
      <c r="CO15" s="285"/>
      <c r="CP15" s="285"/>
      <c r="CQ15" s="285"/>
      <c r="CR15" s="285"/>
      <c r="CS15" s="285"/>
      <c r="CT15" s="285"/>
      <c r="CU15" s="285"/>
      <c r="CV15" s="285"/>
      <c r="CW15" s="285"/>
      <c r="CX15" s="285"/>
      <c r="CY15" s="285"/>
      <c r="CZ15" s="285"/>
      <c r="DA15" s="285"/>
      <c r="DB15" s="285"/>
      <c r="DC15" s="285"/>
      <c r="DD15" s="285"/>
      <c r="DE15" s="285"/>
      <c r="DF15" s="285"/>
      <c r="DG15" s="285"/>
      <c r="DH15" s="285"/>
      <c r="DI15" s="285"/>
      <c r="DJ15" s="285"/>
      <c r="DK15" s="285"/>
      <c r="DL15" s="285"/>
      <c r="DM15" s="285"/>
      <c r="DN15" s="285"/>
      <c r="DO15" s="285"/>
      <c r="DP15" s="285"/>
      <c r="DQ15" s="285"/>
      <c r="DR15" s="285"/>
      <c r="DS15" s="285"/>
      <c r="DT15" s="285"/>
      <c r="DU15" s="285"/>
      <c r="DV15" s="285"/>
      <c r="DW15" s="285"/>
      <c r="DX15" s="285"/>
      <c r="DY15" s="285"/>
      <c r="DZ15" s="285"/>
      <c r="EA15" s="285"/>
      <c r="EB15" s="285"/>
      <c r="EC15" s="285"/>
      <c r="ED15" s="285"/>
      <c r="EE15" s="285"/>
      <c r="EF15" s="285"/>
      <c r="EG15" s="285"/>
      <c r="EH15" s="285"/>
      <c r="EI15" s="285"/>
      <c r="EJ15" s="285"/>
      <c r="EK15" s="285"/>
      <c r="EL15" s="285"/>
      <c r="EM15" s="285"/>
      <c r="EN15" s="285"/>
      <c r="EO15" s="285"/>
      <c r="EP15" s="285"/>
      <c r="EQ15" s="285"/>
      <c r="ER15" s="285"/>
      <c r="ES15" s="285"/>
      <c r="ET15" s="285"/>
      <c r="EU15" s="285"/>
      <c r="EV15" s="285"/>
      <c r="EW15" s="285"/>
      <c r="EX15" s="285"/>
      <c r="EY15" s="285"/>
      <c r="EZ15" s="285"/>
      <c r="FA15" s="285"/>
      <c r="FB15" s="285"/>
      <c r="FC15" s="285"/>
      <c r="FD15" s="285"/>
      <c r="FE15" s="285"/>
      <c r="FF15" s="285"/>
      <c r="FG15" s="285"/>
      <c r="FH15" s="285"/>
      <c r="FI15" s="285"/>
      <c r="FJ15" s="285"/>
      <c r="FK15" s="285"/>
      <c r="FL15" s="285"/>
      <c r="FM15" s="285"/>
      <c r="FN15" s="285"/>
      <c r="FO15" s="285"/>
      <c r="FP15" s="285"/>
      <c r="FQ15" s="285"/>
      <c r="FR15" s="285"/>
      <c r="FS15" s="285"/>
      <c r="FT15" s="285"/>
      <c r="FU15" s="285"/>
      <c r="FV15" s="285"/>
      <c r="FW15" s="285"/>
      <c r="FX15" s="285"/>
      <c r="FY15" s="285"/>
      <c r="FZ15" s="285"/>
      <c r="GA15" s="285"/>
      <c r="GB15" s="285"/>
      <c r="GC15" s="285"/>
      <c r="GD15" s="285"/>
      <c r="GE15" s="285"/>
      <c r="GF15" s="285"/>
      <c r="GG15" s="285"/>
      <c r="GH15" s="285"/>
      <c r="GI15" s="285"/>
      <c r="GJ15" s="285"/>
      <c r="GK15" s="285"/>
      <c r="GL15" s="285"/>
      <c r="GM15" s="285"/>
      <c r="GN15" s="285"/>
      <c r="GO15" s="285"/>
      <c r="GP15" s="285"/>
      <c r="GQ15" s="285"/>
      <c r="GR15" s="285"/>
      <c r="GS15" s="285"/>
      <c r="GT15" s="285"/>
      <c r="GU15" s="285"/>
      <c r="GV15" s="285"/>
      <c r="GW15" s="285"/>
      <c r="GX15" s="285"/>
      <c r="GY15" s="285"/>
      <c r="GZ15" s="285"/>
      <c r="HA15" s="285"/>
      <c r="HB15" s="285"/>
      <c r="HC15" s="285"/>
      <c r="HD15" s="285"/>
      <c r="HE15" s="285"/>
      <c r="HF15" s="285"/>
      <c r="HG15" s="285"/>
      <c r="HH15" s="285"/>
      <c r="HI15" s="285"/>
      <c r="HJ15" s="285"/>
      <c r="HK15" s="285"/>
      <c r="HL15" s="285"/>
      <c r="HM15" s="285"/>
    </row>
    <row r="16" spans="1:221" s="309" customFormat="1">
      <c r="A16" s="308" t="s">
        <v>371</v>
      </c>
      <c r="B16" s="2518" t="s">
        <v>4680</v>
      </c>
      <c r="C16" s="2519" t="s">
        <v>4680</v>
      </c>
      <c r="D16" s="2520"/>
      <c r="E16" s="2770"/>
      <c r="F16" s="288"/>
      <c r="G16" s="288"/>
      <c r="H16" s="283"/>
      <c r="I16" s="1321"/>
      <c r="J16" s="1321">
        <v>500</v>
      </c>
      <c r="K16" s="1321" t="s">
        <v>4823</v>
      </c>
      <c r="L16" s="1321"/>
      <c r="M16" s="283"/>
      <c r="N16" s="1349"/>
      <c r="O16" s="2772"/>
      <c r="P16" s="1357"/>
      <c r="R16" s="308" t="s">
        <v>371</v>
      </c>
      <c r="S16" s="53" t="s">
        <v>135</v>
      </c>
      <c r="T16" s="268" t="s">
        <v>135</v>
      </c>
      <c r="U16" s="62"/>
      <c r="V16" s="274"/>
      <c r="W16" s="275"/>
      <c r="X16" s="275"/>
      <c r="Y16" s="276"/>
      <c r="Z16" s="277"/>
      <c r="AA16" s="277"/>
      <c r="AB16" s="278"/>
      <c r="AC16" s="278"/>
      <c r="AD16" s="278"/>
      <c r="AE16" s="279"/>
      <c r="AF16" s="285"/>
      <c r="AG16" s="285"/>
      <c r="AH16" s="285"/>
      <c r="AI16" s="285"/>
      <c r="AJ16" s="285"/>
      <c r="AK16" s="285"/>
      <c r="AL16" s="285"/>
      <c r="AM16" s="285"/>
      <c r="AN16" s="285"/>
      <c r="AO16" s="285"/>
      <c r="AP16" s="285"/>
      <c r="AQ16" s="285"/>
      <c r="AR16" s="285"/>
      <c r="AS16" s="285"/>
      <c r="AT16" s="285"/>
      <c r="AU16" s="285"/>
      <c r="AV16" s="285"/>
      <c r="AW16" s="285"/>
      <c r="AX16" s="285"/>
      <c r="AY16" s="285"/>
      <c r="AZ16" s="285"/>
      <c r="BA16" s="285"/>
      <c r="BB16" s="285"/>
      <c r="BC16" s="285"/>
      <c r="BD16" s="285"/>
      <c r="BE16" s="285"/>
      <c r="BF16" s="285"/>
      <c r="BG16" s="285"/>
      <c r="BH16" s="285"/>
      <c r="BI16" s="285"/>
      <c r="BJ16" s="285"/>
      <c r="BK16" s="285"/>
      <c r="BL16" s="285"/>
      <c r="BM16" s="285"/>
      <c r="BN16" s="285"/>
      <c r="BO16" s="285"/>
      <c r="BP16" s="285"/>
      <c r="BQ16" s="285"/>
      <c r="BR16" s="285"/>
      <c r="BS16" s="285"/>
      <c r="BT16" s="285"/>
      <c r="BU16" s="285"/>
      <c r="BV16" s="285"/>
      <c r="BW16" s="285"/>
      <c r="BX16" s="285"/>
      <c r="BY16" s="285"/>
      <c r="BZ16" s="285"/>
      <c r="CA16" s="285"/>
      <c r="CB16" s="285"/>
      <c r="CC16" s="285"/>
      <c r="CD16" s="285"/>
      <c r="CE16" s="285"/>
      <c r="CF16" s="285"/>
      <c r="CG16" s="285"/>
      <c r="CH16" s="285"/>
      <c r="CI16" s="285"/>
      <c r="CJ16" s="285"/>
      <c r="CK16" s="285"/>
      <c r="CL16" s="285"/>
      <c r="CM16" s="285"/>
      <c r="CN16" s="285"/>
      <c r="CO16" s="285"/>
      <c r="CP16" s="285"/>
      <c r="CQ16" s="285"/>
      <c r="CR16" s="285"/>
      <c r="CS16" s="285"/>
      <c r="CT16" s="285"/>
      <c r="CU16" s="285"/>
      <c r="CV16" s="285"/>
      <c r="CW16" s="285"/>
      <c r="CX16" s="285"/>
      <c r="CY16" s="285"/>
      <c r="CZ16" s="285"/>
      <c r="DA16" s="285"/>
      <c r="DB16" s="285"/>
      <c r="DC16" s="285"/>
      <c r="DD16" s="285"/>
      <c r="DE16" s="285"/>
      <c r="DF16" s="285"/>
      <c r="DG16" s="285"/>
      <c r="DH16" s="285"/>
      <c r="DI16" s="285"/>
      <c r="DJ16" s="285"/>
      <c r="DK16" s="285"/>
      <c r="DL16" s="285"/>
      <c r="DM16" s="285"/>
      <c r="DN16" s="285"/>
      <c r="DO16" s="285"/>
      <c r="DP16" s="285"/>
      <c r="DQ16" s="285"/>
      <c r="DR16" s="285"/>
      <c r="DS16" s="285"/>
      <c r="DT16" s="285"/>
      <c r="DU16" s="285"/>
      <c r="DV16" s="285"/>
      <c r="DW16" s="285"/>
      <c r="DX16" s="285"/>
      <c r="DY16" s="285"/>
      <c r="DZ16" s="285"/>
      <c r="EA16" s="285"/>
      <c r="EB16" s="285"/>
      <c r="EC16" s="285"/>
      <c r="ED16" s="285"/>
      <c r="EE16" s="285"/>
      <c r="EF16" s="285"/>
      <c r="EG16" s="285"/>
      <c r="EH16" s="285"/>
      <c r="EI16" s="285"/>
      <c r="EJ16" s="285"/>
      <c r="EK16" s="285"/>
      <c r="EL16" s="285"/>
      <c r="EM16" s="285"/>
      <c r="EN16" s="285"/>
      <c r="EO16" s="285"/>
      <c r="EP16" s="285"/>
      <c r="EQ16" s="285"/>
      <c r="ER16" s="285"/>
      <c r="ES16" s="285"/>
      <c r="ET16" s="285"/>
      <c r="EU16" s="285"/>
      <c r="EV16" s="285"/>
      <c r="EW16" s="285"/>
      <c r="EX16" s="285"/>
      <c r="EY16" s="285"/>
      <c r="EZ16" s="285"/>
      <c r="FA16" s="285"/>
      <c r="FB16" s="285"/>
      <c r="FC16" s="285"/>
      <c r="FD16" s="285"/>
      <c r="FE16" s="285"/>
      <c r="FF16" s="285"/>
      <c r="FG16" s="285"/>
      <c r="FH16" s="285"/>
      <c r="FI16" s="285"/>
      <c r="FJ16" s="285"/>
      <c r="FK16" s="285"/>
      <c r="FL16" s="285"/>
      <c r="FM16" s="285"/>
      <c r="FN16" s="285"/>
      <c r="FO16" s="285"/>
      <c r="FP16" s="285"/>
      <c r="FQ16" s="285"/>
      <c r="FR16" s="285"/>
      <c r="FS16" s="285"/>
      <c r="FT16" s="285"/>
      <c r="FU16" s="285"/>
      <c r="FV16" s="285"/>
      <c r="FW16" s="285"/>
      <c r="FX16" s="285"/>
      <c r="FY16" s="285"/>
      <c r="FZ16" s="285"/>
      <c r="GA16" s="285"/>
      <c r="GB16" s="285"/>
      <c r="GC16" s="285"/>
      <c r="GD16" s="285"/>
      <c r="GE16" s="285"/>
      <c r="GF16" s="285"/>
      <c r="GG16" s="285"/>
      <c r="GH16" s="285"/>
      <c r="GI16" s="285"/>
      <c r="GJ16" s="285"/>
      <c r="GK16" s="285"/>
      <c r="GL16" s="285"/>
      <c r="GM16" s="285"/>
      <c r="GN16" s="285"/>
      <c r="GO16" s="285"/>
      <c r="GP16" s="285"/>
      <c r="GQ16" s="285"/>
      <c r="GR16" s="285"/>
      <c r="GS16" s="285"/>
      <c r="GT16" s="285"/>
      <c r="GU16" s="285"/>
      <c r="GV16" s="285"/>
      <c r="GW16" s="285"/>
      <c r="GX16" s="285"/>
      <c r="GY16" s="285"/>
      <c r="GZ16" s="285"/>
      <c r="HA16" s="285"/>
      <c r="HB16" s="285"/>
      <c r="HC16" s="285"/>
      <c r="HD16" s="285"/>
      <c r="HE16" s="285"/>
      <c r="HF16" s="285"/>
      <c r="HG16" s="285"/>
      <c r="HH16" s="285"/>
      <c r="HI16" s="285"/>
      <c r="HJ16" s="285"/>
      <c r="HK16" s="285"/>
      <c r="HL16" s="285"/>
      <c r="HM16" s="285"/>
    </row>
    <row r="17" spans="1:221" s="309" customFormat="1">
      <c r="A17" s="308" t="s">
        <v>372</v>
      </c>
      <c r="B17" s="274" t="s">
        <v>721</v>
      </c>
      <c r="C17" s="310" t="s">
        <v>135</v>
      </c>
      <c r="D17" s="328"/>
      <c r="E17" s="2770"/>
      <c r="F17" s="288"/>
      <c r="G17" s="288"/>
      <c r="H17" s="283"/>
      <c r="I17" s="1321"/>
      <c r="J17" s="1853">
        <v>240</v>
      </c>
      <c r="K17" s="1853" t="s">
        <v>4834</v>
      </c>
      <c r="L17" s="1853"/>
      <c r="M17" s="664"/>
      <c r="N17" s="1349"/>
      <c r="O17" s="1357"/>
      <c r="P17" s="1357"/>
      <c r="R17" s="308" t="s">
        <v>372</v>
      </c>
      <c r="S17" s="53" t="s">
        <v>135</v>
      </c>
      <c r="T17" s="268" t="s">
        <v>135</v>
      </c>
      <c r="U17" s="62"/>
      <c r="V17" s="274"/>
      <c r="W17" s="275"/>
      <c r="X17" s="275"/>
      <c r="Y17" s="276"/>
      <c r="Z17" s="277"/>
      <c r="AA17" s="277"/>
      <c r="AB17" s="278"/>
      <c r="AC17" s="278"/>
      <c r="AD17" s="278"/>
      <c r="AE17" s="279"/>
      <c r="AF17" s="285"/>
      <c r="AG17" s="285"/>
      <c r="AH17" s="285"/>
      <c r="AI17" s="285"/>
      <c r="AJ17" s="285"/>
      <c r="AK17" s="285"/>
      <c r="AL17" s="285"/>
      <c r="AM17" s="285"/>
      <c r="AN17" s="285"/>
      <c r="AO17" s="285"/>
      <c r="AP17" s="285"/>
      <c r="AQ17" s="285"/>
      <c r="AR17" s="285"/>
      <c r="AS17" s="285"/>
      <c r="AT17" s="285"/>
      <c r="AU17" s="285"/>
      <c r="AV17" s="285"/>
      <c r="AW17" s="285"/>
      <c r="AX17" s="285"/>
      <c r="AY17" s="285"/>
      <c r="AZ17" s="285"/>
      <c r="BA17" s="285"/>
      <c r="BB17" s="285"/>
      <c r="BC17" s="285"/>
      <c r="BD17" s="285"/>
      <c r="BE17" s="285"/>
      <c r="BF17" s="285"/>
      <c r="BG17" s="285"/>
      <c r="BH17" s="285"/>
      <c r="BI17" s="285"/>
      <c r="BJ17" s="285"/>
      <c r="BK17" s="285"/>
      <c r="BL17" s="285"/>
      <c r="BM17" s="285"/>
      <c r="BN17" s="285"/>
      <c r="BO17" s="285"/>
      <c r="BP17" s="285"/>
      <c r="BQ17" s="285"/>
      <c r="BR17" s="285"/>
      <c r="BS17" s="285"/>
      <c r="BT17" s="285"/>
      <c r="BU17" s="285"/>
      <c r="BV17" s="285"/>
      <c r="BW17" s="285"/>
      <c r="BX17" s="285"/>
      <c r="BY17" s="285"/>
      <c r="BZ17" s="285"/>
      <c r="CA17" s="285"/>
      <c r="CB17" s="285"/>
      <c r="CC17" s="285"/>
      <c r="CD17" s="285"/>
      <c r="CE17" s="285"/>
      <c r="CF17" s="285"/>
      <c r="CG17" s="285"/>
      <c r="CH17" s="285"/>
      <c r="CI17" s="285"/>
      <c r="CJ17" s="285"/>
      <c r="CK17" s="285"/>
      <c r="CL17" s="285"/>
      <c r="CM17" s="285"/>
      <c r="CN17" s="285"/>
      <c r="CO17" s="285"/>
      <c r="CP17" s="285"/>
      <c r="CQ17" s="285"/>
      <c r="CR17" s="285"/>
      <c r="CS17" s="285"/>
      <c r="CT17" s="285"/>
      <c r="CU17" s="285"/>
      <c r="CV17" s="285"/>
      <c r="CW17" s="285"/>
      <c r="CX17" s="285"/>
      <c r="CY17" s="285"/>
      <c r="CZ17" s="285"/>
      <c r="DA17" s="285"/>
      <c r="DB17" s="285"/>
      <c r="DC17" s="285"/>
      <c r="DD17" s="285"/>
      <c r="DE17" s="285"/>
      <c r="DF17" s="285"/>
      <c r="DG17" s="285"/>
      <c r="DH17" s="285"/>
      <c r="DI17" s="285"/>
      <c r="DJ17" s="285"/>
      <c r="DK17" s="285"/>
      <c r="DL17" s="285"/>
      <c r="DM17" s="285"/>
      <c r="DN17" s="285"/>
      <c r="DO17" s="285"/>
      <c r="DP17" s="285"/>
      <c r="DQ17" s="285"/>
      <c r="DR17" s="285"/>
      <c r="DS17" s="285"/>
      <c r="DT17" s="285"/>
      <c r="DU17" s="285"/>
      <c r="DV17" s="285"/>
      <c r="DW17" s="285"/>
      <c r="DX17" s="285"/>
      <c r="DY17" s="285"/>
      <c r="DZ17" s="285"/>
      <c r="EA17" s="285"/>
      <c r="EB17" s="285"/>
      <c r="EC17" s="285"/>
      <c r="ED17" s="285"/>
      <c r="EE17" s="285"/>
      <c r="EF17" s="285"/>
      <c r="EG17" s="285"/>
      <c r="EH17" s="285"/>
      <c r="EI17" s="285"/>
      <c r="EJ17" s="285"/>
      <c r="EK17" s="285"/>
      <c r="EL17" s="285"/>
      <c r="EM17" s="285"/>
      <c r="EN17" s="285"/>
      <c r="EO17" s="285"/>
      <c r="EP17" s="285"/>
      <c r="EQ17" s="285"/>
      <c r="ER17" s="285"/>
      <c r="ES17" s="285"/>
      <c r="ET17" s="285"/>
      <c r="EU17" s="285"/>
      <c r="EV17" s="285"/>
      <c r="EW17" s="285"/>
      <c r="EX17" s="285"/>
      <c r="EY17" s="285"/>
      <c r="EZ17" s="285"/>
      <c r="FA17" s="285"/>
      <c r="FB17" s="285"/>
      <c r="FC17" s="285"/>
      <c r="FD17" s="285"/>
      <c r="FE17" s="285"/>
      <c r="FF17" s="285"/>
      <c r="FG17" s="285"/>
      <c r="FH17" s="285"/>
      <c r="FI17" s="285"/>
      <c r="FJ17" s="285"/>
      <c r="FK17" s="285"/>
      <c r="FL17" s="285"/>
      <c r="FM17" s="285"/>
      <c r="FN17" s="285"/>
      <c r="FO17" s="285"/>
      <c r="FP17" s="285"/>
      <c r="FQ17" s="285"/>
      <c r="FR17" s="285"/>
      <c r="FS17" s="285"/>
      <c r="FT17" s="285"/>
      <c r="FU17" s="285"/>
      <c r="FV17" s="285"/>
      <c r="FW17" s="285"/>
      <c r="FX17" s="285"/>
      <c r="FY17" s="285"/>
      <c r="FZ17" s="285"/>
      <c r="GA17" s="285"/>
      <c r="GB17" s="285"/>
      <c r="GC17" s="285"/>
      <c r="GD17" s="285"/>
      <c r="GE17" s="285"/>
      <c r="GF17" s="285"/>
      <c r="GG17" s="285"/>
      <c r="GH17" s="285"/>
      <c r="GI17" s="285"/>
      <c r="GJ17" s="285"/>
      <c r="GK17" s="285"/>
      <c r="GL17" s="285"/>
      <c r="GM17" s="285"/>
      <c r="GN17" s="285"/>
      <c r="GO17" s="285"/>
      <c r="GP17" s="285"/>
      <c r="GQ17" s="285"/>
      <c r="GR17" s="285"/>
      <c r="GS17" s="285"/>
      <c r="GT17" s="285"/>
      <c r="GU17" s="285"/>
      <c r="GV17" s="285"/>
      <c r="GW17" s="285"/>
      <c r="GX17" s="285"/>
      <c r="GY17" s="285"/>
      <c r="GZ17" s="285"/>
      <c r="HA17" s="285"/>
      <c r="HB17" s="285"/>
      <c r="HC17" s="285"/>
      <c r="HD17" s="285"/>
      <c r="HE17" s="285"/>
      <c r="HF17" s="285"/>
      <c r="HG17" s="285"/>
      <c r="HH17" s="285"/>
      <c r="HI17" s="285"/>
      <c r="HJ17" s="285"/>
      <c r="HK17" s="285"/>
      <c r="HL17" s="285"/>
      <c r="HM17" s="285"/>
    </row>
    <row r="18" spans="1:221" s="309" customFormat="1">
      <c r="A18" s="308" t="s">
        <v>373</v>
      </c>
      <c r="B18" s="274" t="s">
        <v>135</v>
      </c>
      <c r="C18" s="310" t="s">
        <v>135</v>
      </c>
      <c r="D18" s="328"/>
      <c r="E18" s="2770"/>
      <c r="F18" s="288"/>
      <c r="G18" s="2773"/>
      <c r="H18" s="283"/>
      <c r="I18" s="1321"/>
      <c r="J18" s="1321" t="s">
        <v>4821</v>
      </c>
      <c r="K18" s="1321" t="s">
        <v>4822</v>
      </c>
      <c r="L18" s="1321"/>
      <c r="M18" s="283"/>
      <c r="N18" s="1349"/>
      <c r="O18" s="1357"/>
      <c r="P18" s="1357"/>
      <c r="R18" s="308" t="s">
        <v>373</v>
      </c>
      <c r="S18" s="53" t="s">
        <v>135</v>
      </c>
      <c r="T18" s="268" t="s">
        <v>135</v>
      </c>
      <c r="U18" s="62"/>
      <c r="V18" s="274"/>
      <c r="W18" s="275"/>
      <c r="X18" s="275"/>
      <c r="Y18" s="276"/>
      <c r="Z18" s="277"/>
      <c r="AA18" s="277"/>
      <c r="AB18" s="278"/>
      <c r="AC18" s="278"/>
      <c r="AD18" s="278"/>
      <c r="AE18" s="279"/>
      <c r="AF18" s="285"/>
      <c r="AG18" s="285"/>
      <c r="AH18" s="285"/>
      <c r="AI18" s="285"/>
      <c r="AJ18" s="285"/>
      <c r="AK18" s="285"/>
      <c r="AL18" s="285"/>
      <c r="AM18" s="285"/>
      <c r="AN18" s="285"/>
      <c r="AO18" s="285"/>
      <c r="AP18" s="285"/>
      <c r="AQ18" s="285"/>
      <c r="AR18" s="285"/>
      <c r="AS18" s="285"/>
      <c r="AT18" s="285"/>
      <c r="AU18" s="285"/>
      <c r="AV18" s="285"/>
      <c r="AW18" s="285"/>
      <c r="AX18" s="285"/>
      <c r="AY18" s="285"/>
      <c r="AZ18" s="285"/>
      <c r="BA18" s="285"/>
      <c r="BB18" s="285"/>
      <c r="BC18" s="285"/>
      <c r="BD18" s="285"/>
      <c r="BE18" s="285"/>
      <c r="BF18" s="285"/>
      <c r="BG18" s="285"/>
      <c r="BH18" s="285"/>
      <c r="BI18" s="285"/>
      <c r="BJ18" s="285"/>
      <c r="BK18" s="285"/>
      <c r="BL18" s="285"/>
      <c r="BM18" s="285"/>
      <c r="BN18" s="285"/>
      <c r="BO18" s="285"/>
      <c r="BP18" s="285"/>
      <c r="BQ18" s="285"/>
      <c r="BR18" s="285"/>
      <c r="BS18" s="285"/>
      <c r="BT18" s="285"/>
      <c r="BU18" s="285"/>
      <c r="BV18" s="285"/>
      <c r="BW18" s="285"/>
      <c r="BX18" s="285"/>
      <c r="BY18" s="285"/>
      <c r="BZ18" s="285"/>
      <c r="CA18" s="285"/>
      <c r="CB18" s="285"/>
      <c r="CC18" s="285"/>
      <c r="CD18" s="285"/>
      <c r="CE18" s="285"/>
      <c r="CF18" s="285"/>
      <c r="CG18" s="285"/>
      <c r="CH18" s="285"/>
      <c r="CI18" s="285"/>
      <c r="CJ18" s="285"/>
      <c r="CK18" s="285"/>
      <c r="CL18" s="285"/>
      <c r="CM18" s="285"/>
      <c r="CN18" s="285"/>
      <c r="CO18" s="285"/>
      <c r="CP18" s="285"/>
      <c r="CQ18" s="285"/>
      <c r="CR18" s="285"/>
      <c r="CS18" s="285"/>
      <c r="CT18" s="285"/>
      <c r="CU18" s="285"/>
      <c r="CV18" s="285"/>
      <c r="CW18" s="285"/>
      <c r="CX18" s="285"/>
      <c r="CY18" s="285"/>
      <c r="CZ18" s="285"/>
      <c r="DA18" s="285"/>
      <c r="DB18" s="285"/>
      <c r="DC18" s="285"/>
      <c r="DD18" s="285"/>
      <c r="DE18" s="285"/>
      <c r="DF18" s="285"/>
      <c r="DG18" s="285"/>
      <c r="DH18" s="285"/>
      <c r="DI18" s="285"/>
      <c r="DJ18" s="285"/>
      <c r="DK18" s="285"/>
      <c r="DL18" s="285"/>
      <c r="DM18" s="285"/>
      <c r="DN18" s="285"/>
      <c r="DO18" s="285"/>
      <c r="DP18" s="285"/>
      <c r="DQ18" s="285"/>
      <c r="DR18" s="285"/>
      <c r="DS18" s="285"/>
      <c r="DT18" s="285"/>
      <c r="DU18" s="285"/>
      <c r="DV18" s="285"/>
      <c r="DW18" s="285"/>
      <c r="DX18" s="285"/>
      <c r="DY18" s="285"/>
      <c r="DZ18" s="285"/>
      <c r="EA18" s="285"/>
      <c r="EB18" s="285"/>
      <c r="EC18" s="285"/>
      <c r="ED18" s="285"/>
      <c r="EE18" s="285"/>
      <c r="EF18" s="285"/>
      <c r="EG18" s="285"/>
      <c r="EH18" s="285"/>
      <c r="EI18" s="285"/>
      <c r="EJ18" s="285"/>
      <c r="EK18" s="285"/>
      <c r="EL18" s="285"/>
      <c r="EM18" s="285"/>
      <c r="EN18" s="285"/>
      <c r="EO18" s="285"/>
      <c r="EP18" s="285"/>
      <c r="EQ18" s="285"/>
      <c r="ER18" s="285"/>
      <c r="ES18" s="285"/>
      <c r="ET18" s="285"/>
      <c r="EU18" s="285"/>
      <c r="EV18" s="285"/>
      <c r="EW18" s="285"/>
      <c r="EX18" s="285"/>
      <c r="EY18" s="285"/>
      <c r="EZ18" s="285"/>
      <c r="FA18" s="285"/>
      <c r="FB18" s="285"/>
      <c r="FC18" s="285"/>
      <c r="FD18" s="285"/>
      <c r="FE18" s="285"/>
      <c r="FF18" s="285"/>
      <c r="FG18" s="285"/>
      <c r="FH18" s="285"/>
      <c r="FI18" s="285"/>
      <c r="FJ18" s="285"/>
      <c r="FK18" s="285"/>
      <c r="FL18" s="285"/>
      <c r="FM18" s="285"/>
      <c r="FN18" s="285"/>
      <c r="FO18" s="285"/>
      <c r="FP18" s="285"/>
      <c r="FQ18" s="285"/>
      <c r="FR18" s="285"/>
      <c r="FS18" s="285"/>
      <c r="FT18" s="285"/>
      <c r="FU18" s="285"/>
      <c r="FV18" s="285"/>
      <c r="FW18" s="285"/>
      <c r="FX18" s="285"/>
      <c r="FY18" s="285"/>
      <c r="FZ18" s="285"/>
      <c r="GA18" s="285"/>
      <c r="GB18" s="285"/>
      <c r="GC18" s="285"/>
      <c r="GD18" s="285"/>
      <c r="GE18" s="285"/>
      <c r="GF18" s="285"/>
      <c r="GG18" s="285"/>
      <c r="GH18" s="285"/>
      <c r="GI18" s="285"/>
      <c r="GJ18" s="285"/>
      <c r="GK18" s="285"/>
      <c r="GL18" s="285"/>
      <c r="GM18" s="285"/>
      <c r="GN18" s="285"/>
      <c r="GO18" s="285"/>
      <c r="GP18" s="285"/>
      <c r="GQ18" s="285"/>
      <c r="GR18" s="285"/>
      <c r="GS18" s="285"/>
      <c r="GT18" s="285"/>
      <c r="GU18" s="285"/>
      <c r="GV18" s="285"/>
      <c r="GW18" s="285"/>
      <c r="GX18" s="285"/>
      <c r="GY18" s="285"/>
      <c r="GZ18" s="285"/>
      <c r="HA18" s="285"/>
      <c r="HB18" s="285"/>
      <c r="HC18" s="285"/>
      <c r="HD18" s="285"/>
      <c r="HE18" s="285"/>
      <c r="HF18" s="285"/>
      <c r="HG18" s="285"/>
      <c r="HH18" s="285"/>
      <c r="HI18" s="285"/>
      <c r="HJ18" s="285"/>
      <c r="HK18" s="285"/>
      <c r="HL18" s="285"/>
      <c r="HM18" s="285"/>
    </row>
    <row r="19" spans="1:221" s="309" customFormat="1">
      <c r="A19" s="308" t="s">
        <v>374</v>
      </c>
      <c r="B19" s="274" t="s">
        <v>135</v>
      </c>
      <c r="C19" s="310" t="s">
        <v>135</v>
      </c>
      <c r="D19" s="328"/>
      <c r="E19" s="2770"/>
      <c r="F19" s="288"/>
      <c r="G19" s="288"/>
      <c r="H19" s="283"/>
      <c r="I19" s="1321"/>
      <c r="J19" s="1321"/>
      <c r="K19" s="1321"/>
      <c r="L19" s="1321"/>
      <c r="M19" s="283"/>
      <c r="N19" s="1349"/>
      <c r="O19" s="1357"/>
      <c r="P19" s="1357"/>
      <c r="R19" s="308" t="s">
        <v>374</v>
      </c>
      <c r="S19" s="53" t="s">
        <v>135</v>
      </c>
      <c r="T19" s="268" t="s">
        <v>135</v>
      </c>
      <c r="U19" s="62"/>
      <c r="V19" s="274"/>
      <c r="W19" s="275"/>
      <c r="X19" s="275"/>
      <c r="Y19" s="276"/>
      <c r="Z19" s="277"/>
      <c r="AA19" s="277"/>
      <c r="AB19" s="278"/>
      <c r="AC19" s="278"/>
      <c r="AD19" s="278"/>
      <c r="AE19" s="279"/>
      <c r="AF19" s="285"/>
      <c r="AG19" s="285"/>
      <c r="AH19" s="285"/>
      <c r="AI19" s="285"/>
      <c r="AJ19" s="285"/>
      <c r="AK19" s="285"/>
      <c r="AL19" s="285"/>
      <c r="AM19" s="285"/>
      <c r="AN19" s="285"/>
      <c r="AO19" s="285"/>
      <c r="AP19" s="285"/>
      <c r="AQ19" s="285"/>
      <c r="AR19" s="285"/>
      <c r="AS19" s="285"/>
      <c r="AT19" s="285"/>
      <c r="AU19" s="285"/>
      <c r="AV19" s="285"/>
      <c r="AW19" s="285"/>
      <c r="AX19" s="285"/>
      <c r="AY19" s="285"/>
      <c r="AZ19" s="285"/>
      <c r="BA19" s="285"/>
      <c r="BB19" s="285"/>
      <c r="BC19" s="285"/>
      <c r="BD19" s="285"/>
      <c r="BE19" s="285"/>
      <c r="BF19" s="285"/>
      <c r="BG19" s="285"/>
      <c r="BH19" s="285"/>
      <c r="BI19" s="285"/>
      <c r="BJ19" s="285"/>
      <c r="BK19" s="285"/>
      <c r="BL19" s="285"/>
      <c r="BM19" s="285"/>
      <c r="BN19" s="285"/>
      <c r="BO19" s="285"/>
      <c r="BP19" s="285"/>
      <c r="BQ19" s="285"/>
      <c r="BR19" s="285"/>
      <c r="BS19" s="285"/>
      <c r="BT19" s="285"/>
      <c r="BU19" s="285"/>
      <c r="BV19" s="285"/>
      <c r="BW19" s="285"/>
      <c r="BX19" s="285"/>
      <c r="BY19" s="285"/>
      <c r="BZ19" s="285"/>
      <c r="CA19" s="285"/>
      <c r="CB19" s="285"/>
      <c r="CC19" s="285"/>
      <c r="CD19" s="285"/>
      <c r="CE19" s="285"/>
      <c r="CF19" s="285"/>
      <c r="CG19" s="285"/>
      <c r="CH19" s="285"/>
      <c r="CI19" s="285"/>
      <c r="CJ19" s="285"/>
      <c r="CK19" s="285"/>
      <c r="CL19" s="285"/>
      <c r="CM19" s="285"/>
      <c r="CN19" s="285"/>
      <c r="CO19" s="285"/>
      <c r="CP19" s="285"/>
      <c r="CQ19" s="285"/>
      <c r="CR19" s="285"/>
      <c r="CS19" s="285"/>
      <c r="CT19" s="285"/>
      <c r="CU19" s="285"/>
      <c r="CV19" s="285"/>
      <c r="CW19" s="285"/>
      <c r="CX19" s="285"/>
      <c r="CY19" s="285"/>
      <c r="CZ19" s="285"/>
      <c r="DA19" s="285"/>
      <c r="DB19" s="285"/>
      <c r="DC19" s="285"/>
      <c r="DD19" s="285"/>
      <c r="DE19" s="285"/>
      <c r="DF19" s="285"/>
      <c r="DG19" s="285"/>
      <c r="DH19" s="285"/>
      <c r="DI19" s="285"/>
      <c r="DJ19" s="285"/>
      <c r="DK19" s="285"/>
      <c r="DL19" s="285"/>
      <c r="DM19" s="285"/>
      <c r="DN19" s="285"/>
      <c r="DO19" s="285"/>
      <c r="DP19" s="285"/>
      <c r="DQ19" s="285"/>
      <c r="DR19" s="285"/>
      <c r="DS19" s="285"/>
      <c r="DT19" s="285"/>
      <c r="DU19" s="285"/>
      <c r="DV19" s="285"/>
      <c r="DW19" s="285"/>
      <c r="DX19" s="285"/>
      <c r="DY19" s="285"/>
      <c r="DZ19" s="285"/>
      <c r="EA19" s="285"/>
      <c r="EB19" s="285"/>
      <c r="EC19" s="285"/>
      <c r="ED19" s="285"/>
      <c r="EE19" s="285"/>
      <c r="EF19" s="285"/>
      <c r="EG19" s="285"/>
      <c r="EH19" s="285"/>
      <c r="EI19" s="285"/>
      <c r="EJ19" s="285"/>
      <c r="EK19" s="285"/>
      <c r="EL19" s="285"/>
      <c r="EM19" s="285"/>
      <c r="EN19" s="285"/>
      <c r="EO19" s="285"/>
      <c r="EP19" s="285"/>
      <c r="EQ19" s="285"/>
      <c r="ER19" s="285"/>
      <c r="ES19" s="285"/>
      <c r="ET19" s="285"/>
      <c r="EU19" s="285"/>
      <c r="EV19" s="285"/>
      <c r="EW19" s="285"/>
      <c r="EX19" s="285"/>
      <c r="EY19" s="285"/>
      <c r="EZ19" s="285"/>
      <c r="FA19" s="285"/>
      <c r="FB19" s="285"/>
      <c r="FC19" s="285"/>
      <c r="FD19" s="285"/>
      <c r="FE19" s="285"/>
      <c r="FF19" s="285"/>
      <c r="FG19" s="285"/>
      <c r="FH19" s="285"/>
      <c r="FI19" s="285"/>
      <c r="FJ19" s="285"/>
      <c r="FK19" s="285"/>
      <c r="FL19" s="285"/>
      <c r="FM19" s="285"/>
      <c r="FN19" s="285"/>
      <c r="FO19" s="285"/>
      <c r="FP19" s="285"/>
      <c r="FQ19" s="285"/>
      <c r="FR19" s="285"/>
      <c r="FS19" s="285"/>
      <c r="FT19" s="285"/>
      <c r="FU19" s="285"/>
      <c r="FV19" s="285"/>
      <c r="FW19" s="285"/>
      <c r="FX19" s="285"/>
      <c r="FY19" s="285"/>
      <c r="FZ19" s="285"/>
      <c r="GA19" s="285"/>
      <c r="GB19" s="285"/>
      <c r="GC19" s="285"/>
      <c r="GD19" s="285"/>
      <c r="GE19" s="285"/>
      <c r="GF19" s="285"/>
      <c r="GG19" s="285"/>
      <c r="GH19" s="285"/>
      <c r="GI19" s="285"/>
      <c r="GJ19" s="285"/>
      <c r="GK19" s="285"/>
      <c r="GL19" s="285"/>
      <c r="GM19" s="285"/>
      <c r="GN19" s="285"/>
      <c r="GO19" s="285"/>
      <c r="GP19" s="285"/>
      <c r="GQ19" s="285"/>
      <c r="GR19" s="285"/>
      <c r="GS19" s="285"/>
      <c r="GT19" s="285"/>
      <c r="GU19" s="285"/>
      <c r="GV19" s="285"/>
      <c r="GW19" s="285"/>
      <c r="GX19" s="285"/>
      <c r="GY19" s="285"/>
      <c r="GZ19" s="285"/>
      <c r="HA19" s="285"/>
      <c r="HB19" s="285"/>
      <c r="HC19" s="285"/>
      <c r="HD19" s="285"/>
      <c r="HE19" s="285"/>
      <c r="HF19" s="285"/>
      <c r="HG19" s="285"/>
      <c r="HH19" s="285"/>
      <c r="HI19" s="285"/>
      <c r="HJ19" s="285"/>
      <c r="HK19" s="285"/>
      <c r="HL19" s="285"/>
      <c r="HM19" s="285"/>
    </row>
    <row r="20" spans="1:221" s="309" customFormat="1">
      <c r="A20" s="308" t="s">
        <v>375</v>
      </c>
      <c r="B20" s="274" t="s">
        <v>135</v>
      </c>
      <c r="C20" s="310" t="s">
        <v>135</v>
      </c>
      <c r="D20" s="328"/>
      <c r="E20" s="2770"/>
      <c r="F20" s="288"/>
      <c r="G20" s="288"/>
      <c r="H20" s="283"/>
      <c r="I20" s="1321"/>
      <c r="J20" s="1321"/>
      <c r="K20" s="1321"/>
      <c r="L20" s="1321"/>
      <c r="M20" s="283"/>
      <c r="N20" s="1349"/>
      <c r="O20" s="1357"/>
      <c r="P20" s="1357"/>
      <c r="R20" s="308" t="s">
        <v>375</v>
      </c>
      <c r="S20" s="53" t="s">
        <v>135</v>
      </c>
      <c r="T20" s="268" t="s">
        <v>135</v>
      </c>
      <c r="U20" s="62"/>
      <c r="V20" s="274"/>
      <c r="W20" s="275"/>
      <c r="X20" s="275"/>
      <c r="Y20" s="276"/>
      <c r="Z20" s="278"/>
      <c r="AA20" s="278"/>
      <c r="AB20" s="278"/>
      <c r="AC20" s="278"/>
      <c r="AD20" s="278"/>
      <c r="AE20" s="279"/>
      <c r="AF20" s="285"/>
      <c r="AG20" s="285"/>
      <c r="AH20" s="285"/>
      <c r="AI20" s="285"/>
      <c r="AJ20" s="285"/>
      <c r="AK20" s="285"/>
      <c r="AL20" s="285"/>
      <c r="AM20" s="285"/>
      <c r="AN20" s="285"/>
      <c r="AO20" s="285"/>
      <c r="AP20" s="285"/>
      <c r="AQ20" s="285"/>
      <c r="AR20" s="285"/>
      <c r="AS20" s="285"/>
      <c r="AT20" s="285"/>
      <c r="AU20" s="285"/>
      <c r="AV20" s="285"/>
      <c r="AW20" s="285"/>
      <c r="AX20" s="285"/>
      <c r="AY20" s="285"/>
      <c r="AZ20" s="285"/>
      <c r="BA20" s="285"/>
      <c r="BB20" s="285"/>
      <c r="BC20" s="285"/>
      <c r="BD20" s="285"/>
      <c r="BE20" s="285"/>
      <c r="BF20" s="285"/>
      <c r="BG20" s="285"/>
      <c r="BH20" s="285"/>
      <c r="BI20" s="285"/>
      <c r="BJ20" s="285"/>
      <c r="BK20" s="285"/>
      <c r="BL20" s="285"/>
      <c r="BM20" s="285"/>
      <c r="BN20" s="285"/>
      <c r="BO20" s="285"/>
      <c r="BP20" s="285"/>
      <c r="BQ20" s="285"/>
      <c r="BR20" s="285"/>
      <c r="BS20" s="285"/>
      <c r="BT20" s="285"/>
      <c r="BU20" s="285"/>
      <c r="BV20" s="285"/>
      <c r="BW20" s="285"/>
      <c r="BX20" s="285"/>
      <c r="BY20" s="285"/>
      <c r="BZ20" s="285"/>
      <c r="CA20" s="285"/>
      <c r="CB20" s="285"/>
      <c r="CC20" s="285"/>
      <c r="CD20" s="285"/>
      <c r="CE20" s="285"/>
      <c r="CF20" s="285"/>
      <c r="CG20" s="285"/>
      <c r="CH20" s="285"/>
      <c r="CI20" s="285"/>
      <c r="CJ20" s="285"/>
      <c r="CK20" s="285"/>
      <c r="CL20" s="285"/>
      <c r="CM20" s="285"/>
      <c r="CN20" s="285"/>
      <c r="CO20" s="285"/>
      <c r="CP20" s="285"/>
      <c r="CQ20" s="285"/>
      <c r="CR20" s="285"/>
      <c r="CS20" s="285"/>
      <c r="CT20" s="285"/>
      <c r="CU20" s="285"/>
      <c r="CV20" s="285"/>
      <c r="CW20" s="285"/>
      <c r="CX20" s="285"/>
      <c r="CY20" s="285"/>
      <c r="CZ20" s="285"/>
      <c r="DA20" s="285"/>
      <c r="DB20" s="285"/>
      <c r="DC20" s="285"/>
      <c r="DD20" s="285"/>
      <c r="DE20" s="285"/>
      <c r="DF20" s="285"/>
      <c r="DG20" s="285"/>
      <c r="DH20" s="285"/>
      <c r="DI20" s="285"/>
      <c r="DJ20" s="285"/>
      <c r="DK20" s="285"/>
      <c r="DL20" s="285"/>
      <c r="DM20" s="285"/>
      <c r="DN20" s="285"/>
      <c r="DO20" s="285"/>
      <c r="DP20" s="285"/>
      <c r="DQ20" s="285"/>
      <c r="DR20" s="285"/>
      <c r="DS20" s="285"/>
      <c r="DT20" s="285"/>
      <c r="DU20" s="285"/>
      <c r="DV20" s="285"/>
      <c r="DW20" s="285"/>
      <c r="DX20" s="285"/>
      <c r="DY20" s="285"/>
      <c r="DZ20" s="285"/>
      <c r="EA20" s="285"/>
      <c r="EB20" s="285"/>
      <c r="EC20" s="285"/>
      <c r="ED20" s="285"/>
      <c r="EE20" s="285"/>
      <c r="EF20" s="285"/>
      <c r="EG20" s="285"/>
      <c r="EH20" s="285"/>
      <c r="EI20" s="285"/>
      <c r="EJ20" s="285"/>
      <c r="EK20" s="285"/>
      <c r="EL20" s="285"/>
      <c r="EM20" s="285"/>
      <c r="EN20" s="285"/>
      <c r="EO20" s="285"/>
      <c r="EP20" s="285"/>
      <c r="EQ20" s="285"/>
      <c r="ER20" s="285"/>
      <c r="ES20" s="285"/>
      <c r="ET20" s="285"/>
      <c r="EU20" s="285"/>
      <c r="EV20" s="285"/>
      <c r="EW20" s="285"/>
      <c r="EX20" s="285"/>
      <c r="EY20" s="285"/>
      <c r="EZ20" s="285"/>
      <c r="FA20" s="285"/>
      <c r="FB20" s="285"/>
      <c r="FC20" s="285"/>
      <c r="FD20" s="285"/>
      <c r="FE20" s="285"/>
      <c r="FF20" s="285"/>
      <c r="FG20" s="285"/>
      <c r="FH20" s="285"/>
      <c r="FI20" s="285"/>
      <c r="FJ20" s="285"/>
      <c r="FK20" s="285"/>
      <c r="FL20" s="285"/>
      <c r="FM20" s="285"/>
      <c r="FN20" s="285"/>
      <c r="FO20" s="285"/>
      <c r="FP20" s="285"/>
      <c r="FQ20" s="285"/>
      <c r="FR20" s="285"/>
      <c r="FS20" s="285"/>
      <c r="FT20" s="285"/>
      <c r="FU20" s="285"/>
      <c r="FV20" s="285"/>
      <c r="FW20" s="285"/>
      <c r="FX20" s="285"/>
      <c r="FY20" s="285"/>
      <c r="FZ20" s="285"/>
      <c r="GA20" s="285"/>
      <c r="GB20" s="285"/>
      <c r="GC20" s="285"/>
      <c r="GD20" s="285"/>
      <c r="GE20" s="285"/>
      <c r="GF20" s="285"/>
      <c r="GG20" s="285"/>
      <c r="GH20" s="285"/>
      <c r="GI20" s="285"/>
      <c r="GJ20" s="285"/>
      <c r="GK20" s="285"/>
      <c r="GL20" s="285"/>
      <c r="GM20" s="285"/>
      <c r="GN20" s="285"/>
      <c r="GO20" s="285"/>
      <c r="GP20" s="285"/>
      <c r="GQ20" s="285"/>
      <c r="GR20" s="285"/>
      <c r="GS20" s="285"/>
      <c r="GT20" s="285"/>
      <c r="GU20" s="285"/>
      <c r="GV20" s="285"/>
      <c r="GW20" s="285"/>
      <c r="GX20" s="285"/>
      <c r="GY20" s="285"/>
      <c r="GZ20" s="285"/>
      <c r="HA20" s="285"/>
      <c r="HB20" s="285"/>
      <c r="HC20" s="285"/>
      <c r="HD20" s="285"/>
      <c r="HE20" s="285"/>
      <c r="HF20" s="285"/>
      <c r="HG20" s="285"/>
      <c r="HH20" s="285"/>
      <c r="HI20" s="285"/>
      <c r="HJ20" s="285"/>
      <c r="HK20" s="285"/>
      <c r="HL20" s="285"/>
      <c r="HM20" s="285"/>
    </row>
    <row r="21" spans="1:221" s="309" customFormat="1" ht="16" thickBot="1">
      <c r="A21" s="308" t="s">
        <v>376</v>
      </c>
      <c r="B21" s="2521" t="s">
        <v>135</v>
      </c>
      <c r="C21" s="2522" t="s">
        <v>135</v>
      </c>
      <c r="D21" s="2523"/>
      <c r="E21" s="2774"/>
      <c r="F21" s="2775"/>
      <c r="G21" s="2775"/>
      <c r="H21" s="2776"/>
      <c r="I21" s="1321"/>
      <c r="J21" s="1321"/>
      <c r="K21" s="1321"/>
      <c r="L21" s="1321"/>
      <c r="M21" s="2776"/>
      <c r="N21" s="2777"/>
      <c r="O21" s="1357"/>
      <c r="P21" s="1357"/>
      <c r="R21" s="308" t="s">
        <v>376</v>
      </c>
      <c r="S21" s="311" t="s">
        <v>135</v>
      </c>
      <c r="T21" s="312" t="s">
        <v>135</v>
      </c>
      <c r="U21" s="63"/>
      <c r="V21" s="311" t="s">
        <v>135</v>
      </c>
      <c r="W21" s="313"/>
      <c r="X21" s="313"/>
      <c r="Y21" s="314"/>
      <c r="Z21" s="315"/>
      <c r="AA21" s="315"/>
      <c r="AB21" s="315"/>
      <c r="AC21" s="315"/>
      <c r="AD21" s="315"/>
      <c r="AE21" s="316"/>
      <c r="AF21" s="285"/>
      <c r="AG21" s="285"/>
      <c r="AH21" s="285"/>
      <c r="AI21" s="285"/>
      <c r="AJ21" s="285"/>
      <c r="AK21" s="285"/>
      <c r="AL21" s="285"/>
      <c r="AM21" s="285"/>
      <c r="AN21" s="285"/>
      <c r="AO21" s="285"/>
      <c r="AP21" s="285"/>
      <c r="AQ21" s="285"/>
      <c r="AR21" s="285"/>
      <c r="AS21" s="285"/>
      <c r="AT21" s="285"/>
      <c r="AU21" s="285"/>
      <c r="AV21" s="285"/>
      <c r="AW21" s="285"/>
      <c r="AX21" s="285"/>
      <c r="AY21" s="285"/>
      <c r="AZ21" s="285"/>
      <c r="BA21" s="285"/>
      <c r="BB21" s="285"/>
      <c r="BC21" s="285"/>
      <c r="BD21" s="285"/>
      <c r="BE21" s="285"/>
      <c r="BF21" s="285"/>
      <c r="BG21" s="285"/>
      <c r="BH21" s="285"/>
      <c r="BI21" s="285"/>
      <c r="BJ21" s="285"/>
      <c r="BK21" s="285"/>
      <c r="BL21" s="285"/>
      <c r="BM21" s="285"/>
      <c r="BN21" s="285"/>
      <c r="BO21" s="285"/>
      <c r="BP21" s="285"/>
      <c r="BQ21" s="285"/>
      <c r="BR21" s="285"/>
      <c r="BS21" s="285"/>
      <c r="BT21" s="285"/>
      <c r="BU21" s="285"/>
      <c r="BV21" s="285"/>
      <c r="BW21" s="285"/>
      <c r="BX21" s="285"/>
      <c r="BY21" s="285"/>
      <c r="BZ21" s="285"/>
      <c r="CA21" s="285"/>
      <c r="CB21" s="285"/>
      <c r="CC21" s="285"/>
      <c r="CD21" s="285"/>
      <c r="CE21" s="285"/>
      <c r="CF21" s="285"/>
      <c r="CG21" s="285"/>
      <c r="CH21" s="285"/>
      <c r="CI21" s="285"/>
      <c r="CJ21" s="285"/>
      <c r="CK21" s="285"/>
      <c r="CL21" s="285"/>
      <c r="CM21" s="285"/>
      <c r="CN21" s="285"/>
      <c r="CO21" s="285"/>
      <c r="CP21" s="285"/>
      <c r="CQ21" s="285"/>
      <c r="CR21" s="285"/>
      <c r="CS21" s="285"/>
      <c r="CT21" s="285"/>
      <c r="CU21" s="285"/>
      <c r="CV21" s="285"/>
      <c r="CW21" s="285"/>
      <c r="CX21" s="285"/>
      <c r="CY21" s="285"/>
      <c r="CZ21" s="285"/>
      <c r="DA21" s="285"/>
      <c r="DB21" s="285"/>
      <c r="DC21" s="285"/>
      <c r="DD21" s="285"/>
      <c r="DE21" s="285"/>
      <c r="DF21" s="285"/>
      <c r="DG21" s="285"/>
      <c r="DH21" s="285"/>
      <c r="DI21" s="285"/>
      <c r="DJ21" s="285"/>
      <c r="DK21" s="285"/>
      <c r="DL21" s="285"/>
      <c r="DM21" s="285"/>
      <c r="DN21" s="285"/>
      <c r="DO21" s="285"/>
      <c r="DP21" s="285"/>
      <c r="DQ21" s="285"/>
      <c r="DR21" s="285"/>
      <c r="DS21" s="285"/>
      <c r="DT21" s="285"/>
      <c r="DU21" s="285"/>
      <c r="DV21" s="285"/>
      <c r="DW21" s="285"/>
      <c r="DX21" s="285"/>
      <c r="DY21" s="285"/>
      <c r="DZ21" s="285"/>
      <c r="EA21" s="285"/>
      <c r="EB21" s="285"/>
      <c r="EC21" s="285"/>
      <c r="ED21" s="285"/>
      <c r="EE21" s="285"/>
      <c r="EF21" s="285"/>
      <c r="EG21" s="285"/>
      <c r="EH21" s="285"/>
      <c r="EI21" s="285"/>
      <c r="EJ21" s="285"/>
      <c r="EK21" s="285"/>
      <c r="EL21" s="285"/>
      <c r="EM21" s="285"/>
      <c r="EN21" s="285"/>
      <c r="EO21" s="285"/>
      <c r="EP21" s="285"/>
      <c r="EQ21" s="285"/>
      <c r="ER21" s="285"/>
      <c r="ES21" s="285"/>
      <c r="ET21" s="285"/>
      <c r="EU21" s="285"/>
      <c r="EV21" s="285"/>
      <c r="EW21" s="285"/>
      <c r="EX21" s="285"/>
      <c r="EY21" s="285"/>
      <c r="EZ21" s="285"/>
      <c r="FA21" s="285"/>
      <c r="FB21" s="285"/>
      <c r="FC21" s="285"/>
      <c r="FD21" s="285"/>
      <c r="FE21" s="285"/>
      <c r="FF21" s="285"/>
      <c r="FG21" s="285"/>
      <c r="FH21" s="285"/>
      <c r="FI21" s="285"/>
      <c r="FJ21" s="285"/>
      <c r="FK21" s="285"/>
      <c r="FL21" s="285"/>
      <c r="FM21" s="285"/>
      <c r="FN21" s="285"/>
      <c r="FO21" s="285"/>
      <c r="FP21" s="285"/>
      <c r="FQ21" s="285"/>
      <c r="FR21" s="285"/>
      <c r="FS21" s="285"/>
      <c r="FT21" s="285"/>
      <c r="FU21" s="285"/>
      <c r="FV21" s="285"/>
      <c r="FW21" s="285"/>
      <c r="FX21" s="285"/>
      <c r="FY21" s="285"/>
      <c r="FZ21" s="285"/>
      <c r="GA21" s="285"/>
      <c r="GB21" s="285"/>
      <c r="GC21" s="285"/>
      <c r="GD21" s="285"/>
      <c r="GE21" s="285"/>
      <c r="GF21" s="285"/>
      <c r="GG21" s="285"/>
      <c r="GH21" s="285"/>
      <c r="GI21" s="285"/>
      <c r="GJ21" s="285"/>
      <c r="GK21" s="285"/>
      <c r="GL21" s="285"/>
      <c r="GM21" s="285"/>
      <c r="GN21" s="285"/>
      <c r="GO21" s="285"/>
      <c r="GP21" s="285"/>
      <c r="GQ21" s="285"/>
      <c r="GR21" s="285"/>
      <c r="GS21" s="285"/>
      <c r="GT21" s="285"/>
      <c r="GU21" s="285"/>
      <c r="GV21" s="285"/>
      <c r="GW21" s="285"/>
      <c r="GX21" s="285"/>
      <c r="GY21" s="285"/>
      <c r="GZ21" s="285"/>
      <c r="HA21" s="285"/>
      <c r="HB21" s="285"/>
      <c r="HC21" s="285"/>
      <c r="HD21" s="285"/>
      <c r="HE21" s="285"/>
      <c r="HF21" s="285"/>
      <c r="HG21" s="285"/>
      <c r="HH21" s="285"/>
      <c r="HI21" s="285"/>
      <c r="HJ21" s="285"/>
      <c r="HK21" s="285"/>
      <c r="HL21" s="285"/>
      <c r="HM21" s="285"/>
    </row>
    <row r="22" spans="1:221" s="309" customFormat="1">
      <c r="A22" s="317" t="s">
        <v>512</v>
      </c>
      <c r="B22" s="318"/>
      <c r="C22" s="374">
        <f>+換算!I13/換算!S2</f>
        <v>2128.8546666666666</v>
      </c>
      <c r="D22" s="374">
        <f>+換算!H13/換算!S2</f>
        <v>1906.3849999999998</v>
      </c>
      <c r="E22" s="374">
        <f>+換算!G13/換算!S2</f>
        <v>1809.5520000000001</v>
      </c>
      <c r="F22" s="374">
        <f>+換算!F13/換算!S2</f>
        <v>1792.404</v>
      </c>
      <c r="G22" s="374">
        <f>+換算!E13/換算!S2</f>
        <v>1739.5205714285714</v>
      </c>
      <c r="H22" s="374">
        <f>+換算!D13/換算!S2</f>
        <v>1680.8579999999999</v>
      </c>
      <c r="I22" s="374">
        <f>+換算!C13/換算!S2</f>
        <v>1652.1204444444443</v>
      </c>
      <c r="J22" s="374">
        <f>+換算!H22/換算!S2</f>
        <v>2532.7719999999999</v>
      </c>
      <c r="K22" s="319" t="s">
        <v>513</v>
      </c>
      <c r="L22" s="319" t="s">
        <v>514</v>
      </c>
      <c r="M22" s="374">
        <f>+換算!K3/換算!S2</f>
        <v>542</v>
      </c>
      <c r="N22" s="319" t="s">
        <v>515</v>
      </c>
      <c r="O22" s="319" t="s">
        <v>516</v>
      </c>
      <c r="P22" s="319" t="s">
        <v>517</v>
      </c>
      <c r="Q22" s="319" t="s">
        <v>518</v>
      </c>
      <c r="R22" s="320" t="s">
        <v>512</v>
      </c>
      <c r="S22" s="321"/>
      <c r="T22" s="378">
        <f>+換算!K55/換算!S44</f>
        <v>0</v>
      </c>
      <c r="U22" s="378">
        <f>+換算!J55/換算!S44</f>
        <v>0</v>
      </c>
      <c r="V22" s="378">
        <f>+換算!I55/換算!S44</f>
        <v>0</v>
      </c>
      <c r="W22" s="378">
        <f>+換算!H55/換算!S44</f>
        <v>0</v>
      </c>
      <c r="X22" s="378">
        <f>+換算!G55/換算!S44</f>
        <v>0</v>
      </c>
      <c r="Y22" s="378">
        <f>+換算!F55/換算!S44</f>
        <v>0</v>
      </c>
      <c r="Z22" s="378">
        <f>+換算!E55/換算!S44</f>
        <v>0</v>
      </c>
      <c r="AA22" s="378">
        <f>+換算!D55/換算!S44</f>
        <v>0</v>
      </c>
      <c r="AB22" s="378">
        <f>+換算!C55/換算!S44</f>
        <v>0</v>
      </c>
      <c r="AC22" s="374">
        <f>+換算!R55/換算!S44</f>
        <v>0</v>
      </c>
      <c r="AD22" s="378">
        <f>+換算!K45/換算!S44</f>
        <v>0</v>
      </c>
      <c r="AE22" s="379">
        <f>+換算!Q55/換算!S44</f>
        <v>0</v>
      </c>
      <c r="AF22" s="379">
        <f>+換算!P55/換算!S44</f>
        <v>0</v>
      </c>
      <c r="AG22" s="379">
        <f>+換算!O55/換算!S44</f>
        <v>0</v>
      </c>
      <c r="AH22" s="379">
        <f>+換算!N55/換算!S44</f>
        <v>0</v>
      </c>
      <c r="AI22" s="379">
        <f>+換算!M55/換算!S44</f>
        <v>0</v>
      </c>
      <c r="AJ22" s="285"/>
      <c r="AK22" s="285"/>
      <c r="AL22" s="285"/>
      <c r="AM22" s="285"/>
      <c r="AN22" s="285"/>
      <c r="AO22" s="285"/>
      <c r="AP22" s="285"/>
      <c r="AQ22" s="285"/>
      <c r="AR22" s="285"/>
      <c r="AS22" s="285"/>
      <c r="AT22" s="285"/>
      <c r="AU22" s="285"/>
      <c r="AV22" s="285"/>
      <c r="AW22" s="285"/>
      <c r="AX22" s="285"/>
      <c r="AY22" s="285"/>
      <c r="AZ22" s="285"/>
      <c r="BA22" s="285"/>
      <c r="BB22" s="285"/>
      <c r="BC22" s="285"/>
      <c r="BD22" s="285"/>
      <c r="BE22" s="285"/>
      <c r="BF22" s="285"/>
      <c r="BG22" s="285"/>
      <c r="BH22" s="285"/>
      <c r="BI22" s="285"/>
      <c r="BJ22" s="285"/>
      <c r="BK22" s="285"/>
      <c r="BL22" s="285"/>
      <c r="BM22" s="285"/>
      <c r="BN22" s="285"/>
      <c r="BO22" s="285"/>
      <c r="BP22" s="285"/>
      <c r="BQ22" s="285"/>
      <c r="BR22" s="285"/>
      <c r="BS22" s="285"/>
      <c r="BT22" s="285"/>
      <c r="BU22" s="285"/>
      <c r="BV22" s="285"/>
      <c r="BW22" s="285"/>
      <c r="BX22" s="285"/>
      <c r="BY22" s="285"/>
      <c r="BZ22" s="285"/>
      <c r="CA22" s="285"/>
      <c r="CB22" s="285"/>
      <c r="CC22" s="285"/>
      <c r="CD22" s="285"/>
      <c r="CE22" s="285"/>
      <c r="CF22" s="285"/>
      <c r="CG22" s="285"/>
      <c r="CH22" s="285"/>
      <c r="CI22" s="285"/>
      <c r="CJ22" s="285"/>
      <c r="CK22" s="285"/>
      <c r="CL22" s="285"/>
      <c r="CM22" s="285"/>
      <c r="CN22" s="285"/>
      <c r="CO22" s="285"/>
      <c r="CP22" s="285"/>
      <c r="CQ22" s="285"/>
      <c r="CR22" s="285"/>
      <c r="CS22" s="285"/>
      <c r="CT22" s="285"/>
      <c r="CU22" s="285"/>
      <c r="CV22" s="285"/>
      <c r="CW22" s="285"/>
      <c r="CX22" s="285"/>
      <c r="CY22" s="285"/>
      <c r="CZ22" s="285"/>
      <c r="DA22" s="285"/>
      <c r="DB22" s="285"/>
      <c r="DC22" s="285"/>
      <c r="DD22" s="285"/>
      <c r="DE22" s="285"/>
      <c r="DF22" s="285"/>
      <c r="DG22" s="285"/>
      <c r="DH22" s="285"/>
      <c r="DI22" s="285"/>
      <c r="DJ22" s="285"/>
      <c r="DK22" s="285"/>
      <c r="DL22" s="285"/>
      <c r="DM22" s="285"/>
      <c r="DN22" s="285"/>
      <c r="DO22" s="285"/>
      <c r="DP22" s="285"/>
      <c r="DQ22" s="285"/>
      <c r="DR22" s="285"/>
      <c r="DS22" s="285"/>
      <c r="DT22" s="285"/>
      <c r="DU22" s="285"/>
      <c r="DV22" s="285"/>
      <c r="DW22" s="285"/>
      <c r="DX22" s="285"/>
      <c r="DY22" s="285"/>
      <c r="DZ22" s="285"/>
      <c r="EA22" s="285"/>
      <c r="EB22" s="285"/>
      <c r="EC22" s="285"/>
      <c r="ED22" s="285"/>
      <c r="EE22" s="285"/>
      <c r="EF22" s="285"/>
      <c r="EG22" s="285"/>
      <c r="EH22" s="285"/>
      <c r="EI22" s="285"/>
      <c r="EJ22" s="285"/>
      <c r="EK22" s="285"/>
      <c r="EL22" s="285"/>
      <c r="EM22" s="285"/>
      <c r="EN22" s="285"/>
      <c r="EO22" s="285"/>
      <c r="EP22" s="285"/>
      <c r="EQ22" s="285"/>
      <c r="ER22" s="285"/>
      <c r="ES22" s="285"/>
      <c r="ET22" s="285"/>
      <c r="EU22" s="285"/>
      <c r="EV22" s="285"/>
      <c r="EW22" s="285"/>
      <c r="EX22" s="285"/>
      <c r="EY22" s="285"/>
      <c r="EZ22" s="285"/>
      <c r="FA22" s="285"/>
      <c r="FB22" s="285"/>
      <c r="FC22" s="285"/>
      <c r="FD22" s="285"/>
      <c r="FE22" s="285"/>
      <c r="FF22" s="285"/>
      <c r="FG22" s="285"/>
      <c r="FH22" s="285"/>
      <c r="FI22" s="285"/>
      <c r="FJ22" s="285"/>
      <c r="FK22" s="285"/>
      <c r="FL22" s="285"/>
      <c r="FM22" s="285"/>
      <c r="FN22" s="285"/>
      <c r="FO22" s="285"/>
      <c r="FP22" s="285"/>
      <c r="FQ22" s="285"/>
      <c r="FR22" s="285"/>
      <c r="FS22" s="285"/>
      <c r="FT22" s="285"/>
      <c r="FU22" s="285"/>
      <c r="FV22" s="285"/>
      <c r="FW22" s="285"/>
      <c r="FX22" s="285"/>
      <c r="FY22" s="285"/>
      <c r="FZ22" s="285"/>
      <c r="GA22" s="285"/>
      <c r="GB22" s="285"/>
      <c r="GC22" s="285"/>
      <c r="GD22" s="285"/>
      <c r="GE22" s="285"/>
      <c r="GF22" s="285"/>
      <c r="GG22" s="285"/>
      <c r="GH22" s="285"/>
      <c r="GI22" s="285"/>
      <c r="GJ22" s="285"/>
      <c r="GK22" s="285"/>
      <c r="GL22" s="285"/>
      <c r="GM22" s="285"/>
      <c r="GN22" s="285"/>
      <c r="GO22" s="285"/>
      <c r="GP22" s="285"/>
      <c r="GQ22" s="285"/>
      <c r="GR22" s="285"/>
      <c r="GS22" s="285"/>
      <c r="GT22" s="285"/>
      <c r="GU22" s="285"/>
      <c r="GV22" s="285"/>
      <c r="GW22" s="285"/>
      <c r="GX22" s="285"/>
      <c r="GY22" s="285"/>
      <c r="GZ22" s="285"/>
      <c r="HA22" s="285"/>
      <c r="HB22" s="285"/>
      <c r="HC22" s="285"/>
      <c r="HD22" s="285"/>
      <c r="HE22" s="285"/>
      <c r="HF22" s="285"/>
      <c r="HG22" s="285"/>
      <c r="HH22" s="285"/>
      <c r="HI22" s="285"/>
      <c r="HJ22" s="285"/>
      <c r="HK22" s="285"/>
      <c r="HL22" s="285"/>
      <c r="HM22" s="285"/>
    </row>
    <row r="23" spans="1:221" s="309" customFormat="1">
      <c r="A23" s="322"/>
      <c r="B23" s="323"/>
      <c r="C23" s="324" t="s">
        <v>159</v>
      </c>
      <c r="D23" s="324" t="s">
        <v>160</v>
      </c>
      <c r="E23" s="324" t="s">
        <v>65</v>
      </c>
      <c r="F23" s="324" t="s">
        <v>66</v>
      </c>
      <c r="G23" s="324" t="s">
        <v>67</v>
      </c>
      <c r="H23" s="324" t="s">
        <v>68</v>
      </c>
      <c r="I23" s="324" t="s">
        <v>519</v>
      </c>
      <c r="J23" s="324" t="s">
        <v>69</v>
      </c>
      <c r="K23" s="375">
        <f>+換算!C22/換算!S2</f>
        <v>3744.5239999999999</v>
      </c>
      <c r="L23" s="375">
        <f>+換算!D22/換算!S2</f>
        <v>3357.4733333333334</v>
      </c>
      <c r="M23" s="325" t="s">
        <v>70</v>
      </c>
      <c r="N23" s="375">
        <f>+換算!N22/換算!S2</f>
        <v>2084.69</v>
      </c>
      <c r="O23" s="375">
        <f>+換算!O22/換算!S2</f>
        <v>2045.721176470588</v>
      </c>
      <c r="P23" s="375">
        <f>+換算!J30/換算!S2</f>
        <v>1768.0521428571428</v>
      </c>
      <c r="Q23" s="375">
        <f>+換算!K30/換算!S2</f>
        <v>1756.126896551724</v>
      </c>
      <c r="R23" s="322"/>
      <c r="S23" s="323"/>
      <c r="T23" s="324" t="s">
        <v>520</v>
      </c>
      <c r="U23" s="324" t="s">
        <v>521</v>
      </c>
      <c r="V23" s="326" t="s">
        <v>522</v>
      </c>
      <c r="W23" s="326" t="s">
        <v>523</v>
      </c>
      <c r="X23" s="326" t="s">
        <v>524</v>
      </c>
      <c r="Y23" s="324" t="s">
        <v>525</v>
      </c>
      <c r="Z23" s="324" t="s">
        <v>526</v>
      </c>
      <c r="AA23" s="324" t="s">
        <v>527</v>
      </c>
      <c r="AB23" s="324" t="s">
        <v>528</v>
      </c>
      <c r="AC23" s="324" t="s">
        <v>529</v>
      </c>
      <c r="AD23" s="327" t="s">
        <v>70</v>
      </c>
      <c r="AE23" s="324" t="s">
        <v>530</v>
      </c>
      <c r="AF23" s="324" t="s">
        <v>531</v>
      </c>
      <c r="AG23" s="324" t="s">
        <v>532</v>
      </c>
      <c r="AH23" s="324" t="s">
        <v>514</v>
      </c>
      <c r="AI23" s="324" t="s">
        <v>513</v>
      </c>
      <c r="AJ23" s="285"/>
      <c r="AK23" s="285"/>
      <c r="AL23" s="285"/>
      <c r="AM23" s="285"/>
      <c r="AN23" s="285"/>
      <c r="AO23" s="285"/>
      <c r="AP23" s="285"/>
      <c r="AQ23" s="285"/>
      <c r="AR23" s="285"/>
      <c r="AS23" s="285"/>
      <c r="AT23" s="285"/>
      <c r="AU23" s="285"/>
      <c r="AV23" s="285"/>
      <c r="AW23" s="285"/>
      <c r="AX23" s="285"/>
      <c r="AY23" s="285"/>
      <c r="AZ23" s="285"/>
      <c r="BA23" s="285"/>
      <c r="BB23" s="285"/>
      <c r="BC23" s="285"/>
      <c r="BD23" s="285"/>
      <c r="BE23" s="285"/>
      <c r="BF23" s="285"/>
      <c r="BG23" s="285"/>
      <c r="BH23" s="285"/>
      <c r="BI23" s="285"/>
      <c r="BJ23" s="285"/>
      <c r="BK23" s="285"/>
      <c r="BL23" s="285"/>
      <c r="BM23" s="285"/>
      <c r="BN23" s="285"/>
      <c r="BO23" s="285"/>
      <c r="BP23" s="285"/>
      <c r="BQ23" s="285"/>
      <c r="BR23" s="285"/>
      <c r="BS23" s="285"/>
      <c r="BT23" s="285"/>
      <c r="BU23" s="285"/>
      <c r="BV23" s="285"/>
      <c r="BW23" s="285"/>
      <c r="BX23" s="285"/>
      <c r="BY23" s="285"/>
      <c r="BZ23" s="285"/>
      <c r="CA23" s="285"/>
      <c r="CB23" s="285"/>
      <c r="CC23" s="285"/>
      <c r="CD23" s="285"/>
      <c r="CE23" s="285"/>
      <c r="CF23" s="285"/>
      <c r="CG23" s="285"/>
      <c r="CH23" s="285"/>
      <c r="CI23" s="285"/>
      <c r="CJ23" s="285"/>
      <c r="CK23" s="285"/>
      <c r="CL23" s="285"/>
      <c r="CM23" s="285"/>
      <c r="CN23" s="285"/>
      <c r="CO23" s="285"/>
      <c r="CP23" s="285"/>
      <c r="CQ23" s="285"/>
      <c r="CR23" s="285"/>
      <c r="CS23" s="285"/>
      <c r="CT23" s="285"/>
      <c r="CU23" s="285"/>
      <c r="CV23" s="285"/>
      <c r="CW23" s="285"/>
      <c r="CX23" s="285"/>
      <c r="CY23" s="285"/>
      <c r="CZ23" s="285"/>
      <c r="DA23" s="285"/>
      <c r="DB23" s="285"/>
      <c r="DC23" s="285"/>
      <c r="DD23" s="285"/>
      <c r="DE23" s="285"/>
      <c r="DF23" s="285"/>
      <c r="DG23" s="285"/>
      <c r="DH23" s="285"/>
      <c r="DI23" s="285"/>
      <c r="DJ23" s="285"/>
      <c r="DK23" s="285"/>
      <c r="DL23" s="285"/>
      <c r="DM23" s="285"/>
      <c r="DN23" s="285"/>
      <c r="DO23" s="285"/>
      <c r="DP23" s="285"/>
      <c r="DQ23" s="285"/>
      <c r="DR23" s="285"/>
      <c r="DS23" s="285"/>
      <c r="DT23" s="285"/>
      <c r="DU23" s="285"/>
      <c r="DV23" s="285"/>
      <c r="DW23" s="285"/>
      <c r="DX23" s="285"/>
      <c r="DY23" s="285"/>
      <c r="DZ23" s="285"/>
      <c r="EA23" s="285"/>
      <c r="EB23" s="285"/>
      <c r="EC23" s="285"/>
      <c r="ED23" s="285"/>
      <c r="EE23" s="285"/>
      <c r="EF23" s="285"/>
      <c r="EG23" s="285"/>
      <c r="EH23" s="285"/>
      <c r="EI23" s="285"/>
      <c r="EJ23" s="285"/>
      <c r="EK23" s="285"/>
      <c r="EL23" s="285"/>
      <c r="EM23" s="285"/>
      <c r="EN23" s="285"/>
      <c r="EO23" s="285"/>
      <c r="EP23" s="285"/>
      <c r="EQ23" s="285"/>
      <c r="ER23" s="285"/>
      <c r="ES23" s="285"/>
      <c r="ET23" s="285"/>
      <c r="EU23" s="285"/>
      <c r="EV23" s="285"/>
      <c r="EW23" s="285"/>
      <c r="EX23" s="285"/>
      <c r="EY23" s="285"/>
      <c r="EZ23" s="285"/>
      <c r="FA23" s="285"/>
      <c r="FB23" s="285"/>
      <c r="FC23" s="285"/>
      <c r="FD23" s="285"/>
      <c r="FE23" s="285"/>
      <c r="FF23" s="285"/>
      <c r="FG23" s="285"/>
      <c r="FH23" s="285"/>
      <c r="FI23" s="285"/>
      <c r="FJ23" s="285"/>
      <c r="FK23" s="285"/>
      <c r="FL23" s="285"/>
      <c r="FM23" s="285"/>
      <c r="FN23" s="285"/>
      <c r="FO23" s="285"/>
      <c r="FP23" s="285"/>
      <c r="FQ23" s="285"/>
      <c r="FR23" s="285"/>
      <c r="FS23" s="285"/>
      <c r="FT23" s="285"/>
      <c r="FU23" s="285"/>
      <c r="FV23" s="285"/>
      <c r="FW23" s="285"/>
      <c r="FX23" s="285"/>
      <c r="FY23" s="285"/>
      <c r="FZ23" s="285"/>
      <c r="GA23" s="285"/>
      <c r="GB23" s="285"/>
      <c r="GC23" s="285"/>
      <c r="GD23" s="285"/>
      <c r="GE23" s="285"/>
      <c r="GF23" s="285"/>
      <c r="GG23" s="285"/>
      <c r="GH23" s="285"/>
      <c r="GI23" s="285"/>
      <c r="GJ23" s="285"/>
      <c r="GK23" s="285"/>
      <c r="GL23" s="285"/>
      <c r="GM23" s="285"/>
      <c r="GN23" s="285"/>
      <c r="GO23" s="285"/>
      <c r="GP23" s="285"/>
      <c r="GQ23" s="285"/>
      <c r="GR23" s="285"/>
      <c r="GS23" s="285"/>
      <c r="GT23" s="285"/>
      <c r="GU23" s="285"/>
      <c r="GV23" s="285"/>
      <c r="GW23" s="285"/>
      <c r="GX23" s="285"/>
      <c r="GY23" s="285"/>
      <c r="GZ23" s="285"/>
      <c r="HA23" s="285"/>
      <c r="HB23" s="285"/>
      <c r="HC23" s="285"/>
      <c r="HD23" s="285"/>
      <c r="HE23" s="285"/>
      <c r="HF23" s="285"/>
      <c r="HG23" s="285"/>
      <c r="HH23" s="285"/>
      <c r="HI23" s="285"/>
      <c r="HJ23" s="285"/>
      <c r="HK23" s="285"/>
      <c r="HL23" s="285"/>
      <c r="HM23" s="285"/>
    </row>
    <row r="24" spans="1:221" s="309" customFormat="1" ht="16.5" customHeight="1">
      <c r="A24" s="130" t="s">
        <v>533</v>
      </c>
      <c r="B24" s="328"/>
      <c r="C24" s="54"/>
      <c r="D24" s="54"/>
      <c r="E24" s="54"/>
      <c r="F24" s="54"/>
      <c r="G24" s="54"/>
      <c r="H24" s="54"/>
      <c r="I24" s="54"/>
      <c r="J24" s="54"/>
      <c r="K24" s="329" t="s">
        <v>532</v>
      </c>
      <c r="L24" s="329" t="s">
        <v>531</v>
      </c>
      <c r="M24" s="233"/>
      <c r="N24" s="329" t="s">
        <v>534</v>
      </c>
      <c r="O24" s="329" t="s">
        <v>535</v>
      </c>
      <c r="P24" s="329" t="s">
        <v>536</v>
      </c>
      <c r="Q24" s="329" t="s">
        <v>537</v>
      </c>
      <c r="R24" s="130" t="s">
        <v>533</v>
      </c>
      <c r="S24" s="328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285"/>
      <c r="AK24" s="285"/>
      <c r="AL24" s="285"/>
      <c r="AM24" s="285"/>
      <c r="AN24" s="285"/>
      <c r="AO24" s="285"/>
      <c r="AP24" s="285"/>
      <c r="AQ24" s="285"/>
      <c r="AR24" s="285"/>
      <c r="AS24" s="285"/>
      <c r="AT24" s="285"/>
      <c r="AU24" s="285"/>
      <c r="AV24" s="285"/>
      <c r="AW24" s="285"/>
      <c r="AX24" s="285"/>
      <c r="AY24" s="285"/>
      <c r="AZ24" s="285"/>
      <c r="BA24" s="285"/>
      <c r="BB24" s="285"/>
      <c r="BC24" s="285"/>
      <c r="BD24" s="285"/>
      <c r="BE24" s="285"/>
      <c r="BF24" s="285"/>
      <c r="BG24" s="285"/>
      <c r="BH24" s="285"/>
      <c r="BI24" s="285"/>
      <c r="BJ24" s="285"/>
      <c r="BK24" s="285"/>
      <c r="BL24" s="285"/>
      <c r="BM24" s="285"/>
      <c r="BN24" s="285"/>
      <c r="BO24" s="285"/>
      <c r="BP24" s="285"/>
      <c r="BQ24" s="285"/>
      <c r="BR24" s="285"/>
      <c r="BS24" s="285"/>
      <c r="BT24" s="285"/>
      <c r="BU24" s="285"/>
      <c r="BV24" s="285"/>
      <c r="BW24" s="285"/>
      <c r="BX24" s="285"/>
      <c r="BY24" s="285"/>
      <c r="BZ24" s="285"/>
      <c r="CA24" s="285"/>
      <c r="CB24" s="285"/>
      <c r="CC24" s="285"/>
      <c r="CD24" s="285"/>
      <c r="CE24" s="285"/>
      <c r="CF24" s="285"/>
      <c r="CG24" s="285"/>
      <c r="CH24" s="285"/>
      <c r="CI24" s="285"/>
      <c r="CJ24" s="285"/>
      <c r="CK24" s="285"/>
      <c r="CL24" s="285"/>
      <c r="CM24" s="285"/>
      <c r="CN24" s="285"/>
      <c r="CO24" s="285"/>
      <c r="CP24" s="285"/>
      <c r="CQ24" s="285"/>
      <c r="CR24" s="285"/>
      <c r="CS24" s="285"/>
      <c r="CT24" s="285"/>
      <c r="CU24" s="285"/>
      <c r="CV24" s="285"/>
      <c r="CW24" s="285"/>
      <c r="CX24" s="285"/>
      <c r="CY24" s="285"/>
      <c r="CZ24" s="285"/>
      <c r="DA24" s="285"/>
      <c r="DB24" s="285"/>
      <c r="DC24" s="285"/>
      <c r="DD24" s="285"/>
      <c r="DE24" s="285"/>
      <c r="DF24" s="285"/>
      <c r="DG24" s="285"/>
      <c r="DH24" s="285"/>
      <c r="DI24" s="285"/>
      <c r="DJ24" s="285"/>
      <c r="DK24" s="285"/>
      <c r="DL24" s="285"/>
      <c r="DM24" s="285"/>
      <c r="DN24" s="285"/>
      <c r="DO24" s="285"/>
      <c r="DP24" s="285"/>
      <c r="DQ24" s="285"/>
      <c r="DR24" s="285"/>
      <c r="DS24" s="285"/>
      <c r="DT24" s="285"/>
      <c r="DU24" s="285"/>
      <c r="DV24" s="285"/>
      <c r="DW24" s="285"/>
      <c r="DX24" s="285"/>
      <c r="DY24" s="285"/>
      <c r="DZ24" s="285"/>
      <c r="EA24" s="285"/>
      <c r="EB24" s="285"/>
      <c r="EC24" s="285"/>
      <c r="ED24" s="285"/>
      <c r="EE24" s="285"/>
      <c r="EF24" s="285"/>
      <c r="EG24" s="285"/>
      <c r="EH24" s="285"/>
      <c r="EI24" s="285"/>
      <c r="EJ24" s="285"/>
      <c r="EK24" s="285"/>
      <c r="EL24" s="285"/>
      <c r="EM24" s="285"/>
      <c r="EN24" s="285"/>
      <c r="EO24" s="285"/>
      <c r="EP24" s="285"/>
      <c r="EQ24" s="285"/>
      <c r="ER24" s="285"/>
      <c r="ES24" s="285"/>
      <c r="ET24" s="285"/>
      <c r="EU24" s="285"/>
      <c r="EV24" s="285"/>
      <c r="EW24" s="285"/>
      <c r="EX24" s="285"/>
      <c r="EY24" s="285"/>
      <c r="EZ24" s="285"/>
      <c r="FA24" s="285"/>
      <c r="FB24" s="285"/>
      <c r="FC24" s="285"/>
      <c r="FD24" s="285"/>
      <c r="FE24" s="285"/>
      <c r="FF24" s="285"/>
      <c r="FG24" s="285"/>
      <c r="FH24" s="285"/>
      <c r="FI24" s="285"/>
      <c r="FJ24" s="285"/>
      <c r="FK24" s="285"/>
      <c r="FL24" s="285"/>
      <c r="FM24" s="285"/>
      <c r="FN24" s="285"/>
      <c r="FO24" s="285"/>
      <c r="FP24" s="285"/>
      <c r="FQ24" s="285"/>
      <c r="FR24" s="285"/>
      <c r="FS24" s="285"/>
      <c r="FT24" s="285"/>
      <c r="FU24" s="285"/>
      <c r="FV24" s="285"/>
      <c r="FW24" s="285"/>
      <c r="FX24" s="285"/>
      <c r="FY24" s="285"/>
      <c r="FZ24" s="285"/>
      <c r="GA24" s="285"/>
      <c r="GB24" s="285"/>
      <c r="GC24" s="285"/>
      <c r="GD24" s="285"/>
      <c r="GE24" s="285"/>
      <c r="GF24" s="285"/>
      <c r="GG24" s="285"/>
      <c r="GH24" s="285"/>
      <c r="GI24" s="285"/>
      <c r="GJ24" s="285"/>
      <c r="GK24" s="285"/>
      <c r="GL24" s="285"/>
      <c r="GM24" s="285"/>
      <c r="GN24" s="285"/>
      <c r="GO24" s="285"/>
      <c r="GP24" s="285"/>
      <c r="GQ24" s="285"/>
      <c r="GR24" s="285"/>
      <c r="GS24" s="285"/>
      <c r="GT24" s="285"/>
      <c r="GU24" s="285"/>
      <c r="GV24" s="285"/>
      <c r="GW24" s="285"/>
      <c r="GX24" s="285"/>
      <c r="GY24" s="285"/>
      <c r="GZ24" s="285"/>
      <c r="HA24" s="285"/>
      <c r="HB24" s="285"/>
      <c r="HC24" s="285"/>
      <c r="HD24" s="285"/>
      <c r="HE24" s="285"/>
      <c r="HF24" s="285"/>
      <c r="HG24" s="285"/>
      <c r="HH24" s="285"/>
      <c r="HI24" s="285"/>
      <c r="HJ24" s="285"/>
      <c r="HK24" s="285"/>
      <c r="HL24" s="285"/>
      <c r="HM24" s="285"/>
    </row>
    <row r="25" spans="1:221" s="309" customFormat="1">
      <c r="A25" s="130" t="s">
        <v>533</v>
      </c>
      <c r="B25" s="328"/>
      <c r="C25" s="54"/>
      <c r="D25" s="54"/>
      <c r="E25" s="54"/>
      <c r="F25" s="54"/>
      <c r="G25" s="54"/>
      <c r="H25" s="54"/>
      <c r="I25" s="54"/>
      <c r="J25" s="54"/>
      <c r="K25" s="375">
        <f>+換算!E22/換算!S2</f>
        <v>3081.0085714285715</v>
      </c>
      <c r="L25" s="375">
        <f>+換算!F22/換算!S2</f>
        <v>2873.66</v>
      </c>
      <c r="M25" s="233"/>
      <c r="N25" s="375">
        <f>+換算!P22/換算!S2</f>
        <v>2011.0822222222221</v>
      </c>
      <c r="O25" s="375">
        <f>+換算!Q22/換算!S2</f>
        <v>1980.0894736842106</v>
      </c>
      <c r="P25" s="375">
        <f>+換算!M30/換算!S2</f>
        <v>1780.4625806451613</v>
      </c>
      <c r="Q25" s="375">
        <f>+換算!N30/換算!S2</f>
        <v>1769.2674999999999</v>
      </c>
      <c r="R25" s="130" t="s">
        <v>533</v>
      </c>
      <c r="S25" s="328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285"/>
      <c r="AK25" s="285"/>
      <c r="AL25" s="285"/>
      <c r="AM25" s="285"/>
      <c r="AN25" s="285"/>
      <c r="AO25" s="285"/>
      <c r="AP25" s="285"/>
      <c r="AQ25" s="285"/>
      <c r="AR25" s="285"/>
      <c r="AS25" s="285"/>
      <c r="AT25" s="285"/>
      <c r="AU25" s="285"/>
      <c r="AV25" s="285"/>
      <c r="AW25" s="285"/>
      <c r="AX25" s="285"/>
      <c r="AY25" s="285"/>
      <c r="AZ25" s="285"/>
      <c r="BA25" s="285"/>
      <c r="BB25" s="285"/>
      <c r="BC25" s="285"/>
      <c r="BD25" s="285"/>
      <c r="BE25" s="285"/>
      <c r="BF25" s="285"/>
      <c r="BG25" s="285"/>
      <c r="BH25" s="285"/>
      <c r="BI25" s="285"/>
      <c r="BJ25" s="285"/>
      <c r="BK25" s="285"/>
      <c r="BL25" s="285"/>
      <c r="BM25" s="285"/>
      <c r="BN25" s="285"/>
      <c r="BO25" s="285"/>
      <c r="BP25" s="285"/>
      <c r="BQ25" s="285"/>
      <c r="BR25" s="285"/>
      <c r="BS25" s="285"/>
      <c r="BT25" s="285"/>
      <c r="BU25" s="285"/>
      <c r="BV25" s="285"/>
      <c r="BW25" s="285"/>
      <c r="BX25" s="285"/>
      <c r="BY25" s="285"/>
      <c r="BZ25" s="285"/>
      <c r="CA25" s="285"/>
      <c r="CB25" s="285"/>
      <c r="CC25" s="285"/>
      <c r="CD25" s="285"/>
      <c r="CE25" s="285"/>
      <c r="CF25" s="285"/>
      <c r="CG25" s="285"/>
      <c r="CH25" s="285"/>
      <c r="CI25" s="285"/>
      <c r="CJ25" s="285"/>
      <c r="CK25" s="285"/>
      <c r="CL25" s="285"/>
      <c r="CM25" s="285"/>
      <c r="CN25" s="285"/>
      <c r="CO25" s="285"/>
      <c r="CP25" s="285"/>
      <c r="CQ25" s="285"/>
      <c r="CR25" s="285"/>
      <c r="CS25" s="285"/>
      <c r="CT25" s="285"/>
      <c r="CU25" s="285"/>
      <c r="CV25" s="285"/>
      <c r="CW25" s="285"/>
      <c r="CX25" s="285"/>
      <c r="CY25" s="285"/>
      <c r="CZ25" s="285"/>
      <c r="DA25" s="285"/>
      <c r="DB25" s="285"/>
      <c r="DC25" s="285"/>
      <c r="DD25" s="285"/>
      <c r="DE25" s="285"/>
      <c r="DF25" s="285"/>
      <c r="DG25" s="285"/>
      <c r="DH25" s="285"/>
      <c r="DI25" s="285"/>
      <c r="DJ25" s="285"/>
      <c r="DK25" s="285"/>
      <c r="DL25" s="285"/>
      <c r="DM25" s="285"/>
      <c r="DN25" s="285"/>
      <c r="DO25" s="285"/>
      <c r="DP25" s="285"/>
      <c r="DQ25" s="285"/>
      <c r="DR25" s="285"/>
      <c r="DS25" s="285"/>
      <c r="DT25" s="285"/>
      <c r="DU25" s="285"/>
      <c r="DV25" s="285"/>
      <c r="DW25" s="285"/>
      <c r="DX25" s="285"/>
      <c r="DY25" s="285"/>
      <c r="DZ25" s="285"/>
      <c r="EA25" s="285"/>
      <c r="EB25" s="285"/>
      <c r="EC25" s="285"/>
      <c r="ED25" s="285"/>
      <c r="EE25" s="285"/>
      <c r="EF25" s="285"/>
      <c r="EG25" s="285"/>
      <c r="EH25" s="285"/>
      <c r="EI25" s="285"/>
      <c r="EJ25" s="285"/>
      <c r="EK25" s="285"/>
      <c r="EL25" s="285"/>
      <c r="EM25" s="285"/>
      <c r="EN25" s="285"/>
      <c r="EO25" s="285"/>
      <c r="EP25" s="285"/>
      <c r="EQ25" s="285"/>
      <c r="ER25" s="285"/>
      <c r="ES25" s="285"/>
      <c r="ET25" s="285"/>
      <c r="EU25" s="285"/>
      <c r="EV25" s="285"/>
      <c r="EW25" s="285"/>
      <c r="EX25" s="285"/>
      <c r="EY25" s="285"/>
      <c r="EZ25" s="285"/>
      <c r="FA25" s="285"/>
      <c r="FB25" s="285"/>
      <c r="FC25" s="285"/>
      <c r="FD25" s="285"/>
      <c r="FE25" s="285"/>
      <c r="FF25" s="285"/>
      <c r="FG25" s="285"/>
      <c r="FH25" s="285"/>
      <c r="FI25" s="285"/>
      <c r="FJ25" s="285"/>
      <c r="FK25" s="285"/>
      <c r="FL25" s="285"/>
      <c r="FM25" s="285"/>
      <c r="FN25" s="285"/>
      <c r="FO25" s="285"/>
      <c r="FP25" s="285"/>
      <c r="FQ25" s="285"/>
      <c r="FR25" s="285"/>
      <c r="FS25" s="285"/>
      <c r="FT25" s="285"/>
      <c r="FU25" s="285"/>
      <c r="FV25" s="285"/>
      <c r="FW25" s="285"/>
      <c r="FX25" s="285"/>
      <c r="FY25" s="285"/>
      <c r="FZ25" s="285"/>
      <c r="GA25" s="285"/>
      <c r="GB25" s="285"/>
      <c r="GC25" s="285"/>
      <c r="GD25" s="285"/>
      <c r="GE25" s="285"/>
      <c r="GF25" s="285"/>
      <c r="GG25" s="285"/>
      <c r="GH25" s="285"/>
      <c r="GI25" s="285"/>
      <c r="GJ25" s="285"/>
      <c r="GK25" s="285"/>
      <c r="GL25" s="285"/>
      <c r="GM25" s="285"/>
      <c r="GN25" s="285"/>
      <c r="GO25" s="285"/>
      <c r="GP25" s="285"/>
      <c r="GQ25" s="285"/>
      <c r="GR25" s="285"/>
      <c r="GS25" s="285"/>
      <c r="GT25" s="285"/>
      <c r="GU25" s="285"/>
      <c r="GV25" s="285"/>
      <c r="GW25" s="285"/>
      <c r="GX25" s="285"/>
      <c r="GY25" s="285"/>
      <c r="GZ25" s="285"/>
      <c r="HA25" s="285"/>
      <c r="HB25" s="285"/>
      <c r="HC25" s="285"/>
      <c r="HD25" s="285"/>
      <c r="HE25" s="285"/>
      <c r="HF25" s="285"/>
      <c r="HG25" s="285"/>
      <c r="HH25" s="285"/>
      <c r="HI25" s="285"/>
      <c r="HJ25" s="285"/>
      <c r="HK25" s="285"/>
      <c r="HL25" s="285"/>
      <c r="HM25" s="285"/>
    </row>
    <row r="26" spans="1:221" s="309" customFormat="1">
      <c r="A26" s="130" t="s">
        <v>533</v>
      </c>
      <c r="B26" s="328"/>
      <c r="C26" s="54"/>
      <c r="D26" s="54"/>
      <c r="E26" s="54"/>
      <c r="F26" s="54"/>
      <c r="G26" s="54"/>
      <c r="H26" s="54"/>
      <c r="I26" s="54"/>
      <c r="J26" s="54"/>
      <c r="K26" s="329" t="s">
        <v>530</v>
      </c>
      <c r="L26" s="329" t="s">
        <v>69</v>
      </c>
      <c r="M26" s="233"/>
      <c r="N26" s="329" t="s">
        <v>538</v>
      </c>
      <c r="O26" s="329" t="s">
        <v>539</v>
      </c>
      <c r="P26" s="329" t="s">
        <v>540</v>
      </c>
      <c r="Q26" s="329" t="s">
        <v>541</v>
      </c>
      <c r="R26" s="130" t="s">
        <v>533</v>
      </c>
      <c r="S26" s="328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285"/>
      <c r="AK26" s="285"/>
      <c r="AL26" s="285"/>
      <c r="AM26" s="285"/>
      <c r="AN26" s="285"/>
      <c r="AO26" s="285"/>
      <c r="AP26" s="285"/>
      <c r="AQ26" s="285"/>
      <c r="AR26" s="285"/>
      <c r="AS26" s="285"/>
      <c r="AT26" s="285"/>
      <c r="AU26" s="285"/>
      <c r="AV26" s="285"/>
      <c r="AW26" s="285"/>
      <c r="AX26" s="285"/>
      <c r="AY26" s="285"/>
      <c r="AZ26" s="285"/>
      <c r="BA26" s="285"/>
      <c r="BB26" s="285"/>
      <c r="BC26" s="285"/>
      <c r="BD26" s="285"/>
      <c r="BE26" s="285"/>
      <c r="BF26" s="285"/>
      <c r="BG26" s="285"/>
      <c r="BH26" s="285"/>
      <c r="BI26" s="285"/>
      <c r="BJ26" s="285"/>
      <c r="BK26" s="285"/>
      <c r="BL26" s="285"/>
      <c r="BM26" s="285"/>
      <c r="BN26" s="285"/>
      <c r="BO26" s="285"/>
      <c r="BP26" s="285"/>
      <c r="BQ26" s="285"/>
      <c r="BR26" s="285"/>
      <c r="BS26" s="285"/>
      <c r="BT26" s="285"/>
      <c r="BU26" s="285"/>
      <c r="BV26" s="285"/>
      <c r="BW26" s="285"/>
      <c r="BX26" s="285"/>
      <c r="BY26" s="285"/>
      <c r="BZ26" s="285"/>
      <c r="CA26" s="285"/>
      <c r="CB26" s="285"/>
      <c r="CC26" s="285"/>
      <c r="CD26" s="285"/>
      <c r="CE26" s="285"/>
      <c r="CF26" s="285"/>
      <c r="CG26" s="285"/>
      <c r="CH26" s="285"/>
      <c r="CI26" s="285"/>
      <c r="CJ26" s="285"/>
      <c r="CK26" s="285"/>
      <c r="CL26" s="285"/>
      <c r="CM26" s="285"/>
      <c r="CN26" s="285"/>
      <c r="CO26" s="285"/>
      <c r="CP26" s="285"/>
      <c r="CQ26" s="285"/>
      <c r="CR26" s="285"/>
      <c r="CS26" s="285"/>
      <c r="CT26" s="285"/>
      <c r="CU26" s="285"/>
      <c r="CV26" s="285"/>
      <c r="CW26" s="285"/>
      <c r="CX26" s="285"/>
      <c r="CY26" s="285"/>
      <c r="CZ26" s="285"/>
      <c r="DA26" s="285"/>
      <c r="DB26" s="285"/>
      <c r="DC26" s="285"/>
      <c r="DD26" s="285"/>
      <c r="DE26" s="285"/>
      <c r="DF26" s="285"/>
      <c r="DG26" s="285"/>
      <c r="DH26" s="285"/>
      <c r="DI26" s="285"/>
      <c r="DJ26" s="285"/>
      <c r="DK26" s="285"/>
      <c r="DL26" s="285"/>
      <c r="DM26" s="285"/>
      <c r="DN26" s="285"/>
      <c r="DO26" s="285"/>
      <c r="DP26" s="285"/>
      <c r="DQ26" s="285"/>
      <c r="DR26" s="285"/>
      <c r="DS26" s="285"/>
      <c r="DT26" s="285"/>
      <c r="DU26" s="285"/>
      <c r="DV26" s="285"/>
      <c r="DW26" s="285"/>
      <c r="DX26" s="285"/>
      <c r="DY26" s="285"/>
      <c r="DZ26" s="285"/>
      <c r="EA26" s="285"/>
      <c r="EB26" s="285"/>
      <c r="EC26" s="285"/>
      <c r="ED26" s="285"/>
      <c r="EE26" s="285"/>
      <c r="EF26" s="285"/>
      <c r="EG26" s="285"/>
      <c r="EH26" s="285"/>
      <c r="EI26" s="285"/>
      <c r="EJ26" s="285"/>
      <c r="EK26" s="285"/>
      <c r="EL26" s="285"/>
      <c r="EM26" s="285"/>
      <c r="EN26" s="285"/>
      <c r="EO26" s="285"/>
      <c r="EP26" s="285"/>
      <c r="EQ26" s="285"/>
      <c r="ER26" s="285"/>
      <c r="ES26" s="285"/>
      <c r="ET26" s="285"/>
      <c r="EU26" s="285"/>
      <c r="EV26" s="285"/>
      <c r="EW26" s="285"/>
      <c r="EX26" s="285"/>
      <c r="EY26" s="285"/>
      <c r="EZ26" s="285"/>
      <c r="FA26" s="285"/>
      <c r="FB26" s="285"/>
      <c r="FC26" s="285"/>
      <c r="FD26" s="285"/>
      <c r="FE26" s="285"/>
      <c r="FF26" s="285"/>
      <c r="FG26" s="285"/>
      <c r="FH26" s="285"/>
      <c r="FI26" s="285"/>
      <c r="FJ26" s="285"/>
      <c r="FK26" s="285"/>
      <c r="FL26" s="285"/>
      <c r="FM26" s="285"/>
      <c r="FN26" s="285"/>
      <c r="FO26" s="285"/>
      <c r="FP26" s="285"/>
      <c r="FQ26" s="285"/>
      <c r="FR26" s="285"/>
      <c r="FS26" s="285"/>
      <c r="FT26" s="285"/>
      <c r="FU26" s="285"/>
      <c r="FV26" s="285"/>
      <c r="FW26" s="285"/>
      <c r="FX26" s="285"/>
      <c r="FY26" s="285"/>
      <c r="FZ26" s="285"/>
      <c r="GA26" s="285"/>
      <c r="GB26" s="285"/>
      <c r="GC26" s="285"/>
      <c r="GD26" s="285"/>
      <c r="GE26" s="285"/>
      <c r="GF26" s="285"/>
      <c r="GG26" s="285"/>
      <c r="GH26" s="285"/>
      <c r="GI26" s="285"/>
      <c r="GJ26" s="285"/>
      <c r="GK26" s="285"/>
      <c r="GL26" s="285"/>
      <c r="GM26" s="285"/>
      <c r="GN26" s="285"/>
      <c r="GO26" s="285"/>
      <c r="GP26" s="285"/>
      <c r="GQ26" s="285"/>
      <c r="GR26" s="285"/>
      <c r="GS26" s="285"/>
      <c r="GT26" s="285"/>
      <c r="GU26" s="285"/>
      <c r="GV26" s="285"/>
      <c r="GW26" s="285"/>
      <c r="GX26" s="285"/>
      <c r="GY26" s="285"/>
      <c r="GZ26" s="285"/>
      <c r="HA26" s="285"/>
      <c r="HB26" s="285"/>
      <c r="HC26" s="285"/>
      <c r="HD26" s="285"/>
      <c r="HE26" s="285"/>
      <c r="HF26" s="285"/>
      <c r="HG26" s="285"/>
      <c r="HH26" s="285"/>
      <c r="HI26" s="285"/>
      <c r="HJ26" s="285"/>
      <c r="HK26" s="285"/>
      <c r="HL26" s="285"/>
      <c r="HM26" s="285"/>
    </row>
    <row r="27" spans="1:221" s="309" customFormat="1">
      <c r="A27" s="330" t="s">
        <v>542</v>
      </c>
      <c r="B27" s="331"/>
      <c r="C27" s="228">
        <v>150</v>
      </c>
      <c r="D27" s="228">
        <v>150</v>
      </c>
      <c r="E27" s="228">
        <v>160</v>
      </c>
      <c r="F27" s="228">
        <v>150</v>
      </c>
      <c r="G27" s="228" t="s">
        <v>4864</v>
      </c>
      <c r="H27" s="228"/>
      <c r="I27" s="228"/>
      <c r="J27" s="228"/>
      <c r="K27" s="375">
        <f>+換算!G22/換算!S2</f>
        <v>2712.3888888888887</v>
      </c>
      <c r="L27" s="375">
        <f>+換算!H22/換算!S2</f>
        <v>2532.7719999999999</v>
      </c>
      <c r="M27" s="234">
        <v>100</v>
      </c>
      <c r="N27" s="375">
        <f>+換算!C30/換算!S2</f>
        <v>1883.3295238095238</v>
      </c>
      <c r="O27" s="375">
        <f>+換算!D30/換算!S2</f>
        <v>1862.3700000000001</v>
      </c>
      <c r="P27" s="375">
        <f>+換算!O30/換算!S2</f>
        <v>1758.7509090909091</v>
      </c>
      <c r="Q27" s="375">
        <f>+換算!P30/換算!S2</f>
        <v>1748.8529411764705</v>
      </c>
      <c r="R27" s="131" t="s">
        <v>542</v>
      </c>
      <c r="S27" s="132"/>
      <c r="T27" s="55"/>
      <c r="U27" s="55"/>
      <c r="V27" s="55"/>
      <c r="W27" s="55"/>
      <c r="X27" s="55"/>
      <c r="Y27" s="55" t="s">
        <v>135</v>
      </c>
      <c r="Z27" s="55" t="s">
        <v>135</v>
      </c>
      <c r="AA27" s="55" t="s">
        <v>73</v>
      </c>
      <c r="AB27" s="55" t="s">
        <v>73</v>
      </c>
      <c r="AC27" s="55"/>
      <c r="AD27" s="55" t="s">
        <v>135</v>
      </c>
      <c r="AE27" s="55"/>
      <c r="AF27" s="55"/>
      <c r="AG27" s="55"/>
      <c r="AH27" s="55"/>
      <c r="AI27" s="55"/>
      <c r="AJ27" s="285"/>
      <c r="AK27" s="285"/>
      <c r="AL27" s="285"/>
      <c r="AM27" s="285"/>
      <c r="AN27" s="285"/>
      <c r="AO27" s="285"/>
      <c r="AP27" s="285"/>
      <c r="AQ27" s="285"/>
      <c r="AR27" s="285"/>
      <c r="AS27" s="285"/>
      <c r="AT27" s="285"/>
      <c r="AU27" s="285"/>
      <c r="AV27" s="285"/>
      <c r="AW27" s="285"/>
      <c r="AX27" s="285"/>
      <c r="AY27" s="285"/>
      <c r="AZ27" s="285"/>
      <c r="BA27" s="285"/>
      <c r="BB27" s="285"/>
      <c r="BC27" s="285"/>
      <c r="BD27" s="285"/>
      <c r="BE27" s="285"/>
      <c r="BF27" s="285"/>
      <c r="BG27" s="285"/>
      <c r="BH27" s="285"/>
      <c r="BI27" s="285"/>
      <c r="BJ27" s="285"/>
      <c r="BK27" s="285"/>
      <c r="BL27" s="285"/>
      <c r="BM27" s="285"/>
      <c r="BN27" s="285"/>
      <c r="BO27" s="285"/>
      <c r="BP27" s="285"/>
      <c r="BQ27" s="285"/>
      <c r="BR27" s="285"/>
      <c r="BS27" s="285"/>
      <c r="BT27" s="285"/>
      <c r="BU27" s="285"/>
      <c r="BV27" s="285"/>
      <c r="BW27" s="285"/>
      <c r="BX27" s="285"/>
      <c r="BY27" s="285"/>
      <c r="BZ27" s="285"/>
      <c r="CA27" s="285"/>
      <c r="CB27" s="285"/>
      <c r="CC27" s="285"/>
      <c r="CD27" s="285"/>
      <c r="CE27" s="285"/>
      <c r="CF27" s="285"/>
      <c r="CG27" s="285"/>
      <c r="CH27" s="285"/>
      <c r="CI27" s="285"/>
      <c r="CJ27" s="285"/>
      <c r="CK27" s="285"/>
      <c r="CL27" s="285"/>
      <c r="CM27" s="285"/>
      <c r="CN27" s="285"/>
      <c r="CO27" s="285"/>
      <c r="CP27" s="285"/>
      <c r="CQ27" s="285"/>
      <c r="CR27" s="285"/>
      <c r="CS27" s="285"/>
      <c r="CT27" s="285"/>
      <c r="CU27" s="285"/>
      <c r="CV27" s="285"/>
      <c r="CW27" s="285"/>
      <c r="CX27" s="285"/>
      <c r="CY27" s="285"/>
      <c r="CZ27" s="285"/>
      <c r="DA27" s="285"/>
      <c r="DB27" s="285"/>
      <c r="DC27" s="285"/>
      <c r="DD27" s="285"/>
      <c r="DE27" s="285"/>
      <c r="DF27" s="285"/>
      <c r="DG27" s="285"/>
      <c r="DH27" s="285"/>
      <c r="DI27" s="285"/>
      <c r="DJ27" s="285"/>
      <c r="DK27" s="285"/>
      <c r="DL27" s="285"/>
      <c r="DM27" s="285"/>
      <c r="DN27" s="285"/>
      <c r="DO27" s="285"/>
      <c r="DP27" s="285"/>
      <c r="DQ27" s="285"/>
      <c r="DR27" s="285"/>
      <c r="DS27" s="285"/>
      <c r="DT27" s="285"/>
      <c r="DU27" s="285"/>
      <c r="DV27" s="285"/>
      <c r="DW27" s="285"/>
      <c r="DX27" s="285"/>
      <c r="DY27" s="285"/>
      <c r="DZ27" s="285"/>
      <c r="EA27" s="285"/>
      <c r="EB27" s="285"/>
      <c r="EC27" s="285"/>
      <c r="ED27" s="285"/>
      <c r="EE27" s="285"/>
      <c r="EF27" s="285"/>
      <c r="EG27" s="285"/>
      <c r="EH27" s="285"/>
      <c r="EI27" s="285"/>
      <c r="EJ27" s="285"/>
      <c r="EK27" s="285"/>
      <c r="EL27" s="285"/>
      <c r="EM27" s="285"/>
      <c r="EN27" s="285"/>
      <c r="EO27" s="285"/>
      <c r="EP27" s="285"/>
      <c r="EQ27" s="285"/>
      <c r="ER27" s="285"/>
      <c r="ES27" s="285"/>
      <c r="ET27" s="285"/>
      <c r="EU27" s="285"/>
      <c r="EV27" s="285"/>
      <c r="EW27" s="285"/>
      <c r="EX27" s="285"/>
      <c r="EY27" s="285"/>
      <c r="EZ27" s="285"/>
      <c r="FA27" s="285"/>
      <c r="FB27" s="285"/>
      <c r="FC27" s="285"/>
      <c r="FD27" s="285"/>
      <c r="FE27" s="285"/>
      <c r="FF27" s="285"/>
      <c r="FG27" s="285"/>
      <c r="FH27" s="285"/>
      <c r="FI27" s="285"/>
      <c r="FJ27" s="285"/>
      <c r="FK27" s="285"/>
      <c r="FL27" s="285"/>
      <c r="FM27" s="285"/>
      <c r="FN27" s="285"/>
      <c r="FO27" s="285"/>
      <c r="FP27" s="285"/>
      <c r="FQ27" s="285"/>
      <c r="FR27" s="285"/>
      <c r="FS27" s="285"/>
      <c r="FT27" s="285"/>
      <c r="FU27" s="285"/>
      <c r="FV27" s="285"/>
      <c r="FW27" s="285"/>
      <c r="FX27" s="285"/>
      <c r="FY27" s="285"/>
      <c r="FZ27" s="285"/>
      <c r="GA27" s="285"/>
      <c r="GB27" s="285"/>
      <c r="GC27" s="285"/>
      <c r="GD27" s="285"/>
      <c r="GE27" s="285"/>
      <c r="GF27" s="285"/>
      <c r="GG27" s="285"/>
      <c r="GH27" s="285"/>
      <c r="GI27" s="285"/>
      <c r="GJ27" s="285"/>
      <c r="GK27" s="285"/>
      <c r="GL27" s="285"/>
      <c r="GM27" s="285"/>
      <c r="GN27" s="285"/>
      <c r="GO27" s="285"/>
      <c r="GP27" s="285"/>
      <c r="GQ27" s="285"/>
      <c r="GR27" s="285"/>
      <c r="GS27" s="285"/>
      <c r="GT27" s="285"/>
      <c r="GU27" s="285"/>
      <c r="GV27" s="285"/>
      <c r="GW27" s="285"/>
      <c r="GX27" s="285"/>
      <c r="GY27" s="285"/>
      <c r="GZ27" s="285"/>
      <c r="HA27" s="285"/>
      <c r="HB27" s="285"/>
      <c r="HC27" s="285"/>
      <c r="HD27" s="285"/>
      <c r="HE27" s="285"/>
      <c r="HF27" s="285"/>
      <c r="HG27" s="285"/>
      <c r="HH27" s="285"/>
      <c r="HI27" s="285"/>
      <c r="HJ27" s="285"/>
      <c r="HK27" s="285"/>
      <c r="HL27" s="285"/>
      <c r="HM27" s="285"/>
    </row>
    <row r="28" spans="1:221" s="309" customFormat="1">
      <c r="A28" s="285"/>
      <c r="B28" s="285"/>
      <c r="C28" s="324" t="s">
        <v>159</v>
      </c>
      <c r="D28" s="324" t="s">
        <v>160</v>
      </c>
      <c r="E28" s="324" t="s">
        <v>65</v>
      </c>
      <c r="F28" s="324" t="s">
        <v>66</v>
      </c>
      <c r="G28" s="324" t="s">
        <v>67</v>
      </c>
      <c r="H28" s="324" t="s">
        <v>68</v>
      </c>
      <c r="I28" s="324" t="s">
        <v>519</v>
      </c>
      <c r="J28" s="324" t="s">
        <v>69</v>
      </c>
      <c r="K28" s="329" t="s">
        <v>543</v>
      </c>
      <c r="L28" s="329" t="s">
        <v>544</v>
      </c>
      <c r="M28" s="325" t="s">
        <v>70</v>
      </c>
      <c r="N28" s="329" t="s">
        <v>545</v>
      </c>
      <c r="O28" s="329" t="s">
        <v>546</v>
      </c>
      <c r="P28" s="329" t="s">
        <v>547</v>
      </c>
      <c r="Q28" s="329" t="s">
        <v>548</v>
      </c>
      <c r="R28" s="332"/>
      <c r="S28" s="333"/>
      <c r="T28" s="324" t="s">
        <v>520</v>
      </c>
      <c r="U28" s="324" t="s">
        <v>521</v>
      </c>
      <c r="V28" s="326" t="s">
        <v>522</v>
      </c>
      <c r="W28" s="326" t="s">
        <v>523</v>
      </c>
      <c r="X28" s="326" t="s">
        <v>524</v>
      </c>
      <c r="Y28" s="324" t="s">
        <v>525</v>
      </c>
      <c r="Z28" s="324" t="s">
        <v>526</v>
      </c>
      <c r="AA28" s="324" t="s">
        <v>527</v>
      </c>
      <c r="AB28" s="324" t="s">
        <v>528</v>
      </c>
      <c r="AC28" s="324" t="s">
        <v>529</v>
      </c>
      <c r="AD28" s="327" t="s">
        <v>70</v>
      </c>
      <c r="AE28" s="324" t="s">
        <v>530</v>
      </c>
      <c r="AF28" s="324" t="s">
        <v>531</v>
      </c>
      <c r="AG28" s="324" t="s">
        <v>532</v>
      </c>
      <c r="AH28" s="324" t="s">
        <v>514</v>
      </c>
      <c r="AI28" s="324" t="s">
        <v>513</v>
      </c>
      <c r="AJ28" s="285"/>
      <c r="AK28" s="285"/>
      <c r="AL28" s="285"/>
      <c r="AM28" s="285"/>
      <c r="AN28" s="285"/>
      <c r="AO28" s="285"/>
      <c r="AP28" s="285"/>
      <c r="AQ28" s="285"/>
      <c r="AR28" s="285"/>
      <c r="AS28" s="285"/>
      <c r="AT28" s="285"/>
      <c r="AU28" s="285"/>
      <c r="AV28" s="285"/>
      <c r="AW28" s="285"/>
      <c r="AX28" s="285"/>
      <c r="AY28" s="285"/>
      <c r="AZ28" s="285"/>
      <c r="BA28" s="285"/>
      <c r="BB28" s="285"/>
      <c r="BC28" s="285"/>
      <c r="BD28" s="285"/>
      <c r="BE28" s="285"/>
      <c r="BF28" s="285"/>
      <c r="BG28" s="285"/>
      <c r="BH28" s="285"/>
      <c r="BI28" s="285"/>
      <c r="BJ28" s="285"/>
      <c r="BK28" s="285"/>
      <c r="BL28" s="285"/>
      <c r="BM28" s="285"/>
      <c r="BN28" s="285"/>
      <c r="BO28" s="285"/>
      <c r="BP28" s="285"/>
      <c r="BQ28" s="285"/>
      <c r="BR28" s="285"/>
      <c r="BS28" s="285"/>
      <c r="BT28" s="285"/>
      <c r="BU28" s="285"/>
      <c r="BV28" s="285"/>
      <c r="BW28" s="285"/>
      <c r="BX28" s="285"/>
      <c r="BY28" s="285"/>
      <c r="BZ28" s="285"/>
      <c r="CA28" s="285"/>
      <c r="CB28" s="285"/>
      <c r="CC28" s="285"/>
      <c r="CD28" s="285"/>
      <c r="CE28" s="285"/>
      <c r="CF28" s="285"/>
      <c r="CG28" s="285"/>
      <c r="CH28" s="285"/>
      <c r="CI28" s="285"/>
      <c r="CJ28" s="285"/>
      <c r="CK28" s="285"/>
      <c r="CL28" s="285"/>
      <c r="CM28" s="285"/>
      <c r="CN28" s="285"/>
      <c r="CO28" s="285"/>
      <c r="CP28" s="285"/>
      <c r="CQ28" s="285"/>
      <c r="CR28" s="285"/>
      <c r="CS28" s="285"/>
      <c r="CT28" s="285"/>
      <c r="CU28" s="285"/>
      <c r="CV28" s="285"/>
      <c r="CW28" s="285"/>
      <c r="CX28" s="285"/>
      <c r="CY28" s="285"/>
      <c r="CZ28" s="285"/>
      <c r="DA28" s="285"/>
      <c r="DB28" s="285"/>
      <c r="DC28" s="285"/>
      <c r="DD28" s="285"/>
      <c r="DE28" s="285"/>
      <c r="DF28" s="285"/>
      <c r="DG28" s="285"/>
      <c r="DH28" s="285"/>
      <c r="DI28" s="285"/>
      <c r="DJ28" s="285"/>
      <c r="DK28" s="285"/>
      <c r="DL28" s="285"/>
      <c r="DM28" s="285"/>
      <c r="DN28" s="285"/>
      <c r="DO28" s="285"/>
      <c r="DP28" s="285"/>
      <c r="DQ28" s="285"/>
      <c r="DR28" s="285"/>
      <c r="DS28" s="285"/>
      <c r="DT28" s="285"/>
      <c r="DU28" s="285"/>
      <c r="DV28" s="285"/>
      <c r="DW28" s="285"/>
      <c r="DX28" s="285"/>
      <c r="DY28" s="285"/>
      <c r="DZ28" s="285"/>
      <c r="EA28" s="285"/>
      <c r="EB28" s="285"/>
      <c r="EC28" s="285"/>
      <c r="ED28" s="285"/>
      <c r="EE28" s="285"/>
      <c r="EF28" s="285"/>
      <c r="EG28" s="285"/>
      <c r="EH28" s="285"/>
      <c r="EI28" s="285"/>
      <c r="EJ28" s="285"/>
      <c r="EK28" s="285"/>
      <c r="EL28" s="285"/>
      <c r="EM28" s="285"/>
      <c r="EN28" s="285"/>
      <c r="EO28" s="285"/>
      <c r="EP28" s="285"/>
      <c r="EQ28" s="285"/>
      <c r="ER28" s="285"/>
      <c r="ES28" s="285"/>
      <c r="ET28" s="285"/>
      <c r="EU28" s="285"/>
      <c r="EV28" s="285"/>
      <c r="EW28" s="285"/>
      <c r="EX28" s="285"/>
      <c r="EY28" s="285"/>
      <c r="EZ28" s="285"/>
      <c r="FA28" s="285"/>
      <c r="FB28" s="285"/>
      <c r="FC28" s="285"/>
      <c r="FD28" s="285"/>
      <c r="FE28" s="285"/>
      <c r="FF28" s="285"/>
      <c r="FG28" s="285"/>
      <c r="FH28" s="285"/>
      <c r="FI28" s="285"/>
      <c r="FJ28" s="285"/>
      <c r="FK28" s="285"/>
      <c r="FL28" s="285"/>
      <c r="FM28" s="285"/>
      <c r="FN28" s="285"/>
      <c r="FO28" s="285"/>
      <c r="FP28" s="285"/>
      <c r="FQ28" s="285"/>
      <c r="FR28" s="285"/>
      <c r="FS28" s="285"/>
      <c r="FT28" s="285"/>
      <c r="FU28" s="285"/>
      <c r="FV28" s="285"/>
      <c r="FW28" s="285"/>
      <c r="FX28" s="285"/>
      <c r="FY28" s="285"/>
      <c r="FZ28" s="285"/>
      <c r="GA28" s="285"/>
      <c r="GB28" s="285"/>
      <c r="GC28" s="285"/>
      <c r="GD28" s="285"/>
      <c r="GE28" s="285"/>
      <c r="GF28" s="285"/>
      <c r="GG28" s="285"/>
      <c r="GH28" s="285"/>
      <c r="GI28" s="285"/>
      <c r="GJ28" s="285"/>
      <c r="GK28" s="285"/>
      <c r="GL28" s="285"/>
      <c r="GM28" s="285"/>
      <c r="GN28" s="285"/>
      <c r="GO28" s="285"/>
      <c r="GP28" s="285"/>
      <c r="GQ28" s="285"/>
      <c r="GR28" s="285"/>
      <c r="GS28" s="285"/>
      <c r="GT28" s="285"/>
      <c r="GU28" s="285"/>
      <c r="GV28" s="285"/>
      <c r="GW28" s="285"/>
      <c r="GX28" s="285"/>
      <c r="GY28" s="285"/>
      <c r="GZ28" s="285"/>
      <c r="HA28" s="285"/>
      <c r="HB28" s="285"/>
      <c r="HC28" s="285"/>
      <c r="HD28" s="285"/>
      <c r="HE28" s="285"/>
      <c r="HF28" s="285"/>
      <c r="HG28" s="285"/>
      <c r="HH28" s="285"/>
      <c r="HI28" s="285"/>
      <c r="HJ28" s="285"/>
      <c r="HK28" s="285"/>
      <c r="HL28" s="285"/>
      <c r="HM28" s="285"/>
    </row>
    <row r="29" spans="1:221" s="309" customFormat="1">
      <c r="A29" s="376" t="s">
        <v>71</v>
      </c>
      <c r="B29" s="376" t="s">
        <v>549</v>
      </c>
      <c r="C29" s="377">
        <f t="shared" ref="C29:M29" si="0">SUM(C22:C27)</f>
        <v>2278.8546666666666</v>
      </c>
      <c r="D29" s="377">
        <f t="shared" si="0"/>
        <v>2056.3849999999998</v>
      </c>
      <c r="E29" s="377">
        <f t="shared" si="0"/>
        <v>1969.5520000000001</v>
      </c>
      <c r="F29" s="377">
        <f t="shared" si="0"/>
        <v>1942.404</v>
      </c>
      <c r="G29" s="377">
        <f t="shared" si="0"/>
        <v>1739.5205714285714</v>
      </c>
      <c r="H29" s="377">
        <f t="shared" si="0"/>
        <v>1680.8579999999999</v>
      </c>
      <c r="I29" s="377">
        <f t="shared" si="0"/>
        <v>1652.1204444444443</v>
      </c>
      <c r="J29" s="377">
        <f t="shared" si="0"/>
        <v>2532.7719999999999</v>
      </c>
      <c r="K29" s="375">
        <f>+換算!I22/換算!S2</f>
        <v>2431.812727272727</v>
      </c>
      <c r="L29" s="375">
        <f>+換算!J22/換算!S2</f>
        <v>2347.6800000000003</v>
      </c>
      <c r="M29" s="377">
        <f t="shared" si="0"/>
        <v>642</v>
      </c>
      <c r="N29" s="375">
        <f>+換算!E30/換算!S2</f>
        <v>1843.2330434782607</v>
      </c>
      <c r="O29" s="375">
        <f>+換算!F30/換算!S2</f>
        <v>1825.6908333333333</v>
      </c>
      <c r="P29" s="375">
        <f>+換算!R30/換算!S2</f>
        <v>1730.7066666666665</v>
      </c>
      <c r="Q29" s="375">
        <f>+換算!C39/換算!S2</f>
        <v>1722.3691891891892</v>
      </c>
      <c r="R29" s="380" t="s">
        <v>71</v>
      </c>
      <c r="S29" s="380" t="s">
        <v>549</v>
      </c>
      <c r="T29" s="381">
        <f t="shared" ref="T29:AI29" si="1">SUM(T22:T27)</f>
        <v>0</v>
      </c>
      <c r="U29" s="381">
        <f t="shared" si="1"/>
        <v>0</v>
      </c>
      <c r="V29" s="381">
        <f t="shared" si="1"/>
        <v>0</v>
      </c>
      <c r="W29" s="381">
        <f t="shared" si="1"/>
        <v>0</v>
      </c>
      <c r="X29" s="381">
        <f t="shared" si="1"/>
        <v>0</v>
      </c>
      <c r="Y29" s="381">
        <f t="shared" si="1"/>
        <v>0</v>
      </c>
      <c r="Z29" s="381">
        <f t="shared" si="1"/>
        <v>0</v>
      </c>
      <c r="AA29" s="381">
        <f t="shared" si="1"/>
        <v>0</v>
      </c>
      <c r="AB29" s="381">
        <f t="shared" si="1"/>
        <v>0</v>
      </c>
      <c r="AC29" s="377">
        <f t="shared" si="1"/>
        <v>0</v>
      </c>
      <c r="AD29" s="381">
        <f t="shared" si="1"/>
        <v>0</v>
      </c>
      <c r="AE29" s="377">
        <f t="shared" si="1"/>
        <v>0</v>
      </c>
      <c r="AF29" s="377">
        <f t="shared" si="1"/>
        <v>0</v>
      </c>
      <c r="AG29" s="377">
        <f t="shared" si="1"/>
        <v>0</v>
      </c>
      <c r="AH29" s="377">
        <f t="shared" si="1"/>
        <v>0</v>
      </c>
      <c r="AI29" s="377">
        <f t="shared" si="1"/>
        <v>0</v>
      </c>
      <c r="AJ29" s="285"/>
      <c r="AK29" s="285"/>
      <c r="AL29" s="285"/>
      <c r="AM29" s="285"/>
      <c r="AN29" s="285"/>
      <c r="AO29" s="285"/>
      <c r="AP29" s="285"/>
      <c r="AQ29" s="285"/>
      <c r="AR29" s="285"/>
      <c r="AS29" s="285"/>
      <c r="AT29" s="285"/>
      <c r="AU29" s="285"/>
      <c r="AV29" s="285"/>
      <c r="AW29" s="285"/>
      <c r="AX29" s="285"/>
      <c r="AY29" s="285"/>
      <c r="AZ29" s="285"/>
      <c r="BA29" s="285"/>
      <c r="BB29" s="285"/>
      <c r="BC29" s="285"/>
      <c r="BD29" s="285"/>
      <c r="BE29" s="285"/>
      <c r="BF29" s="285"/>
      <c r="BG29" s="285"/>
      <c r="BH29" s="285"/>
      <c r="BI29" s="285"/>
      <c r="BJ29" s="285"/>
      <c r="BK29" s="285"/>
      <c r="BL29" s="285"/>
      <c r="BM29" s="285"/>
      <c r="BN29" s="285"/>
      <c r="BO29" s="285"/>
      <c r="BP29" s="285"/>
      <c r="BQ29" s="285"/>
      <c r="BR29" s="285"/>
      <c r="BS29" s="285"/>
      <c r="BT29" s="285"/>
      <c r="BU29" s="285"/>
      <c r="BV29" s="285"/>
      <c r="BW29" s="285"/>
      <c r="BX29" s="285"/>
      <c r="BY29" s="285"/>
      <c r="BZ29" s="285"/>
      <c r="CA29" s="285"/>
      <c r="CB29" s="285"/>
      <c r="CC29" s="285"/>
      <c r="CD29" s="285"/>
      <c r="CE29" s="285"/>
      <c r="CF29" s="285"/>
      <c r="CG29" s="285"/>
      <c r="CH29" s="285"/>
      <c r="CI29" s="285"/>
      <c r="CJ29" s="285"/>
      <c r="CK29" s="285"/>
      <c r="CL29" s="285"/>
      <c r="CM29" s="285"/>
      <c r="CN29" s="285"/>
      <c r="CO29" s="285"/>
      <c r="CP29" s="285"/>
      <c r="CQ29" s="285"/>
      <c r="CR29" s="285"/>
      <c r="CS29" s="285"/>
      <c r="CT29" s="285"/>
      <c r="CU29" s="285"/>
      <c r="CV29" s="285"/>
      <c r="CW29" s="285"/>
      <c r="CX29" s="285"/>
      <c r="CY29" s="285"/>
      <c r="CZ29" s="285"/>
      <c r="DA29" s="285"/>
      <c r="DB29" s="285"/>
      <c r="DC29" s="285"/>
      <c r="DD29" s="285"/>
      <c r="DE29" s="285"/>
      <c r="DF29" s="285"/>
      <c r="DG29" s="285"/>
      <c r="DH29" s="285"/>
      <c r="DI29" s="285"/>
      <c r="DJ29" s="285"/>
      <c r="DK29" s="285"/>
      <c r="DL29" s="285"/>
      <c r="DM29" s="285"/>
      <c r="DN29" s="285"/>
      <c r="DO29" s="285"/>
      <c r="DP29" s="285"/>
      <c r="DQ29" s="285"/>
      <c r="DR29" s="285"/>
      <c r="DS29" s="285"/>
      <c r="DT29" s="285"/>
      <c r="DU29" s="285"/>
      <c r="DV29" s="285"/>
      <c r="DW29" s="285"/>
      <c r="DX29" s="285"/>
      <c r="DY29" s="285"/>
      <c r="DZ29" s="285"/>
      <c r="EA29" s="285"/>
      <c r="EB29" s="285"/>
      <c r="EC29" s="285"/>
      <c r="ED29" s="285"/>
      <c r="EE29" s="285"/>
      <c r="EF29" s="285"/>
      <c r="EG29" s="285"/>
      <c r="EH29" s="285"/>
      <c r="EI29" s="285"/>
      <c r="EJ29" s="285"/>
      <c r="EK29" s="285"/>
      <c r="EL29" s="285"/>
      <c r="EM29" s="285"/>
      <c r="EN29" s="285"/>
      <c r="EO29" s="285"/>
      <c r="EP29" s="285"/>
      <c r="EQ29" s="285"/>
      <c r="ER29" s="285"/>
      <c r="ES29" s="285"/>
      <c r="ET29" s="285"/>
      <c r="EU29" s="285"/>
      <c r="EV29" s="285"/>
      <c r="EW29" s="285"/>
      <c r="EX29" s="285"/>
      <c r="EY29" s="285"/>
      <c r="EZ29" s="285"/>
      <c r="FA29" s="285"/>
      <c r="FB29" s="285"/>
      <c r="FC29" s="285"/>
      <c r="FD29" s="285"/>
      <c r="FE29" s="285"/>
      <c r="FF29" s="285"/>
      <c r="FG29" s="285"/>
      <c r="FH29" s="285"/>
      <c r="FI29" s="285"/>
      <c r="FJ29" s="285"/>
      <c r="FK29" s="285"/>
      <c r="FL29" s="285"/>
      <c r="FM29" s="285"/>
      <c r="FN29" s="285"/>
      <c r="FO29" s="285"/>
      <c r="FP29" s="285"/>
      <c r="FQ29" s="285"/>
      <c r="FR29" s="285"/>
      <c r="FS29" s="285"/>
      <c r="FT29" s="285"/>
      <c r="FU29" s="285"/>
      <c r="FV29" s="285"/>
      <c r="FW29" s="285"/>
      <c r="FX29" s="285"/>
      <c r="FY29" s="285"/>
      <c r="FZ29" s="285"/>
      <c r="GA29" s="285"/>
      <c r="GB29" s="285"/>
      <c r="GC29" s="285"/>
      <c r="GD29" s="285"/>
      <c r="GE29" s="285"/>
      <c r="GF29" s="285"/>
      <c r="GG29" s="285"/>
      <c r="GH29" s="285"/>
      <c r="GI29" s="285"/>
      <c r="GJ29" s="285"/>
      <c r="GK29" s="285"/>
      <c r="GL29" s="285"/>
      <c r="GM29" s="285"/>
      <c r="GN29" s="285"/>
      <c r="GO29" s="285"/>
      <c r="GP29" s="285"/>
      <c r="GQ29" s="285"/>
      <c r="GR29" s="285"/>
      <c r="GS29" s="285"/>
      <c r="GT29" s="285"/>
      <c r="GU29" s="285"/>
      <c r="GV29" s="285"/>
      <c r="GW29" s="285"/>
      <c r="GX29" s="285"/>
      <c r="GY29" s="285"/>
      <c r="GZ29" s="285"/>
      <c r="HA29" s="285"/>
      <c r="HB29" s="285"/>
      <c r="HC29" s="285"/>
      <c r="HD29" s="285"/>
      <c r="HE29" s="285"/>
      <c r="HF29" s="285"/>
      <c r="HG29" s="285"/>
      <c r="HH29" s="285"/>
      <c r="HI29" s="285"/>
      <c r="HJ29" s="285"/>
      <c r="HK29" s="285"/>
      <c r="HL29" s="285"/>
      <c r="HM29" s="285"/>
    </row>
    <row r="30" spans="1:221" s="309" customFormat="1" ht="16" thickBot="1">
      <c r="A30" s="285"/>
      <c r="B30" s="285"/>
      <c r="C30" s="324" t="s">
        <v>159</v>
      </c>
      <c r="D30" s="324" t="s">
        <v>160</v>
      </c>
      <c r="E30" s="324" t="s">
        <v>65</v>
      </c>
      <c r="F30" s="324" t="s">
        <v>66</v>
      </c>
      <c r="G30" s="324" t="s">
        <v>67</v>
      </c>
      <c r="H30" s="324" t="s">
        <v>68</v>
      </c>
      <c r="I30" s="324" t="s">
        <v>519</v>
      </c>
      <c r="J30" s="324" t="s">
        <v>69</v>
      </c>
      <c r="K30" s="329" t="s">
        <v>550</v>
      </c>
      <c r="L30" s="329" t="s">
        <v>551</v>
      </c>
      <c r="M30" s="325" t="s">
        <v>70</v>
      </c>
      <c r="N30" s="329" t="s">
        <v>552</v>
      </c>
      <c r="O30" s="329" t="s">
        <v>553</v>
      </c>
      <c r="P30" s="329" t="s">
        <v>554</v>
      </c>
      <c r="Q30" s="329" t="s">
        <v>555</v>
      </c>
      <c r="R30" s="334"/>
      <c r="S30" s="335"/>
      <c r="T30" s="324" t="s">
        <v>520</v>
      </c>
      <c r="U30" s="324" t="s">
        <v>521</v>
      </c>
      <c r="V30" s="326" t="s">
        <v>522</v>
      </c>
      <c r="W30" s="326" t="s">
        <v>523</v>
      </c>
      <c r="X30" s="326" t="s">
        <v>524</v>
      </c>
      <c r="Y30" s="324" t="s">
        <v>525</v>
      </c>
      <c r="Z30" s="324" t="s">
        <v>526</v>
      </c>
      <c r="AA30" s="324" t="s">
        <v>527</v>
      </c>
      <c r="AB30" s="324" t="s">
        <v>528</v>
      </c>
      <c r="AC30" s="324" t="s">
        <v>529</v>
      </c>
      <c r="AD30" s="327" t="s">
        <v>70</v>
      </c>
      <c r="AE30" s="324" t="s">
        <v>530</v>
      </c>
      <c r="AF30" s="324" t="s">
        <v>531</v>
      </c>
      <c r="AG30" s="324" t="s">
        <v>532</v>
      </c>
      <c r="AH30" s="324" t="s">
        <v>514</v>
      </c>
      <c r="AI30" s="324" t="s">
        <v>513</v>
      </c>
      <c r="AJ30" s="285"/>
      <c r="AK30" s="285"/>
      <c r="AL30" s="285"/>
      <c r="AM30" s="285"/>
      <c r="AN30" s="285"/>
      <c r="AO30" s="285"/>
      <c r="AP30" s="285"/>
      <c r="AQ30" s="285"/>
      <c r="AR30" s="285"/>
      <c r="AS30" s="285"/>
      <c r="AT30" s="285"/>
      <c r="AU30" s="285"/>
      <c r="AV30" s="285"/>
      <c r="AW30" s="285"/>
      <c r="AX30" s="285"/>
      <c r="AY30" s="285"/>
      <c r="AZ30" s="285"/>
      <c r="BA30" s="285"/>
      <c r="BB30" s="285"/>
      <c r="BC30" s="285"/>
      <c r="BD30" s="285"/>
      <c r="BE30" s="285"/>
      <c r="BF30" s="285"/>
      <c r="BG30" s="285"/>
      <c r="BH30" s="285"/>
      <c r="BI30" s="285"/>
      <c r="BJ30" s="285"/>
      <c r="BK30" s="285"/>
      <c r="BL30" s="285"/>
      <c r="BM30" s="285"/>
      <c r="BN30" s="285"/>
      <c r="BO30" s="285"/>
      <c r="BP30" s="285"/>
      <c r="BQ30" s="285"/>
      <c r="BR30" s="285"/>
      <c r="BS30" s="285"/>
      <c r="BT30" s="285"/>
      <c r="BU30" s="285"/>
      <c r="BV30" s="285"/>
      <c r="BW30" s="285"/>
      <c r="BX30" s="285"/>
      <c r="BY30" s="285"/>
      <c r="BZ30" s="285"/>
      <c r="CA30" s="285"/>
      <c r="CB30" s="285"/>
      <c r="CC30" s="285"/>
      <c r="CD30" s="285"/>
      <c r="CE30" s="285"/>
      <c r="CF30" s="285"/>
      <c r="CG30" s="285"/>
      <c r="CH30" s="285"/>
      <c r="CI30" s="285"/>
      <c r="CJ30" s="285"/>
      <c r="CK30" s="285"/>
      <c r="CL30" s="285"/>
      <c r="CM30" s="285"/>
      <c r="CN30" s="285"/>
      <c r="CO30" s="285"/>
      <c r="CP30" s="285"/>
      <c r="CQ30" s="285"/>
      <c r="CR30" s="285"/>
      <c r="CS30" s="285"/>
      <c r="CT30" s="285"/>
      <c r="CU30" s="285"/>
      <c r="CV30" s="285"/>
      <c r="CW30" s="285"/>
      <c r="CX30" s="285"/>
      <c r="CY30" s="285"/>
      <c r="CZ30" s="285"/>
      <c r="DA30" s="285"/>
      <c r="DB30" s="285"/>
      <c r="DC30" s="285"/>
      <c r="DD30" s="285"/>
      <c r="DE30" s="285"/>
      <c r="DF30" s="285"/>
      <c r="DG30" s="285"/>
      <c r="DH30" s="285"/>
      <c r="DI30" s="285"/>
      <c r="DJ30" s="285"/>
      <c r="DK30" s="285"/>
      <c r="DL30" s="285"/>
      <c r="DM30" s="285"/>
      <c r="DN30" s="285"/>
      <c r="DO30" s="285"/>
      <c r="DP30" s="285"/>
      <c r="DQ30" s="285"/>
      <c r="DR30" s="285"/>
      <c r="DS30" s="285"/>
      <c r="DT30" s="285"/>
      <c r="DU30" s="285"/>
      <c r="DV30" s="285"/>
      <c r="DW30" s="285"/>
      <c r="DX30" s="285"/>
      <c r="DY30" s="285"/>
      <c r="DZ30" s="285"/>
      <c r="EA30" s="285"/>
      <c r="EB30" s="285"/>
      <c r="EC30" s="285"/>
      <c r="ED30" s="285"/>
      <c r="EE30" s="285"/>
      <c r="EF30" s="285"/>
      <c r="EG30" s="285"/>
      <c r="EH30" s="285"/>
      <c r="EI30" s="285"/>
      <c r="EJ30" s="285"/>
      <c r="EK30" s="285"/>
      <c r="EL30" s="285"/>
      <c r="EM30" s="285"/>
      <c r="EN30" s="285"/>
      <c r="EO30" s="285"/>
      <c r="EP30" s="285"/>
      <c r="EQ30" s="285"/>
      <c r="ER30" s="285"/>
      <c r="ES30" s="285"/>
      <c r="ET30" s="285"/>
      <c r="EU30" s="285"/>
      <c r="EV30" s="285"/>
      <c r="EW30" s="285"/>
      <c r="EX30" s="285"/>
      <c r="EY30" s="285"/>
      <c r="EZ30" s="285"/>
      <c r="FA30" s="285"/>
      <c r="FB30" s="285"/>
      <c r="FC30" s="285"/>
      <c r="FD30" s="285"/>
      <c r="FE30" s="285"/>
      <c r="FF30" s="285"/>
      <c r="FG30" s="285"/>
      <c r="FH30" s="285"/>
      <c r="FI30" s="285"/>
      <c r="FJ30" s="285"/>
      <c r="FK30" s="285"/>
      <c r="FL30" s="285"/>
      <c r="FM30" s="285"/>
      <c r="FN30" s="285"/>
      <c r="FO30" s="285"/>
      <c r="FP30" s="285"/>
      <c r="FQ30" s="285"/>
      <c r="FR30" s="285"/>
      <c r="FS30" s="285"/>
      <c r="FT30" s="285"/>
      <c r="FU30" s="285"/>
      <c r="FV30" s="285"/>
      <c r="FW30" s="285"/>
      <c r="FX30" s="285"/>
      <c r="FY30" s="285"/>
      <c r="FZ30" s="285"/>
      <c r="GA30" s="285"/>
      <c r="GB30" s="285"/>
      <c r="GC30" s="285"/>
      <c r="GD30" s="285"/>
      <c r="GE30" s="285"/>
      <c r="GF30" s="285"/>
      <c r="GG30" s="285"/>
      <c r="GH30" s="285"/>
      <c r="GI30" s="285"/>
      <c r="GJ30" s="285"/>
      <c r="GK30" s="285"/>
      <c r="GL30" s="285"/>
      <c r="GM30" s="285"/>
      <c r="GN30" s="285"/>
      <c r="GO30" s="285"/>
      <c r="GP30" s="285"/>
      <c r="GQ30" s="285"/>
      <c r="GR30" s="285"/>
      <c r="GS30" s="285"/>
      <c r="GT30" s="285"/>
      <c r="GU30" s="285"/>
      <c r="GV30" s="285"/>
      <c r="GW30" s="285"/>
      <c r="GX30" s="285"/>
      <c r="GY30" s="285"/>
      <c r="GZ30" s="285"/>
      <c r="HA30" s="285"/>
      <c r="HB30" s="285"/>
      <c r="HC30" s="285"/>
      <c r="HD30" s="285"/>
      <c r="HE30" s="285"/>
      <c r="HF30" s="285"/>
      <c r="HG30" s="285"/>
      <c r="HH30" s="285"/>
      <c r="HI30" s="285"/>
      <c r="HJ30" s="285"/>
      <c r="HK30" s="285"/>
      <c r="HL30" s="285"/>
      <c r="HM30" s="285"/>
    </row>
    <row r="31" spans="1:221" s="309" customFormat="1" ht="16" thickBot="1">
      <c r="A31" s="224" t="s">
        <v>71</v>
      </c>
      <c r="B31" s="225" t="s">
        <v>549</v>
      </c>
      <c r="C31" s="135" t="s">
        <v>4871</v>
      </c>
      <c r="D31" s="136" t="s">
        <v>4872</v>
      </c>
      <c r="E31" s="56" t="s">
        <v>4873</v>
      </c>
      <c r="F31" s="57" t="s">
        <v>4869</v>
      </c>
      <c r="G31" s="57" t="s">
        <v>4680</v>
      </c>
      <c r="H31" s="57" t="s">
        <v>135</v>
      </c>
      <c r="I31" s="57" t="s">
        <v>135</v>
      </c>
      <c r="J31" s="57" t="s">
        <v>135</v>
      </c>
      <c r="K31" s="375">
        <f>+換算!K22/換算!S2</f>
        <v>2276.4907692307693</v>
      </c>
      <c r="L31" s="375">
        <f>+換算!L22/換算!S2</f>
        <v>2215.4714285714285</v>
      </c>
      <c r="M31" s="235" t="s">
        <v>4870</v>
      </c>
      <c r="N31" s="375">
        <f>+換算!H30/換算!S2</f>
        <v>1794.6546153846152</v>
      </c>
      <c r="O31" s="375">
        <f>+換算!I30/換算!S2</f>
        <v>1780.8607407407408</v>
      </c>
      <c r="P31" s="375">
        <f>+換算!D39/換算!S2</f>
        <v>1714.4705263157896</v>
      </c>
      <c r="Q31" s="375">
        <f>+換算!E39/換算!S2</f>
        <v>1706.9769230769232</v>
      </c>
      <c r="R31" s="133" t="s">
        <v>71</v>
      </c>
      <c r="S31" s="134" t="s">
        <v>549</v>
      </c>
      <c r="T31" s="137" t="s">
        <v>135</v>
      </c>
      <c r="U31" s="137" t="s">
        <v>135</v>
      </c>
      <c r="V31" s="137" t="s">
        <v>135</v>
      </c>
      <c r="W31" s="135" t="s">
        <v>135</v>
      </c>
      <c r="X31" s="135" t="s">
        <v>135</v>
      </c>
      <c r="Y31" s="137" t="s">
        <v>135</v>
      </c>
      <c r="Z31" s="137" t="s">
        <v>135</v>
      </c>
      <c r="AA31" s="136" t="s">
        <v>135</v>
      </c>
      <c r="AB31" s="382" t="s">
        <v>135</v>
      </c>
      <c r="AC31" s="57" t="s">
        <v>135</v>
      </c>
      <c r="AD31" s="57" t="s">
        <v>135</v>
      </c>
      <c r="AE31" s="57" t="s">
        <v>135</v>
      </c>
      <c r="AF31" s="57" t="s">
        <v>135</v>
      </c>
      <c r="AG31" s="57" t="s">
        <v>73</v>
      </c>
      <c r="AH31" s="57" t="s">
        <v>135</v>
      </c>
      <c r="AI31" s="57" t="s">
        <v>135</v>
      </c>
      <c r="AJ31" s="285" t="s">
        <v>135</v>
      </c>
      <c r="AK31" s="285" t="s">
        <v>135</v>
      </c>
      <c r="AL31" s="285"/>
      <c r="AM31" s="285"/>
      <c r="AN31" s="285"/>
      <c r="AO31" s="285"/>
      <c r="AP31" s="285"/>
      <c r="AQ31" s="285"/>
      <c r="AR31" s="285"/>
      <c r="AS31" s="285"/>
      <c r="AT31" s="285"/>
      <c r="AU31" s="285"/>
      <c r="AV31" s="285"/>
      <c r="AW31" s="285"/>
      <c r="AX31" s="285"/>
      <c r="AY31" s="285"/>
      <c r="AZ31" s="285"/>
      <c r="BA31" s="285"/>
      <c r="BB31" s="285"/>
      <c r="BC31" s="285"/>
      <c r="BD31" s="285"/>
      <c r="BE31" s="285"/>
      <c r="BF31" s="285"/>
      <c r="BG31" s="285"/>
      <c r="BH31" s="285"/>
      <c r="BI31" s="285"/>
      <c r="BJ31" s="285"/>
      <c r="BK31" s="285"/>
      <c r="BL31" s="285"/>
      <c r="BM31" s="285"/>
      <c r="BN31" s="285"/>
      <c r="BO31" s="285"/>
      <c r="BP31" s="285"/>
      <c r="BQ31" s="285"/>
      <c r="BR31" s="285"/>
      <c r="BS31" s="285"/>
      <c r="BT31" s="285"/>
      <c r="BU31" s="285"/>
      <c r="BV31" s="285"/>
      <c r="BW31" s="285"/>
      <c r="BX31" s="285"/>
      <c r="BY31" s="285"/>
      <c r="BZ31" s="285"/>
      <c r="CA31" s="285"/>
      <c r="CB31" s="285"/>
      <c r="CC31" s="285"/>
      <c r="CD31" s="285"/>
      <c r="CE31" s="285"/>
      <c r="CF31" s="285"/>
      <c r="CG31" s="285"/>
      <c r="CH31" s="285"/>
      <c r="CI31" s="285"/>
      <c r="CJ31" s="285"/>
      <c r="CK31" s="285"/>
      <c r="CL31" s="285"/>
      <c r="CM31" s="285"/>
      <c r="CN31" s="285"/>
      <c r="CO31" s="285"/>
      <c r="CP31" s="285"/>
      <c r="CQ31" s="285"/>
      <c r="CR31" s="285"/>
      <c r="CS31" s="285"/>
      <c r="CT31" s="285"/>
      <c r="CU31" s="285"/>
      <c r="CV31" s="285"/>
      <c r="CW31" s="285"/>
      <c r="CX31" s="285"/>
      <c r="CY31" s="285"/>
      <c r="CZ31" s="285"/>
      <c r="DA31" s="285"/>
      <c r="DB31" s="285"/>
      <c r="DC31" s="285"/>
      <c r="DD31" s="285"/>
      <c r="DE31" s="285"/>
      <c r="DF31" s="285"/>
      <c r="DG31" s="285"/>
      <c r="DH31" s="285"/>
      <c r="DI31" s="285"/>
      <c r="DJ31" s="285"/>
      <c r="DK31" s="285"/>
      <c r="DL31" s="285"/>
      <c r="DM31" s="285"/>
      <c r="DN31" s="285"/>
      <c r="DO31" s="285"/>
      <c r="DP31" s="285"/>
      <c r="DQ31" s="285"/>
      <c r="DR31" s="285"/>
      <c r="DS31" s="285"/>
      <c r="DT31" s="285"/>
      <c r="DU31" s="285"/>
      <c r="DV31" s="285"/>
      <c r="DW31" s="285"/>
      <c r="DX31" s="285"/>
      <c r="DY31" s="285"/>
      <c r="DZ31" s="285"/>
      <c r="EA31" s="285"/>
      <c r="EB31" s="285"/>
      <c r="EC31" s="285"/>
      <c r="ED31" s="285"/>
      <c r="EE31" s="285"/>
      <c r="EF31" s="285"/>
      <c r="EG31" s="285"/>
      <c r="EH31" s="285"/>
      <c r="EI31" s="285"/>
      <c r="EJ31" s="285"/>
      <c r="EK31" s="285"/>
      <c r="EL31" s="285"/>
      <c r="EM31" s="285"/>
      <c r="EN31" s="285"/>
      <c r="EO31" s="285"/>
      <c r="EP31" s="285"/>
      <c r="EQ31" s="285"/>
      <c r="ER31" s="285"/>
      <c r="ES31" s="285"/>
      <c r="ET31" s="285"/>
      <c r="EU31" s="285"/>
      <c r="EV31" s="285"/>
      <c r="EW31" s="285"/>
      <c r="EX31" s="285"/>
      <c r="EY31" s="285"/>
      <c r="EZ31" s="285"/>
      <c r="FA31" s="285"/>
      <c r="FB31" s="285"/>
      <c r="FC31" s="285"/>
      <c r="FD31" s="285"/>
      <c r="FE31" s="285"/>
      <c r="FF31" s="285"/>
      <c r="FG31" s="285"/>
      <c r="FH31" s="285"/>
      <c r="FI31" s="285"/>
      <c r="FJ31" s="285"/>
      <c r="FK31" s="285"/>
      <c r="FL31" s="285"/>
      <c r="FM31" s="285"/>
      <c r="FN31" s="285"/>
      <c r="FO31" s="285"/>
      <c r="FP31" s="285"/>
      <c r="FQ31" s="285"/>
      <c r="FR31" s="285"/>
      <c r="FS31" s="285"/>
      <c r="FT31" s="285"/>
      <c r="FU31" s="285"/>
      <c r="FV31" s="285"/>
      <c r="FW31" s="285"/>
      <c r="FX31" s="285"/>
      <c r="FY31" s="285"/>
      <c r="FZ31" s="285"/>
      <c r="GA31" s="285"/>
      <c r="GB31" s="285"/>
      <c r="GC31" s="285"/>
      <c r="GD31" s="285"/>
      <c r="GE31" s="285"/>
      <c r="GF31" s="285"/>
      <c r="GG31" s="285"/>
      <c r="GH31" s="285"/>
      <c r="GI31" s="285"/>
      <c r="GJ31" s="285"/>
      <c r="GK31" s="285"/>
      <c r="GL31" s="285"/>
      <c r="GM31" s="285"/>
      <c r="GN31" s="285"/>
      <c r="GO31" s="285"/>
      <c r="GP31" s="285"/>
      <c r="GQ31" s="285"/>
      <c r="GR31" s="285"/>
      <c r="GS31" s="285"/>
      <c r="GT31" s="285"/>
      <c r="GU31" s="285"/>
      <c r="GV31" s="285"/>
      <c r="GW31" s="285"/>
      <c r="GX31" s="285"/>
      <c r="GY31" s="285"/>
      <c r="GZ31" s="285"/>
      <c r="HA31" s="285"/>
      <c r="HB31" s="285"/>
      <c r="HC31" s="285"/>
      <c r="HD31" s="285"/>
      <c r="HE31" s="285"/>
      <c r="HF31" s="285"/>
      <c r="HG31" s="285"/>
      <c r="HH31" s="285"/>
      <c r="HI31" s="285"/>
      <c r="HJ31" s="285"/>
      <c r="HK31" s="285"/>
      <c r="HL31" s="285"/>
      <c r="HM31" s="285"/>
    </row>
    <row r="32" spans="1:221" s="309" customFormat="1">
      <c r="A32" s="285"/>
      <c r="B32" s="285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5"/>
      <c r="N32" s="285"/>
      <c r="O32" s="285"/>
      <c r="P32" s="285"/>
      <c r="Q32" s="285"/>
      <c r="R32" s="285"/>
      <c r="S32" s="285"/>
      <c r="T32" s="285"/>
      <c r="U32" s="285"/>
      <c r="V32" s="285"/>
      <c r="W32" s="285"/>
      <c r="X32" s="285"/>
      <c r="Y32" s="285"/>
      <c r="Z32" s="285"/>
      <c r="AA32" s="285"/>
      <c r="AB32" s="285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5"/>
      <c r="AN32" s="285"/>
      <c r="AO32" s="285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5"/>
      <c r="BA32" s="285"/>
      <c r="BB32" s="285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5"/>
      <c r="BN32" s="285"/>
      <c r="BO32" s="285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5"/>
      <c r="CA32" s="285"/>
      <c r="CB32" s="285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5"/>
      <c r="CN32" s="285"/>
      <c r="CO32" s="285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5"/>
      <c r="DA32" s="285"/>
      <c r="DB32" s="285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5"/>
      <c r="DN32" s="285"/>
      <c r="DO32" s="285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5"/>
      <c r="EA32" s="285"/>
      <c r="EB32" s="285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5"/>
      <c r="EN32" s="285"/>
      <c r="EO32" s="285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5"/>
      <c r="FA32" s="285"/>
      <c r="FB32" s="285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5"/>
      <c r="FN32" s="285"/>
      <c r="FO32" s="285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5"/>
      <c r="GA32" s="285"/>
      <c r="GB32" s="285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5"/>
      <c r="GN32" s="285"/>
      <c r="GO32" s="285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5"/>
      <c r="HA32" s="285"/>
      <c r="HB32" s="285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5"/>
    </row>
    <row r="33" spans="1:30" s="285" customFormat="1" ht="17.5" thickBot="1">
      <c r="A33" s="284" t="s">
        <v>649</v>
      </c>
      <c r="F33" s="58"/>
      <c r="G33" s="58"/>
      <c r="H33" s="58"/>
      <c r="I33" s="58"/>
      <c r="J33" s="58"/>
    </row>
    <row r="34" spans="1:30" s="285" customFormat="1" ht="17.5" thickBot="1">
      <c r="A34" s="238" t="s">
        <v>556</v>
      </c>
      <c r="B34" s="336"/>
      <c r="C34" s="239" t="s">
        <v>650</v>
      </c>
      <c r="D34" s="337"/>
      <c r="E34" s="337"/>
      <c r="F34" s="337"/>
      <c r="G34" s="337"/>
      <c r="H34" s="338"/>
      <c r="J34" s="339" t="s">
        <v>557</v>
      </c>
      <c r="K34" s="340"/>
      <c r="L34" s="341" t="s">
        <v>558</v>
      </c>
      <c r="M34" s="342"/>
      <c r="N34" s="343"/>
      <c r="U34" s="344" t="s">
        <v>557</v>
      </c>
      <c r="V34" s="345"/>
      <c r="W34" s="346" t="s">
        <v>558</v>
      </c>
      <c r="X34" s="347"/>
      <c r="Y34" s="345"/>
      <c r="Z34" s="348"/>
    </row>
    <row r="35" spans="1:30" s="285" customFormat="1" ht="18">
      <c r="A35" s="240" t="s">
        <v>651</v>
      </c>
      <c r="B35" s="323"/>
      <c r="C35" s="279"/>
      <c r="D35" s="279"/>
      <c r="E35" s="279"/>
      <c r="F35" s="279"/>
      <c r="G35" s="279"/>
      <c r="H35" s="349"/>
      <c r="I35" s="350" t="s">
        <v>559</v>
      </c>
      <c r="J35" s="342"/>
      <c r="K35" s="342"/>
      <c r="L35" s="342"/>
      <c r="M35" s="342"/>
      <c r="N35" s="342"/>
      <c r="O35" s="342"/>
      <c r="P35" s="342"/>
      <c r="Q35" s="351"/>
      <c r="T35" s="350" t="s">
        <v>559</v>
      </c>
      <c r="U35" s="342"/>
      <c r="V35" s="342"/>
      <c r="W35" s="342"/>
      <c r="X35" s="342"/>
      <c r="Y35" s="342"/>
      <c r="Z35" s="342"/>
      <c r="AA35" s="342"/>
      <c r="AB35" s="351"/>
      <c r="AC35" s="352"/>
    </row>
    <row r="36" spans="1:30" s="285" customFormat="1" ht="18">
      <c r="A36" s="241" t="s">
        <v>542</v>
      </c>
      <c r="B36" s="226"/>
      <c r="C36" s="227"/>
      <c r="D36" s="227"/>
      <c r="E36" s="227"/>
      <c r="F36" s="227"/>
      <c r="G36" s="227"/>
      <c r="H36" s="237"/>
      <c r="I36" s="353" t="s">
        <v>560</v>
      </c>
      <c r="J36" s="352"/>
      <c r="K36" s="352"/>
      <c r="L36" s="352"/>
      <c r="M36" s="352"/>
      <c r="N36" s="352"/>
      <c r="O36" s="352"/>
      <c r="P36" s="352"/>
      <c r="Q36" s="354"/>
      <c r="T36" s="353" t="s">
        <v>560</v>
      </c>
      <c r="U36" s="352"/>
      <c r="W36" s="352"/>
      <c r="X36" s="352"/>
      <c r="Y36" s="352"/>
      <c r="Z36" s="352"/>
      <c r="AA36" s="352"/>
      <c r="AB36" s="354"/>
      <c r="AC36" s="352"/>
    </row>
    <row r="37" spans="1:30" s="285" customFormat="1" ht="18">
      <c r="A37" s="376" t="s">
        <v>71</v>
      </c>
      <c r="B37" s="376" t="s">
        <v>549</v>
      </c>
      <c r="C37" s="377">
        <f t="shared" ref="C37:H37" si="2">SUM(C35:C36)</f>
        <v>0</v>
      </c>
      <c r="D37" s="377">
        <f t="shared" si="2"/>
        <v>0</v>
      </c>
      <c r="E37" s="377">
        <f t="shared" si="2"/>
        <v>0</v>
      </c>
      <c r="F37" s="377">
        <f t="shared" si="2"/>
        <v>0</v>
      </c>
      <c r="G37" s="377">
        <f t="shared" si="2"/>
        <v>0</v>
      </c>
      <c r="H37" s="377">
        <f t="shared" si="2"/>
        <v>0</v>
      </c>
      <c r="I37" s="355" t="s">
        <v>561</v>
      </c>
      <c r="J37" s="352"/>
      <c r="K37" s="352"/>
      <c r="L37" s="352"/>
      <c r="M37" s="352"/>
      <c r="N37" s="352"/>
      <c r="O37" s="352"/>
      <c r="P37" s="352"/>
      <c r="Q37" s="354"/>
      <c r="T37" s="353" t="s">
        <v>561</v>
      </c>
      <c r="U37" s="352"/>
      <c r="V37" s="352"/>
      <c r="W37" s="352"/>
      <c r="X37" s="352"/>
      <c r="Y37" s="352"/>
      <c r="Z37" s="352"/>
      <c r="AA37" s="352"/>
      <c r="AB37" s="354"/>
      <c r="AC37" s="352"/>
    </row>
    <row r="38" spans="1:30" s="285" customFormat="1" ht="18.5" thickBot="1">
      <c r="A38" s="261" t="s">
        <v>71</v>
      </c>
      <c r="B38" s="262" t="s">
        <v>549</v>
      </c>
      <c r="C38" s="263" t="s">
        <v>135</v>
      </c>
      <c r="D38" s="264" t="s">
        <v>135</v>
      </c>
      <c r="E38" s="265" t="s">
        <v>135</v>
      </c>
      <c r="F38" s="266" t="s">
        <v>135</v>
      </c>
      <c r="G38" s="266" t="s">
        <v>135</v>
      </c>
      <c r="H38" s="267" t="s">
        <v>135</v>
      </c>
      <c r="I38" s="353" t="s">
        <v>562</v>
      </c>
      <c r="J38" s="352"/>
      <c r="K38" s="352"/>
      <c r="L38" s="352"/>
      <c r="M38" s="352"/>
      <c r="N38" s="352"/>
      <c r="O38" s="352"/>
      <c r="P38" s="352"/>
      <c r="Q38" s="354"/>
      <c r="T38" s="353" t="s">
        <v>562</v>
      </c>
      <c r="U38" s="352"/>
      <c r="V38" s="352"/>
      <c r="W38" s="352"/>
      <c r="X38" s="352"/>
      <c r="Y38" s="352"/>
      <c r="Z38" s="352"/>
      <c r="AA38" s="352"/>
      <c r="AB38" s="354"/>
      <c r="AC38" s="352"/>
    </row>
    <row r="39" spans="1:30" s="285" customFormat="1" ht="18.5" thickBot="1">
      <c r="I39" s="366" t="s">
        <v>563</v>
      </c>
      <c r="J39" s="367"/>
      <c r="K39" s="367"/>
      <c r="L39" s="367"/>
      <c r="M39" s="367"/>
      <c r="N39" s="367"/>
      <c r="O39" s="367"/>
      <c r="P39" s="367"/>
      <c r="Q39" s="368"/>
      <c r="T39" s="366" t="s">
        <v>563</v>
      </c>
      <c r="U39" s="367"/>
      <c r="V39" s="367"/>
      <c r="W39" s="367"/>
      <c r="X39" s="367"/>
      <c r="Y39" s="367"/>
      <c r="Z39" s="367"/>
      <c r="AA39" s="367"/>
      <c r="AB39" s="368"/>
      <c r="AC39" s="352"/>
    </row>
    <row r="40" spans="1:30" s="285" customFormat="1" ht="19.5">
      <c r="B40" s="138" t="s">
        <v>652</v>
      </c>
      <c r="G40" s="369" t="s">
        <v>653</v>
      </c>
      <c r="H40" s="58"/>
      <c r="I40" s="58"/>
    </row>
    <row r="41" spans="1:30" s="285" customFormat="1" ht="19.5">
      <c r="B41" s="138" t="s">
        <v>654</v>
      </c>
      <c r="AC41" s="370"/>
      <c r="AD41" s="370"/>
    </row>
    <row r="42" spans="1:30" s="285" customFormat="1" ht="18">
      <c r="B42" s="138" t="s">
        <v>655</v>
      </c>
      <c r="AC42" s="370"/>
      <c r="AD42" s="370"/>
    </row>
    <row r="43" spans="1:30" s="285" customFormat="1" ht="18">
      <c r="B43" s="138" t="s">
        <v>656</v>
      </c>
    </row>
    <row r="44" spans="1:30" s="285" customFormat="1"/>
    <row r="45" spans="1:30" s="285" customFormat="1"/>
    <row r="46" spans="1:30" s="287" customFormat="1">
      <c r="A46" s="294"/>
      <c r="B46" s="294"/>
      <c r="C46" s="294"/>
      <c r="D46" s="294"/>
      <c r="E46" s="294"/>
      <c r="F46" s="294"/>
      <c r="G46" s="294"/>
      <c r="I46" s="294"/>
      <c r="J46" s="294"/>
      <c r="K46" s="294"/>
      <c r="L46" s="294"/>
      <c r="M46" s="294"/>
      <c r="N46" s="294"/>
      <c r="O46" s="294"/>
    </row>
    <row r="47" spans="1:30" s="287" customFormat="1">
      <c r="A47" s="294"/>
      <c r="B47" s="294"/>
      <c r="C47" s="294"/>
      <c r="D47" s="294"/>
      <c r="E47" s="294"/>
      <c r="F47" s="294"/>
      <c r="G47" s="294"/>
      <c r="I47" s="294"/>
      <c r="J47" s="294"/>
      <c r="K47" s="294"/>
      <c r="L47" s="294"/>
      <c r="M47" s="294"/>
      <c r="N47" s="294"/>
      <c r="O47" s="294"/>
    </row>
    <row r="48" spans="1:30" s="287" customFormat="1" ht="18">
      <c r="B48" s="138" t="s">
        <v>4678</v>
      </c>
    </row>
    <row r="49" spans="1:30" s="287" customFormat="1">
      <c r="B49" t="s">
        <v>722</v>
      </c>
      <c r="F49" s="1849" t="s">
        <v>3403</v>
      </c>
      <c r="G49" s="287" t="s">
        <v>2628</v>
      </c>
      <c r="I49" s="1270" t="s">
        <v>1756</v>
      </c>
      <c r="K49" s="678" t="s">
        <v>1757</v>
      </c>
      <c r="N49" s="478" t="s">
        <v>1048</v>
      </c>
    </row>
    <row r="50" spans="1:30" s="287" customFormat="1" ht="14.25" customHeight="1" thickBot="1">
      <c r="A50" s="294"/>
      <c r="B50" s="294"/>
      <c r="C50" s="294"/>
      <c r="D50" s="294"/>
      <c r="E50" s="294"/>
      <c r="F50" s="294"/>
      <c r="G50" s="294"/>
      <c r="H50" s="294"/>
      <c r="I50" s="294"/>
      <c r="J50" s="294"/>
      <c r="K50" s="294"/>
      <c r="L50" s="294"/>
      <c r="M50" s="294"/>
      <c r="N50" s="294"/>
      <c r="O50" s="294"/>
      <c r="AD50" s="291"/>
    </row>
    <row r="51" spans="1:30" s="287" customFormat="1" ht="18" thickBot="1">
      <c r="A51" s="879" t="s">
        <v>132</v>
      </c>
      <c r="B51" s="2400" t="s">
        <v>133</v>
      </c>
      <c r="C51" s="2401" t="s">
        <v>134</v>
      </c>
      <c r="D51" s="2402" t="s">
        <v>135</v>
      </c>
      <c r="E51" s="880" t="s">
        <v>193</v>
      </c>
      <c r="F51" s="880" t="s">
        <v>136</v>
      </c>
      <c r="G51" s="880" t="s">
        <v>137</v>
      </c>
      <c r="H51" s="880" t="s">
        <v>138</v>
      </c>
      <c r="I51" s="880" t="s">
        <v>194</v>
      </c>
      <c r="J51" s="881" t="s">
        <v>510</v>
      </c>
      <c r="K51" s="882"/>
      <c r="L51" s="880" t="s">
        <v>139</v>
      </c>
      <c r="M51" s="880" t="s">
        <v>195</v>
      </c>
      <c r="N51" s="880" t="s">
        <v>196</v>
      </c>
      <c r="O51" s="291" t="s">
        <v>2629</v>
      </c>
      <c r="P51" s="291" t="s">
        <v>2630</v>
      </c>
      <c r="Q51" s="291" t="s">
        <v>3716</v>
      </c>
      <c r="S51" s="291" t="s">
        <v>4057</v>
      </c>
    </row>
    <row r="52" spans="1:30" s="1357" customFormat="1" ht="18.75" customHeight="1">
      <c r="A52" s="1886" t="s">
        <v>3431</v>
      </c>
      <c r="B52" s="1883" t="s">
        <v>475</v>
      </c>
      <c r="C52" s="1884" t="s">
        <v>4632</v>
      </c>
      <c r="D52" s="1885"/>
      <c r="E52" s="1888">
        <v>26.5</v>
      </c>
      <c r="F52" s="1345"/>
      <c r="G52" s="1889" t="s">
        <v>3917</v>
      </c>
      <c r="H52" s="1891"/>
      <c r="I52" s="1353"/>
      <c r="J52" s="1348"/>
      <c r="K52" s="1348"/>
      <c r="L52" s="1890">
        <v>45</v>
      </c>
      <c r="M52" s="1891">
        <f t="shared" ref="M52:M60" si="3">L52-E52</f>
        <v>18.5</v>
      </c>
      <c r="N52" s="1896">
        <v>6</v>
      </c>
      <c r="O52" s="1897"/>
      <c r="P52" s="1355"/>
      <c r="Q52" s="2403" t="s">
        <v>3724</v>
      </c>
      <c r="R52" s="1356"/>
      <c r="S52" s="1356"/>
      <c r="T52" s="1356"/>
      <c r="U52" s="1356"/>
    </row>
    <row r="53" spans="1:30" s="1357" customFormat="1">
      <c r="A53" s="1887" t="s">
        <v>3432</v>
      </c>
      <c r="B53" s="1883" t="s">
        <v>475</v>
      </c>
      <c r="C53" s="1884" t="s">
        <v>4632</v>
      </c>
      <c r="D53" s="1885"/>
      <c r="E53" s="1888">
        <v>33</v>
      </c>
      <c r="F53" s="1345"/>
      <c r="G53" s="1889" t="s">
        <v>3917</v>
      </c>
      <c r="H53" s="1891"/>
      <c r="I53" s="1353"/>
      <c r="J53" s="1348"/>
      <c r="K53" s="1348"/>
      <c r="L53" s="1890">
        <v>60</v>
      </c>
      <c r="M53" s="1891">
        <f t="shared" si="3"/>
        <v>27</v>
      </c>
      <c r="N53" s="1896">
        <v>6</v>
      </c>
      <c r="O53" s="1897"/>
      <c r="P53" s="1355"/>
      <c r="Q53" s="2403" t="s">
        <v>3724</v>
      </c>
      <c r="R53" s="1356"/>
      <c r="S53" s="1356"/>
      <c r="T53" s="1356"/>
      <c r="U53" s="1356"/>
    </row>
    <row r="54" spans="1:30" s="1357" customFormat="1">
      <c r="A54" s="1887" t="s">
        <v>3433</v>
      </c>
      <c r="B54" s="1883" t="s">
        <v>475</v>
      </c>
      <c r="C54" s="1884" t="s">
        <v>4632</v>
      </c>
      <c r="D54" s="1885"/>
      <c r="E54" s="1888">
        <v>40</v>
      </c>
      <c r="F54" s="1345"/>
      <c r="G54" s="1889" t="s">
        <v>3917</v>
      </c>
      <c r="H54" s="1891"/>
      <c r="I54" s="1353"/>
      <c r="J54" s="1348"/>
      <c r="K54" s="1348"/>
      <c r="L54" s="1890">
        <v>73</v>
      </c>
      <c r="M54" s="1891">
        <v>33</v>
      </c>
      <c r="N54" s="1896">
        <v>6</v>
      </c>
      <c r="O54" s="1897"/>
      <c r="P54" s="1355"/>
      <c r="Q54" s="2403" t="s">
        <v>3724</v>
      </c>
      <c r="R54" s="1356"/>
      <c r="S54" s="1356"/>
      <c r="T54" s="1356"/>
      <c r="U54" s="1356"/>
    </row>
    <row r="55" spans="1:30" s="1357" customFormat="1">
      <c r="A55" s="1887" t="s">
        <v>3434</v>
      </c>
      <c r="B55" s="1883" t="s">
        <v>475</v>
      </c>
      <c r="C55" s="1884" t="s">
        <v>4632</v>
      </c>
      <c r="D55" s="1885"/>
      <c r="E55" s="1888">
        <v>33</v>
      </c>
      <c r="F55" s="1889" t="s">
        <v>4008</v>
      </c>
      <c r="G55" s="1889" t="s">
        <v>3917</v>
      </c>
      <c r="H55" s="1891"/>
      <c r="I55" s="1353"/>
      <c r="J55" s="1348"/>
      <c r="K55" s="1348"/>
      <c r="L55" s="1890">
        <v>60</v>
      </c>
      <c r="M55" s="1891">
        <v>27</v>
      </c>
      <c r="N55" s="1896">
        <v>6</v>
      </c>
      <c r="O55" s="1897"/>
      <c r="P55" s="1355"/>
      <c r="Q55" s="2403" t="s">
        <v>3778</v>
      </c>
      <c r="R55" s="1356"/>
      <c r="S55" s="1356"/>
      <c r="T55" s="1356"/>
      <c r="U55" s="1356"/>
    </row>
    <row r="56" spans="1:30" s="1357" customFormat="1">
      <c r="A56" s="1887" t="s">
        <v>3436</v>
      </c>
      <c r="B56" s="1883" t="s">
        <v>475</v>
      </c>
      <c r="C56" s="1884" t="s">
        <v>4632</v>
      </c>
      <c r="D56" s="1885"/>
      <c r="E56" s="1888">
        <v>33</v>
      </c>
      <c r="F56" s="1889" t="s">
        <v>3435</v>
      </c>
      <c r="G56" s="1889"/>
      <c r="H56" s="1891"/>
      <c r="I56" s="1353"/>
      <c r="J56" s="1348"/>
      <c r="K56" s="1348"/>
      <c r="L56" s="1890">
        <v>60</v>
      </c>
      <c r="M56" s="1891">
        <f t="shared" si="3"/>
        <v>27</v>
      </c>
      <c r="N56" s="1896">
        <v>6</v>
      </c>
      <c r="O56" s="1897"/>
      <c r="P56" s="1355"/>
      <c r="Q56" s="2403" t="s">
        <v>3779</v>
      </c>
      <c r="R56" s="1356"/>
      <c r="S56" s="1356"/>
      <c r="T56" s="1356"/>
      <c r="U56" s="1356"/>
    </row>
    <row r="57" spans="1:30" s="1357" customFormat="1" ht="18.75" customHeight="1">
      <c r="A57" s="1886" t="s">
        <v>3729</v>
      </c>
      <c r="B57" s="1883" t="s">
        <v>475</v>
      </c>
      <c r="C57" s="1884" t="s">
        <v>1587</v>
      </c>
      <c r="D57" s="1885"/>
      <c r="E57" s="1888">
        <v>30</v>
      </c>
      <c r="F57" s="1889" t="s">
        <v>4007</v>
      </c>
      <c r="G57" s="1345"/>
      <c r="H57" s="1346"/>
      <c r="I57" s="1353"/>
      <c r="J57" s="1348"/>
      <c r="K57" s="1348"/>
      <c r="L57" s="1890">
        <v>56.7</v>
      </c>
      <c r="M57" s="1891">
        <f t="shared" si="3"/>
        <v>26.700000000000003</v>
      </c>
      <c r="N57" s="1896">
        <v>6</v>
      </c>
      <c r="O57" s="1856" t="s">
        <v>3880</v>
      </c>
      <c r="P57" s="1897" t="s">
        <v>3730</v>
      </c>
      <c r="Q57" s="2403" t="s">
        <v>3724</v>
      </c>
      <c r="R57" s="1356"/>
      <c r="S57" s="1356"/>
      <c r="T57" s="1356"/>
      <c r="U57" s="1356"/>
    </row>
    <row r="58" spans="1:30" s="1357" customFormat="1">
      <c r="A58" s="1887" t="s">
        <v>3722</v>
      </c>
      <c r="B58" s="1883" t="s">
        <v>475</v>
      </c>
      <c r="C58" s="1884" t="s">
        <v>1587</v>
      </c>
      <c r="D58" s="1885"/>
      <c r="E58" s="1888">
        <v>37.799999999999997</v>
      </c>
      <c r="F58" s="1889" t="s">
        <v>4007</v>
      </c>
      <c r="G58" s="1345"/>
      <c r="H58" s="1346"/>
      <c r="I58" s="1353"/>
      <c r="J58" s="1348"/>
      <c r="K58" s="1348"/>
      <c r="L58" s="1890">
        <v>70.2</v>
      </c>
      <c r="M58" s="1891">
        <f t="shared" si="3"/>
        <v>32.400000000000006</v>
      </c>
      <c r="N58" s="1896">
        <v>6</v>
      </c>
      <c r="O58" s="1856" t="s">
        <v>3880</v>
      </c>
      <c r="P58" s="1897" t="s">
        <v>3730</v>
      </c>
      <c r="Q58" s="2403" t="s">
        <v>3724</v>
      </c>
      <c r="R58" s="1356"/>
      <c r="S58" s="1356"/>
      <c r="T58" s="1356"/>
      <c r="U58" s="1356"/>
    </row>
    <row r="59" spans="1:30" s="1357" customFormat="1">
      <c r="A59" s="1887" t="s">
        <v>3723</v>
      </c>
      <c r="B59" s="1883" t="s">
        <v>475</v>
      </c>
      <c r="C59" s="1884" t="s">
        <v>1587</v>
      </c>
      <c r="D59" s="1885"/>
      <c r="E59" s="1888">
        <v>48.6</v>
      </c>
      <c r="F59" s="1889" t="s">
        <v>4007</v>
      </c>
      <c r="G59" s="1345"/>
      <c r="H59" s="1346"/>
      <c r="I59" s="1353"/>
      <c r="J59" s="1348"/>
      <c r="K59" s="1348"/>
      <c r="L59" s="1890">
        <v>86.4</v>
      </c>
      <c r="M59" s="1891">
        <f t="shared" si="3"/>
        <v>37.800000000000004</v>
      </c>
      <c r="N59" s="1896">
        <v>6</v>
      </c>
      <c r="O59" s="1856" t="s">
        <v>3880</v>
      </c>
      <c r="P59" s="1897" t="s">
        <v>3730</v>
      </c>
      <c r="Q59" s="2403" t="s">
        <v>3724</v>
      </c>
      <c r="R59" s="1356"/>
      <c r="S59" s="1356"/>
      <c r="T59" s="1356"/>
      <c r="U59" s="1356"/>
    </row>
    <row r="60" spans="1:30" s="1351" customFormat="1">
      <c r="A60" s="1886" t="s">
        <v>3780</v>
      </c>
      <c r="B60" s="1883" t="s">
        <v>475</v>
      </c>
      <c r="C60" s="1884" t="s">
        <v>1587</v>
      </c>
      <c r="D60" s="1885"/>
      <c r="E60" s="1352"/>
      <c r="F60" s="1889" t="s">
        <v>3785</v>
      </c>
      <c r="G60" s="1346"/>
      <c r="H60" s="1346"/>
      <c r="I60" s="1353"/>
      <c r="J60" s="1348"/>
      <c r="K60" s="1348"/>
      <c r="L60" s="1348"/>
      <c r="M60" s="1891">
        <f t="shared" si="3"/>
        <v>0</v>
      </c>
      <c r="N60" s="1896">
        <v>6</v>
      </c>
      <c r="O60" s="1897"/>
      <c r="P60" s="1897" t="s">
        <v>3730</v>
      </c>
      <c r="Q60" s="2403" t="s">
        <v>3783</v>
      </c>
      <c r="R60" s="1394"/>
      <c r="S60" s="1394"/>
      <c r="T60" s="1394"/>
      <c r="U60" s="1394"/>
    </row>
    <row r="61" spans="1:30" s="1351" customFormat="1">
      <c r="A61" s="1341" t="s">
        <v>1509</v>
      </c>
      <c r="B61" s="1342" t="s">
        <v>475</v>
      </c>
      <c r="C61" s="1343" t="s">
        <v>2839</v>
      </c>
      <c r="D61" s="1344"/>
      <c r="E61" s="1352">
        <v>30</v>
      </c>
      <c r="F61" s="1345"/>
      <c r="G61" s="1345"/>
      <c r="H61" s="1346"/>
      <c r="I61" s="1353"/>
      <c r="J61" s="1348"/>
      <c r="K61" s="1348"/>
      <c r="L61" s="1348">
        <f>M61+E61</f>
        <v>59</v>
      </c>
      <c r="M61" s="1346">
        <v>29</v>
      </c>
      <c r="N61" s="1349">
        <v>5</v>
      </c>
      <c r="O61" s="1350"/>
    </row>
    <row r="62" spans="1:30" s="1351" customFormat="1">
      <c r="A62" s="1358" t="s">
        <v>2841</v>
      </c>
      <c r="B62" s="1342" t="s">
        <v>475</v>
      </c>
      <c r="C62" s="1343" t="s">
        <v>2839</v>
      </c>
      <c r="D62" s="1344"/>
      <c r="E62" s="1352">
        <v>34</v>
      </c>
      <c r="F62" s="1345"/>
      <c r="G62" s="1345"/>
      <c r="H62" s="1346"/>
      <c r="I62" s="1353"/>
      <c r="J62" s="1348"/>
      <c r="K62" s="1348"/>
      <c r="L62" s="1348">
        <f t="shared" ref="L62:L68" si="4">M62+E62</f>
        <v>64</v>
      </c>
      <c r="M62" s="1346">
        <v>30</v>
      </c>
      <c r="N62" s="1349">
        <v>5</v>
      </c>
      <c r="O62" s="1350"/>
    </row>
    <row r="63" spans="1:30" s="1351" customFormat="1">
      <c r="A63" s="1358" t="s">
        <v>882</v>
      </c>
      <c r="B63" s="1342" t="s">
        <v>475</v>
      </c>
      <c r="C63" s="1343" t="s">
        <v>2839</v>
      </c>
      <c r="D63" s="1344"/>
      <c r="E63" s="1352">
        <v>37</v>
      </c>
      <c r="F63" s="1345"/>
      <c r="G63" s="1345"/>
      <c r="H63" s="1346"/>
      <c r="I63" s="1353"/>
      <c r="J63" s="1348"/>
      <c r="K63" s="1348"/>
      <c r="L63" s="1348">
        <f t="shared" si="4"/>
        <v>69</v>
      </c>
      <c r="M63" s="1346">
        <v>32</v>
      </c>
      <c r="N63" s="1349">
        <v>5</v>
      </c>
      <c r="O63" s="1350"/>
    </row>
    <row r="64" spans="1:30" s="1351" customFormat="1">
      <c r="A64" s="1358" t="s">
        <v>1511</v>
      </c>
      <c r="B64" s="1342" t="s">
        <v>475</v>
      </c>
      <c r="C64" s="1343" t="s">
        <v>2839</v>
      </c>
      <c r="D64" s="1344"/>
      <c r="E64" s="1352">
        <v>40</v>
      </c>
      <c r="F64" s="1345"/>
      <c r="G64" s="1345"/>
      <c r="H64" s="1346"/>
      <c r="I64" s="1353"/>
      <c r="J64" s="1348"/>
      <c r="K64" s="1348"/>
      <c r="L64" s="1348">
        <f t="shared" si="4"/>
        <v>72</v>
      </c>
      <c r="M64" s="1346">
        <v>32</v>
      </c>
      <c r="N64" s="1349">
        <v>5</v>
      </c>
      <c r="O64" s="1350"/>
    </row>
    <row r="65" spans="1:21" s="1351" customFormat="1">
      <c r="A65" s="1341" t="s">
        <v>1509</v>
      </c>
      <c r="B65" s="1342" t="s">
        <v>475</v>
      </c>
      <c r="C65" s="1343" t="s">
        <v>2840</v>
      </c>
      <c r="D65" s="1344"/>
      <c r="E65" s="1352">
        <v>30</v>
      </c>
      <c r="F65" s="1345"/>
      <c r="G65" s="1345"/>
      <c r="H65" s="1346"/>
      <c r="I65" s="1353"/>
      <c r="J65" s="1348"/>
      <c r="K65" s="1348"/>
      <c r="L65" s="1348">
        <f t="shared" si="4"/>
        <v>59</v>
      </c>
      <c r="M65" s="1346">
        <v>29</v>
      </c>
      <c r="N65" s="1349">
        <v>5</v>
      </c>
      <c r="O65" s="1350"/>
    </row>
    <row r="66" spans="1:21" s="1351" customFormat="1">
      <c r="A66" s="1358" t="s">
        <v>1510</v>
      </c>
      <c r="B66" s="1342" t="s">
        <v>475</v>
      </c>
      <c r="C66" s="1343" t="s">
        <v>2840</v>
      </c>
      <c r="D66" s="1344"/>
      <c r="E66" s="1352">
        <v>34</v>
      </c>
      <c r="F66" s="1345"/>
      <c r="G66" s="1345"/>
      <c r="H66" s="1346"/>
      <c r="I66" s="1353"/>
      <c r="J66" s="1348"/>
      <c r="K66" s="1348"/>
      <c r="L66" s="1348">
        <f t="shared" si="4"/>
        <v>62</v>
      </c>
      <c r="M66" s="1346">
        <v>28</v>
      </c>
      <c r="N66" s="1349">
        <v>5</v>
      </c>
      <c r="O66" s="1350"/>
    </row>
    <row r="67" spans="1:21" s="1351" customFormat="1">
      <c r="A67" s="1358" t="s">
        <v>882</v>
      </c>
      <c r="B67" s="1342" t="s">
        <v>475</v>
      </c>
      <c r="C67" s="1343" t="s">
        <v>2840</v>
      </c>
      <c r="D67" s="1344"/>
      <c r="E67" s="1352">
        <v>37</v>
      </c>
      <c r="F67" s="1345"/>
      <c r="G67" s="1345"/>
      <c r="H67" s="1346"/>
      <c r="I67" s="1353"/>
      <c r="J67" s="1348"/>
      <c r="K67" s="1348"/>
      <c r="L67" s="1348">
        <f t="shared" si="4"/>
        <v>69</v>
      </c>
      <c r="M67" s="1346">
        <v>32</v>
      </c>
      <c r="N67" s="1349">
        <v>5</v>
      </c>
      <c r="O67" s="1350"/>
    </row>
    <row r="68" spans="1:21" s="1351" customFormat="1">
      <c r="A68" s="1358" t="s">
        <v>1511</v>
      </c>
      <c r="B68" s="1342" t="s">
        <v>475</v>
      </c>
      <c r="C68" s="1343" t="s">
        <v>2840</v>
      </c>
      <c r="D68" s="1344"/>
      <c r="E68" s="1352">
        <v>40</v>
      </c>
      <c r="F68" s="1345"/>
      <c r="G68" s="1345"/>
      <c r="H68" s="1346"/>
      <c r="I68" s="1353"/>
      <c r="J68" s="1348"/>
      <c r="K68" s="1348"/>
      <c r="L68" s="1348">
        <f t="shared" si="4"/>
        <v>72</v>
      </c>
      <c r="M68" s="1346">
        <v>32</v>
      </c>
      <c r="N68" s="1349">
        <v>5</v>
      </c>
      <c r="O68" s="1350"/>
    </row>
    <row r="69" spans="1:21" s="547" customFormat="1">
      <c r="A69" s="2430" t="s">
        <v>3941</v>
      </c>
      <c r="B69" s="1883" t="s">
        <v>475</v>
      </c>
      <c r="C69" s="1280" t="s">
        <v>4631</v>
      </c>
      <c r="D69" s="1784"/>
      <c r="E69" s="1851">
        <v>32</v>
      </c>
      <c r="F69" s="1786"/>
      <c r="G69" s="275" t="s">
        <v>3945</v>
      </c>
      <c r="H69" s="276"/>
      <c r="I69" s="277"/>
      <c r="J69" s="278"/>
      <c r="K69" s="278"/>
      <c r="L69" s="278">
        <f>M69+E69</f>
        <v>57</v>
      </c>
      <c r="M69" s="276">
        <v>25</v>
      </c>
      <c r="N69" s="632">
        <v>4</v>
      </c>
      <c r="O69" s="1856" t="s">
        <v>3880</v>
      </c>
      <c r="P69" s="2403" t="s">
        <v>3940</v>
      </c>
      <c r="Q69" s="2403" t="s">
        <v>3817</v>
      </c>
      <c r="R69" s="639"/>
      <c r="S69" s="639"/>
      <c r="T69" s="639"/>
      <c r="U69" s="639"/>
    </row>
    <row r="70" spans="1:21" s="547" customFormat="1">
      <c r="A70" s="2430" t="s">
        <v>3942</v>
      </c>
      <c r="B70" s="1883" t="s">
        <v>475</v>
      </c>
      <c r="C70" s="1280" t="s">
        <v>4631</v>
      </c>
      <c r="D70" s="1784"/>
      <c r="E70" s="1851">
        <v>37.5</v>
      </c>
      <c r="F70" s="663" t="s">
        <v>3944</v>
      </c>
      <c r="G70" s="275" t="s">
        <v>3945</v>
      </c>
      <c r="H70" s="276"/>
      <c r="I70" s="277"/>
      <c r="J70" s="278"/>
      <c r="K70" s="278"/>
      <c r="L70" s="278">
        <f>M70+E70</f>
        <v>62.5</v>
      </c>
      <c r="M70" s="276">
        <v>25</v>
      </c>
      <c r="N70" s="632">
        <v>4</v>
      </c>
      <c r="O70" s="1856" t="s">
        <v>3880</v>
      </c>
      <c r="P70" s="2403" t="s">
        <v>3940</v>
      </c>
      <c r="Q70" s="2403" t="s">
        <v>3817</v>
      </c>
      <c r="R70" s="639"/>
      <c r="S70" s="639"/>
      <c r="T70" s="639"/>
      <c r="U70" s="639"/>
    </row>
    <row r="71" spans="1:21" s="547" customFormat="1">
      <c r="A71" s="2430" t="s">
        <v>3943</v>
      </c>
      <c r="B71" s="1883" t="s">
        <v>475</v>
      </c>
      <c r="C71" s="1280" t="s">
        <v>4631</v>
      </c>
      <c r="D71" s="1784"/>
      <c r="E71" s="1851">
        <v>33</v>
      </c>
      <c r="F71" s="1786"/>
      <c r="G71" s="275" t="s">
        <v>3945</v>
      </c>
      <c r="H71" s="276"/>
      <c r="I71" s="277"/>
      <c r="J71" s="278"/>
      <c r="K71" s="278"/>
      <c r="L71" s="278">
        <f>M71+E71</f>
        <v>58</v>
      </c>
      <c r="M71" s="276">
        <v>25</v>
      </c>
      <c r="N71" s="632">
        <v>4</v>
      </c>
      <c r="O71" s="1856" t="s">
        <v>3880</v>
      </c>
      <c r="P71" s="2403" t="s">
        <v>3940</v>
      </c>
      <c r="Q71" s="2403" t="s">
        <v>3817</v>
      </c>
      <c r="R71" s="639"/>
      <c r="S71" s="639"/>
      <c r="T71" s="639"/>
      <c r="U71" s="639"/>
    </row>
    <row r="72" spans="1:21" s="1357" customFormat="1">
      <c r="A72" s="1886" t="s">
        <v>4203</v>
      </c>
      <c r="B72" s="1883" t="s">
        <v>475</v>
      </c>
      <c r="C72" s="1884" t="s">
        <v>45</v>
      </c>
      <c r="D72" s="1885"/>
      <c r="E72" s="1888">
        <v>32</v>
      </c>
      <c r="F72" s="1345"/>
      <c r="G72" s="1889" t="s">
        <v>4209</v>
      </c>
      <c r="H72" s="1346"/>
      <c r="I72" s="1353"/>
      <c r="J72" s="1348"/>
      <c r="K72" s="1348"/>
      <c r="L72" s="1890">
        <v>52</v>
      </c>
      <c r="M72" s="1891">
        <f t="shared" ref="M72:M78" si="5">L72-E72</f>
        <v>20</v>
      </c>
      <c r="N72" s="1354"/>
      <c r="O72" s="2472" t="s">
        <v>3880</v>
      </c>
      <c r="P72" s="1356"/>
      <c r="Q72" s="2407" t="s">
        <v>4208</v>
      </c>
      <c r="R72" s="1356"/>
      <c r="S72" s="1356"/>
      <c r="T72" s="1356"/>
      <c r="U72" s="1356"/>
    </row>
    <row r="73" spans="1:21" s="1357" customFormat="1">
      <c r="A73" s="1886" t="s">
        <v>4204</v>
      </c>
      <c r="B73" s="1883" t="s">
        <v>475</v>
      </c>
      <c r="C73" s="1884" t="s">
        <v>45</v>
      </c>
      <c r="D73" s="1885"/>
      <c r="E73" s="1888">
        <v>45</v>
      </c>
      <c r="F73" s="1345"/>
      <c r="G73" s="1889" t="s">
        <v>4209</v>
      </c>
      <c r="H73" s="1346"/>
      <c r="I73" s="1353"/>
      <c r="J73" s="1348"/>
      <c r="K73" s="1348"/>
      <c r="L73" s="1890">
        <v>78</v>
      </c>
      <c r="M73" s="1891">
        <f t="shared" si="5"/>
        <v>33</v>
      </c>
      <c r="N73" s="1354"/>
      <c r="O73" s="2472" t="s">
        <v>3880</v>
      </c>
      <c r="P73" s="1356"/>
      <c r="Q73" s="2407" t="s">
        <v>4208</v>
      </c>
      <c r="R73" s="1356"/>
      <c r="S73" s="1356"/>
      <c r="T73" s="1356"/>
      <c r="U73" s="1356"/>
    </row>
    <row r="74" spans="1:21" s="1357" customFormat="1">
      <c r="A74" s="1886" t="s">
        <v>4205</v>
      </c>
      <c r="B74" s="1883" t="s">
        <v>475</v>
      </c>
      <c r="C74" s="1884" t="s">
        <v>45</v>
      </c>
      <c r="D74" s="1885"/>
      <c r="E74" s="1888">
        <v>35</v>
      </c>
      <c r="F74" s="1345"/>
      <c r="G74" s="1889" t="s">
        <v>4209</v>
      </c>
      <c r="H74" s="1346"/>
      <c r="I74" s="1353"/>
      <c r="J74" s="1348"/>
      <c r="K74" s="1348"/>
      <c r="L74" s="1890">
        <v>58</v>
      </c>
      <c r="M74" s="1891">
        <f t="shared" si="5"/>
        <v>23</v>
      </c>
      <c r="N74" s="1354"/>
      <c r="O74" s="2472" t="s">
        <v>3880</v>
      </c>
      <c r="P74" s="1356"/>
      <c r="Q74" s="2407" t="s">
        <v>4208</v>
      </c>
      <c r="R74" s="1356"/>
      <c r="S74" s="1356"/>
      <c r="T74" s="1356"/>
      <c r="U74" s="1356"/>
    </row>
    <row r="75" spans="1:21" s="1357" customFormat="1">
      <c r="A75" s="662" t="s">
        <v>4206</v>
      </c>
      <c r="B75" s="1883" t="s">
        <v>475</v>
      </c>
      <c r="C75" s="1884" t="s">
        <v>45</v>
      </c>
      <c r="D75" s="1885"/>
      <c r="E75" s="1888">
        <v>62.5</v>
      </c>
      <c r="F75" s="1889" t="s">
        <v>4207</v>
      </c>
      <c r="G75" s="1345"/>
      <c r="H75" s="1346"/>
      <c r="I75" s="1353"/>
      <c r="J75" s="1348"/>
      <c r="K75" s="1348"/>
      <c r="L75" s="1890">
        <v>113</v>
      </c>
      <c r="M75" s="1891">
        <f t="shared" si="5"/>
        <v>50.5</v>
      </c>
      <c r="N75" s="1354"/>
      <c r="O75" s="2472" t="s">
        <v>3880</v>
      </c>
      <c r="P75" s="1356"/>
      <c r="Q75" s="2407" t="s">
        <v>4208</v>
      </c>
      <c r="R75" s="1356"/>
      <c r="S75" s="1356"/>
      <c r="T75" s="1356"/>
      <c r="U75" s="1356"/>
    </row>
    <row r="76" spans="1:21" s="1357" customFormat="1">
      <c r="A76" s="1886" t="s">
        <v>3419</v>
      </c>
      <c r="B76" s="1883" t="s">
        <v>475</v>
      </c>
      <c r="C76" s="1884" t="s">
        <v>3420</v>
      </c>
      <c r="D76" s="1885"/>
      <c r="E76" s="1888">
        <v>32</v>
      </c>
      <c r="F76" s="288" t="s">
        <v>4098</v>
      </c>
      <c r="G76" s="1345"/>
      <c r="H76" s="1346"/>
      <c r="I76" s="1353"/>
      <c r="J76" s="1348"/>
      <c r="K76" s="1348"/>
      <c r="L76" s="1890">
        <v>55</v>
      </c>
      <c r="M76" s="1891">
        <f t="shared" si="5"/>
        <v>23</v>
      </c>
      <c r="N76" s="1354">
        <v>5</v>
      </c>
      <c r="O76" s="1355"/>
      <c r="P76" s="1356"/>
      <c r="Q76" s="2407" t="s">
        <v>3786</v>
      </c>
      <c r="R76" s="1356"/>
      <c r="S76" s="1356"/>
      <c r="T76" s="1356"/>
      <c r="U76" s="1356"/>
    </row>
    <row r="77" spans="1:21" s="1357" customFormat="1">
      <c r="A77" s="1887" t="s">
        <v>2844</v>
      </c>
      <c r="B77" s="1883" t="s">
        <v>475</v>
      </c>
      <c r="C77" s="1884" t="s">
        <v>3420</v>
      </c>
      <c r="D77" s="1885"/>
      <c r="E77" s="1888">
        <v>39</v>
      </c>
      <c r="F77" s="288" t="s">
        <v>4099</v>
      </c>
      <c r="G77" s="1345"/>
      <c r="H77" s="1346"/>
      <c r="I77" s="1353"/>
      <c r="J77" s="1348"/>
      <c r="K77" s="1348"/>
      <c r="L77" s="1890">
        <v>68</v>
      </c>
      <c r="M77" s="1891">
        <f t="shared" si="5"/>
        <v>29</v>
      </c>
      <c r="N77" s="1354">
        <v>5</v>
      </c>
      <c r="O77" s="1355"/>
      <c r="P77" s="1356"/>
      <c r="Q77" s="2407" t="s">
        <v>3786</v>
      </c>
      <c r="R77" s="1356"/>
      <c r="S77" s="1356"/>
      <c r="T77" s="1356"/>
      <c r="U77" s="1356"/>
    </row>
    <row r="78" spans="1:21" s="1357" customFormat="1">
      <c r="A78" s="1887" t="s">
        <v>2206</v>
      </c>
      <c r="B78" s="1883" t="s">
        <v>475</v>
      </c>
      <c r="C78" s="1884" t="s">
        <v>3420</v>
      </c>
      <c r="D78" s="1885"/>
      <c r="E78" s="1888">
        <v>45</v>
      </c>
      <c r="F78" s="288" t="s">
        <v>4100</v>
      </c>
      <c r="G78" s="1345"/>
      <c r="H78" s="1346"/>
      <c r="I78" s="1353"/>
      <c r="J78" s="1348"/>
      <c r="K78" s="1348"/>
      <c r="L78" s="1890">
        <v>81</v>
      </c>
      <c r="M78" s="1891">
        <f t="shared" si="5"/>
        <v>36</v>
      </c>
      <c r="N78" s="1354">
        <v>5</v>
      </c>
      <c r="O78" s="1355"/>
      <c r="P78" s="1356"/>
      <c r="Q78" s="2407" t="s">
        <v>3786</v>
      </c>
      <c r="R78" s="1356"/>
      <c r="S78" s="1356"/>
      <c r="T78" s="1356"/>
      <c r="U78" s="1356"/>
    </row>
    <row r="79" spans="1:21" s="1357" customFormat="1">
      <c r="A79" s="1887"/>
      <c r="B79" s="1883" t="s">
        <v>475</v>
      </c>
      <c r="C79" s="1884" t="s">
        <v>3426</v>
      </c>
      <c r="D79" s="1885"/>
      <c r="E79" s="1888"/>
      <c r="F79" s="1889"/>
      <c r="G79" s="1345"/>
      <c r="H79" s="1346"/>
      <c r="I79" s="1353"/>
      <c r="J79" s="1348"/>
      <c r="K79" s="1348"/>
      <c r="L79" s="1890"/>
      <c r="M79" s="1891"/>
      <c r="N79" s="1354"/>
      <c r="O79" s="1355"/>
      <c r="P79" s="1356"/>
      <c r="Q79" s="1356"/>
      <c r="R79" s="1356"/>
      <c r="S79" s="1356"/>
      <c r="T79" s="1356"/>
      <c r="U79" s="1356"/>
    </row>
    <row r="80" spans="1:21" s="1357" customFormat="1">
      <c r="A80" s="1886" t="s">
        <v>4600</v>
      </c>
      <c r="B80" s="1883" t="s">
        <v>475</v>
      </c>
      <c r="C80" s="1884" t="s">
        <v>2845</v>
      </c>
      <c r="D80" s="1344"/>
      <c r="E80" s="1888">
        <v>37</v>
      </c>
      <c r="F80" s="1889" t="s">
        <v>2846</v>
      </c>
      <c r="G80" s="1345"/>
      <c r="H80" s="1346"/>
      <c r="I80" s="1353"/>
      <c r="J80" s="1348"/>
      <c r="K80" s="1348"/>
      <c r="L80" s="1890">
        <f t="shared" ref="L80:L85" si="6">E80+M80</f>
        <v>63</v>
      </c>
      <c r="M80" s="1891">
        <v>26</v>
      </c>
      <c r="N80" s="1354">
        <v>5</v>
      </c>
      <c r="O80" s="1897" t="s">
        <v>3880</v>
      </c>
      <c r="P80" s="1356"/>
      <c r="Q80" s="2407" t="s">
        <v>4603</v>
      </c>
      <c r="R80" s="2407" t="s">
        <v>4605</v>
      </c>
      <c r="S80" s="1356"/>
      <c r="T80" s="1356"/>
      <c r="U80" s="1356"/>
    </row>
    <row r="81" spans="1:21" s="1357" customFormat="1">
      <c r="A81" s="1886" t="s">
        <v>4601</v>
      </c>
      <c r="B81" s="1883" t="s">
        <v>475</v>
      </c>
      <c r="C81" s="1884" t="s">
        <v>2845</v>
      </c>
      <c r="D81" s="1344"/>
      <c r="E81" s="1888">
        <v>46</v>
      </c>
      <c r="F81" s="1889" t="s">
        <v>2847</v>
      </c>
      <c r="G81" s="1345"/>
      <c r="H81" s="1346"/>
      <c r="I81" s="1353"/>
      <c r="J81" s="1348"/>
      <c r="K81" s="1348"/>
      <c r="L81" s="1890">
        <f t="shared" si="6"/>
        <v>72</v>
      </c>
      <c r="M81" s="1891">
        <v>26</v>
      </c>
      <c r="N81" s="1354">
        <v>5</v>
      </c>
      <c r="O81" s="1897" t="s">
        <v>3880</v>
      </c>
      <c r="P81" s="1356"/>
      <c r="Q81" s="2407" t="s">
        <v>4060</v>
      </c>
      <c r="R81" s="2407" t="s">
        <v>4606</v>
      </c>
      <c r="S81" s="1356"/>
      <c r="T81" s="1356"/>
      <c r="U81" s="1356"/>
    </row>
    <row r="82" spans="1:21" s="1357" customFormat="1">
      <c r="A82" s="1887" t="s">
        <v>4602</v>
      </c>
      <c r="B82" s="1883" t="s">
        <v>475</v>
      </c>
      <c r="C82" s="1884" t="s">
        <v>2845</v>
      </c>
      <c r="D82" s="1344"/>
      <c r="E82" s="1888">
        <v>40</v>
      </c>
      <c r="F82" s="1889" t="s">
        <v>2846</v>
      </c>
      <c r="G82" s="1345"/>
      <c r="H82" s="1346"/>
      <c r="I82" s="1353"/>
      <c r="J82" s="1348"/>
      <c r="K82" s="1348"/>
      <c r="L82" s="1890">
        <f t="shared" si="6"/>
        <v>66</v>
      </c>
      <c r="M82" s="1891">
        <v>26</v>
      </c>
      <c r="N82" s="1354">
        <v>5</v>
      </c>
      <c r="O82" s="1897" t="s">
        <v>3880</v>
      </c>
      <c r="P82" s="1356"/>
      <c r="Q82" s="2407" t="s">
        <v>4604</v>
      </c>
      <c r="R82" s="2407" t="s">
        <v>4607</v>
      </c>
      <c r="S82" s="1356"/>
      <c r="T82" s="1356"/>
      <c r="U82" s="1356"/>
    </row>
    <row r="83" spans="1:21" s="1357" customFormat="1">
      <c r="A83" s="1886" t="s">
        <v>4600</v>
      </c>
      <c r="B83" s="1883" t="s">
        <v>475</v>
      </c>
      <c r="C83" s="1884" t="s">
        <v>2845</v>
      </c>
      <c r="D83" s="1344"/>
      <c r="E83" s="1888">
        <v>56</v>
      </c>
      <c r="F83" s="1889" t="s">
        <v>2847</v>
      </c>
      <c r="G83" s="1345"/>
      <c r="H83" s="1346"/>
      <c r="I83" s="1353"/>
      <c r="J83" s="1348"/>
      <c r="K83" s="1348"/>
      <c r="L83" s="1890">
        <f t="shared" si="6"/>
        <v>82</v>
      </c>
      <c r="M83" s="1891">
        <v>26</v>
      </c>
      <c r="N83" s="1354">
        <v>5</v>
      </c>
      <c r="O83" s="1897" t="s">
        <v>3880</v>
      </c>
      <c r="P83" s="1356"/>
      <c r="Q83" s="2407" t="s">
        <v>4603</v>
      </c>
      <c r="R83" s="2407" t="s">
        <v>4605</v>
      </c>
      <c r="S83" s="1356"/>
      <c r="T83" s="1356"/>
      <c r="U83" s="1356"/>
    </row>
    <row r="84" spans="1:21" s="1357" customFormat="1">
      <c r="A84" s="1886" t="s">
        <v>4601</v>
      </c>
      <c r="B84" s="1883" t="s">
        <v>475</v>
      </c>
      <c r="C84" s="1884" t="s">
        <v>2845</v>
      </c>
      <c r="D84" s="1344"/>
      <c r="E84" s="1888">
        <v>62</v>
      </c>
      <c r="F84" s="1889" t="s">
        <v>2846</v>
      </c>
      <c r="G84" s="1345"/>
      <c r="H84" s="1346"/>
      <c r="I84" s="1353"/>
      <c r="J84" s="1348"/>
      <c r="K84" s="1348"/>
      <c r="L84" s="1890">
        <f t="shared" si="6"/>
        <v>88</v>
      </c>
      <c r="M84" s="1891">
        <v>26</v>
      </c>
      <c r="N84" s="1354">
        <v>5</v>
      </c>
      <c r="O84" s="1897" t="s">
        <v>3880</v>
      </c>
      <c r="P84" s="1356"/>
      <c r="Q84" s="2407" t="s">
        <v>4060</v>
      </c>
      <c r="R84" s="2407" t="s">
        <v>4608</v>
      </c>
      <c r="S84" s="1356"/>
      <c r="T84" s="1356"/>
      <c r="U84" s="1356"/>
    </row>
    <row r="85" spans="1:21" s="1357" customFormat="1">
      <c r="A85" s="1887" t="s">
        <v>4602</v>
      </c>
      <c r="B85" s="1883" t="s">
        <v>475</v>
      </c>
      <c r="C85" s="1884" t="s">
        <v>2845</v>
      </c>
      <c r="D85" s="1344"/>
      <c r="E85" s="1888">
        <v>73</v>
      </c>
      <c r="F85" s="1889" t="s">
        <v>2847</v>
      </c>
      <c r="G85" s="1345"/>
      <c r="H85" s="1346"/>
      <c r="I85" s="1353"/>
      <c r="J85" s="1348"/>
      <c r="K85" s="1348"/>
      <c r="L85" s="1890">
        <f t="shared" si="6"/>
        <v>99</v>
      </c>
      <c r="M85" s="1891">
        <v>26</v>
      </c>
      <c r="N85" s="1354">
        <v>5</v>
      </c>
      <c r="O85" s="1897" t="s">
        <v>3880</v>
      </c>
      <c r="P85" s="1356"/>
      <c r="Q85" s="2407" t="s">
        <v>4604</v>
      </c>
      <c r="R85" s="2407" t="s">
        <v>4607</v>
      </c>
      <c r="S85" s="1356"/>
      <c r="T85" s="1356"/>
      <c r="U85" s="1356"/>
    </row>
    <row r="86" spans="1:21" s="1357" customFormat="1" ht="18.75" customHeight="1">
      <c r="A86" s="1886" t="s">
        <v>3729</v>
      </c>
      <c r="B86" s="1883" t="s">
        <v>475</v>
      </c>
      <c r="C86" s="1884" t="s">
        <v>1588</v>
      </c>
      <c r="D86" s="1885"/>
      <c r="E86" s="1888">
        <v>30.5</v>
      </c>
      <c r="F86" s="1889" t="s">
        <v>4007</v>
      </c>
      <c r="G86" s="1345"/>
      <c r="H86" s="1346"/>
      <c r="I86" s="1353"/>
      <c r="J86" s="1348"/>
      <c r="K86" s="1348"/>
      <c r="L86" s="1890">
        <v>56.7</v>
      </c>
      <c r="M86" s="1891">
        <f>L86-E86</f>
        <v>26.200000000000003</v>
      </c>
      <c r="N86" s="1896">
        <v>6</v>
      </c>
      <c r="O86" s="1856" t="s">
        <v>3880</v>
      </c>
      <c r="P86" s="1897" t="s">
        <v>3731</v>
      </c>
      <c r="Q86" s="2403" t="s">
        <v>3724</v>
      </c>
      <c r="R86" s="1356"/>
      <c r="S86" s="1356"/>
      <c r="T86" s="1356"/>
      <c r="U86" s="1356"/>
    </row>
    <row r="87" spans="1:21" s="1357" customFormat="1">
      <c r="A87" s="1887" t="s">
        <v>3722</v>
      </c>
      <c r="B87" s="1883" t="s">
        <v>475</v>
      </c>
      <c r="C87" s="1884" t="s">
        <v>1588</v>
      </c>
      <c r="D87" s="1885"/>
      <c r="E87" s="1888">
        <v>39.4</v>
      </c>
      <c r="F87" s="1889" t="s">
        <v>4007</v>
      </c>
      <c r="G87" s="1345"/>
      <c r="H87" s="1346"/>
      <c r="I87" s="1353"/>
      <c r="J87" s="1348"/>
      <c r="K87" s="1348"/>
      <c r="L87" s="1890">
        <v>73.400000000000006</v>
      </c>
      <c r="M87" s="1891">
        <f t="shared" ref="M87:M97" si="7">L87-E87</f>
        <v>34.000000000000007</v>
      </c>
      <c r="N87" s="1896">
        <v>6</v>
      </c>
      <c r="O87" s="1856" t="s">
        <v>3880</v>
      </c>
      <c r="P87" s="1897" t="s">
        <v>3731</v>
      </c>
      <c r="Q87" s="2403" t="s">
        <v>3724</v>
      </c>
      <c r="R87" s="1356"/>
      <c r="S87" s="1356"/>
      <c r="T87" s="1356"/>
      <c r="U87" s="1356"/>
    </row>
    <row r="88" spans="1:21" s="1357" customFormat="1">
      <c r="A88" s="1887" t="s">
        <v>3723</v>
      </c>
      <c r="B88" s="1883" t="s">
        <v>475</v>
      </c>
      <c r="C88" s="1884" t="s">
        <v>1588</v>
      </c>
      <c r="D88" s="1885"/>
      <c r="E88" s="1888">
        <v>44.8</v>
      </c>
      <c r="F88" s="1889" t="s">
        <v>4007</v>
      </c>
      <c r="G88" s="1345"/>
      <c r="H88" s="1346"/>
      <c r="I88" s="1353"/>
      <c r="J88" s="1348"/>
      <c r="K88" s="1348"/>
      <c r="L88" s="1890">
        <v>81.5</v>
      </c>
      <c r="M88" s="1891">
        <f t="shared" si="7"/>
        <v>36.700000000000003</v>
      </c>
      <c r="N88" s="1896">
        <v>6</v>
      </c>
      <c r="O88" s="1856" t="s">
        <v>3880</v>
      </c>
      <c r="P88" s="1897" t="s">
        <v>3731</v>
      </c>
      <c r="Q88" s="2403" t="s">
        <v>3779</v>
      </c>
      <c r="R88" s="1356"/>
      <c r="S88" s="1356"/>
      <c r="T88" s="1356"/>
      <c r="U88" s="1356"/>
    </row>
    <row r="89" spans="1:21" s="1351" customFormat="1">
      <c r="A89" s="1886" t="s">
        <v>3781</v>
      </c>
      <c r="B89" s="1883" t="s">
        <v>475</v>
      </c>
      <c r="C89" s="1884" t="s">
        <v>1588</v>
      </c>
      <c r="D89" s="1885"/>
      <c r="E89" s="1352"/>
      <c r="F89" s="1889" t="s">
        <v>3785</v>
      </c>
      <c r="G89" s="1346"/>
      <c r="H89" s="1346"/>
      <c r="I89" s="1353"/>
      <c r="J89" s="1348"/>
      <c r="K89" s="1348"/>
      <c r="L89" s="1348"/>
      <c r="M89" s="1891">
        <f t="shared" si="7"/>
        <v>0</v>
      </c>
      <c r="N89" s="1896">
        <v>6</v>
      </c>
      <c r="O89" s="1355"/>
      <c r="P89" s="1897" t="s">
        <v>3731</v>
      </c>
      <c r="Q89" s="2403" t="s">
        <v>3783</v>
      </c>
      <c r="R89" s="1394"/>
      <c r="S89" s="1394"/>
      <c r="T89" s="1394"/>
      <c r="U89" s="1394"/>
    </row>
    <row r="90" spans="1:21" s="1357" customFormat="1">
      <c r="A90" s="1886" t="s">
        <v>3729</v>
      </c>
      <c r="B90" s="1883" t="s">
        <v>475</v>
      </c>
      <c r="C90" s="1884" t="s">
        <v>1590</v>
      </c>
      <c r="D90" s="1885"/>
      <c r="E90" s="1888">
        <v>34.5</v>
      </c>
      <c r="F90" s="1889" t="s">
        <v>4007</v>
      </c>
      <c r="G90" s="1346"/>
      <c r="H90" s="1346"/>
      <c r="I90" s="1353"/>
      <c r="J90" s="1348"/>
      <c r="K90" s="1348"/>
      <c r="L90" s="1890">
        <v>58.9</v>
      </c>
      <c r="M90" s="1891">
        <f t="shared" si="7"/>
        <v>24.4</v>
      </c>
      <c r="N90" s="1896">
        <v>6</v>
      </c>
      <c r="O90" s="1856" t="s">
        <v>3880</v>
      </c>
      <c r="P90" s="1897" t="s">
        <v>3733</v>
      </c>
      <c r="Q90" s="2403" t="s">
        <v>3724</v>
      </c>
      <c r="R90" s="1356"/>
      <c r="S90" s="1356"/>
      <c r="T90" s="1356"/>
      <c r="U90" s="1356"/>
    </row>
    <row r="91" spans="1:21" s="1357" customFormat="1">
      <c r="A91" s="1887" t="s">
        <v>3722</v>
      </c>
      <c r="B91" s="1883" t="s">
        <v>475</v>
      </c>
      <c r="C91" s="1884" t="s">
        <v>1590</v>
      </c>
      <c r="D91" s="1885"/>
      <c r="E91" s="1888">
        <v>46.4</v>
      </c>
      <c r="F91" s="1889" t="s">
        <v>4007</v>
      </c>
      <c r="G91" s="1346"/>
      <c r="H91" s="1346"/>
      <c r="I91" s="1353"/>
      <c r="J91" s="1348"/>
      <c r="K91" s="1348"/>
      <c r="L91" s="1890">
        <v>78.8</v>
      </c>
      <c r="M91" s="1891">
        <f t="shared" si="7"/>
        <v>32.4</v>
      </c>
      <c r="N91" s="1896">
        <v>6</v>
      </c>
      <c r="O91" s="1856" t="s">
        <v>3880</v>
      </c>
      <c r="P91" s="1897" t="s">
        <v>3733</v>
      </c>
      <c r="Q91" s="2403" t="s">
        <v>3724</v>
      </c>
      <c r="R91" s="1356"/>
      <c r="S91" s="1356"/>
      <c r="T91" s="1356"/>
      <c r="U91" s="1356"/>
    </row>
    <row r="92" spans="1:21" s="1357" customFormat="1">
      <c r="A92" s="1887" t="s">
        <v>3723</v>
      </c>
      <c r="B92" s="1883" t="s">
        <v>475</v>
      </c>
      <c r="C92" s="1884" t="s">
        <v>1590</v>
      </c>
      <c r="D92" s="1885"/>
      <c r="E92" s="1888">
        <v>55.1</v>
      </c>
      <c r="F92" s="1889" t="s">
        <v>4007</v>
      </c>
      <c r="G92" s="1346"/>
      <c r="H92" s="1346"/>
      <c r="I92" s="1353"/>
      <c r="J92" s="1348"/>
      <c r="K92" s="1348"/>
      <c r="L92" s="1890">
        <v>97.2</v>
      </c>
      <c r="M92" s="1891">
        <f t="shared" si="7"/>
        <v>42.1</v>
      </c>
      <c r="N92" s="1896">
        <v>6</v>
      </c>
      <c r="O92" s="1856" t="s">
        <v>3880</v>
      </c>
      <c r="P92" s="1897" t="s">
        <v>3733</v>
      </c>
      <c r="Q92" s="2403" t="s">
        <v>3779</v>
      </c>
      <c r="R92" s="1356"/>
      <c r="S92" s="1356"/>
      <c r="T92" s="1356"/>
      <c r="U92" s="1356"/>
    </row>
    <row r="93" spans="1:21" s="1351" customFormat="1">
      <c r="A93" s="1886" t="s">
        <v>3781</v>
      </c>
      <c r="B93" s="1883" t="s">
        <v>475</v>
      </c>
      <c r="C93" s="1884" t="s">
        <v>1590</v>
      </c>
      <c r="D93" s="1885"/>
      <c r="E93" s="1352"/>
      <c r="F93" s="1889" t="s">
        <v>3785</v>
      </c>
      <c r="G93" s="1346"/>
      <c r="H93" s="1346"/>
      <c r="I93" s="1353"/>
      <c r="J93" s="1348"/>
      <c r="K93" s="1348"/>
      <c r="L93" s="1348"/>
      <c r="M93" s="1891">
        <f t="shared" si="7"/>
        <v>0</v>
      </c>
      <c r="N93" s="1896">
        <v>6</v>
      </c>
      <c r="O93" s="1856" t="s">
        <v>3880</v>
      </c>
      <c r="P93" s="1897" t="s">
        <v>3733</v>
      </c>
      <c r="Q93" s="2403" t="s">
        <v>3783</v>
      </c>
      <c r="R93" s="1394"/>
      <c r="S93" s="1394"/>
      <c r="T93" s="1394"/>
      <c r="U93" s="1394"/>
    </row>
    <row r="94" spans="1:21" s="1357" customFormat="1">
      <c r="A94" s="1886" t="s">
        <v>3721</v>
      </c>
      <c r="B94" s="1883" t="s">
        <v>475</v>
      </c>
      <c r="C94" s="1884" t="s">
        <v>852</v>
      </c>
      <c r="D94" s="1885"/>
      <c r="E94" s="1888">
        <v>37.5</v>
      </c>
      <c r="F94" s="1345" t="s">
        <v>658</v>
      </c>
      <c r="G94" s="1346"/>
      <c r="H94" s="1346"/>
      <c r="I94" s="1353"/>
      <c r="J94" s="1348"/>
      <c r="K94" s="1348"/>
      <c r="L94" s="1890">
        <v>63.1</v>
      </c>
      <c r="M94" s="1891">
        <f t="shared" si="7"/>
        <v>25.6</v>
      </c>
      <c r="N94" s="1896">
        <v>6</v>
      </c>
      <c r="O94" s="1856" t="s">
        <v>3880</v>
      </c>
      <c r="P94" s="1897" t="s">
        <v>3726</v>
      </c>
      <c r="Q94" s="2403" t="s">
        <v>3724</v>
      </c>
      <c r="R94" s="1356"/>
      <c r="S94" s="1356"/>
      <c r="T94" s="1356"/>
      <c r="U94" s="1356"/>
    </row>
    <row r="95" spans="1:21" s="1357" customFormat="1">
      <c r="A95" s="1887" t="s">
        <v>3722</v>
      </c>
      <c r="B95" s="1883" t="s">
        <v>475</v>
      </c>
      <c r="C95" s="1884" t="s">
        <v>852</v>
      </c>
      <c r="D95" s="1885"/>
      <c r="E95" s="1888">
        <v>50.2</v>
      </c>
      <c r="F95" s="1345" t="s">
        <v>658</v>
      </c>
      <c r="G95" s="1346"/>
      <c r="H95" s="1346"/>
      <c r="I95" s="1353"/>
      <c r="J95" s="1348"/>
      <c r="K95" s="1348"/>
      <c r="L95" s="1890">
        <v>86.4</v>
      </c>
      <c r="M95" s="1891">
        <f t="shared" si="7"/>
        <v>36.200000000000003</v>
      </c>
      <c r="N95" s="1896">
        <v>6</v>
      </c>
      <c r="O95" s="1856" t="s">
        <v>3880</v>
      </c>
      <c r="P95" s="1897" t="s">
        <v>3726</v>
      </c>
      <c r="Q95" s="2403" t="s">
        <v>3724</v>
      </c>
      <c r="R95" s="1356"/>
      <c r="S95" s="1356"/>
      <c r="T95" s="1356"/>
      <c r="U95" s="1356"/>
    </row>
    <row r="96" spans="1:21" s="1357" customFormat="1">
      <c r="A96" s="1887" t="s">
        <v>3725</v>
      </c>
      <c r="B96" s="1883" t="s">
        <v>475</v>
      </c>
      <c r="C96" s="1884" t="s">
        <v>852</v>
      </c>
      <c r="D96" s="1885"/>
      <c r="E96" s="1888">
        <v>62.1</v>
      </c>
      <c r="F96" s="1345" t="s">
        <v>658</v>
      </c>
      <c r="G96" s="1346"/>
      <c r="H96" s="1346"/>
      <c r="I96" s="1353"/>
      <c r="J96" s="1348"/>
      <c r="K96" s="1348"/>
      <c r="L96" s="1890">
        <v>110.2</v>
      </c>
      <c r="M96" s="1891">
        <f>L96-E96</f>
        <v>48.1</v>
      </c>
      <c r="N96" s="1896">
        <v>6</v>
      </c>
      <c r="O96" s="1856" t="s">
        <v>3880</v>
      </c>
      <c r="P96" s="1897" t="s">
        <v>3726</v>
      </c>
      <c r="Q96" s="2403" t="s">
        <v>3724</v>
      </c>
      <c r="R96" s="1356"/>
      <c r="S96" s="1356"/>
      <c r="T96" s="1356"/>
      <c r="U96" s="1356"/>
    </row>
    <row r="97" spans="1:21" s="1357" customFormat="1">
      <c r="A97" s="1886" t="s">
        <v>3781</v>
      </c>
      <c r="B97" s="1883" t="s">
        <v>475</v>
      </c>
      <c r="C97" s="1884" t="s">
        <v>852</v>
      </c>
      <c r="D97" s="1885"/>
      <c r="E97" s="1888"/>
      <c r="F97" s="1889" t="s">
        <v>3785</v>
      </c>
      <c r="G97" s="1346"/>
      <c r="H97" s="1346"/>
      <c r="I97" s="1353"/>
      <c r="J97" s="1348"/>
      <c r="K97" s="1348"/>
      <c r="L97" s="1890">
        <v>110.2</v>
      </c>
      <c r="M97" s="1891">
        <f t="shared" si="7"/>
        <v>110.2</v>
      </c>
      <c r="N97" s="1896">
        <v>6</v>
      </c>
      <c r="O97" s="1856" t="s">
        <v>3880</v>
      </c>
      <c r="P97" s="1897" t="s">
        <v>3726</v>
      </c>
      <c r="Q97" s="2403" t="s">
        <v>3783</v>
      </c>
      <c r="R97" s="1356"/>
      <c r="S97" s="1356"/>
      <c r="T97" s="1356"/>
      <c r="U97" s="1356"/>
    </row>
    <row r="98" spans="1:21" s="688" customFormat="1">
      <c r="A98" s="679" t="s">
        <v>1591</v>
      </c>
      <c r="B98" s="1272" t="s">
        <v>475</v>
      </c>
      <c r="C98" s="1273" t="s">
        <v>418</v>
      </c>
      <c r="D98" s="1274"/>
      <c r="E98" s="1255">
        <v>32</v>
      </c>
      <c r="F98" s="681" t="s">
        <v>1294</v>
      </c>
      <c r="G98" s="683"/>
      <c r="H98" s="683"/>
      <c r="I98" s="714"/>
      <c r="J98" s="685"/>
      <c r="K98" s="685"/>
      <c r="L98" s="685"/>
      <c r="M98" s="683">
        <v>25</v>
      </c>
      <c r="N98" s="706">
        <v>7</v>
      </c>
      <c r="O98" s="683"/>
      <c r="P98" s="696"/>
      <c r="Q98" s="696"/>
      <c r="R98" s="696"/>
      <c r="S98" s="696"/>
      <c r="T98" s="696"/>
      <c r="U98" s="696"/>
    </row>
    <row r="99" spans="1:21" s="688" customFormat="1">
      <c r="A99" s="679" t="s">
        <v>1592</v>
      </c>
      <c r="B99" s="1272" t="s">
        <v>475</v>
      </c>
      <c r="C99" s="1273" t="s">
        <v>418</v>
      </c>
      <c r="D99" s="1274"/>
      <c r="E99" s="1255">
        <v>40</v>
      </c>
      <c r="F99" s="681" t="s">
        <v>1294</v>
      </c>
      <c r="G99" s="683"/>
      <c r="H99" s="683"/>
      <c r="I99" s="714"/>
      <c r="J99" s="685"/>
      <c r="K99" s="685"/>
      <c r="L99" s="685"/>
      <c r="M99" s="683">
        <v>30</v>
      </c>
      <c r="N99" s="706">
        <v>7</v>
      </c>
      <c r="O99" s="683"/>
      <c r="P99" s="696"/>
      <c r="Q99" s="696"/>
      <c r="R99" s="696"/>
      <c r="S99" s="696"/>
      <c r="T99" s="696"/>
      <c r="U99" s="696"/>
    </row>
    <row r="100" spans="1:21" s="688" customFormat="1">
      <c r="A100" s="679" t="s">
        <v>636</v>
      </c>
      <c r="B100" s="1272" t="s">
        <v>475</v>
      </c>
      <c r="C100" s="1273" t="s">
        <v>418</v>
      </c>
      <c r="D100" s="1274"/>
      <c r="E100" s="1255">
        <v>32</v>
      </c>
      <c r="F100" s="681" t="s">
        <v>1294</v>
      </c>
      <c r="G100" s="683"/>
      <c r="H100" s="683"/>
      <c r="I100" s="714"/>
      <c r="J100" s="685"/>
      <c r="K100" s="685"/>
      <c r="L100" s="685"/>
      <c r="M100" s="683">
        <v>25</v>
      </c>
      <c r="N100" s="706">
        <v>7</v>
      </c>
      <c r="O100" s="683"/>
      <c r="P100" s="696"/>
      <c r="Q100" s="696"/>
      <c r="R100" s="696"/>
      <c r="S100" s="696"/>
      <c r="T100" s="696"/>
      <c r="U100" s="696"/>
    </row>
    <row r="101" spans="1:21" s="305" customFormat="1">
      <c r="A101" s="662" t="s">
        <v>3828</v>
      </c>
      <c r="B101" s="1286" t="s">
        <v>475</v>
      </c>
      <c r="C101" s="1280" t="s">
        <v>418</v>
      </c>
      <c r="D101" s="1281"/>
      <c r="E101" s="1851">
        <v>36</v>
      </c>
      <c r="F101" s="663" t="s">
        <v>3447</v>
      </c>
      <c r="G101" s="664" t="s">
        <v>3442</v>
      </c>
      <c r="H101" s="664">
        <v>1.65</v>
      </c>
      <c r="I101" s="1853" t="s">
        <v>206</v>
      </c>
      <c r="J101" s="292"/>
      <c r="K101" s="292"/>
      <c r="L101" s="666">
        <v>68</v>
      </c>
      <c r="M101" s="664">
        <f t="shared" ref="M101:M110" si="8">L101-E101</f>
        <v>32</v>
      </c>
      <c r="N101" s="667">
        <v>7</v>
      </c>
      <c r="O101" s="2406" t="s">
        <v>3939</v>
      </c>
      <c r="P101" s="2403" t="s">
        <v>3743</v>
      </c>
      <c r="Q101" s="2406" t="s">
        <v>3829</v>
      </c>
      <c r="R101" s="297"/>
      <c r="S101" s="297"/>
      <c r="T101" s="297"/>
      <c r="U101" s="297"/>
    </row>
    <row r="102" spans="1:21" s="305" customFormat="1">
      <c r="A102" s="662" t="s">
        <v>3826</v>
      </c>
      <c r="B102" s="1286" t="s">
        <v>475</v>
      </c>
      <c r="C102" s="1280" t="s">
        <v>418</v>
      </c>
      <c r="D102" s="1281"/>
      <c r="E102" s="1851">
        <v>36</v>
      </c>
      <c r="F102" s="288"/>
      <c r="G102" s="294"/>
      <c r="H102" s="2424" t="s">
        <v>3916</v>
      </c>
      <c r="I102" s="1853" t="s">
        <v>206</v>
      </c>
      <c r="J102" s="292"/>
      <c r="K102" s="292"/>
      <c r="L102" s="666">
        <v>68</v>
      </c>
      <c r="M102" s="664">
        <f t="shared" si="8"/>
        <v>32</v>
      </c>
      <c r="N102" s="667">
        <v>7</v>
      </c>
      <c r="O102" s="2406" t="s">
        <v>3939</v>
      </c>
      <c r="P102" s="2403" t="s">
        <v>3743</v>
      </c>
      <c r="Q102" s="2406" t="s">
        <v>3742</v>
      </c>
      <c r="R102" s="297"/>
      <c r="S102" s="297"/>
      <c r="T102" s="297"/>
      <c r="U102" s="297"/>
    </row>
    <row r="103" spans="1:21" s="305" customFormat="1">
      <c r="A103" s="662" t="s">
        <v>3827</v>
      </c>
      <c r="B103" s="1286" t="s">
        <v>475</v>
      </c>
      <c r="C103" s="1280" t="s">
        <v>418</v>
      </c>
      <c r="D103" s="1281"/>
      <c r="E103" s="1851">
        <v>47</v>
      </c>
      <c r="F103" s="288"/>
      <c r="G103" s="664" t="s">
        <v>3442</v>
      </c>
      <c r="H103" s="664">
        <v>1.65</v>
      </c>
      <c r="I103" s="1853" t="s">
        <v>206</v>
      </c>
      <c r="J103" s="292"/>
      <c r="K103" s="292"/>
      <c r="L103" s="666">
        <v>84</v>
      </c>
      <c r="M103" s="664">
        <f t="shared" si="8"/>
        <v>37</v>
      </c>
      <c r="N103" s="667">
        <v>7</v>
      </c>
      <c r="O103" s="2406" t="s">
        <v>3939</v>
      </c>
      <c r="P103" s="2403" t="s">
        <v>3743</v>
      </c>
      <c r="Q103" s="2406" t="s">
        <v>3742</v>
      </c>
      <c r="R103" s="297"/>
      <c r="S103" s="297"/>
      <c r="T103" s="297"/>
      <c r="U103" s="297"/>
    </row>
    <row r="104" spans="1:21" s="305" customFormat="1">
      <c r="A104" s="662" t="s">
        <v>3824</v>
      </c>
      <c r="B104" s="1286" t="s">
        <v>475</v>
      </c>
      <c r="C104" s="1280" t="s">
        <v>418</v>
      </c>
      <c r="D104" s="1281"/>
      <c r="E104" s="1851">
        <v>61</v>
      </c>
      <c r="F104" s="288"/>
      <c r="G104" s="664" t="s">
        <v>3442</v>
      </c>
      <c r="H104" s="664">
        <v>1.65</v>
      </c>
      <c r="I104" s="1853" t="s">
        <v>206</v>
      </c>
      <c r="J104" s="292"/>
      <c r="K104" s="292"/>
      <c r="L104" s="666">
        <v>112</v>
      </c>
      <c r="M104" s="664">
        <f t="shared" si="8"/>
        <v>51</v>
      </c>
      <c r="N104" s="667">
        <v>7</v>
      </c>
      <c r="O104" s="2406" t="s">
        <v>3939</v>
      </c>
      <c r="P104" s="2403" t="s">
        <v>3743</v>
      </c>
      <c r="Q104" s="2406" t="s">
        <v>3742</v>
      </c>
      <c r="R104" s="297"/>
      <c r="S104" s="297"/>
      <c r="T104" s="297"/>
      <c r="U104" s="297"/>
    </row>
    <row r="105" spans="1:21" s="305" customFormat="1">
      <c r="A105" s="662" t="s">
        <v>3825</v>
      </c>
      <c r="B105" s="1286" t="s">
        <v>475</v>
      </c>
      <c r="C105" s="1280" t="s">
        <v>418</v>
      </c>
      <c r="D105" s="1281"/>
      <c r="E105" s="1851">
        <v>63</v>
      </c>
      <c r="F105" s="288"/>
      <c r="G105" s="664" t="s">
        <v>3442</v>
      </c>
      <c r="H105" s="664">
        <v>1.65</v>
      </c>
      <c r="I105" s="1853" t="s">
        <v>206</v>
      </c>
      <c r="J105" s="292"/>
      <c r="K105" s="292"/>
      <c r="L105" s="666">
        <v>116</v>
      </c>
      <c r="M105" s="664">
        <f t="shared" si="8"/>
        <v>53</v>
      </c>
      <c r="N105" s="667">
        <v>7</v>
      </c>
      <c r="O105" s="2406" t="s">
        <v>3939</v>
      </c>
      <c r="P105" s="2403" t="s">
        <v>3743</v>
      </c>
      <c r="Q105" s="2406" t="s">
        <v>3742</v>
      </c>
      <c r="R105" s="297"/>
      <c r="S105" s="297"/>
      <c r="T105" s="297"/>
      <c r="U105" s="297"/>
    </row>
    <row r="106" spans="1:21" s="305" customFormat="1">
      <c r="A106" s="662" t="s">
        <v>3787</v>
      </c>
      <c r="B106" s="1286" t="s">
        <v>475</v>
      </c>
      <c r="C106" s="1280" t="s">
        <v>846</v>
      </c>
      <c r="D106" s="1281"/>
      <c r="E106" s="1851">
        <v>28</v>
      </c>
      <c r="F106" s="288"/>
      <c r="G106" s="664" t="s">
        <v>3796</v>
      </c>
      <c r="H106" s="664"/>
      <c r="I106" s="289"/>
      <c r="J106" s="292"/>
      <c r="K106" s="292"/>
      <c r="L106" s="666">
        <v>54</v>
      </c>
      <c r="M106" s="664">
        <f t="shared" si="8"/>
        <v>26</v>
      </c>
      <c r="N106" s="634">
        <v>4</v>
      </c>
      <c r="O106" s="1856" t="s">
        <v>3880</v>
      </c>
      <c r="P106" s="297"/>
      <c r="Q106" s="1856" t="s">
        <v>3791</v>
      </c>
      <c r="R106" s="297"/>
      <c r="S106" s="297"/>
      <c r="T106" s="297"/>
      <c r="U106" s="297"/>
    </row>
    <row r="107" spans="1:21" s="287" customFormat="1">
      <c r="A107" s="662" t="s">
        <v>3788</v>
      </c>
      <c r="B107" s="1286" t="s">
        <v>475</v>
      </c>
      <c r="C107" s="1280" t="s">
        <v>846</v>
      </c>
      <c r="D107" s="1281"/>
      <c r="E107" s="1851">
        <v>33</v>
      </c>
      <c r="F107" s="288"/>
      <c r="G107" s="664" t="s">
        <v>3796</v>
      </c>
      <c r="H107" s="283"/>
      <c r="I107" s="289"/>
      <c r="J107" s="292"/>
      <c r="K107" s="292"/>
      <c r="L107" s="666">
        <v>62</v>
      </c>
      <c r="M107" s="664">
        <f t="shared" si="8"/>
        <v>29</v>
      </c>
      <c r="N107" s="634">
        <v>4</v>
      </c>
      <c r="O107" s="1856" t="s">
        <v>3880</v>
      </c>
      <c r="P107" s="295"/>
      <c r="Q107" s="1857" t="s">
        <v>3792</v>
      </c>
      <c r="R107" s="295"/>
      <c r="S107" s="295"/>
      <c r="T107" s="295"/>
      <c r="U107" s="295"/>
    </row>
    <row r="108" spans="1:21" s="287" customFormat="1">
      <c r="A108" s="662" t="s">
        <v>3789</v>
      </c>
      <c r="B108" s="1286" t="s">
        <v>475</v>
      </c>
      <c r="C108" s="1280" t="s">
        <v>846</v>
      </c>
      <c r="D108" s="1281"/>
      <c r="E108" s="1851">
        <v>34</v>
      </c>
      <c r="F108" s="288"/>
      <c r="G108" s="664" t="s">
        <v>3796</v>
      </c>
      <c r="H108" s="283"/>
      <c r="I108" s="289"/>
      <c r="J108" s="292"/>
      <c r="K108" s="292"/>
      <c r="L108" s="666">
        <v>62</v>
      </c>
      <c r="M108" s="664">
        <f t="shared" si="8"/>
        <v>28</v>
      </c>
      <c r="N108" s="634">
        <v>4</v>
      </c>
      <c r="O108" s="1856" t="s">
        <v>3880</v>
      </c>
      <c r="P108" s="295"/>
      <c r="Q108" s="1857" t="s">
        <v>3793</v>
      </c>
      <c r="R108" s="295"/>
      <c r="S108" s="295"/>
      <c r="T108" s="295"/>
      <c r="U108" s="295"/>
    </row>
    <row r="109" spans="1:21" s="287" customFormat="1">
      <c r="A109" s="662" t="s">
        <v>3790</v>
      </c>
      <c r="B109" s="1286" t="s">
        <v>475</v>
      </c>
      <c r="C109" s="1280" t="s">
        <v>846</v>
      </c>
      <c r="D109" s="1281"/>
      <c r="E109" s="1851">
        <v>40</v>
      </c>
      <c r="F109" s="663" t="s">
        <v>3421</v>
      </c>
      <c r="G109" s="283"/>
      <c r="H109" s="283"/>
      <c r="I109" s="289"/>
      <c r="J109" s="292"/>
      <c r="K109" s="292"/>
      <c r="L109" s="666">
        <v>71</v>
      </c>
      <c r="M109" s="664">
        <f t="shared" si="8"/>
        <v>31</v>
      </c>
      <c r="N109" s="634">
        <v>4</v>
      </c>
      <c r="O109" s="1856" t="s">
        <v>3880</v>
      </c>
      <c r="P109" s="295"/>
      <c r="Q109" s="1857" t="s">
        <v>3795</v>
      </c>
      <c r="R109" s="295"/>
      <c r="S109" s="295"/>
      <c r="T109" s="295"/>
      <c r="U109" s="295"/>
    </row>
    <row r="110" spans="1:21" s="287" customFormat="1">
      <c r="A110" s="662" t="s">
        <v>3406</v>
      </c>
      <c r="B110" s="1286" t="s">
        <v>475</v>
      </c>
      <c r="C110" s="1280" t="s">
        <v>846</v>
      </c>
      <c r="D110" s="1281"/>
      <c r="E110" s="1851">
        <v>65</v>
      </c>
      <c r="F110" s="663" t="s">
        <v>3422</v>
      </c>
      <c r="G110" s="283"/>
      <c r="H110" s="283"/>
      <c r="I110" s="289"/>
      <c r="J110" s="292"/>
      <c r="K110" s="292"/>
      <c r="L110" s="666">
        <v>108</v>
      </c>
      <c r="M110" s="664">
        <f t="shared" si="8"/>
        <v>43</v>
      </c>
      <c r="N110" s="634">
        <v>4</v>
      </c>
      <c r="O110" s="1856" t="s">
        <v>3880</v>
      </c>
      <c r="P110" s="295"/>
      <c r="Q110" s="1857" t="s">
        <v>3794</v>
      </c>
      <c r="R110" s="295"/>
      <c r="S110" s="295"/>
      <c r="T110" s="295"/>
      <c r="U110" s="295"/>
    </row>
    <row r="111" spans="1:21" s="287" customFormat="1">
      <c r="A111" s="662" t="s">
        <v>3831</v>
      </c>
      <c r="B111" s="1286" t="s">
        <v>475</v>
      </c>
      <c r="C111" s="1280" t="s">
        <v>224</v>
      </c>
      <c r="D111" s="1281"/>
      <c r="E111" s="1851">
        <v>35</v>
      </c>
      <c r="F111" s="663"/>
      <c r="G111" s="671" t="s">
        <v>3443</v>
      </c>
      <c r="H111" s="664">
        <f>E111*3.2 %</f>
        <v>1.1200000000000001</v>
      </c>
      <c r="I111" s="1853" t="s">
        <v>206</v>
      </c>
      <c r="J111" s="1608"/>
      <c r="K111" s="292"/>
      <c r="L111" s="666">
        <f>M111+E111</f>
        <v>69</v>
      </c>
      <c r="M111" s="664">
        <v>34</v>
      </c>
      <c r="N111" s="667">
        <v>7</v>
      </c>
      <c r="O111" s="2406" t="s">
        <v>3939</v>
      </c>
      <c r="P111" s="2407" t="s">
        <v>3446</v>
      </c>
      <c r="Q111" s="2407" t="s">
        <v>3742</v>
      </c>
      <c r="R111" s="295"/>
      <c r="S111" s="295"/>
      <c r="T111" s="295"/>
      <c r="U111" s="295"/>
    </row>
    <row r="112" spans="1:21" s="287" customFormat="1">
      <c r="A112" s="662" t="s">
        <v>3832</v>
      </c>
      <c r="B112" s="1286" t="s">
        <v>475</v>
      </c>
      <c r="C112" s="1280" t="s">
        <v>224</v>
      </c>
      <c r="D112" s="1281"/>
      <c r="E112" s="1851">
        <v>34</v>
      </c>
      <c r="F112" s="663"/>
      <c r="G112" s="671" t="s">
        <v>3443</v>
      </c>
      <c r="H112" s="664">
        <f>E112*3.2 %</f>
        <v>1.0880000000000001</v>
      </c>
      <c r="I112" s="1853" t="s">
        <v>206</v>
      </c>
      <c r="J112" s="1608"/>
      <c r="K112" s="292"/>
      <c r="L112" s="666">
        <f>M112+E112</f>
        <v>67</v>
      </c>
      <c r="M112" s="664">
        <v>33</v>
      </c>
      <c r="N112" s="667">
        <v>7</v>
      </c>
      <c r="O112" s="2406" t="s">
        <v>3939</v>
      </c>
      <c r="P112" s="2407" t="s">
        <v>3446</v>
      </c>
      <c r="Q112" s="2407" t="s">
        <v>3742</v>
      </c>
      <c r="R112" s="295"/>
      <c r="S112" s="295"/>
      <c r="T112" s="295"/>
      <c r="U112" s="295"/>
    </row>
    <row r="113" spans="1:21" s="287" customFormat="1">
      <c r="A113" s="662" t="s">
        <v>3830</v>
      </c>
      <c r="B113" s="1286" t="s">
        <v>475</v>
      </c>
      <c r="C113" s="1280" t="s">
        <v>224</v>
      </c>
      <c r="D113" s="1281"/>
      <c r="E113" s="1851">
        <v>43</v>
      </c>
      <c r="F113" s="663" t="s">
        <v>3448</v>
      </c>
      <c r="G113" s="671" t="s">
        <v>3443</v>
      </c>
      <c r="H113" s="664">
        <f>E113*3.2 %</f>
        <v>1.3760000000000001</v>
      </c>
      <c r="I113" s="1853" t="s">
        <v>206</v>
      </c>
      <c r="J113" s="1608"/>
      <c r="K113" s="292"/>
      <c r="L113" s="666">
        <f>M113+E113</f>
        <v>85</v>
      </c>
      <c r="M113" s="664">
        <v>42</v>
      </c>
      <c r="N113" s="667">
        <v>7</v>
      </c>
      <c r="O113" s="2406" t="s">
        <v>3939</v>
      </c>
      <c r="P113" s="2407" t="s">
        <v>3446</v>
      </c>
      <c r="Q113" s="2407" t="s">
        <v>3742</v>
      </c>
      <c r="R113" s="295"/>
      <c r="S113" s="295"/>
      <c r="T113" s="295"/>
      <c r="U113" s="295"/>
    </row>
    <row r="114" spans="1:21" s="305" customFormat="1">
      <c r="A114" s="662" t="s">
        <v>3833</v>
      </c>
      <c r="B114" s="1286" t="s">
        <v>475</v>
      </c>
      <c r="C114" s="1280" t="s">
        <v>224</v>
      </c>
      <c r="D114" s="1281"/>
      <c r="E114" s="1851">
        <v>57</v>
      </c>
      <c r="F114" s="663"/>
      <c r="G114" s="671" t="s">
        <v>3443</v>
      </c>
      <c r="H114" s="664">
        <f>E114*3.2 %</f>
        <v>1.8240000000000001</v>
      </c>
      <c r="I114" s="1853" t="s">
        <v>206</v>
      </c>
      <c r="J114" s="1608"/>
      <c r="K114" s="292"/>
      <c r="L114" s="666">
        <f>M114+E114</f>
        <v>113</v>
      </c>
      <c r="M114" s="664">
        <v>56</v>
      </c>
      <c r="N114" s="667">
        <v>7</v>
      </c>
      <c r="O114" s="2406" t="s">
        <v>3939</v>
      </c>
      <c r="P114" s="2407" t="s">
        <v>3446</v>
      </c>
      <c r="Q114" s="2407" t="s">
        <v>3742</v>
      </c>
      <c r="R114" s="297"/>
      <c r="S114" s="297"/>
      <c r="T114" s="297"/>
      <c r="U114" s="297"/>
    </row>
    <row r="115" spans="1:21" s="305" customFormat="1">
      <c r="A115" s="662" t="s">
        <v>3834</v>
      </c>
      <c r="B115" s="1286" t="s">
        <v>475</v>
      </c>
      <c r="C115" s="1280" t="s">
        <v>224</v>
      </c>
      <c r="D115" s="1281"/>
      <c r="E115" s="1851">
        <v>44</v>
      </c>
      <c r="F115" s="663"/>
      <c r="G115" s="671" t="s">
        <v>3443</v>
      </c>
      <c r="H115" s="664">
        <f>E115*3.2 %</f>
        <v>1.4079999999999999</v>
      </c>
      <c r="I115" s="1853" t="s">
        <v>206</v>
      </c>
      <c r="J115" s="1608"/>
      <c r="K115" s="292"/>
      <c r="L115" s="666">
        <f>M115+E115</f>
        <v>87</v>
      </c>
      <c r="M115" s="664">
        <v>43</v>
      </c>
      <c r="N115" s="667">
        <v>7</v>
      </c>
      <c r="O115" s="2406" t="s">
        <v>3939</v>
      </c>
      <c r="P115" s="2407" t="s">
        <v>3446</v>
      </c>
      <c r="Q115" s="2407" t="s">
        <v>3742</v>
      </c>
      <c r="R115" s="297"/>
      <c r="S115" s="297"/>
      <c r="T115" s="297"/>
      <c r="U115" s="297"/>
    </row>
    <row r="116" spans="1:21" s="688" customFormat="1">
      <c r="A116" s="679"/>
      <c r="B116" s="1272" t="s">
        <v>475</v>
      </c>
      <c r="C116" s="1273" t="s">
        <v>2046</v>
      </c>
      <c r="D116" s="1274"/>
      <c r="E116" s="1255">
        <v>36</v>
      </c>
      <c r="F116" s="681" t="s">
        <v>2047</v>
      </c>
      <c r="G116" s="682"/>
      <c r="H116" s="683"/>
      <c r="I116" s="685"/>
      <c r="J116" s="684"/>
      <c r="K116" s="685"/>
      <c r="L116" s="685">
        <v>62</v>
      </c>
      <c r="M116" s="683">
        <v>26</v>
      </c>
      <c r="N116" s="706"/>
      <c r="O116" s="876"/>
      <c r="P116" s="696"/>
      <c r="Q116" s="696"/>
      <c r="R116" s="696"/>
      <c r="S116" s="696"/>
      <c r="T116" s="696"/>
      <c r="U116" s="696"/>
    </row>
    <row r="117" spans="1:21" s="710" customFormat="1">
      <c r="A117" s="679" t="s">
        <v>966</v>
      </c>
      <c r="B117" s="1272" t="s">
        <v>475</v>
      </c>
      <c r="C117" s="1273" t="s">
        <v>965</v>
      </c>
      <c r="D117" s="1274"/>
      <c r="E117" s="1255">
        <v>44</v>
      </c>
      <c r="F117" s="681" t="s">
        <v>1540</v>
      </c>
      <c r="G117" s="293" t="s">
        <v>2854</v>
      </c>
      <c r="H117" s="683"/>
      <c r="I117" s="685"/>
      <c r="J117" s="684"/>
      <c r="K117" s="685"/>
      <c r="L117" s="685">
        <v>76</v>
      </c>
      <c r="M117" s="683">
        <v>32</v>
      </c>
      <c r="N117" s="706" t="s">
        <v>884</v>
      </c>
      <c r="O117" s="708"/>
      <c r="P117" s="709"/>
      <c r="Q117" s="709"/>
      <c r="R117" s="709"/>
      <c r="S117" s="709"/>
      <c r="T117" s="709"/>
      <c r="U117" s="709"/>
    </row>
    <row r="118" spans="1:21" s="710" customFormat="1">
      <c r="A118" s="679" t="s">
        <v>6</v>
      </c>
      <c r="B118" s="1272" t="s">
        <v>475</v>
      </c>
      <c r="C118" s="1273" t="s">
        <v>965</v>
      </c>
      <c r="D118" s="1274"/>
      <c r="E118" s="1255">
        <v>38</v>
      </c>
      <c r="F118" s="681" t="s">
        <v>1541</v>
      </c>
      <c r="G118" s="293" t="s">
        <v>2854</v>
      </c>
      <c r="H118" s="683"/>
      <c r="I118" s="685"/>
      <c r="J118" s="684"/>
      <c r="K118" s="685"/>
      <c r="L118" s="685">
        <v>68</v>
      </c>
      <c r="M118" s="683">
        <v>30</v>
      </c>
      <c r="N118" s="706" t="s">
        <v>884</v>
      </c>
      <c r="O118" s="708"/>
      <c r="P118" s="709"/>
      <c r="Q118" s="709"/>
      <c r="R118" s="709"/>
      <c r="S118" s="709"/>
      <c r="T118" s="709"/>
      <c r="U118" s="709"/>
    </row>
    <row r="119" spans="1:21" s="688" customFormat="1">
      <c r="A119" s="679" t="s">
        <v>967</v>
      </c>
      <c r="B119" s="1272" t="s">
        <v>475</v>
      </c>
      <c r="C119" s="1273" t="s">
        <v>965</v>
      </c>
      <c r="D119" s="1274"/>
      <c r="E119" s="1255">
        <v>43.5</v>
      </c>
      <c r="F119" s="681" t="s">
        <v>1057</v>
      </c>
      <c r="G119" s="293" t="s">
        <v>2854</v>
      </c>
      <c r="H119" s="683"/>
      <c r="I119" s="685"/>
      <c r="J119" s="684"/>
      <c r="K119" s="685"/>
      <c r="L119" s="685">
        <v>75.5</v>
      </c>
      <c r="M119" s="683">
        <v>30</v>
      </c>
      <c r="N119" s="706" t="s">
        <v>884</v>
      </c>
      <c r="O119" s="711"/>
      <c r="P119" s="696"/>
      <c r="Q119" s="696"/>
      <c r="R119" s="696"/>
      <c r="S119" s="696"/>
      <c r="T119" s="696"/>
      <c r="U119" s="696"/>
    </row>
    <row r="120" spans="1:21" s="710" customFormat="1">
      <c r="A120" s="679" t="s">
        <v>853</v>
      </c>
      <c r="B120" s="1272" t="s">
        <v>475</v>
      </c>
      <c r="C120" s="1273" t="s">
        <v>965</v>
      </c>
      <c r="D120" s="1274"/>
      <c r="E120" s="1255">
        <v>65.5</v>
      </c>
      <c r="F120" s="681"/>
      <c r="G120" s="682"/>
      <c r="H120" s="683"/>
      <c r="I120" s="685"/>
      <c r="J120" s="684"/>
      <c r="K120" s="685"/>
      <c r="L120" s="685">
        <v>115.5</v>
      </c>
      <c r="M120" s="683">
        <v>50.5</v>
      </c>
      <c r="N120" s="706" t="s">
        <v>884</v>
      </c>
      <c r="O120" s="707" t="s">
        <v>1542</v>
      </c>
      <c r="P120" s="709"/>
      <c r="Q120" s="709"/>
      <c r="R120" s="709"/>
      <c r="S120" s="709"/>
      <c r="T120" s="709"/>
      <c r="U120" s="709"/>
    </row>
    <row r="121" spans="1:21" s="305" customFormat="1">
      <c r="A121" s="1315" t="s">
        <v>2688</v>
      </c>
      <c r="B121" s="1314" t="s">
        <v>475</v>
      </c>
      <c r="C121" s="1316" t="s">
        <v>564</v>
      </c>
      <c r="D121" s="1312"/>
      <c r="E121" s="1300">
        <v>34</v>
      </c>
      <c r="F121" s="288"/>
      <c r="G121" s="283"/>
      <c r="H121" s="283"/>
      <c r="I121" s="289"/>
      <c r="J121" s="292"/>
      <c r="K121" s="292"/>
      <c r="L121" s="292">
        <v>61</v>
      </c>
      <c r="M121" s="283">
        <f t="shared" ref="M121:M128" si="9">L121-E121</f>
        <v>27</v>
      </c>
      <c r="N121" s="1317">
        <v>7</v>
      </c>
      <c r="O121" s="690" t="s">
        <v>2634</v>
      </c>
    </row>
    <row r="122" spans="1:21" s="305" customFormat="1">
      <c r="A122" s="1315" t="s">
        <v>2689</v>
      </c>
      <c r="B122" s="1314" t="s">
        <v>475</v>
      </c>
      <c r="C122" s="1316" t="s">
        <v>564</v>
      </c>
      <c r="D122" s="1312"/>
      <c r="E122" s="1300">
        <v>39</v>
      </c>
      <c r="F122" s="288"/>
      <c r="G122" s="283"/>
      <c r="H122" s="283"/>
      <c r="I122" s="289"/>
      <c r="J122" s="292"/>
      <c r="K122" s="292"/>
      <c r="L122" s="292">
        <v>71</v>
      </c>
      <c r="M122" s="283">
        <f t="shared" si="9"/>
        <v>32</v>
      </c>
      <c r="N122" s="1317">
        <v>7</v>
      </c>
      <c r="O122" s="690" t="s">
        <v>2634</v>
      </c>
    </row>
    <row r="123" spans="1:21" s="305" customFormat="1">
      <c r="A123" s="1315" t="s">
        <v>2690</v>
      </c>
      <c r="B123" s="1314" t="s">
        <v>475</v>
      </c>
      <c r="C123" s="1316" t="s">
        <v>564</v>
      </c>
      <c r="D123" s="1312"/>
      <c r="E123" s="1300">
        <v>52</v>
      </c>
      <c r="F123" s="288"/>
      <c r="G123" s="283"/>
      <c r="H123" s="283"/>
      <c r="I123" s="289" t="s">
        <v>1593</v>
      </c>
      <c r="J123" s="292"/>
      <c r="K123" s="292"/>
      <c r="L123" s="292">
        <v>95</v>
      </c>
      <c r="M123" s="283">
        <f>L123-E123</f>
        <v>43</v>
      </c>
      <c r="N123" s="1317">
        <v>7</v>
      </c>
      <c r="O123" s="690" t="s">
        <v>2634</v>
      </c>
    </row>
    <row r="124" spans="1:21" s="305" customFormat="1">
      <c r="A124" s="1315" t="s">
        <v>2691</v>
      </c>
      <c r="B124" s="1314" t="s">
        <v>475</v>
      </c>
      <c r="C124" s="1316" t="s">
        <v>564</v>
      </c>
      <c r="D124" s="1312"/>
      <c r="E124" s="1300">
        <v>101.5</v>
      </c>
      <c r="F124" s="288" t="s">
        <v>48</v>
      </c>
      <c r="G124" s="283"/>
      <c r="H124" s="283"/>
      <c r="I124" s="289" t="s">
        <v>1593</v>
      </c>
      <c r="J124" s="292"/>
      <c r="K124" s="292"/>
      <c r="L124" s="292">
        <v>196</v>
      </c>
      <c r="M124" s="283">
        <f>L124-E124</f>
        <v>94.5</v>
      </c>
      <c r="N124" s="1317">
        <v>7</v>
      </c>
      <c r="O124" s="690" t="s">
        <v>2634</v>
      </c>
    </row>
    <row r="125" spans="1:21" s="305" customFormat="1">
      <c r="A125" s="1315" t="s">
        <v>2693</v>
      </c>
      <c r="B125" s="1314" t="s">
        <v>475</v>
      </c>
      <c r="C125" s="1316" t="s">
        <v>564</v>
      </c>
      <c r="D125" s="1312"/>
      <c r="E125" s="1300">
        <v>52</v>
      </c>
      <c r="F125" s="288" t="s">
        <v>2692</v>
      </c>
      <c r="G125" s="283"/>
      <c r="H125" s="283"/>
      <c r="I125" s="289" t="s">
        <v>1593</v>
      </c>
      <c r="J125" s="292"/>
      <c r="K125" s="292"/>
      <c r="L125" s="292">
        <v>95</v>
      </c>
      <c r="M125" s="283">
        <f t="shared" si="9"/>
        <v>43</v>
      </c>
      <c r="N125" s="1317">
        <v>7</v>
      </c>
      <c r="O125" s="690" t="s">
        <v>2634</v>
      </c>
      <c r="P125" s="690" t="s">
        <v>2694</v>
      </c>
    </row>
    <row r="126" spans="1:21" s="305" customFormat="1">
      <c r="A126" s="1886" t="s">
        <v>3721</v>
      </c>
      <c r="B126" s="1876" t="s">
        <v>475</v>
      </c>
      <c r="C126" s="1880" t="s">
        <v>2842</v>
      </c>
      <c r="D126" s="1312"/>
      <c r="E126" s="1877">
        <v>33.200000000000003</v>
      </c>
      <c r="F126" s="288"/>
      <c r="G126" s="283"/>
      <c r="H126" s="283"/>
      <c r="I126" s="289"/>
      <c r="J126" s="292"/>
      <c r="K126" s="292"/>
      <c r="L126" s="278">
        <v>59.9</v>
      </c>
      <c r="M126" s="276">
        <f t="shared" si="9"/>
        <v>26.699999999999996</v>
      </c>
      <c r="N126" s="632">
        <v>6</v>
      </c>
      <c r="O126" s="288" t="s">
        <v>2843</v>
      </c>
      <c r="P126" s="297"/>
      <c r="Q126" s="297"/>
      <c r="R126" s="297"/>
      <c r="S126" s="297"/>
      <c r="T126" s="297"/>
      <c r="U126" s="297"/>
    </row>
    <row r="127" spans="1:21" s="305" customFormat="1">
      <c r="A127" s="1887" t="s">
        <v>3722</v>
      </c>
      <c r="B127" s="1876" t="s">
        <v>475</v>
      </c>
      <c r="C127" s="1880" t="s">
        <v>2842</v>
      </c>
      <c r="D127" s="1312"/>
      <c r="E127" s="1877">
        <v>46.4</v>
      </c>
      <c r="F127" s="288"/>
      <c r="G127" s="283"/>
      <c r="H127" s="283"/>
      <c r="I127" s="289"/>
      <c r="J127" s="292"/>
      <c r="K127" s="292"/>
      <c r="L127" s="278">
        <v>81</v>
      </c>
      <c r="M127" s="276">
        <f t="shared" si="9"/>
        <v>34.6</v>
      </c>
      <c r="N127" s="632">
        <v>6</v>
      </c>
      <c r="O127" s="288" t="s">
        <v>2843</v>
      </c>
      <c r="P127" s="297"/>
      <c r="Q127" s="297"/>
      <c r="R127" s="297"/>
      <c r="S127" s="297"/>
      <c r="T127" s="297"/>
      <c r="U127" s="297"/>
    </row>
    <row r="128" spans="1:21" s="305" customFormat="1">
      <c r="A128" s="1887" t="s">
        <v>3723</v>
      </c>
      <c r="B128" s="1876" t="s">
        <v>475</v>
      </c>
      <c r="C128" s="1880" t="s">
        <v>2842</v>
      </c>
      <c r="D128" s="1312"/>
      <c r="E128" s="1877">
        <v>57.2</v>
      </c>
      <c r="F128" s="288"/>
      <c r="G128" s="283"/>
      <c r="H128" s="283"/>
      <c r="I128" s="289"/>
      <c r="J128" s="292"/>
      <c r="K128" s="292"/>
      <c r="L128" s="278">
        <v>99.4</v>
      </c>
      <c r="M128" s="276">
        <f t="shared" si="9"/>
        <v>42.2</v>
      </c>
      <c r="N128" s="632">
        <v>6</v>
      </c>
      <c r="O128" s="288" t="s">
        <v>2843</v>
      </c>
      <c r="P128" s="297"/>
      <c r="Q128" s="297"/>
      <c r="R128" s="297"/>
      <c r="S128" s="297"/>
      <c r="T128" s="297"/>
      <c r="U128" s="297"/>
    </row>
    <row r="129" spans="1:21" s="1351" customFormat="1">
      <c r="A129" s="1886" t="s">
        <v>3721</v>
      </c>
      <c r="B129" s="1286" t="s">
        <v>475</v>
      </c>
      <c r="C129" s="1280" t="s">
        <v>723</v>
      </c>
      <c r="D129" s="1281"/>
      <c r="E129" s="1888">
        <v>41.7</v>
      </c>
      <c r="F129" s="1889" t="s">
        <v>4007</v>
      </c>
      <c r="G129" s="1346"/>
      <c r="H129" s="1345"/>
      <c r="I129" s="1353"/>
      <c r="J129" s="1348"/>
      <c r="K129" s="1348"/>
      <c r="L129" s="1890">
        <v>80.3</v>
      </c>
      <c r="M129" s="1891">
        <f>L129-E129</f>
        <v>38.599999999999994</v>
      </c>
      <c r="N129" s="1896">
        <v>6</v>
      </c>
      <c r="O129" s="1856" t="s">
        <v>3880</v>
      </c>
      <c r="P129" s="1897" t="s">
        <v>3727</v>
      </c>
      <c r="Q129" s="2403" t="s">
        <v>3724</v>
      </c>
      <c r="R129" s="1394"/>
      <c r="S129" s="1394"/>
      <c r="T129" s="1394"/>
      <c r="U129" s="1394"/>
    </row>
    <row r="130" spans="1:21" s="1351" customFormat="1">
      <c r="A130" s="1887" t="s">
        <v>3722</v>
      </c>
      <c r="B130" s="1286" t="s">
        <v>475</v>
      </c>
      <c r="C130" s="1280" t="s">
        <v>565</v>
      </c>
      <c r="D130" s="1281"/>
      <c r="E130" s="1888">
        <v>56.7</v>
      </c>
      <c r="F130" s="1889" t="s">
        <v>4007</v>
      </c>
      <c r="G130" s="1346"/>
      <c r="H130" s="1345"/>
      <c r="I130" s="1353"/>
      <c r="J130" s="1348"/>
      <c r="K130" s="1348"/>
      <c r="L130" s="1890">
        <v>102.6</v>
      </c>
      <c r="M130" s="1891">
        <f t="shared" ref="M130:M140" si="10">L130-E130</f>
        <v>45.899999999999991</v>
      </c>
      <c r="N130" s="1896">
        <v>6</v>
      </c>
      <c r="O130" s="1856" t="s">
        <v>3880</v>
      </c>
      <c r="P130" s="1897" t="s">
        <v>3727</v>
      </c>
      <c r="Q130" s="2403" t="s">
        <v>3724</v>
      </c>
      <c r="R130" s="1394"/>
      <c r="S130" s="1394"/>
      <c r="T130" s="1394"/>
      <c r="U130" s="1394"/>
    </row>
    <row r="131" spans="1:21" s="1351" customFormat="1">
      <c r="A131" s="1887" t="s">
        <v>3723</v>
      </c>
      <c r="B131" s="1286" t="s">
        <v>475</v>
      </c>
      <c r="C131" s="1280" t="s">
        <v>565</v>
      </c>
      <c r="D131" s="1281"/>
      <c r="E131" s="1888">
        <v>72.400000000000006</v>
      </c>
      <c r="F131" s="1889" t="s">
        <v>4007</v>
      </c>
      <c r="G131" s="1346"/>
      <c r="H131" s="1345"/>
      <c r="I131" s="1353"/>
      <c r="J131" s="1348"/>
      <c r="K131" s="1348"/>
      <c r="L131" s="1890">
        <v>125.3</v>
      </c>
      <c r="M131" s="1891">
        <f t="shared" si="10"/>
        <v>52.899999999999991</v>
      </c>
      <c r="N131" s="1896">
        <v>6</v>
      </c>
      <c r="O131" s="1856" t="s">
        <v>3880</v>
      </c>
      <c r="P131" s="1897" t="s">
        <v>3727</v>
      </c>
      <c r="Q131" s="2403" t="s">
        <v>3782</v>
      </c>
      <c r="R131" s="1394"/>
      <c r="S131" s="1394"/>
      <c r="T131" s="1394"/>
      <c r="U131" s="1394"/>
    </row>
    <row r="132" spans="1:21" s="1351" customFormat="1">
      <c r="A132" s="1886" t="s">
        <v>3780</v>
      </c>
      <c r="B132" s="1286" t="s">
        <v>475</v>
      </c>
      <c r="C132" s="1280" t="s">
        <v>565</v>
      </c>
      <c r="D132" s="1281"/>
      <c r="E132" s="1352"/>
      <c r="F132" s="1889" t="s">
        <v>3785</v>
      </c>
      <c r="G132" s="1346"/>
      <c r="H132" s="1346"/>
      <c r="I132" s="1353"/>
      <c r="J132" s="1348"/>
      <c r="K132" s="1348"/>
      <c r="L132" s="1348"/>
      <c r="M132" s="544">
        <f t="shared" si="10"/>
        <v>0</v>
      </c>
      <c r="N132" s="1896">
        <v>6</v>
      </c>
      <c r="O132" s="1897"/>
      <c r="P132" s="1897" t="s">
        <v>3727</v>
      </c>
      <c r="Q132" s="2403" t="s">
        <v>3783</v>
      </c>
      <c r="R132" s="1394"/>
      <c r="S132" s="1394"/>
      <c r="T132" s="1394"/>
      <c r="U132" s="1394"/>
    </row>
    <row r="133" spans="1:21" s="1351" customFormat="1">
      <c r="A133" s="1886" t="s">
        <v>3729</v>
      </c>
      <c r="B133" s="1883" t="s">
        <v>475</v>
      </c>
      <c r="C133" s="1884" t="s">
        <v>2855</v>
      </c>
      <c r="D133" s="1885"/>
      <c r="E133" s="1888">
        <v>37.5</v>
      </c>
      <c r="F133" s="1889" t="s">
        <v>4007</v>
      </c>
      <c r="G133" s="1346"/>
      <c r="H133" s="1345"/>
      <c r="I133" s="1353"/>
      <c r="J133" s="1348"/>
      <c r="K133" s="1348"/>
      <c r="L133" s="1890">
        <v>66.3</v>
      </c>
      <c r="M133" s="1891">
        <f t="shared" si="10"/>
        <v>28.799999999999997</v>
      </c>
      <c r="N133" s="1896">
        <v>6</v>
      </c>
      <c r="O133" s="1856" t="s">
        <v>3880</v>
      </c>
      <c r="P133" s="1897" t="s">
        <v>3732</v>
      </c>
      <c r="Q133" s="2403" t="s">
        <v>3724</v>
      </c>
      <c r="R133" s="1394"/>
      <c r="S133" s="1394"/>
      <c r="T133" s="1394"/>
      <c r="U133" s="1394"/>
    </row>
    <row r="134" spans="1:21" s="1351" customFormat="1">
      <c r="A134" s="1887" t="s">
        <v>3722</v>
      </c>
      <c r="B134" s="1883" t="s">
        <v>475</v>
      </c>
      <c r="C134" s="1884" t="s">
        <v>2855</v>
      </c>
      <c r="D134" s="1885"/>
      <c r="E134" s="1888">
        <v>50.2</v>
      </c>
      <c r="F134" s="1889" t="s">
        <v>4007</v>
      </c>
      <c r="G134" s="1346"/>
      <c r="H134" s="1345"/>
      <c r="I134" s="1353"/>
      <c r="J134" s="1348"/>
      <c r="K134" s="1348"/>
      <c r="L134" s="1890">
        <v>89.6</v>
      </c>
      <c r="M134" s="1891">
        <f t="shared" si="10"/>
        <v>39.399999999999991</v>
      </c>
      <c r="N134" s="1896">
        <v>6</v>
      </c>
      <c r="O134" s="1856" t="s">
        <v>3880</v>
      </c>
      <c r="P134" s="1897" t="s">
        <v>3732</v>
      </c>
      <c r="Q134" s="2403" t="s">
        <v>3724</v>
      </c>
      <c r="R134" s="1394"/>
      <c r="S134" s="1394"/>
      <c r="T134" s="1394"/>
      <c r="U134" s="1394"/>
    </row>
    <row r="135" spans="1:21" s="1351" customFormat="1">
      <c r="A135" s="1887" t="s">
        <v>3723</v>
      </c>
      <c r="B135" s="1883" t="s">
        <v>475</v>
      </c>
      <c r="C135" s="1884" t="s">
        <v>2855</v>
      </c>
      <c r="D135" s="1885"/>
      <c r="E135" s="1888">
        <v>62.1</v>
      </c>
      <c r="F135" s="1889" t="s">
        <v>4007</v>
      </c>
      <c r="G135" s="1346"/>
      <c r="H135" s="1345"/>
      <c r="I135" s="1353"/>
      <c r="J135" s="1348"/>
      <c r="K135" s="1348"/>
      <c r="L135" s="1890">
        <v>115.6</v>
      </c>
      <c r="M135" s="1891">
        <f t="shared" si="10"/>
        <v>53.499999999999993</v>
      </c>
      <c r="N135" s="1896">
        <v>6</v>
      </c>
      <c r="O135" s="1856" t="s">
        <v>3880</v>
      </c>
      <c r="P135" s="1897" t="s">
        <v>3732</v>
      </c>
      <c r="Q135" s="2403" t="s">
        <v>3724</v>
      </c>
      <c r="R135" s="1394"/>
      <c r="S135" s="1394"/>
      <c r="T135" s="1394"/>
      <c r="U135" s="1394"/>
    </row>
    <row r="136" spans="1:21" s="1351" customFormat="1">
      <c r="A136" s="1886" t="s">
        <v>3780</v>
      </c>
      <c r="B136" s="1883" t="s">
        <v>475</v>
      </c>
      <c r="C136" s="1884" t="s">
        <v>2855</v>
      </c>
      <c r="D136" s="1885"/>
      <c r="E136" s="1888"/>
      <c r="F136" s="1889" t="s">
        <v>3784</v>
      </c>
      <c r="G136" s="1346"/>
      <c r="H136" s="1346"/>
      <c r="I136" s="1353"/>
      <c r="J136" s="1348"/>
      <c r="K136" s="1348"/>
      <c r="L136" s="1348"/>
      <c r="M136" s="1346">
        <f t="shared" si="10"/>
        <v>0</v>
      </c>
      <c r="N136" s="1354">
        <v>6</v>
      </c>
      <c r="O136" s="1355"/>
      <c r="P136" s="1897" t="s">
        <v>3732</v>
      </c>
      <c r="Q136" s="2403" t="s">
        <v>3783</v>
      </c>
      <c r="R136" s="1394"/>
      <c r="S136" s="1394"/>
      <c r="T136" s="1394"/>
      <c r="U136" s="1394"/>
    </row>
    <row r="137" spans="1:21" s="1351" customFormat="1">
      <c r="A137" s="1886" t="s">
        <v>3721</v>
      </c>
      <c r="B137" s="1883" t="s">
        <v>475</v>
      </c>
      <c r="C137" s="1884" t="s">
        <v>661</v>
      </c>
      <c r="D137" s="1885"/>
      <c r="E137" s="1888">
        <v>32.1</v>
      </c>
      <c r="F137" s="1889" t="s">
        <v>4163</v>
      </c>
      <c r="G137" s="1346"/>
      <c r="H137" s="1345"/>
      <c r="I137" s="1353"/>
      <c r="J137" s="1348"/>
      <c r="K137" s="1348"/>
      <c r="L137" s="1890">
        <v>58.3</v>
      </c>
      <c r="M137" s="1891">
        <f t="shared" si="10"/>
        <v>26.199999999999996</v>
      </c>
      <c r="N137" s="1896">
        <v>6</v>
      </c>
      <c r="O137" s="1856" t="s">
        <v>3880</v>
      </c>
      <c r="P137" s="1897" t="s">
        <v>3728</v>
      </c>
      <c r="Q137" s="2403" t="s">
        <v>3724</v>
      </c>
      <c r="R137" s="1394"/>
      <c r="S137" s="1394"/>
      <c r="T137" s="1394"/>
      <c r="U137" s="1394"/>
    </row>
    <row r="138" spans="1:21" s="1351" customFormat="1">
      <c r="A138" s="1887" t="s">
        <v>3722</v>
      </c>
      <c r="B138" s="1883" t="s">
        <v>475</v>
      </c>
      <c r="C138" s="1884" t="s">
        <v>661</v>
      </c>
      <c r="D138" s="1885"/>
      <c r="E138" s="1888">
        <v>43.7</v>
      </c>
      <c r="F138" s="1889" t="s">
        <v>4163</v>
      </c>
      <c r="G138" s="1346"/>
      <c r="H138" s="1345"/>
      <c r="I138" s="1353"/>
      <c r="J138" s="1348"/>
      <c r="K138" s="1348"/>
      <c r="L138" s="1890">
        <v>77.8</v>
      </c>
      <c r="M138" s="1891">
        <f t="shared" si="10"/>
        <v>34.099999999999994</v>
      </c>
      <c r="N138" s="1896">
        <v>6</v>
      </c>
      <c r="O138" s="1856" t="s">
        <v>3880</v>
      </c>
      <c r="P138" s="1897" t="s">
        <v>3728</v>
      </c>
      <c r="Q138" s="2403" t="s">
        <v>3724</v>
      </c>
      <c r="R138" s="1394"/>
      <c r="S138" s="1394"/>
      <c r="T138" s="1394"/>
      <c r="U138" s="1394"/>
    </row>
    <row r="139" spans="1:21" s="1351" customFormat="1">
      <c r="A139" s="1887" t="s">
        <v>3723</v>
      </c>
      <c r="B139" s="1883" t="s">
        <v>475</v>
      </c>
      <c r="C139" s="1884" t="s">
        <v>661</v>
      </c>
      <c r="D139" s="1885"/>
      <c r="E139" s="1888">
        <v>50.8</v>
      </c>
      <c r="F139" s="1889" t="s">
        <v>4163</v>
      </c>
      <c r="G139" s="1346"/>
      <c r="H139" s="1345"/>
      <c r="I139" s="1353"/>
      <c r="J139" s="1348"/>
      <c r="K139" s="1348"/>
      <c r="L139" s="1890">
        <v>90.2</v>
      </c>
      <c r="M139" s="1891">
        <f>L139-E139</f>
        <v>39.400000000000006</v>
      </c>
      <c r="N139" s="1896">
        <v>6</v>
      </c>
      <c r="O139" s="1856" t="s">
        <v>3880</v>
      </c>
      <c r="P139" s="1897" t="s">
        <v>3728</v>
      </c>
      <c r="Q139" s="2403" t="s">
        <v>3724</v>
      </c>
      <c r="R139" s="1394"/>
      <c r="S139" s="1394"/>
      <c r="T139" s="1394"/>
      <c r="U139" s="1394"/>
    </row>
    <row r="140" spans="1:21" s="1351" customFormat="1">
      <c r="A140" s="1886" t="s">
        <v>3780</v>
      </c>
      <c r="B140" s="1883" t="s">
        <v>475</v>
      </c>
      <c r="C140" s="1884" t="s">
        <v>661</v>
      </c>
      <c r="D140" s="1885"/>
      <c r="E140" s="1888"/>
      <c r="F140" s="1889" t="s">
        <v>3785</v>
      </c>
      <c r="G140" s="1346"/>
      <c r="H140" s="1345"/>
      <c r="I140" s="1353"/>
      <c r="J140" s="1348"/>
      <c r="K140" s="1348"/>
      <c r="L140" s="1890">
        <v>90.2</v>
      </c>
      <c r="M140" s="1891">
        <f t="shared" si="10"/>
        <v>90.2</v>
      </c>
      <c r="N140" s="1896">
        <v>6</v>
      </c>
      <c r="O140" s="1856" t="s">
        <v>3880</v>
      </c>
      <c r="P140" s="1897" t="s">
        <v>3728</v>
      </c>
      <c r="Q140" s="2403" t="s">
        <v>3783</v>
      </c>
      <c r="R140" s="1394"/>
      <c r="S140" s="1394"/>
      <c r="T140" s="1394"/>
      <c r="U140" s="1394"/>
    </row>
    <row r="141" spans="1:21" s="305" customFormat="1">
      <c r="A141" s="444" t="s">
        <v>4612</v>
      </c>
      <c r="B141" s="1876" t="s">
        <v>475</v>
      </c>
      <c r="C141" s="1880" t="s">
        <v>393</v>
      </c>
      <c r="D141" s="1279"/>
      <c r="E141" s="1877">
        <v>30.5</v>
      </c>
      <c r="F141" s="663" t="s">
        <v>4614</v>
      </c>
      <c r="G141" s="283"/>
      <c r="H141" s="283"/>
      <c r="I141" s="277" t="s">
        <v>3418</v>
      </c>
      <c r="J141" s="292"/>
      <c r="K141" s="292"/>
      <c r="L141" s="278">
        <f>M141+E141</f>
        <v>61</v>
      </c>
      <c r="M141" s="276">
        <v>30.5</v>
      </c>
      <c r="N141" s="667">
        <v>6</v>
      </c>
      <c r="O141" s="648"/>
      <c r="P141" s="297"/>
      <c r="Q141" s="2403" t="s">
        <v>3850</v>
      </c>
      <c r="R141" s="297"/>
      <c r="S141" s="297"/>
      <c r="T141" s="297"/>
      <c r="U141" s="297"/>
    </row>
    <row r="142" spans="1:21" s="305" customFormat="1">
      <c r="A142" s="1881" t="s">
        <v>4613</v>
      </c>
      <c r="B142" s="1876" t="s">
        <v>475</v>
      </c>
      <c r="C142" s="1880" t="s">
        <v>393</v>
      </c>
      <c r="D142" s="1279"/>
      <c r="E142" s="1877">
        <v>40.5</v>
      </c>
      <c r="F142" s="663" t="s">
        <v>4614</v>
      </c>
      <c r="G142" s="283"/>
      <c r="H142" s="283"/>
      <c r="I142" s="277" t="s">
        <v>3418</v>
      </c>
      <c r="J142" s="292"/>
      <c r="K142" s="292"/>
      <c r="L142" s="278">
        <f t="shared" ref="L142:L146" si="11">M142+E142</f>
        <v>73.5</v>
      </c>
      <c r="M142" s="276">
        <v>33</v>
      </c>
      <c r="N142" s="667">
        <v>6</v>
      </c>
      <c r="O142" s="648"/>
      <c r="P142" s="297"/>
      <c r="Q142" s="2403" t="s">
        <v>3850</v>
      </c>
      <c r="R142" s="297"/>
      <c r="S142" s="297"/>
      <c r="T142" s="297"/>
      <c r="U142" s="297"/>
    </row>
    <row r="143" spans="1:21" s="305" customFormat="1">
      <c r="A143" s="1881" t="s">
        <v>4178</v>
      </c>
      <c r="B143" s="1876" t="s">
        <v>475</v>
      </c>
      <c r="C143" s="1880" t="s">
        <v>393</v>
      </c>
      <c r="D143" s="1279"/>
      <c r="E143" s="1877">
        <v>42.5</v>
      </c>
      <c r="F143" s="663" t="s">
        <v>4614</v>
      </c>
      <c r="G143" s="283"/>
      <c r="H143" s="283"/>
      <c r="I143" s="277" t="s">
        <v>3418</v>
      </c>
      <c r="J143" s="292"/>
      <c r="K143" s="292"/>
      <c r="L143" s="278">
        <f t="shared" si="11"/>
        <v>80</v>
      </c>
      <c r="M143" s="276">
        <v>37.5</v>
      </c>
      <c r="N143" s="667">
        <v>6</v>
      </c>
      <c r="O143" s="648"/>
      <c r="P143" s="297"/>
      <c r="Q143" s="2403" t="s">
        <v>3850</v>
      </c>
      <c r="R143" s="297"/>
      <c r="S143" s="297"/>
      <c r="T143" s="297"/>
      <c r="U143" s="297"/>
    </row>
    <row r="144" spans="1:21" s="305" customFormat="1">
      <c r="A144" s="1881" t="s">
        <v>4610</v>
      </c>
      <c r="B144" s="1876" t="s">
        <v>475</v>
      </c>
      <c r="C144" s="1880" t="s">
        <v>393</v>
      </c>
      <c r="D144" s="1279"/>
      <c r="E144" s="1877">
        <v>43.5</v>
      </c>
      <c r="F144" s="663" t="s">
        <v>4614</v>
      </c>
      <c r="G144" s="283"/>
      <c r="H144" s="283"/>
      <c r="I144" s="277" t="s">
        <v>3418</v>
      </c>
      <c r="J144" s="292"/>
      <c r="K144" s="292"/>
      <c r="L144" s="278">
        <f t="shared" si="11"/>
        <v>87</v>
      </c>
      <c r="M144" s="276">
        <v>43.5</v>
      </c>
      <c r="N144" s="667">
        <v>6</v>
      </c>
      <c r="O144" s="648"/>
      <c r="P144" s="297"/>
      <c r="Q144" s="2403" t="s">
        <v>3850</v>
      </c>
      <c r="R144" s="297"/>
      <c r="S144" s="297"/>
      <c r="T144" s="297"/>
      <c r="U144" s="297"/>
    </row>
    <row r="145" spans="1:21" s="305" customFormat="1">
      <c r="A145" s="1881" t="s">
        <v>4609</v>
      </c>
      <c r="B145" s="1876" t="s">
        <v>475</v>
      </c>
      <c r="C145" s="1880" t="s">
        <v>393</v>
      </c>
      <c r="D145" s="1279"/>
      <c r="E145" s="1877">
        <v>55</v>
      </c>
      <c r="F145" s="663" t="s">
        <v>4614</v>
      </c>
      <c r="G145" s="283"/>
      <c r="H145" s="283"/>
      <c r="I145" s="277" t="s">
        <v>3418</v>
      </c>
      <c r="J145" s="292"/>
      <c r="K145" s="292"/>
      <c r="L145" s="278">
        <f t="shared" si="11"/>
        <v>100</v>
      </c>
      <c r="M145" s="276">
        <v>45</v>
      </c>
      <c r="N145" s="667">
        <v>6</v>
      </c>
      <c r="O145" s="648"/>
      <c r="P145" s="297"/>
      <c r="Q145" s="2403" t="s">
        <v>3850</v>
      </c>
      <c r="R145" s="297"/>
      <c r="S145" s="297"/>
      <c r="T145" s="297"/>
      <c r="U145" s="297"/>
    </row>
    <row r="146" spans="1:21" s="305" customFormat="1">
      <c r="A146" s="1881" t="s">
        <v>4611</v>
      </c>
      <c r="B146" s="1876" t="s">
        <v>475</v>
      </c>
      <c r="C146" s="1880" t="s">
        <v>393</v>
      </c>
      <c r="D146" s="1279"/>
      <c r="E146" s="1877">
        <v>95</v>
      </c>
      <c r="F146" s="663" t="s">
        <v>3849</v>
      </c>
      <c r="G146" s="283"/>
      <c r="H146" s="283"/>
      <c r="I146" s="277" t="s">
        <v>3418</v>
      </c>
      <c r="J146" s="292"/>
      <c r="K146" s="292"/>
      <c r="L146" s="278">
        <f t="shared" si="11"/>
        <v>185</v>
      </c>
      <c r="M146" s="276">
        <v>90</v>
      </c>
      <c r="N146" s="667">
        <v>6</v>
      </c>
      <c r="O146" s="648"/>
      <c r="P146" s="297"/>
      <c r="Q146" s="2403" t="s">
        <v>3850</v>
      </c>
      <c r="R146" s="297"/>
      <c r="S146" s="297"/>
      <c r="T146" s="297"/>
      <c r="U146" s="297"/>
    </row>
    <row r="147" spans="1:21" s="688" customFormat="1">
      <c r="A147" s="444" t="s">
        <v>4177</v>
      </c>
      <c r="B147" s="1876" t="s">
        <v>475</v>
      </c>
      <c r="C147" s="1880" t="s">
        <v>1547</v>
      </c>
      <c r="D147" s="1279"/>
      <c r="E147" s="1877">
        <v>30.5</v>
      </c>
      <c r="F147" s="663" t="s">
        <v>3849</v>
      </c>
      <c r="G147" s="683"/>
      <c r="H147" s="683"/>
      <c r="I147" s="689"/>
      <c r="J147" s="685"/>
      <c r="K147" s="685"/>
      <c r="L147" s="278">
        <v>61</v>
      </c>
      <c r="M147" s="276">
        <f t="shared" ref="M147:M163" si="12">L147-E147</f>
        <v>30.5</v>
      </c>
      <c r="N147" s="667">
        <v>6</v>
      </c>
      <c r="O147" s="707"/>
      <c r="P147" s="696"/>
      <c r="Q147" s="2403" t="s">
        <v>3850</v>
      </c>
      <c r="R147" s="696"/>
      <c r="S147" s="696"/>
      <c r="T147" s="696"/>
      <c r="U147" s="696"/>
    </row>
    <row r="148" spans="1:21" s="688" customFormat="1">
      <c r="A148" s="1881" t="s">
        <v>4176</v>
      </c>
      <c r="B148" s="1876" t="s">
        <v>475</v>
      </c>
      <c r="C148" s="1880" t="s">
        <v>1547</v>
      </c>
      <c r="D148" s="1279"/>
      <c r="E148" s="1877">
        <v>40.5</v>
      </c>
      <c r="F148" s="663" t="s">
        <v>3849</v>
      </c>
      <c r="G148" s="683"/>
      <c r="H148" s="683"/>
      <c r="I148" s="689"/>
      <c r="J148" s="685"/>
      <c r="K148" s="685"/>
      <c r="L148" s="278">
        <v>73.5</v>
      </c>
      <c r="M148" s="276">
        <f t="shared" si="12"/>
        <v>33</v>
      </c>
      <c r="N148" s="667">
        <v>6</v>
      </c>
      <c r="O148" s="707"/>
      <c r="P148" s="696"/>
      <c r="Q148" s="2403" t="s">
        <v>3850</v>
      </c>
      <c r="R148" s="696"/>
      <c r="S148" s="696"/>
      <c r="T148" s="696"/>
      <c r="U148" s="696"/>
    </row>
    <row r="149" spans="1:21" s="688" customFormat="1">
      <c r="A149" s="1881" t="s">
        <v>4178</v>
      </c>
      <c r="B149" s="1876" t="s">
        <v>475</v>
      </c>
      <c r="C149" s="1880" t="s">
        <v>1547</v>
      </c>
      <c r="D149" s="1279"/>
      <c r="E149" s="1877">
        <v>42.5</v>
      </c>
      <c r="F149" s="663" t="s">
        <v>3849</v>
      </c>
      <c r="G149" s="683"/>
      <c r="H149" s="683"/>
      <c r="I149" s="689"/>
      <c r="J149" s="685"/>
      <c r="K149" s="685"/>
      <c r="L149" s="278">
        <v>80</v>
      </c>
      <c r="M149" s="276">
        <f t="shared" si="12"/>
        <v>37.5</v>
      </c>
      <c r="N149" s="667">
        <v>6</v>
      </c>
      <c r="O149" s="707"/>
      <c r="P149" s="696"/>
      <c r="Q149" s="2403" t="s">
        <v>3850</v>
      </c>
      <c r="R149" s="696"/>
      <c r="S149" s="696"/>
      <c r="T149" s="696"/>
      <c r="U149" s="696"/>
    </row>
    <row r="150" spans="1:21" s="688" customFormat="1">
      <c r="A150" s="1881" t="s">
        <v>4179</v>
      </c>
      <c r="B150" s="1876" t="s">
        <v>475</v>
      </c>
      <c r="C150" s="1880" t="s">
        <v>1547</v>
      </c>
      <c r="D150" s="1279"/>
      <c r="E150" s="1877">
        <v>55</v>
      </c>
      <c r="F150" s="663" t="s">
        <v>3849</v>
      </c>
      <c r="G150" s="683"/>
      <c r="H150" s="683"/>
      <c r="I150" s="689"/>
      <c r="J150" s="685"/>
      <c r="K150" s="685"/>
      <c r="L150" s="278">
        <v>100</v>
      </c>
      <c r="M150" s="276">
        <f t="shared" si="12"/>
        <v>45</v>
      </c>
      <c r="N150" s="667">
        <v>6</v>
      </c>
      <c r="O150" s="707"/>
      <c r="P150" s="696"/>
      <c r="Q150" s="2403" t="s">
        <v>3850</v>
      </c>
      <c r="R150" s="696"/>
      <c r="S150" s="696"/>
      <c r="T150" s="696"/>
      <c r="U150" s="696"/>
    </row>
    <row r="151" spans="1:21" s="688" customFormat="1">
      <c r="A151" s="1881" t="s">
        <v>4180</v>
      </c>
      <c r="B151" s="1876" t="s">
        <v>475</v>
      </c>
      <c r="C151" s="1880" t="s">
        <v>1547</v>
      </c>
      <c r="D151" s="1279"/>
      <c r="E151" s="1877">
        <v>95</v>
      </c>
      <c r="F151" s="663" t="s">
        <v>3849</v>
      </c>
      <c r="G151" s="683"/>
      <c r="H151" s="683"/>
      <c r="I151" s="689"/>
      <c r="J151" s="685"/>
      <c r="K151" s="685"/>
      <c r="L151" s="278">
        <v>185</v>
      </c>
      <c r="M151" s="276">
        <f t="shared" si="12"/>
        <v>90</v>
      </c>
      <c r="N151" s="667">
        <v>6</v>
      </c>
      <c r="O151" s="750"/>
      <c r="P151" s="696"/>
      <c r="Q151" s="2403" t="s">
        <v>3850</v>
      </c>
      <c r="R151" s="696"/>
      <c r="S151" s="696"/>
      <c r="T151" s="696"/>
      <c r="U151" s="696"/>
    </row>
    <row r="152" spans="1:21" s="1351" customFormat="1">
      <c r="A152" s="2487" t="s">
        <v>4347</v>
      </c>
      <c r="B152" s="1883" t="s">
        <v>475</v>
      </c>
      <c r="C152" s="1884" t="s">
        <v>1512</v>
      </c>
      <c r="D152" s="1885"/>
      <c r="E152" s="1888">
        <v>50</v>
      </c>
      <c r="F152" s="1345"/>
      <c r="G152" s="1345"/>
      <c r="H152" s="1346"/>
      <c r="I152" s="1347"/>
      <c r="J152" s="1348"/>
      <c r="K152" s="1348"/>
      <c r="L152" s="1890">
        <v>100</v>
      </c>
      <c r="M152" s="1891">
        <f t="shared" si="12"/>
        <v>50</v>
      </c>
      <c r="N152" s="2460">
        <v>4</v>
      </c>
      <c r="O152" s="1350"/>
      <c r="P152" s="2404" t="s">
        <v>4352</v>
      </c>
      <c r="Q152" s="2404" t="s">
        <v>3792</v>
      </c>
    </row>
    <row r="153" spans="1:21" s="1351" customFormat="1">
      <c r="A153" s="1886" t="s">
        <v>4348</v>
      </c>
      <c r="B153" s="1883" t="s">
        <v>475</v>
      </c>
      <c r="C153" s="1884" t="s">
        <v>1512</v>
      </c>
      <c r="D153" s="1885"/>
      <c r="E153" s="1888">
        <v>74.5</v>
      </c>
      <c r="F153" s="1345"/>
      <c r="G153" s="1345"/>
      <c r="H153" s="1346"/>
      <c r="I153" s="1347"/>
      <c r="J153" s="1348"/>
      <c r="K153" s="1348"/>
      <c r="L153" s="1890">
        <v>149</v>
      </c>
      <c r="M153" s="1891">
        <f t="shared" si="12"/>
        <v>74.5</v>
      </c>
      <c r="N153" s="2460">
        <v>4</v>
      </c>
      <c r="O153" s="1350"/>
      <c r="P153" s="2404" t="s">
        <v>4352</v>
      </c>
      <c r="Q153" s="2404" t="s">
        <v>3792</v>
      </c>
    </row>
    <row r="154" spans="1:21" s="1351" customFormat="1">
      <c r="A154" s="1886" t="s">
        <v>4349</v>
      </c>
      <c r="B154" s="1883" t="s">
        <v>475</v>
      </c>
      <c r="C154" s="1884" t="s">
        <v>1512</v>
      </c>
      <c r="D154" s="1885"/>
      <c r="E154" s="1888">
        <v>85</v>
      </c>
      <c r="F154" s="1889" t="s">
        <v>4353</v>
      </c>
      <c r="G154" s="1345"/>
      <c r="H154" s="1346"/>
      <c r="I154" s="1347"/>
      <c r="J154" s="1348"/>
      <c r="K154" s="1348"/>
      <c r="L154" s="1890">
        <v>170</v>
      </c>
      <c r="M154" s="1891">
        <f t="shared" si="12"/>
        <v>85</v>
      </c>
      <c r="N154" s="2460">
        <v>4</v>
      </c>
      <c r="O154" s="1350"/>
      <c r="P154" s="2404" t="s">
        <v>4352</v>
      </c>
      <c r="Q154" s="2404" t="s">
        <v>3792</v>
      </c>
    </row>
    <row r="155" spans="1:21" s="1351" customFormat="1">
      <c r="A155" s="1886" t="s">
        <v>2838</v>
      </c>
      <c r="B155" s="1883" t="s">
        <v>475</v>
      </c>
      <c r="C155" s="1884" t="s">
        <v>1512</v>
      </c>
      <c r="D155" s="1885"/>
      <c r="E155" s="2486">
        <v>210</v>
      </c>
      <c r="F155" s="1889" t="s">
        <v>4354</v>
      </c>
      <c r="G155" s="1345"/>
      <c r="H155" s="1346"/>
      <c r="I155" s="1347"/>
      <c r="J155" s="1348"/>
      <c r="K155" s="1348"/>
      <c r="L155" s="1890">
        <v>420</v>
      </c>
      <c r="M155" s="1891">
        <f t="shared" si="12"/>
        <v>210</v>
      </c>
      <c r="N155" s="2460">
        <v>4</v>
      </c>
      <c r="O155" s="1350"/>
      <c r="P155" s="2404" t="s">
        <v>4352</v>
      </c>
      <c r="Q155" s="2404" t="s">
        <v>3792</v>
      </c>
    </row>
    <row r="156" spans="1:21" s="1351" customFormat="1">
      <c r="A156" s="1886" t="s">
        <v>4340</v>
      </c>
      <c r="B156" s="1286" t="s">
        <v>475</v>
      </c>
      <c r="C156" s="1280" t="s">
        <v>566</v>
      </c>
      <c r="D156" s="1344"/>
      <c r="E156" s="2486">
        <v>60</v>
      </c>
      <c r="F156" s="1345"/>
      <c r="G156" s="1889" t="s">
        <v>4355</v>
      </c>
      <c r="H156" s="1346"/>
      <c r="I156" s="1347"/>
      <c r="J156" s="1348"/>
      <c r="K156" s="1348"/>
      <c r="L156" s="1890">
        <v>120</v>
      </c>
      <c r="M156" s="1891">
        <f t="shared" si="12"/>
        <v>60</v>
      </c>
      <c r="N156" s="2460">
        <v>4</v>
      </c>
      <c r="O156" s="1350"/>
      <c r="P156" s="2404" t="s">
        <v>4350</v>
      </c>
      <c r="Q156" s="2404" t="s">
        <v>3792</v>
      </c>
    </row>
    <row r="157" spans="1:21" s="1351" customFormat="1">
      <c r="A157" s="1886" t="s">
        <v>4341</v>
      </c>
      <c r="B157" s="1286" t="s">
        <v>475</v>
      </c>
      <c r="C157" s="1280" t="s">
        <v>566</v>
      </c>
      <c r="D157" s="1344"/>
      <c r="E157" s="1888">
        <v>82.5</v>
      </c>
      <c r="F157" s="1345"/>
      <c r="G157" s="1889" t="s">
        <v>4355</v>
      </c>
      <c r="H157" s="1346"/>
      <c r="I157" s="1347"/>
      <c r="J157" s="1348"/>
      <c r="K157" s="1348"/>
      <c r="L157" s="1890">
        <v>165</v>
      </c>
      <c r="M157" s="1891">
        <f t="shared" si="12"/>
        <v>82.5</v>
      </c>
      <c r="N157" s="2460">
        <v>4</v>
      </c>
      <c r="O157" s="1350"/>
      <c r="P157" s="2404" t="s">
        <v>4350</v>
      </c>
      <c r="Q157" s="2404" t="s">
        <v>3792</v>
      </c>
    </row>
    <row r="158" spans="1:21" s="1351" customFormat="1">
      <c r="A158" s="1886" t="s">
        <v>4342</v>
      </c>
      <c r="B158" s="1286" t="s">
        <v>475</v>
      </c>
      <c r="C158" s="1280" t="s">
        <v>566</v>
      </c>
      <c r="D158" s="1344"/>
      <c r="E158" s="1888">
        <v>97.5</v>
      </c>
      <c r="F158" s="1889" t="s">
        <v>4353</v>
      </c>
      <c r="G158" s="1889" t="s">
        <v>4355</v>
      </c>
      <c r="H158" s="1346"/>
      <c r="I158" s="1347"/>
      <c r="J158" s="1348"/>
      <c r="K158" s="1348"/>
      <c r="L158" s="1890">
        <v>190</v>
      </c>
      <c r="M158" s="1891">
        <f t="shared" si="12"/>
        <v>92.5</v>
      </c>
      <c r="N158" s="2460">
        <v>4</v>
      </c>
      <c r="O158" s="1350"/>
      <c r="P158" s="2404" t="s">
        <v>4350</v>
      </c>
      <c r="Q158" s="2404" t="s">
        <v>3792</v>
      </c>
    </row>
    <row r="159" spans="1:21" s="1351" customFormat="1">
      <c r="A159" s="1886" t="s">
        <v>2838</v>
      </c>
      <c r="B159" s="1286" t="s">
        <v>475</v>
      </c>
      <c r="C159" s="1280" t="s">
        <v>566</v>
      </c>
      <c r="D159" s="1344"/>
      <c r="E159" s="1888">
        <v>185</v>
      </c>
      <c r="F159" s="1889" t="s">
        <v>4354</v>
      </c>
      <c r="G159" s="1889" t="s">
        <v>4355</v>
      </c>
      <c r="H159" s="1346"/>
      <c r="I159" s="1347"/>
      <c r="J159" s="1348"/>
      <c r="K159" s="1348"/>
      <c r="L159" s="1890">
        <v>370</v>
      </c>
      <c r="M159" s="1891">
        <f t="shared" si="12"/>
        <v>185</v>
      </c>
      <c r="N159" s="2460">
        <v>4</v>
      </c>
      <c r="O159" s="1350"/>
      <c r="P159" s="2404" t="s">
        <v>4350</v>
      </c>
      <c r="Q159" s="2404" t="s">
        <v>3792</v>
      </c>
    </row>
    <row r="160" spans="1:21" s="1351" customFormat="1" ht="16.5" customHeight="1">
      <c r="A160" s="1886" t="s">
        <v>4344</v>
      </c>
      <c r="B160" s="1883" t="s">
        <v>475</v>
      </c>
      <c r="C160" s="1884" t="s">
        <v>4343</v>
      </c>
      <c r="D160" s="1885"/>
      <c r="E160" s="2486">
        <v>75</v>
      </c>
      <c r="F160" s="1345"/>
      <c r="G160" s="1889" t="s">
        <v>4355</v>
      </c>
      <c r="H160" s="1346"/>
      <c r="I160" s="1347"/>
      <c r="J160" s="1348"/>
      <c r="K160" s="1348"/>
      <c r="L160" s="1890">
        <v>150</v>
      </c>
      <c r="M160" s="1891">
        <f t="shared" si="12"/>
        <v>75</v>
      </c>
      <c r="N160" s="2460">
        <v>4</v>
      </c>
      <c r="O160" s="1350"/>
      <c r="P160" s="2404" t="s">
        <v>4351</v>
      </c>
      <c r="Q160" s="2404" t="s">
        <v>3792</v>
      </c>
    </row>
    <row r="161" spans="1:22" s="1351" customFormat="1">
      <c r="A161" s="1886" t="s">
        <v>4345</v>
      </c>
      <c r="B161" s="1883" t="s">
        <v>475</v>
      </c>
      <c r="C161" s="1884" t="s">
        <v>4343</v>
      </c>
      <c r="D161" s="1885"/>
      <c r="E161" s="1888">
        <v>95</v>
      </c>
      <c r="F161" s="1345"/>
      <c r="G161" s="1889" t="s">
        <v>4355</v>
      </c>
      <c r="H161" s="1346"/>
      <c r="I161" s="1347"/>
      <c r="J161" s="1348"/>
      <c r="K161" s="1348"/>
      <c r="L161" s="1890">
        <v>190</v>
      </c>
      <c r="M161" s="1891">
        <f t="shared" si="12"/>
        <v>95</v>
      </c>
      <c r="N161" s="2460">
        <v>4</v>
      </c>
      <c r="O161" s="1350"/>
      <c r="P161" s="2404" t="s">
        <v>4351</v>
      </c>
      <c r="Q161" s="2404" t="s">
        <v>3792</v>
      </c>
    </row>
    <row r="162" spans="1:22" s="1351" customFormat="1">
      <c r="A162" s="1886" t="s">
        <v>4346</v>
      </c>
      <c r="B162" s="1883" t="s">
        <v>475</v>
      </c>
      <c r="C162" s="1884" t="s">
        <v>4343</v>
      </c>
      <c r="D162" s="1885"/>
      <c r="E162" s="1888">
        <v>110</v>
      </c>
      <c r="F162" s="1889" t="s">
        <v>4353</v>
      </c>
      <c r="G162" s="1889" t="s">
        <v>4355</v>
      </c>
      <c r="H162" s="1346"/>
      <c r="I162" s="1347"/>
      <c r="J162" s="1348"/>
      <c r="K162" s="1348"/>
      <c r="L162" s="1890">
        <v>220</v>
      </c>
      <c r="M162" s="1891">
        <f t="shared" si="12"/>
        <v>110</v>
      </c>
      <c r="N162" s="2460">
        <v>4</v>
      </c>
      <c r="O162" s="1350"/>
      <c r="P162" s="2404" t="s">
        <v>4351</v>
      </c>
      <c r="Q162" s="2404" t="s">
        <v>3792</v>
      </c>
    </row>
    <row r="163" spans="1:22" s="1351" customFormat="1">
      <c r="A163" s="1886" t="s">
        <v>853</v>
      </c>
      <c r="B163" s="1883" t="s">
        <v>475</v>
      </c>
      <c r="C163" s="1884" t="s">
        <v>4343</v>
      </c>
      <c r="D163" s="1885"/>
      <c r="E163" s="1888">
        <v>210</v>
      </c>
      <c r="F163" s="1889" t="s">
        <v>4354</v>
      </c>
      <c r="G163" s="1889" t="s">
        <v>4355</v>
      </c>
      <c r="H163" s="1346"/>
      <c r="I163" s="1347"/>
      <c r="J163" s="1348"/>
      <c r="K163" s="1348"/>
      <c r="L163" s="1890">
        <v>420</v>
      </c>
      <c r="M163" s="1891">
        <f t="shared" si="12"/>
        <v>210</v>
      </c>
      <c r="N163" s="2460">
        <v>4</v>
      </c>
      <c r="O163" s="1350"/>
      <c r="P163" s="2404" t="s">
        <v>4351</v>
      </c>
      <c r="Q163" s="2404" t="s">
        <v>3792</v>
      </c>
    </row>
    <row r="164" spans="1:22" s="305" customFormat="1">
      <c r="A164" s="1315" t="s">
        <v>2685</v>
      </c>
      <c r="B164" s="1314" t="s">
        <v>475</v>
      </c>
      <c r="C164" s="1316" t="s">
        <v>978</v>
      </c>
      <c r="D164" s="1312"/>
      <c r="E164" s="1300">
        <v>35.5</v>
      </c>
      <c r="F164" s="288"/>
      <c r="G164" s="664" t="s">
        <v>4181</v>
      </c>
      <c r="H164" s="283"/>
      <c r="I164" s="289"/>
      <c r="J164" s="292"/>
      <c r="K164" s="292"/>
      <c r="L164" s="292">
        <v>64</v>
      </c>
      <c r="M164" s="283">
        <f t="shared" ref="M164:M177" si="13">L164-E164</f>
        <v>28.5</v>
      </c>
      <c r="N164" s="2398">
        <v>7</v>
      </c>
      <c r="O164" s="2404" t="s">
        <v>4148</v>
      </c>
      <c r="P164" s="690" t="s">
        <v>2686</v>
      </c>
      <c r="Q164" s="2404" t="s">
        <v>3829</v>
      </c>
      <c r="V164" s="305" t="s">
        <v>2687</v>
      </c>
    </row>
    <row r="165" spans="1:22" s="305" customFormat="1">
      <c r="A165" s="1315" t="s">
        <v>2684</v>
      </c>
      <c r="B165" s="1314" t="s">
        <v>475</v>
      </c>
      <c r="C165" s="1316" t="s">
        <v>978</v>
      </c>
      <c r="D165" s="1312"/>
      <c r="E165" s="1300">
        <v>44.5</v>
      </c>
      <c r="F165" s="288"/>
      <c r="G165" s="664" t="s">
        <v>4181</v>
      </c>
      <c r="H165" s="283"/>
      <c r="I165" s="289"/>
      <c r="J165" s="292"/>
      <c r="K165" s="292"/>
      <c r="L165" s="292">
        <v>81</v>
      </c>
      <c r="M165" s="283">
        <f t="shared" si="13"/>
        <v>36.5</v>
      </c>
      <c r="N165" s="2398">
        <v>7</v>
      </c>
      <c r="O165" s="2404" t="s">
        <v>4148</v>
      </c>
      <c r="P165" s="690" t="s">
        <v>2686</v>
      </c>
      <c r="Q165" s="2404" t="s">
        <v>3829</v>
      </c>
      <c r="V165" s="305" t="s">
        <v>2687</v>
      </c>
    </row>
    <row r="166" spans="1:22" s="305" customFormat="1">
      <c r="A166" s="1315" t="s">
        <v>416</v>
      </c>
      <c r="B166" s="1314" t="s">
        <v>475</v>
      </c>
      <c r="C166" s="1316" t="s">
        <v>978</v>
      </c>
      <c r="D166" s="1312"/>
      <c r="E166" s="1300">
        <v>55.5</v>
      </c>
      <c r="F166" s="288"/>
      <c r="G166" s="664" t="s">
        <v>4181</v>
      </c>
      <c r="H166" s="283"/>
      <c r="I166" s="289"/>
      <c r="J166" s="292"/>
      <c r="K166" s="292"/>
      <c r="L166" s="292">
        <v>103</v>
      </c>
      <c r="M166" s="283">
        <f t="shared" si="13"/>
        <v>47.5</v>
      </c>
      <c r="N166" s="2398">
        <v>7</v>
      </c>
      <c r="O166" s="2404" t="s">
        <v>4148</v>
      </c>
      <c r="P166" s="690" t="s">
        <v>2686</v>
      </c>
      <c r="Q166" s="2404" t="s">
        <v>3829</v>
      </c>
      <c r="V166" s="305" t="s">
        <v>2687</v>
      </c>
    </row>
    <row r="167" spans="1:22" s="305" customFormat="1">
      <c r="A167" s="662" t="s">
        <v>4194</v>
      </c>
      <c r="B167" s="1286" t="s">
        <v>475</v>
      </c>
      <c r="C167" s="1280" t="s">
        <v>4193</v>
      </c>
      <c r="D167" s="1312"/>
      <c r="E167" s="1851">
        <v>52</v>
      </c>
      <c r="F167" s="288"/>
      <c r="G167" s="664"/>
      <c r="H167" s="283"/>
      <c r="I167" s="289"/>
      <c r="J167" s="292"/>
      <c r="K167" s="292"/>
      <c r="L167" s="666">
        <v>83</v>
      </c>
      <c r="M167" s="664">
        <f t="shared" si="13"/>
        <v>31</v>
      </c>
      <c r="N167" s="2398">
        <v>5</v>
      </c>
      <c r="O167" s="2404" t="s">
        <v>4198</v>
      </c>
      <c r="P167" s="2404" t="s">
        <v>4197</v>
      </c>
      <c r="Q167" s="2404" t="s">
        <v>4149</v>
      </c>
    </row>
    <row r="168" spans="1:22" s="305" customFormat="1">
      <c r="A168" s="662" t="s">
        <v>4195</v>
      </c>
      <c r="B168" s="1286" t="s">
        <v>475</v>
      </c>
      <c r="C168" s="1280" t="s">
        <v>4193</v>
      </c>
      <c r="D168" s="1312"/>
      <c r="E168" s="1851">
        <v>78</v>
      </c>
      <c r="F168" s="288"/>
      <c r="G168" s="664"/>
      <c r="H168" s="283"/>
      <c r="I168" s="289"/>
      <c r="J168" s="292"/>
      <c r="K168" s="292"/>
      <c r="L168" s="666">
        <v>92</v>
      </c>
      <c r="M168" s="664">
        <f t="shared" si="13"/>
        <v>14</v>
      </c>
      <c r="N168" s="2398">
        <v>5</v>
      </c>
      <c r="O168" s="2404" t="s">
        <v>4198</v>
      </c>
      <c r="P168" s="2404" t="s">
        <v>4197</v>
      </c>
      <c r="Q168" s="2404" t="s">
        <v>4149</v>
      </c>
    </row>
    <row r="169" spans="1:22" s="305" customFormat="1">
      <c r="A169" s="662" t="s">
        <v>4196</v>
      </c>
      <c r="B169" s="1286" t="s">
        <v>475</v>
      </c>
      <c r="C169" s="1280" t="s">
        <v>4193</v>
      </c>
      <c r="D169" s="1312"/>
      <c r="E169" s="1851">
        <v>58.5</v>
      </c>
      <c r="F169" s="288"/>
      <c r="G169" s="664"/>
      <c r="H169" s="283"/>
      <c r="I169" s="289"/>
      <c r="J169" s="292"/>
      <c r="K169" s="292"/>
      <c r="L169" s="666">
        <v>85</v>
      </c>
      <c r="M169" s="664">
        <f t="shared" si="13"/>
        <v>26.5</v>
      </c>
      <c r="N169" s="2398">
        <v>5</v>
      </c>
      <c r="O169" s="2404" t="s">
        <v>4198</v>
      </c>
      <c r="P169" s="2404" t="s">
        <v>4197</v>
      </c>
      <c r="Q169" s="2404" t="s">
        <v>4149</v>
      </c>
    </row>
    <row r="170" spans="1:22" s="305" customFormat="1">
      <c r="A170" s="662" t="s">
        <v>3737</v>
      </c>
      <c r="B170" s="1286" t="s">
        <v>475</v>
      </c>
      <c r="C170" s="1280" t="s">
        <v>3736</v>
      </c>
      <c r="D170" s="1312"/>
      <c r="E170" s="1851">
        <v>77.5</v>
      </c>
      <c r="F170" s="288"/>
      <c r="G170" s="288"/>
      <c r="H170" s="283"/>
      <c r="I170" s="289"/>
      <c r="J170" s="292"/>
      <c r="K170" s="292"/>
      <c r="L170" s="666">
        <v>135</v>
      </c>
      <c r="M170" s="664">
        <f t="shared" si="13"/>
        <v>57.5</v>
      </c>
      <c r="N170" s="2398">
        <v>4</v>
      </c>
      <c r="O170" s="1897" t="s">
        <v>3939</v>
      </c>
      <c r="P170" s="2404" t="s">
        <v>3744</v>
      </c>
      <c r="Q170" s="2404" t="s">
        <v>3947</v>
      </c>
    </row>
    <row r="171" spans="1:22" s="305" customFormat="1">
      <c r="A171" s="662" t="s">
        <v>4684</v>
      </c>
      <c r="B171" s="1286" t="s">
        <v>475</v>
      </c>
      <c r="C171" s="1280" t="s">
        <v>3736</v>
      </c>
      <c r="D171" s="1312"/>
      <c r="E171" s="1851">
        <v>82.5</v>
      </c>
      <c r="F171" s="288"/>
      <c r="G171" s="288"/>
      <c r="H171" s="283"/>
      <c r="I171" s="289"/>
      <c r="J171" s="292"/>
      <c r="K171" s="292"/>
      <c r="L171" s="666">
        <v>145</v>
      </c>
      <c r="M171" s="664">
        <f t="shared" si="13"/>
        <v>62.5</v>
      </c>
      <c r="N171" s="2398">
        <v>4</v>
      </c>
      <c r="O171" s="1897" t="s">
        <v>3939</v>
      </c>
      <c r="P171" s="2404" t="s">
        <v>3744</v>
      </c>
      <c r="Q171" s="2404" t="s">
        <v>3947</v>
      </c>
    </row>
    <row r="172" spans="1:22" s="305" customFormat="1">
      <c r="A172" s="662" t="s">
        <v>3738</v>
      </c>
      <c r="B172" s="1286" t="s">
        <v>475</v>
      </c>
      <c r="C172" s="1280" t="s">
        <v>3736</v>
      </c>
      <c r="D172" s="1312"/>
      <c r="E172" s="1851">
        <v>99.5</v>
      </c>
      <c r="F172" s="288"/>
      <c r="G172" s="288"/>
      <c r="H172" s="283"/>
      <c r="I172" s="289"/>
      <c r="J172" s="292"/>
      <c r="K172" s="292"/>
      <c r="L172" s="666">
        <v>179</v>
      </c>
      <c r="M172" s="664">
        <f t="shared" si="13"/>
        <v>79.5</v>
      </c>
      <c r="N172" s="2398">
        <v>4</v>
      </c>
      <c r="O172" s="1897" t="s">
        <v>3939</v>
      </c>
      <c r="P172" s="2404" t="s">
        <v>3744</v>
      </c>
      <c r="Q172" s="2404" t="s">
        <v>3947</v>
      </c>
    </row>
    <row r="173" spans="1:22" s="305" customFormat="1">
      <c r="A173" s="662" t="s">
        <v>3739</v>
      </c>
      <c r="B173" s="1286" t="s">
        <v>475</v>
      </c>
      <c r="C173" s="1280" t="s">
        <v>3736</v>
      </c>
      <c r="D173" s="1312"/>
      <c r="E173" s="1851">
        <v>109.5</v>
      </c>
      <c r="F173" s="663" t="s">
        <v>3740</v>
      </c>
      <c r="G173" s="288"/>
      <c r="H173" s="283"/>
      <c r="I173" s="289"/>
      <c r="J173" s="292"/>
      <c r="K173" s="292"/>
      <c r="L173" s="666">
        <v>199</v>
      </c>
      <c r="M173" s="664">
        <f t="shared" si="13"/>
        <v>89.5</v>
      </c>
      <c r="N173" s="2398">
        <v>4</v>
      </c>
      <c r="O173" s="1897" t="s">
        <v>3939</v>
      </c>
      <c r="P173" s="2404" t="s">
        <v>3744</v>
      </c>
      <c r="Q173" s="2404" t="s">
        <v>3947</v>
      </c>
    </row>
    <row r="174" spans="1:22" s="305" customFormat="1">
      <c r="A174" s="662" t="s">
        <v>3741</v>
      </c>
      <c r="B174" s="1286" t="s">
        <v>475</v>
      </c>
      <c r="C174" s="1280" t="s">
        <v>3736</v>
      </c>
      <c r="D174" s="1312"/>
      <c r="E174" s="1851">
        <v>149.5</v>
      </c>
      <c r="F174" s="663" t="s">
        <v>417</v>
      </c>
      <c r="G174" s="288"/>
      <c r="H174" s="283"/>
      <c r="I174" s="289"/>
      <c r="J174" s="292"/>
      <c r="K174" s="292"/>
      <c r="L174" s="666">
        <v>279</v>
      </c>
      <c r="M174" s="664">
        <f t="shared" si="13"/>
        <v>129.5</v>
      </c>
      <c r="N174" s="2398">
        <v>4</v>
      </c>
      <c r="O174" s="1897" t="s">
        <v>3939</v>
      </c>
      <c r="P174" s="2404" t="s">
        <v>3744</v>
      </c>
      <c r="Q174" s="2404" t="s">
        <v>3947</v>
      </c>
    </row>
    <row r="175" spans="1:22" s="305" customFormat="1">
      <c r="A175" s="668" t="s">
        <v>3427</v>
      </c>
      <c r="B175" s="1286" t="s">
        <v>475</v>
      </c>
      <c r="C175" s="1280" t="s">
        <v>1513</v>
      </c>
      <c r="D175" s="1281"/>
      <c r="E175" s="1851">
        <v>68</v>
      </c>
      <c r="F175" s="663" t="s">
        <v>3430</v>
      </c>
      <c r="G175" s="288"/>
      <c r="H175" s="283"/>
      <c r="I175" s="289"/>
      <c r="J175" s="292"/>
      <c r="K175" s="292"/>
      <c r="L175" s="666">
        <v>118</v>
      </c>
      <c r="M175" s="664">
        <f t="shared" si="13"/>
        <v>50</v>
      </c>
      <c r="N175" s="1317">
        <v>5</v>
      </c>
      <c r="O175" s="690"/>
    </row>
    <row r="176" spans="1:22" s="305" customFormat="1">
      <c r="A176" s="668" t="s">
        <v>3428</v>
      </c>
      <c r="B176" s="1286" t="s">
        <v>475</v>
      </c>
      <c r="C176" s="1280" t="s">
        <v>1513</v>
      </c>
      <c r="D176" s="1281"/>
      <c r="E176" s="1851">
        <v>73</v>
      </c>
      <c r="F176" s="663" t="s">
        <v>3430</v>
      </c>
      <c r="G176" s="288"/>
      <c r="H176" s="283"/>
      <c r="I176" s="289"/>
      <c r="J176" s="292"/>
      <c r="K176" s="292"/>
      <c r="L176" s="666">
        <v>123</v>
      </c>
      <c r="M176" s="664">
        <f t="shared" si="13"/>
        <v>50</v>
      </c>
      <c r="N176" s="1317">
        <v>5</v>
      </c>
      <c r="O176" s="690"/>
    </row>
    <row r="177" spans="1:21" s="305" customFormat="1">
      <c r="A177" s="668" t="s">
        <v>3429</v>
      </c>
      <c r="B177" s="1286" t="s">
        <v>475</v>
      </c>
      <c r="C177" s="1280" t="s">
        <v>1513</v>
      </c>
      <c r="D177" s="1281"/>
      <c r="E177" s="1851">
        <v>88</v>
      </c>
      <c r="F177" s="663" t="s">
        <v>3430</v>
      </c>
      <c r="G177" s="288"/>
      <c r="H177" s="283"/>
      <c r="I177" s="289"/>
      <c r="J177" s="292"/>
      <c r="K177" s="292"/>
      <c r="L177" s="666">
        <v>138</v>
      </c>
      <c r="M177" s="664">
        <f t="shared" si="13"/>
        <v>50</v>
      </c>
      <c r="N177" s="1317">
        <v>5</v>
      </c>
      <c r="O177" s="690"/>
    </row>
    <row r="178" spans="1:21" s="547" customFormat="1">
      <c r="A178" s="668"/>
      <c r="B178" s="1272" t="s">
        <v>475</v>
      </c>
      <c r="C178" s="1273" t="s">
        <v>1440</v>
      </c>
      <c r="D178" s="1274"/>
      <c r="E178" s="1255">
        <v>102.5</v>
      </c>
      <c r="F178" s="681" t="s">
        <v>1907</v>
      </c>
      <c r="G178" s="681"/>
      <c r="H178" s="683"/>
      <c r="I178" s="689"/>
      <c r="J178" s="685"/>
      <c r="K178" s="685"/>
      <c r="L178" s="685">
        <v>185</v>
      </c>
      <c r="M178" s="683">
        <v>82.5</v>
      </c>
      <c r="N178" s="706"/>
      <c r="O178" s="643"/>
      <c r="P178" s="639"/>
      <c r="Q178" s="639"/>
      <c r="R178" s="639"/>
      <c r="S178" s="639"/>
      <c r="T178" s="639"/>
      <c r="U178" s="639"/>
    </row>
    <row r="179" spans="1:21" s="445" customFormat="1">
      <c r="A179" s="668"/>
      <c r="B179" s="1272" t="s">
        <v>475</v>
      </c>
      <c r="C179" s="1273" t="s">
        <v>1441</v>
      </c>
      <c r="D179" s="1274"/>
      <c r="E179" s="1255">
        <v>101.5</v>
      </c>
      <c r="F179" s="681" t="s">
        <v>1908</v>
      </c>
      <c r="G179" s="681"/>
      <c r="H179" s="683"/>
      <c r="I179" s="689"/>
      <c r="J179" s="685"/>
      <c r="K179" s="685"/>
      <c r="L179" s="685">
        <v>179</v>
      </c>
      <c r="M179" s="683">
        <v>77.5</v>
      </c>
      <c r="N179" s="706"/>
      <c r="O179" s="646"/>
      <c r="P179" s="487"/>
      <c r="Q179" s="487"/>
      <c r="R179" s="487"/>
      <c r="S179" s="487"/>
      <c r="T179" s="487"/>
      <c r="U179" s="487"/>
    </row>
    <row r="180" spans="1:21" s="445" customFormat="1">
      <c r="A180" s="668" t="s">
        <v>3437</v>
      </c>
      <c r="B180" s="1286" t="s">
        <v>475</v>
      </c>
      <c r="C180" s="1280" t="s">
        <v>1442</v>
      </c>
      <c r="D180" s="1281"/>
      <c r="E180" s="1851">
        <v>105</v>
      </c>
      <c r="F180" s="681"/>
      <c r="G180" s="681"/>
      <c r="H180" s="683"/>
      <c r="I180" s="689"/>
      <c r="J180" s="685"/>
      <c r="K180" s="685"/>
      <c r="L180" s="666">
        <v>210</v>
      </c>
      <c r="M180" s="664">
        <f>L180-E180</f>
        <v>105</v>
      </c>
      <c r="N180" s="706">
        <v>6</v>
      </c>
      <c r="O180" s="646"/>
      <c r="P180" s="487"/>
      <c r="Q180" s="487"/>
      <c r="R180" s="487"/>
      <c r="S180" s="487"/>
      <c r="T180" s="487"/>
      <c r="U180" s="487"/>
    </row>
    <row r="181" spans="1:21" s="445" customFormat="1">
      <c r="A181" s="668"/>
      <c r="B181" s="1272" t="s">
        <v>475</v>
      </c>
      <c r="C181" s="1273" t="s">
        <v>1442</v>
      </c>
      <c r="D181" s="1274"/>
      <c r="E181" s="1255">
        <v>132.5</v>
      </c>
      <c r="F181" s="681" t="s">
        <v>1918</v>
      </c>
      <c r="G181" s="681"/>
      <c r="H181" s="683"/>
      <c r="I181" s="689"/>
      <c r="J181" s="685"/>
      <c r="K181" s="685"/>
      <c r="L181" s="685">
        <f>E181+M181</f>
        <v>245</v>
      </c>
      <c r="M181" s="683">
        <v>112.5</v>
      </c>
      <c r="N181" s="706">
        <v>6</v>
      </c>
      <c r="O181" s="646"/>
      <c r="P181" s="487"/>
      <c r="Q181" s="487"/>
      <c r="R181" s="487"/>
      <c r="S181" s="487"/>
      <c r="T181" s="487"/>
      <c r="U181" s="487"/>
    </row>
    <row r="182" spans="1:21" s="547" customFormat="1">
      <c r="A182" s="444"/>
      <c r="B182" s="1790" t="s">
        <v>1474</v>
      </c>
      <c r="C182" s="1783" t="s">
        <v>1475</v>
      </c>
      <c r="D182" s="1784"/>
      <c r="E182" s="1785"/>
      <c r="F182" s="1786" t="s">
        <v>1909</v>
      </c>
      <c r="G182" s="275"/>
      <c r="H182" s="276"/>
      <c r="I182" s="277"/>
      <c r="J182" s="278"/>
      <c r="K182" s="278"/>
      <c r="L182" s="278"/>
      <c r="M182" s="276"/>
      <c r="N182" s="632"/>
      <c r="O182" s="643"/>
      <c r="P182" s="639"/>
      <c r="Q182" s="639"/>
      <c r="R182" s="639"/>
      <c r="S182" s="639"/>
      <c r="T182" s="639"/>
      <c r="U182" s="639"/>
    </row>
    <row r="183" spans="1:21" s="445" customFormat="1">
      <c r="A183" s="1886" t="s">
        <v>3721</v>
      </c>
      <c r="B183" s="1883" t="s">
        <v>475</v>
      </c>
      <c r="C183" s="1280" t="s">
        <v>3734</v>
      </c>
      <c r="D183" s="1784"/>
      <c r="E183" s="1888">
        <v>32.1</v>
      </c>
      <c r="F183" s="1786"/>
      <c r="G183" s="1786"/>
      <c r="H183" s="1795"/>
      <c r="I183" s="1796"/>
      <c r="J183" s="1797"/>
      <c r="K183" s="1797"/>
      <c r="L183" s="666">
        <v>58.9</v>
      </c>
      <c r="M183" s="1891">
        <f>L183-E183</f>
        <v>26.799999999999997</v>
      </c>
      <c r="N183" s="1896">
        <v>6</v>
      </c>
      <c r="O183" s="1856" t="s">
        <v>3880</v>
      </c>
      <c r="P183" s="1897" t="s">
        <v>3735</v>
      </c>
      <c r="Q183" s="2403" t="s">
        <v>3946</v>
      </c>
      <c r="R183" s="487"/>
      <c r="S183" s="487"/>
      <c r="T183" s="487"/>
      <c r="U183" s="487"/>
    </row>
    <row r="184" spans="1:21" s="445" customFormat="1">
      <c r="A184" s="1887" t="s">
        <v>3722</v>
      </c>
      <c r="B184" s="1883" t="s">
        <v>475</v>
      </c>
      <c r="C184" s="1280" t="s">
        <v>3734</v>
      </c>
      <c r="D184" s="1784"/>
      <c r="E184" s="1888">
        <v>41</v>
      </c>
      <c r="F184" s="1786"/>
      <c r="G184" s="1786"/>
      <c r="H184" s="1795"/>
      <c r="I184" s="1796"/>
      <c r="J184" s="1797"/>
      <c r="K184" s="1797"/>
      <c r="L184" s="666">
        <v>77.8</v>
      </c>
      <c r="M184" s="1891">
        <f>L184-E184</f>
        <v>36.799999999999997</v>
      </c>
      <c r="N184" s="1896">
        <v>6</v>
      </c>
      <c r="O184" s="1856" t="s">
        <v>3880</v>
      </c>
      <c r="P184" s="1897" t="s">
        <v>3735</v>
      </c>
      <c r="Q184" s="2403" t="s">
        <v>3946</v>
      </c>
      <c r="R184" s="487"/>
      <c r="S184" s="487"/>
      <c r="T184" s="487"/>
      <c r="U184" s="487"/>
    </row>
    <row r="185" spans="1:21" s="445" customFormat="1">
      <c r="A185" s="1887" t="s">
        <v>3723</v>
      </c>
      <c r="B185" s="1883" t="s">
        <v>475</v>
      </c>
      <c r="C185" s="1280" t="s">
        <v>3734</v>
      </c>
      <c r="D185" s="1784"/>
      <c r="E185" s="1888">
        <v>48.6</v>
      </c>
      <c r="F185" s="1786"/>
      <c r="G185" s="1786"/>
      <c r="H185" s="1795"/>
      <c r="I185" s="1796"/>
      <c r="J185" s="1797"/>
      <c r="K185" s="1797"/>
      <c r="L185" s="666">
        <v>48.6</v>
      </c>
      <c r="M185" s="1891">
        <f>L185-E185</f>
        <v>0</v>
      </c>
      <c r="N185" s="1896">
        <v>6</v>
      </c>
      <c r="O185" s="1856" t="s">
        <v>3880</v>
      </c>
      <c r="P185" s="1897" t="s">
        <v>3735</v>
      </c>
      <c r="Q185" s="2403" t="s">
        <v>3946</v>
      </c>
      <c r="R185" s="487"/>
      <c r="S185" s="487"/>
      <c r="T185" s="487"/>
      <c r="U185" s="487"/>
    </row>
    <row r="186" spans="1:21" s="445" customFormat="1">
      <c r="A186" s="1886" t="s">
        <v>3780</v>
      </c>
      <c r="B186" s="1883" t="s">
        <v>475</v>
      </c>
      <c r="C186" s="1280" t="s">
        <v>3734</v>
      </c>
      <c r="D186" s="1784"/>
      <c r="E186" s="1888"/>
      <c r="F186" s="1889" t="s">
        <v>3785</v>
      </c>
      <c r="G186" s="1786"/>
      <c r="H186" s="1795"/>
      <c r="I186" s="1796"/>
      <c r="J186" s="1797"/>
      <c r="K186" s="1797"/>
      <c r="L186" s="666">
        <v>48.6</v>
      </c>
      <c r="M186" s="1891">
        <f>L186-E186</f>
        <v>48.6</v>
      </c>
      <c r="N186" s="1896">
        <v>6</v>
      </c>
      <c r="O186" s="1856" t="s">
        <v>3880</v>
      </c>
      <c r="P186" s="1897" t="s">
        <v>3735</v>
      </c>
      <c r="Q186" s="2403" t="s">
        <v>3783</v>
      </c>
      <c r="R186" s="487"/>
      <c r="S186" s="487"/>
      <c r="T186" s="487"/>
      <c r="U186" s="487"/>
    </row>
    <row r="187" spans="1:21" s="547" customFormat="1" ht="16.5" customHeight="1">
      <c r="A187" s="1781"/>
      <c r="B187" s="1782" t="s">
        <v>13</v>
      </c>
      <c r="C187" s="1783" t="s">
        <v>14</v>
      </c>
      <c r="D187" s="1784"/>
      <c r="E187" s="1785">
        <v>30</v>
      </c>
      <c r="F187" s="1786" t="s">
        <v>1909</v>
      </c>
      <c r="G187" s="1787">
        <v>10</v>
      </c>
      <c r="H187" s="1787"/>
      <c r="I187" s="1788"/>
      <c r="J187" s="1788"/>
      <c r="K187" s="1788"/>
      <c r="L187" s="1788">
        <v>44</v>
      </c>
      <c r="M187" s="1787">
        <v>14</v>
      </c>
      <c r="N187" s="1789">
        <v>3</v>
      </c>
      <c r="O187" s="643"/>
      <c r="P187" s="639"/>
      <c r="Q187" s="639"/>
      <c r="R187" s="639"/>
      <c r="S187" s="639"/>
      <c r="T187" s="639"/>
      <c r="U187" s="639"/>
    </row>
    <row r="188" spans="1:21" s="547" customFormat="1">
      <c r="A188" s="1781" t="s">
        <v>354</v>
      </c>
      <c r="B188" s="1782" t="s">
        <v>13</v>
      </c>
      <c r="C188" s="1783" t="s">
        <v>340</v>
      </c>
      <c r="D188" s="1784"/>
      <c r="E188" s="1785">
        <v>35</v>
      </c>
      <c r="F188" s="1786" t="s">
        <v>1909</v>
      </c>
      <c r="G188" s="1787"/>
      <c r="H188" s="1787"/>
      <c r="I188" s="1788"/>
      <c r="J188" s="1788"/>
      <c r="K188" s="1788"/>
      <c r="L188" s="1788">
        <v>55</v>
      </c>
      <c r="M188" s="1787">
        <v>20</v>
      </c>
      <c r="N188" s="1789">
        <v>3</v>
      </c>
      <c r="O188" s="643"/>
      <c r="P188" s="639"/>
      <c r="Q188" s="639"/>
      <c r="R188" s="639"/>
      <c r="S188" s="639"/>
      <c r="T188" s="639"/>
      <c r="U188" s="639"/>
    </row>
    <row r="189" spans="1:21" s="547" customFormat="1">
      <c r="A189" s="1781" t="s">
        <v>355</v>
      </c>
      <c r="B189" s="1782" t="s">
        <v>13</v>
      </c>
      <c r="C189" s="1783" t="s">
        <v>340</v>
      </c>
      <c r="D189" s="1784"/>
      <c r="E189" s="1785">
        <v>30</v>
      </c>
      <c r="F189" s="1786" t="s">
        <v>1909</v>
      </c>
      <c r="G189" s="1787"/>
      <c r="H189" s="1787"/>
      <c r="I189" s="1788"/>
      <c r="J189" s="1788"/>
      <c r="K189" s="1788"/>
      <c r="L189" s="1788">
        <v>50</v>
      </c>
      <c r="M189" s="1787">
        <v>20</v>
      </c>
      <c r="N189" s="1789">
        <v>3</v>
      </c>
      <c r="O189" s="643"/>
      <c r="P189" s="639"/>
      <c r="Q189" s="639"/>
      <c r="R189" s="639"/>
      <c r="S189" s="639"/>
      <c r="T189" s="639"/>
      <c r="U189" s="639"/>
    </row>
    <row r="190" spans="1:21" s="305" customFormat="1">
      <c r="A190" s="1832" t="s">
        <v>228</v>
      </c>
      <c r="B190" s="1790" t="s">
        <v>296</v>
      </c>
      <c r="C190" s="1783" t="s">
        <v>662</v>
      </c>
      <c r="D190" s="1784"/>
      <c r="E190" s="1785">
        <v>36</v>
      </c>
      <c r="F190" s="1786" t="s">
        <v>1910</v>
      </c>
      <c r="G190" s="1786"/>
      <c r="H190" s="1795">
        <v>1.5</v>
      </c>
      <c r="I190" s="1796" t="s">
        <v>206</v>
      </c>
      <c r="J190" s="1797"/>
      <c r="K190" s="1797"/>
      <c r="L190" s="1797">
        <v>53</v>
      </c>
      <c r="M190" s="1795">
        <v>17</v>
      </c>
      <c r="N190" s="1833">
        <v>3</v>
      </c>
      <c r="O190" s="690"/>
    </row>
    <row r="191" spans="1:21" s="305" customFormat="1">
      <c r="A191" s="1832" t="s">
        <v>663</v>
      </c>
      <c r="B191" s="1790" t="s">
        <v>296</v>
      </c>
      <c r="C191" s="1783" t="s">
        <v>662</v>
      </c>
      <c r="D191" s="1784"/>
      <c r="E191" s="1785">
        <v>50</v>
      </c>
      <c r="F191" s="1786" t="s">
        <v>664</v>
      </c>
      <c r="G191" s="1786"/>
      <c r="H191" s="1795">
        <v>1.5</v>
      </c>
      <c r="I191" s="1796" t="s">
        <v>206</v>
      </c>
      <c r="J191" s="1797"/>
      <c r="K191" s="1797"/>
      <c r="L191" s="1797">
        <v>67</v>
      </c>
      <c r="M191" s="1795">
        <v>17</v>
      </c>
      <c r="N191" s="1833">
        <v>3</v>
      </c>
      <c r="O191" s="690"/>
    </row>
    <row r="192" spans="1:21" s="791" customFormat="1">
      <c r="A192" s="784" t="s">
        <v>3</v>
      </c>
      <c r="B192" s="1286" t="s">
        <v>234</v>
      </c>
      <c r="C192" s="1280" t="s">
        <v>3979</v>
      </c>
      <c r="D192" s="1281"/>
      <c r="E192" s="1278">
        <v>30</v>
      </c>
      <c r="F192" s="275" t="s">
        <v>4334</v>
      </c>
      <c r="G192" s="288"/>
      <c r="H192" s="786"/>
      <c r="I192" s="787"/>
      <c r="J192" s="788"/>
      <c r="K192" s="788"/>
      <c r="L192" s="788">
        <v>50</v>
      </c>
      <c r="M192" s="786">
        <v>20</v>
      </c>
      <c r="N192" s="789">
        <v>3.4</v>
      </c>
      <c r="O192" s="790"/>
    </row>
    <row r="193" spans="1:21" s="791" customFormat="1">
      <c r="A193" s="784" t="s">
        <v>2582</v>
      </c>
      <c r="B193" s="1286" t="s">
        <v>234</v>
      </c>
      <c r="C193" s="1280" t="s">
        <v>3979</v>
      </c>
      <c r="D193" s="1281"/>
      <c r="E193" s="1278">
        <v>39.5</v>
      </c>
      <c r="F193" s="275" t="s">
        <v>4334</v>
      </c>
      <c r="G193" s="288"/>
      <c r="H193" s="786"/>
      <c r="I193" s="787"/>
      <c r="J193" s="788"/>
      <c r="K193" s="788"/>
      <c r="L193" s="788">
        <v>59.5</v>
      </c>
      <c r="M193" s="786">
        <v>20</v>
      </c>
      <c r="N193" s="789">
        <v>3.4</v>
      </c>
      <c r="O193" s="790"/>
    </row>
    <row r="194" spans="1:21" s="791" customFormat="1">
      <c r="A194" s="784" t="s">
        <v>2581</v>
      </c>
      <c r="B194" s="1286" t="s">
        <v>234</v>
      </c>
      <c r="C194" s="1280" t="s">
        <v>3979</v>
      </c>
      <c r="D194" s="1281"/>
      <c r="E194" s="1278">
        <v>52</v>
      </c>
      <c r="F194" s="275" t="s">
        <v>4334</v>
      </c>
      <c r="G194" s="288"/>
      <c r="H194" s="786"/>
      <c r="I194" s="787"/>
      <c r="J194" s="788"/>
      <c r="K194" s="788"/>
      <c r="L194" s="788">
        <v>77</v>
      </c>
      <c r="M194" s="786">
        <v>25</v>
      </c>
      <c r="N194" s="789">
        <v>3.4</v>
      </c>
    </row>
    <row r="195" spans="1:21" s="688" customFormat="1">
      <c r="A195" s="679"/>
      <c r="B195" s="1272" t="s">
        <v>234</v>
      </c>
      <c r="C195" s="1273" t="s">
        <v>2048</v>
      </c>
      <c r="D195" s="1274"/>
      <c r="E195" s="1255">
        <v>62.5</v>
      </c>
      <c r="F195" s="681" t="s">
        <v>1912</v>
      </c>
      <c r="G195" s="681"/>
      <c r="H195" s="683"/>
      <c r="I195" s="689"/>
      <c r="J195" s="685"/>
      <c r="K195" s="685"/>
      <c r="L195" s="685"/>
      <c r="M195" s="683"/>
      <c r="N195" s="686"/>
      <c r="O195" s="687"/>
    </row>
    <row r="196" spans="1:21" s="688" customFormat="1">
      <c r="A196" s="679"/>
      <c r="B196" s="1272" t="s">
        <v>234</v>
      </c>
      <c r="C196" s="1273" t="s">
        <v>2049</v>
      </c>
      <c r="D196" s="1274"/>
      <c r="E196" s="1255">
        <v>56</v>
      </c>
      <c r="F196" s="681" t="s">
        <v>2050</v>
      </c>
      <c r="G196" s="681"/>
      <c r="H196" s="683"/>
      <c r="I196" s="689"/>
      <c r="J196" s="685"/>
      <c r="K196" s="685"/>
      <c r="L196" s="685">
        <v>86</v>
      </c>
      <c r="M196" s="683">
        <v>30</v>
      </c>
      <c r="N196" s="686"/>
      <c r="O196" s="687"/>
    </row>
    <row r="197" spans="1:21" s="305" customFormat="1">
      <c r="A197" s="662" t="s">
        <v>4068</v>
      </c>
      <c r="B197" s="1286" t="s">
        <v>234</v>
      </c>
      <c r="C197" s="1280" t="s">
        <v>2051</v>
      </c>
      <c r="D197" s="1312"/>
      <c r="E197" s="1851">
        <v>44.5</v>
      </c>
      <c r="F197" s="288"/>
      <c r="G197" s="288"/>
      <c r="H197" s="283"/>
      <c r="I197" s="289"/>
      <c r="J197" s="292"/>
      <c r="K197" s="292"/>
      <c r="L197" s="666">
        <v>62</v>
      </c>
      <c r="M197" s="664">
        <f>L197-E197</f>
        <v>17.5</v>
      </c>
      <c r="N197" s="1317"/>
      <c r="O197" s="2404" t="s">
        <v>3880</v>
      </c>
      <c r="P197" s="2404" t="s">
        <v>4067</v>
      </c>
      <c r="Q197" s="2404" t="s">
        <v>3817</v>
      </c>
    </row>
    <row r="198" spans="1:21" s="305" customFormat="1">
      <c r="A198" s="662" t="s">
        <v>4069</v>
      </c>
      <c r="B198" s="1286" t="s">
        <v>234</v>
      </c>
      <c r="C198" s="1280" t="s">
        <v>2051</v>
      </c>
      <c r="D198" s="1312"/>
      <c r="E198" s="1851">
        <v>52.5</v>
      </c>
      <c r="F198" s="288"/>
      <c r="G198" s="288"/>
      <c r="H198" s="283"/>
      <c r="I198" s="289"/>
      <c r="J198" s="292"/>
      <c r="K198" s="292"/>
      <c r="L198" s="666">
        <v>73</v>
      </c>
      <c r="M198" s="664">
        <f>L198-E198</f>
        <v>20.5</v>
      </c>
      <c r="N198" s="1317"/>
      <c r="O198" s="2404" t="s">
        <v>3880</v>
      </c>
      <c r="P198" s="2404" t="s">
        <v>4067</v>
      </c>
      <c r="Q198" s="2404" t="s">
        <v>3817</v>
      </c>
    </row>
    <row r="199" spans="1:21" s="305" customFormat="1">
      <c r="A199" s="662" t="s">
        <v>4165</v>
      </c>
      <c r="B199" s="1286" t="s">
        <v>234</v>
      </c>
      <c r="C199" s="1280" t="s">
        <v>4164</v>
      </c>
      <c r="D199" s="1312"/>
      <c r="E199" s="1851">
        <v>34</v>
      </c>
      <c r="F199" s="288"/>
      <c r="G199" s="288"/>
      <c r="H199" s="664">
        <v>1.6</v>
      </c>
      <c r="I199" s="665" t="s">
        <v>206</v>
      </c>
      <c r="J199" s="292"/>
      <c r="K199" s="292"/>
      <c r="L199" s="666">
        <v>60</v>
      </c>
      <c r="M199" s="664">
        <f>L199-E199</f>
        <v>26</v>
      </c>
      <c r="N199" s="2398">
        <v>3</v>
      </c>
      <c r="O199" s="2470" t="s">
        <v>4170</v>
      </c>
      <c r="Q199" s="2404" t="s">
        <v>4169</v>
      </c>
    </row>
    <row r="200" spans="1:21" s="305" customFormat="1">
      <c r="A200" s="662" t="s">
        <v>4167</v>
      </c>
      <c r="B200" s="1286" t="s">
        <v>234</v>
      </c>
      <c r="C200" s="1280" t="s">
        <v>4164</v>
      </c>
      <c r="D200" s="1312"/>
      <c r="E200" s="1851">
        <v>40</v>
      </c>
      <c r="F200" s="663" t="s">
        <v>4166</v>
      </c>
      <c r="G200" s="288"/>
      <c r="H200" s="664">
        <v>1.6</v>
      </c>
      <c r="I200" s="665" t="s">
        <v>206</v>
      </c>
      <c r="J200" s="292"/>
      <c r="K200" s="292"/>
      <c r="L200" s="666">
        <v>69</v>
      </c>
      <c r="M200" s="664">
        <f>L200-E200</f>
        <v>29</v>
      </c>
      <c r="N200" s="2398">
        <v>3</v>
      </c>
      <c r="O200" s="2470" t="s">
        <v>4170</v>
      </c>
      <c r="Q200" s="2404" t="s">
        <v>4169</v>
      </c>
    </row>
    <row r="201" spans="1:21" s="305" customFormat="1">
      <c r="A201" s="662" t="s">
        <v>4168</v>
      </c>
      <c r="B201" s="1286" t="s">
        <v>234</v>
      </c>
      <c r="C201" s="1280" t="s">
        <v>4164</v>
      </c>
      <c r="D201" s="1312"/>
      <c r="E201" s="1851">
        <v>50.5</v>
      </c>
      <c r="F201" s="288"/>
      <c r="G201" s="288"/>
      <c r="H201" s="664">
        <v>1.6</v>
      </c>
      <c r="I201" s="665" t="s">
        <v>206</v>
      </c>
      <c r="J201" s="292"/>
      <c r="K201" s="292"/>
      <c r="L201" s="666">
        <v>81</v>
      </c>
      <c r="M201" s="664">
        <f>L201-E201</f>
        <v>30.5</v>
      </c>
      <c r="N201" s="2398">
        <v>3</v>
      </c>
      <c r="O201" s="2470" t="s">
        <v>4170</v>
      </c>
      <c r="Q201" s="2404" t="s">
        <v>4169</v>
      </c>
    </row>
    <row r="202" spans="1:21" s="688" customFormat="1">
      <c r="A202" s="679" t="s">
        <v>657</v>
      </c>
      <c r="B202" s="1286" t="s">
        <v>234</v>
      </c>
      <c r="C202" s="1280" t="s">
        <v>567</v>
      </c>
      <c r="D202" s="1274"/>
      <c r="E202" s="1255">
        <v>39.5</v>
      </c>
      <c r="F202" s="275" t="s">
        <v>4334</v>
      </c>
      <c r="G202" s="681"/>
      <c r="H202" s="683">
        <v>1.5</v>
      </c>
      <c r="I202" s="689" t="s">
        <v>206</v>
      </c>
      <c r="J202" s="685"/>
      <c r="K202" s="685"/>
      <c r="L202" s="685">
        <v>59</v>
      </c>
      <c r="M202" s="683">
        <v>19.5</v>
      </c>
      <c r="N202" s="706">
        <v>5</v>
      </c>
      <c r="O202" s="707"/>
      <c r="P202" s="696"/>
      <c r="Q202" s="696"/>
      <c r="R202" s="696"/>
      <c r="S202" s="696"/>
      <c r="T202" s="696"/>
      <c r="U202" s="696"/>
    </row>
    <row r="203" spans="1:21" s="688" customFormat="1">
      <c r="A203" s="679" t="s">
        <v>443</v>
      </c>
      <c r="B203" s="1286" t="s">
        <v>234</v>
      </c>
      <c r="C203" s="1280" t="s">
        <v>567</v>
      </c>
      <c r="D203" s="1274"/>
      <c r="E203" s="1255">
        <v>44.5</v>
      </c>
      <c r="F203" s="275" t="s">
        <v>4334</v>
      </c>
      <c r="G203" s="681"/>
      <c r="H203" s="683">
        <v>1.5</v>
      </c>
      <c r="I203" s="689" t="s">
        <v>206</v>
      </c>
      <c r="J203" s="685"/>
      <c r="K203" s="685"/>
      <c r="L203" s="685">
        <v>69</v>
      </c>
      <c r="M203" s="683">
        <v>24.5</v>
      </c>
      <c r="N203" s="706">
        <v>5</v>
      </c>
      <c r="O203" s="707"/>
      <c r="P203" s="696"/>
      <c r="Q203" s="696"/>
      <c r="R203" s="696"/>
      <c r="S203" s="696"/>
      <c r="T203" s="696"/>
      <c r="U203" s="696"/>
    </row>
    <row r="204" spans="1:21" s="688" customFormat="1">
      <c r="A204" s="679" t="s">
        <v>1537</v>
      </c>
      <c r="B204" s="1286" t="s">
        <v>234</v>
      </c>
      <c r="C204" s="1280" t="s">
        <v>567</v>
      </c>
      <c r="D204" s="1274"/>
      <c r="E204" s="1255">
        <v>49.5</v>
      </c>
      <c r="F204" s="275" t="s">
        <v>4334</v>
      </c>
      <c r="G204" s="681"/>
      <c r="H204" s="683">
        <v>1.5</v>
      </c>
      <c r="I204" s="689" t="s">
        <v>206</v>
      </c>
      <c r="J204" s="685"/>
      <c r="K204" s="685"/>
      <c r="L204" s="685">
        <v>79</v>
      </c>
      <c r="M204" s="683">
        <v>29.5</v>
      </c>
      <c r="N204" s="706">
        <v>5</v>
      </c>
      <c r="O204" s="707"/>
      <c r="P204" s="696"/>
      <c r="Q204" s="696"/>
      <c r="R204" s="696"/>
      <c r="S204" s="696"/>
      <c r="T204" s="696"/>
      <c r="U204" s="696"/>
    </row>
    <row r="205" spans="1:21" s="688" customFormat="1">
      <c r="A205" s="679" t="s">
        <v>1538</v>
      </c>
      <c r="B205" s="1286" t="s">
        <v>234</v>
      </c>
      <c r="C205" s="1280" t="s">
        <v>567</v>
      </c>
      <c r="D205" s="1274"/>
      <c r="E205" s="1255">
        <v>69.5</v>
      </c>
      <c r="F205" s="275" t="s">
        <v>4334</v>
      </c>
      <c r="G205" s="681"/>
      <c r="H205" s="683">
        <v>1.5</v>
      </c>
      <c r="I205" s="689" t="s">
        <v>206</v>
      </c>
      <c r="J205" s="685"/>
      <c r="K205" s="685"/>
      <c r="L205" s="685">
        <v>119</v>
      </c>
      <c r="M205" s="683">
        <v>49.5</v>
      </c>
      <c r="N205" s="706">
        <v>5</v>
      </c>
      <c r="O205" s="707"/>
      <c r="P205" s="696"/>
      <c r="Q205" s="696"/>
      <c r="R205" s="696"/>
      <c r="S205" s="696"/>
      <c r="T205" s="696"/>
      <c r="U205" s="696"/>
    </row>
    <row r="206" spans="1:21" s="688" customFormat="1">
      <c r="A206" s="679" t="s">
        <v>1053</v>
      </c>
      <c r="B206" s="1286" t="s">
        <v>234</v>
      </c>
      <c r="C206" s="1280" t="s">
        <v>567</v>
      </c>
      <c r="D206" s="1274"/>
      <c r="E206" s="1255">
        <v>47</v>
      </c>
      <c r="F206" s="275" t="s">
        <v>4334</v>
      </c>
      <c r="G206" s="681"/>
      <c r="H206" s="683">
        <v>1.5</v>
      </c>
      <c r="I206" s="689" t="s">
        <v>206</v>
      </c>
      <c r="J206" s="685"/>
      <c r="K206" s="685"/>
      <c r="L206" s="685">
        <v>74</v>
      </c>
      <c r="M206" s="683">
        <v>27</v>
      </c>
      <c r="N206" s="706">
        <v>5</v>
      </c>
      <c r="O206" s="707"/>
      <c r="P206" s="696"/>
      <c r="Q206" s="696"/>
      <c r="R206" s="696"/>
      <c r="S206" s="696"/>
      <c r="T206" s="696"/>
      <c r="U206" s="696"/>
    </row>
    <row r="207" spans="1:21" s="688" customFormat="1">
      <c r="A207" s="679" t="s">
        <v>1539</v>
      </c>
      <c r="B207" s="1286" t="s">
        <v>234</v>
      </c>
      <c r="C207" s="1280" t="s">
        <v>567</v>
      </c>
      <c r="D207" s="1274"/>
      <c r="E207" s="1255">
        <v>74.5</v>
      </c>
      <c r="F207" s="275" t="s">
        <v>4334</v>
      </c>
      <c r="G207" s="681"/>
      <c r="H207" s="683">
        <v>1.5</v>
      </c>
      <c r="I207" s="689" t="s">
        <v>206</v>
      </c>
      <c r="J207" s="685"/>
      <c r="K207" s="685"/>
      <c r="L207" s="685">
        <v>129</v>
      </c>
      <c r="M207" s="683">
        <v>54.5</v>
      </c>
      <c r="N207" s="706">
        <v>5</v>
      </c>
      <c r="O207" s="707"/>
      <c r="P207" s="696"/>
      <c r="Q207" s="696"/>
      <c r="R207" s="696"/>
      <c r="S207" s="696"/>
      <c r="T207" s="696"/>
      <c r="U207" s="696"/>
    </row>
    <row r="208" spans="1:21" s="1351" customFormat="1">
      <c r="A208" s="1886" t="s">
        <v>4127</v>
      </c>
      <c r="B208" s="1883" t="s">
        <v>234</v>
      </c>
      <c r="C208" s="1884" t="s">
        <v>304</v>
      </c>
      <c r="D208" s="1885"/>
      <c r="E208" s="1888">
        <v>35</v>
      </c>
      <c r="F208" s="1345"/>
      <c r="G208" s="1345"/>
      <c r="H208" s="1346"/>
      <c r="I208" s="1353"/>
      <c r="J208" s="1348"/>
      <c r="K208" s="1348"/>
      <c r="L208" s="1890">
        <v>60</v>
      </c>
      <c r="M208" s="1891">
        <f>L208-E208</f>
        <v>25</v>
      </c>
      <c r="N208" s="2460">
        <v>6</v>
      </c>
      <c r="O208" s="1350"/>
      <c r="P208" s="2404" t="s">
        <v>4272</v>
      </c>
    </row>
    <row r="209" spans="1:21" s="1351" customFormat="1">
      <c r="A209" s="1886" t="s">
        <v>4126</v>
      </c>
      <c r="B209" s="1883" t="s">
        <v>234</v>
      </c>
      <c r="C209" s="1884" t="s">
        <v>304</v>
      </c>
      <c r="D209" s="1885"/>
      <c r="E209" s="1888">
        <v>52</v>
      </c>
      <c r="F209" s="1889" t="s">
        <v>4129</v>
      </c>
      <c r="G209" s="1345"/>
      <c r="H209" s="1346"/>
      <c r="I209" s="1353"/>
      <c r="J209" s="1348"/>
      <c r="K209" s="1348"/>
      <c r="L209" s="1890">
        <v>80</v>
      </c>
      <c r="M209" s="1891">
        <f>L209-E209</f>
        <v>28</v>
      </c>
      <c r="N209" s="2460">
        <v>6</v>
      </c>
      <c r="O209" s="1350"/>
      <c r="P209" s="2404" t="s">
        <v>4273</v>
      </c>
    </row>
    <row r="210" spans="1:21" s="1351" customFormat="1">
      <c r="A210" s="1886" t="s">
        <v>4128</v>
      </c>
      <c r="B210" s="1883" t="s">
        <v>234</v>
      </c>
      <c r="C210" s="1884" t="s">
        <v>304</v>
      </c>
      <c r="D210" s="1885"/>
      <c r="E210" s="1888">
        <v>72</v>
      </c>
      <c r="F210" s="1345"/>
      <c r="G210" s="1345"/>
      <c r="H210" s="1345"/>
      <c r="I210" s="1353"/>
      <c r="J210" s="1348"/>
      <c r="K210" s="1348"/>
      <c r="L210" s="1890">
        <v>105</v>
      </c>
      <c r="M210" s="1891">
        <f>L210-E210</f>
        <v>33</v>
      </c>
      <c r="N210" s="2460">
        <v>6</v>
      </c>
      <c r="O210" s="1350"/>
      <c r="P210" s="2404" t="s">
        <v>4274</v>
      </c>
    </row>
    <row r="211" spans="1:21" s="1351" customFormat="1">
      <c r="A211" s="1886" t="s">
        <v>3835</v>
      </c>
      <c r="B211" s="1883" t="s">
        <v>234</v>
      </c>
      <c r="C211" s="1884" t="s">
        <v>855</v>
      </c>
      <c r="D211" s="1885"/>
      <c r="E211" s="1888">
        <v>49</v>
      </c>
      <c r="F211" s="1889" t="s">
        <v>3842</v>
      </c>
      <c r="G211" s="1889" t="s">
        <v>3445</v>
      </c>
      <c r="H211" s="1889">
        <v>1.5</v>
      </c>
      <c r="I211" s="1898" t="s">
        <v>206</v>
      </c>
      <c r="J211" s="1348"/>
      <c r="K211" s="1348"/>
      <c r="L211" s="1890">
        <f>M211+E211</f>
        <v>87.5</v>
      </c>
      <c r="M211" s="1891">
        <v>38.5</v>
      </c>
      <c r="N211" s="1896">
        <v>8</v>
      </c>
      <c r="O211" s="1897" t="s">
        <v>4101</v>
      </c>
      <c r="P211" s="2403" t="s">
        <v>3841</v>
      </c>
      <c r="Q211" s="2403" t="s">
        <v>3742</v>
      </c>
      <c r="R211" s="1394"/>
      <c r="S211" s="1394"/>
      <c r="T211" s="1394"/>
      <c r="U211" s="1394"/>
    </row>
    <row r="212" spans="1:21" s="1351" customFormat="1">
      <c r="A212" s="1886" t="s">
        <v>3837</v>
      </c>
      <c r="B212" s="1883" t="s">
        <v>234</v>
      </c>
      <c r="C212" s="1884" t="s">
        <v>855</v>
      </c>
      <c r="D212" s="1885"/>
      <c r="E212" s="1888">
        <v>58</v>
      </c>
      <c r="F212" s="1889" t="s">
        <v>3842</v>
      </c>
      <c r="G212" s="1889" t="s">
        <v>3445</v>
      </c>
      <c r="H212" s="1889">
        <v>1.5</v>
      </c>
      <c r="I212" s="1898" t="s">
        <v>206</v>
      </c>
      <c r="J212" s="1348"/>
      <c r="K212" s="1348"/>
      <c r="L212" s="1890">
        <f>M212+E212</f>
        <v>105.5</v>
      </c>
      <c r="M212" s="1891">
        <v>47.5</v>
      </c>
      <c r="N212" s="1896">
        <v>8</v>
      </c>
      <c r="O212" s="1897" t="s">
        <v>4101</v>
      </c>
      <c r="P212" s="2403" t="s">
        <v>3841</v>
      </c>
      <c r="Q212" s="2403" t="s">
        <v>3742</v>
      </c>
      <c r="R212" s="1394"/>
      <c r="S212" s="1394"/>
      <c r="T212" s="1394"/>
      <c r="U212" s="1394"/>
    </row>
    <row r="213" spans="1:21" s="1351" customFormat="1">
      <c r="A213" s="1886" t="s">
        <v>3836</v>
      </c>
      <c r="B213" s="1883" t="s">
        <v>234</v>
      </c>
      <c r="C213" s="1884" t="s">
        <v>855</v>
      </c>
      <c r="D213" s="1885"/>
      <c r="E213" s="1888">
        <v>61</v>
      </c>
      <c r="F213" s="1889" t="s">
        <v>3842</v>
      </c>
      <c r="G213" s="1889" t="s">
        <v>3445</v>
      </c>
      <c r="H213" s="1889">
        <v>1.5</v>
      </c>
      <c r="I213" s="1898" t="s">
        <v>206</v>
      </c>
      <c r="J213" s="1348"/>
      <c r="K213" s="1348"/>
      <c r="L213" s="1890">
        <f>M213+E213</f>
        <v>111.5</v>
      </c>
      <c r="M213" s="1891">
        <v>50.5</v>
      </c>
      <c r="N213" s="1896">
        <v>8</v>
      </c>
      <c r="O213" s="1897" t="s">
        <v>4101</v>
      </c>
      <c r="P213" s="2403" t="s">
        <v>3841</v>
      </c>
      <c r="Q213" s="2403" t="s">
        <v>3742</v>
      </c>
      <c r="R213" s="1394"/>
      <c r="S213" s="1394"/>
      <c r="T213" s="1394"/>
      <c r="U213" s="1394"/>
    </row>
    <row r="214" spans="1:21" s="1351" customFormat="1">
      <c r="A214" s="1886" t="s">
        <v>3838</v>
      </c>
      <c r="B214" s="1883" t="s">
        <v>234</v>
      </c>
      <c r="C214" s="1884" t="s">
        <v>855</v>
      </c>
      <c r="D214" s="1885"/>
      <c r="E214" s="1888">
        <v>71</v>
      </c>
      <c r="F214" s="1889" t="s">
        <v>3842</v>
      </c>
      <c r="G214" s="1889" t="s">
        <v>3445</v>
      </c>
      <c r="H214" s="1889">
        <v>1.5</v>
      </c>
      <c r="I214" s="1898" t="s">
        <v>206</v>
      </c>
      <c r="J214" s="1348"/>
      <c r="K214" s="1348"/>
      <c r="L214" s="1890">
        <f>M214+E214</f>
        <v>131.5</v>
      </c>
      <c r="M214" s="1891">
        <v>60.5</v>
      </c>
      <c r="N214" s="1896">
        <v>8</v>
      </c>
      <c r="O214" s="1897" t="s">
        <v>4101</v>
      </c>
      <c r="P214" s="2403" t="s">
        <v>3841</v>
      </c>
      <c r="Q214" s="2403" t="s">
        <v>3742</v>
      </c>
      <c r="R214" s="1394"/>
      <c r="S214" s="1394"/>
      <c r="T214" s="1394"/>
      <c r="U214" s="1394"/>
    </row>
    <row r="215" spans="1:21" s="1351" customFormat="1">
      <c r="A215" s="1886" t="s">
        <v>3839</v>
      </c>
      <c r="B215" s="1883" t="s">
        <v>234</v>
      </c>
      <c r="C215" s="1884" t="s">
        <v>855</v>
      </c>
      <c r="D215" s="1885"/>
      <c r="E215" s="1888">
        <v>99</v>
      </c>
      <c r="F215" s="1889" t="s">
        <v>3842</v>
      </c>
      <c r="G215" s="1889" t="s">
        <v>3445</v>
      </c>
      <c r="H215" s="1889">
        <v>1.5</v>
      </c>
      <c r="I215" s="1898" t="s">
        <v>206</v>
      </c>
      <c r="J215" s="1348"/>
      <c r="K215" s="1348"/>
      <c r="L215" s="1890">
        <f>M215+E215</f>
        <v>187.5</v>
      </c>
      <c r="M215" s="1891">
        <v>88.5</v>
      </c>
      <c r="N215" s="1896">
        <v>8</v>
      </c>
      <c r="O215" s="1897" t="s">
        <v>4101</v>
      </c>
      <c r="P215" s="2403" t="s">
        <v>3841</v>
      </c>
      <c r="Q215" s="2403" t="s">
        <v>3742</v>
      </c>
      <c r="R215" s="1394"/>
      <c r="S215" s="1394"/>
      <c r="T215" s="1394"/>
      <c r="U215" s="1394"/>
    </row>
    <row r="216" spans="1:21" s="1351" customFormat="1">
      <c r="A216" s="1886" t="s">
        <v>3843</v>
      </c>
      <c r="B216" s="1883" t="s">
        <v>234</v>
      </c>
      <c r="C216" s="1884" t="s">
        <v>855</v>
      </c>
      <c r="D216" s="1885"/>
      <c r="E216" s="1888"/>
      <c r="F216" s="1889" t="s">
        <v>3844</v>
      </c>
      <c r="G216" s="1889" t="s">
        <v>3445</v>
      </c>
      <c r="H216" s="1889">
        <v>1.5</v>
      </c>
      <c r="I216" s="1898" t="s">
        <v>206</v>
      </c>
      <c r="J216" s="1348"/>
      <c r="K216" s="1353"/>
      <c r="L216" s="1890"/>
      <c r="M216" s="1891"/>
      <c r="N216" s="1896">
        <v>8</v>
      </c>
      <c r="O216" s="1897" t="s">
        <v>4101</v>
      </c>
      <c r="P216" s="2403" t="s">
        <v>3444</v>
      </c>
      <c r="Q216" s="2403" t="s">
        <v>3840</v>
      </c>
      <c r="R216" s="1394"/>
      <c r="S216" s="1394"/>
      <c r="T216" s="1394"/>
      <c r="U216" s="1394"/>
    </row>
    <row r="217" spans="1:21" s="1351" customFormat="1">
      <c r="A217" s="662" t="s">
        <v>3846</v>
      </c>
      <c r="B217" s="1883" t="s">
        <v>234</v>
      </c>
      <c r="C217" s="1884" t="s">
        <v>855</v>
      </c>
      <c r="D217" s="1885"/>
      <c r="E217" s="1888"/>
      <c r="F217" s="1889" t="s">
        <v>3845</v>
      </c>
      <c r="G217" s="1889" t="s">
        <v>3445</v>
      </c>
      <c r="H217" s="1889">
        <v>1.5</v>
      </c>
      <c r="I217" s="1898" t="s">
        <v>206</v>
      </c>
      <c r="J217" s="1348"/>
      <c r="K217" s="1353"/>
      <c r="L217" s="1890"/>
      <c r="M217" s="1891"/>
      <c r="N217" s="1896">
        <v>8</v>
      </c>
      <c r="O217" s="1897" t="s">
        <v>4101</v>
      </c>
      <c r="P217" s="2403" t="s">
        <v>3444</v>
      </c>
      <c r="Q217" s="2403" t="s">
        <v>3840</v>
      </c>
      <c r="R217" s="1394"/>
      <c r="S217" s="1394"/>
      <c r="T217" s="1394"/>
      <c r="U217" s="1394"/>
    </row>
    <row r="218" spans="1:21" s="1351" customFormat="1">
      <c r="A218" s="1886" t="s">
        <v>4127</v>
      </c>
      <c r="B218" s="1883" t="s">
        <v>234</v>
      </c>
      <c r="C218" s="1884" t="s">
        <v>303</v>
      </c>
      <c r="D218" s="1885"/>
      <c r="E218" s="2461">
        <v>31</v>
      </c>
      <c r="F218" s="1345"/>
      <c r="G218" s="1345"/>
      <c r="H218" s="1346"/>
      <c r="I218" s="1353"/>
      <c r="J218" s="1348"/>
      <c r="K218" s="1348"/>
      <c r="L218" s="546">
        <v>54</v>
      </c>
      <c r="M218" s="544">
        <f t="shared" ref="M218:M227" si="14">L218-E218</f>
        <v>23</v>
      </c>
      <c r="N218" s="2462">
        <v>6</v>
      </c>
      <c r="O218" s="1350"/>
      <c r="P218" s="2436" t="s">
        <v>4275</v>
      </c>
    </row>
    <row r="219" spans="1:21" s="1351" customFormat="1">
      <c r="A219" s="1886" t="s">
        <v>4126</v>
      </c>
      <c r="B219" s="1883" t="s">
        <v>234</v>
      </c>
      <c r="C219" s="1884" t="s">
        <v>303</v>
      </c>
      <c r="D219" s="1885"/>
      <c r="E219" s="2461">
        <v>47</v>
      </c>
      <c r="F219" s="1889" t="s">
        <v>4129</v>
      </c>
      <c r="G219" s="1345"/>
      <c r="H219" s="1346"/>
      <c r="I219" s="1353"/>
      <c r="J219" s="1348"/>
      <c r="K219" s="1348"/>
      <c r="L219" s="546">
        <v>72</v>
      </c>
      <c r="M219" s="544">
        <f t="shared" si="14"/>
        <v>25</v>
      </c>
      <c r="N219" s="2462">
        <v>6</v>
      </c>
      <c r="O219" s="1350"/>
      <c r="P219" s="2436" t="s">
        <v>4276</v>
      </c>
    </row>
    <row r="220" spans="1:21" s="1351" customFormat="1">
      <c r="A220" s="1886" t="s">
        <v>4128</v>
      </c>
      <c r="B220" s="1883" t="s">
        <v>234</v>
      </c>
      <c r="C220" s="1884" t="s">
        <v>303</v>
      </c>
      <c r="D220" s="1885"/>
      <c r="E220" s="2461">
        <v>67</v>
      </c>
      <c r="F220" s="1345"/>
      <c r="G220" s="1345"/>
      <c r="H220" s="1345"/>
      <c r="I220" s="1353"/>
      <c r="J220" s="1348"/>
      <c r="K220" s="1348"/>
      <c r="L220" s="546">
        <v>95</v>
      </c>
      <c r="M220" s="544">
        <f t="shared" si="14"/>
        <v>28</v>
      </c>
      <c r="N220" s="2462">
        <v>6</v>
      </c>
      <c r="O220" s="1350"/>
      <c r="P220" s="2436" t="s">
        <v>4277</v>
      </c>
    </row>
    <row r="221" spans="1:21" s="305" customFormat="1">
      <c r="A221" s="662" t="s">
        <v>4087</v>
      </c>
      <c r="B221" s="1286" t="s">
        <v>234</v>
      </c>
      <c r="C221" s="1280" t="s">
        <v>1548</v>
      </c>
      <c r="D221" s="1281"/>
      <c r="E221" s="1851">
        <v>40</v>
      </c>
      <c r="F221" s="288"/>
      <c r="G221" s="288"/>
      <c r="H221" s="283"/>
      <c r="I221" s="289"/>
      <c r="J221" s="292"/>
      <c r="K221" s="292"/>
      <c r="L221" s="666">
        <v>67</v>
      </c>
      <c r="M221" s="664">
        <f t="shared" si="14"/>
        <v>27</v>
      </c>
      <c r="N221" s="667">
        <v>5</v>
      </c>
      <c r="O221" s="1856" t="s">
        <v>3880</v>
      </c>
      <c r="P221" s="297"/>
      <c r="Q221" s="2403" t="s">
        <v>3953</v>
      </c>
      <c r="R221" s="297"/>
      <c r="S221" s="297"/>
      <c r="T221" s="297"/>
      <c r="U221" s="297"/>
    </row>
    <row r="222" spans="1:21" s="305" customFormat="1">
      <c r="A222" s="662" t="s">
        <v>4088</v>
      </c>
      <c r="B222" s="1286" t="s">
        <v>234</v>
      </c>
      <c r="C222" s="1280" t="s">
        <v>1548</v>
      </c>
      <c r="D222" s="1281"/>
      <c r="E222" s="1851">
        <v>59.5</v>
      </c>
      <c r="F222" s="288"/>
      <c r="G222" s="288"/>
      <c r="H222" s="283"/>
      <c r="I222" s="289"/>
      <c r="J222" s="292"/>
      <c r="K222" s="292"/>
      <c r="L222" s="666">
        <v>85.5</v>
      </c>
      <c r="M222" s="664">
        <f t="shared" si="14"/>
        <v>26</v>
      </c>
      <c r="N222" s="667">
        <v>5</v>
      </c>
      <c r="O222" s="1856" t="s">
        <v>3880</v>
      </c>
      <c r="P222" s="297"/>
      <c r="Q222" s="2403" t="s">
        <v>3953</v>
      </c>
      <c r="R222" s="297"/>
      <c r="S222" s="297"/>
      <c r="T222" s="297"/>
      <c r="U222" s="297"/>
    </row>
    <row r="223" spans="1:21" s="305" customFormat="1">
      <c r="A223" s="662" t="s">
        <v>4089</v>
      </c>
      <c r="B223" s="1286" t="s">
        <v>234</v>
      </c>
      <c r="C223" s="1280" t="s">
        <v>1548</v>
      </c>
      <c r="D223" s="1281"/>
      <c r="E223" s="1851">
        <v>89</v>
      </c>
      <c r="F223" s="663"/>
      <c r="G223" s="288"/>
      <c r="H223" s="283"/>
      <c r="I223" s="289"/>
      <c r="J223" s="292"/>
      <c r="K223" s="292"/>
      <c r="L223" s="666">
        <v>141</v>
      </c>
      <c r="M223" s="664">
        <f t="shared" si="14"/>
        <v>52</v>
      </c>
      <c r="N223" s="667">
        <v>5</v>
      </c>
      <c r="O223" s="1856" t="s">
        <v>3880</v>
      </c>
      <c r="P223" s="297"/>
      <c r="Q223" s="2403" t="s">
        <v>3953</v>
      </c>
      <c r="R223" s="297"/>
      <c r="S223" s="297"/>
      <c r="T223" s="297"/>
      <c r="U223" s="297"/>
    </row>
    <row r="224" spans="1:21" s="305" customFormat="1">
      <c r="A224" s="1315" t="s">
        <v>4495</v>
      </c>
      <c r="B224" s="1314" t="s">
        <v>234</v>
      </c>
      <c r="C224" s="1316" t="s">
        <v>1052</v>
      </c>
      <c r="D224" s="1312"/>
      <c r="E224" s="1300">
        <v>45</v>
      </c>
      <c r="F224" s="288"/>
      <c r="G224" s="288"/>
      <c r="H224" s="283">
        <v>1.5</v>
      </c>
      <c r="I224" s="289" t="s">
        <v>206</v>
      </c>
      <c r="J224" s="292"/>
      <c r="K224" s="292"/>
      <c r="L224" s="292">
        <v>73</v>
      </c>
      <c r="M224" s="283">
        <f t="shared" si="14"/>
        <v>28</v>
      </c>
      <c r="N224" s="634">
        <v>7</v>
      </c>
      <c r="O224" s="648"/>
      <c r="P224" s="297"/>
      <c r="Q224" s="297"/>
      <c r="R224" s="297"/>
      <c r="S224" s="297"/>
      <c r="T224" s="297"/>
      <c r="U224" s="297"/>
    </row>
    <row r="225" spans="1:25" s="305" customFormat="1">
      <c r="A225" s="1315" t="s">
        <v>4478</v>
      </c>
      <c r="B225" s="1314" t="s">
        <v>234</v>
      </c>
      <c r="C225" s="1316" t="s">
        <v>1052</v>
      </c>
      <c r="D225" s="1312"/>
      <c r="E225" s="1300">
        <v>52</v>
      </c>
      <c r="F225" s="288"/>
      <c r="G225" s="288"/>
      <c r="H225" s="283">
        <v>1.5</v>
      </c>
      <c r="I225" s="289" t="s">
        <v>206</v>
      </c>
      <c r="J225" s="292"/>
      <c r="K225" s="292"/>
      <c r="L225" s="292">
        <v>80</v>
      </c>
      <c r="M225" s="283">
        <f t="shared" si="14"/>
        <v>28</v>
      </c>
      <c r="N225" s="634">
        <v>7</v>
      </c>
      <c r="O225" s="648"/>
      <c r="P225" s="297"/>
      <c r="Q225" s="297"/>
      <c r="R225" s="297"/>
      <c r="S225" s="297"/>
      <c r="T225" s="297"/>
      <c r="U225" s="297"/>
    </row>
    <row r="226" spans="1:25" s="305" customFormat="1">
      <c r="A226" s="1315" t="s">
        <v>4496</v>
      </c>
      <c r="B226" s="1314" t="s">
        <v>234</v>
      </c>
      <c r="C226" s="1316" t="s">
        <v>1052</v>
      </c>
      <c r="D226" s="1312"/>
      <c r="E226" s="1300">
        <v>59.5</v>
      </c>
      <c r="F226" s="288"/>
      <c r="G226" s="288"/>
      <c r="H226" s="283">
        <v>1.5</v>
      </c>
      <c r="I226" s="289" t="s">
        <v>206</v>
      </c>
      <c r="J226" s="292"/>
      <c r="K226" s="292"/>
      <c r="L226" s="292">
        <v>87.5</v>
      </c>
      <c r="M226" s="283">
        <f t="shared" si="14"/>
        <v>28</v>
      </c>
      <c r="N226" s="634">
        <v>7</v>
      </c>
      <c r="O226" s="648"/>
      <c r="P226" s="297"/>
      <c r="Q226" s="297"/>
      <c r="R226" s="297"/>
      <c r="S226" s="297"/>
      <c r="T226" s="297"/>
      <c r="U226" s="297"/>
    </row>
    <row r="227" spans="1:25" s="305" customFormat="1">
      <c r="A227" s="1315" t="s">
        <v>568</v>
      </c>
      <c r="B227" s="1314" t="s">
        <v>234</v>
      </c>
      <c r="C227" s="1316" t="s">
        <v>1052</v>
      </c>
      <c r="D227" s="1312"/>
      <c r="E227" s="1300">
        <v>76</v>
      </c>
      <c r="F227" s="288" t="s">
        <v>3370</v>
      </c>
      <c r="G227" s="288"/>
      <c r="H227" s="283">
        <v>1.5</v>
      </c>
      <c r="I227" s="289" t="s">
        <v>206</v>
      </c>
      <c r="J227" s="292"/>
      <c r="K227" s="292"/>
      <c r="L227" s="292">
        <v>104</v>
      </c>
      <c r="M227" s="283">
        <f t="shared" si="14"/>
        <v>28</v>
      </c>
      <c r="N227" s="634">
        <v>7</v>
      </c>
      <c r="O227" s="288" t="s">
        <v>3370</v>
      </c>
      <c r="P227" s="297"/>
      <c r="Q227" s="297"/>
      <c r="R227" s="297"/>
      <c r="S227" s="297"/>
      <c r="T227" s="297"/>
      <c r="U227" s="297"/>
    </row>
    <row r="228" spans="1:25" s="305" customFormat="1" ht="14.25" customHeight="1">
      <c r="A228" s="662" t="s">
        <v>4564</v>
      </c>
      <c r="B228" s="1286" t="s">
        <v>234</v>
      </c>
      <c r="C228" s="1280" t="s">
        <v>2731</v>
      </c>
      <c r="D228" s="1281"/>
      <c r="E228" s="1851">
        <v>48</v>
      </c>
      <c r="F228" s="275" t="s">
        <v>48</v>
      </c>
      <c r="G228" s="275" t="s">
        <v>4569</v>
      </c>
      <c r="H228" s="283"/>
      <c r="I228" s="289"/>
      <c r="J228" s="292"/>
      <c r="K228" s="292"/>
      <c r="L228" s="278">
        <f>M228+E228</f>
        <v>78</v>
      </c>
      <c r="M228" s="276">
        <v>30</v>
      </c>
      <c r="N228" s="279" t="s">
        <v>4577</v>
      </c>
      <c r="O228" s="2436" t="s">
        <v>3880</v>
      </c>
      <c r="Q228" s="2436" t="s">
        <v>4578</v>
      </c>
      <c r="S228" s="2436" t="s">
        <v>4579</v>
      </c>
      <c r="V228" s="690"/>
      <c r="X228" s="690"/>
      <c r="Y228" s="690" t="s">
        <v>1514</v>
      </c>
    </row>
    <row r="229" spans="1:25" s="305" customFormat="1" ht="14.25" customHeight="1">
      <c r="A229" s="662" t="s">
        <v>4563</v>
      </c>
      <c r="B229" s="1286" t="s">
        <v>234</v>
      </c>
      <c r="C229" s="1280" t="s">
        <v>2731</v>
      </c>
      <c r="D229" s="1281"/>
      <c r="E229" s="1851">
        <v>49</v>
      </c>
      <c r="F229" s="275" t="s">
        <v>48</v>
      </c>
      <c r="G229" s="275" t="s">
        <v>4569</v>
      </c>
      <c r="H229" s="283"/>
      <c r="I229" s="289"/>
      <c r="J229" s="292"/>
      <c r="K229" s="292"/>
      <c r="L229" s="278">
        <f t="shared" ref="L229:L233" si="15">M229+E229</f>
        <v>79</v>
      </c>
      <c r="M229" s="276">
        <v>30</v>
      </c>
      <c r="N229" s="279" t="s">
        <v>4577</v>
      </c>
      <c r="O229" s="2436" t="s">
        <v>3880</v>
      </c>
      <c r="Q229" s="2436" t="s">
        <v>4578</v>
      </c>
      <c r="S229" s="2436" t="s">
        <v>4579</v>
      </c>
      <c r="V229" s="690"/>
      <c r="X229" s="690"/>
      <c r="Y229" s="690"/>
    </row>
    <row r="230" spans="1:25" s="305" customFormat="1">
      <c r="A230" s="662" t="s">
        <v>4565</v>
      </c>
      <c r="B230" s="1286" t="s">
        <v>234</v>
      </c>
      <c r="C230" s="1280" t="s">
        <v>2731</v>
      </c>
      <c r="D230" s="1281"/>
      <c r="E230" s="1851">
        <v>58</v>
      </c>
      <c r="F230" s="275" t="s">
        <v>48</v>
      </c>
      <c r="G230" s="275" t="s">
        <v>4569</v>
      </c>
      <c r="H230" s="283"/>
      <c r="I230" s="289"/>
      <c r="J230" s="292"/>
      <c r="K230" s="292"/>
      <c r="L230" s="278">
        <f t="shared" si="15"/>
        <v>88</v>
      </c>
      <c r="M230" s="276">
        <v>30</v>
      </c>
      <c r="N230" s="279" t="s">
        <v>4577</v>
      </c>
      <c r="O230" s="2436" t="s">
        <v>3880</v>
      </c>
      <c r="Q230" s="2436" t="s">
        <v>4578</v>
      </c>
      <c r="S230" s="2436" t="s">
        <v>4579</v>
      </c>
      <c r="V230" s="690"/>
      <c r="X230" s="690"/>
      <c r="Y230" s="690" t="s">
        <v>1514</v>
      </c>
    </row>
    <row r="231" spans="1:25" s="305" customFormat="1">
      <c r="A231" s="662" t="s">
        <v>4566</v>
      </c>
      <c r="B231" s="1286" t="s">
        <v>234</v>
      </c>
      <c r="C231" s="1280" t="s">
        <v>2731</v>
      </c>
      <c r="D231" s="1281"/>
      <c r="E231" s="1851">
        <v>59</v>
      </c>
      <c r="F231" s="275" t="s">
        <v>48</v>
      </c>
      <c r="G231" s="275" t="s">
        <v>4569</v>
      </c>
      <c r="H231" s="283"/>
      <c r="I231" s="289"/>
      <c r="J231" s="292"/>
      <c r="K231" s="292"/>
      <c r="L231" s="278">
        <f t="shared" si="15"/>
        <v>89</v>
      </c>
      <c r="M231" s="276">
        <v>30</v>
      </c>
      <c r="N231" s="279" t="s">
        <v>4577</v>
      </c>
      <c r="O231" s="2436" t="s">
        <v>3880</v>
      </c>
      <c r="Q231" s="2436" t="s">
        <v>4578</v>
      </c>
      <c r="S231" s="2436" t="s">
        <v>4579</v>
      </c>
      <c r="V231" s="690"/>
      <c r="X231" s="690"/>
      <c r="Y231" s="690"/>
    </row>
    <row r="232" spans="1:25" s="305" customFormat="1">
      <c r="A232" s="662" t="s">
        <v>4567</v>
      </c>
      <c r="B232" s="1286" t="s">
        <v>234</v>
      </c>
      <c r="C232" s="1280" t="s">
        <v>2731</v>
      </c>
      <c r="D232" s="1281"/>
      <c r="E232" s="1877">
        <v>68</v>
      </c>
      <c r="F232" s="275" t="s">
        <v>48</v>
      </c>
      <c r="G232" s="275" t="s">
        <v>4569</v>
      </c>
      <c r="H232" s="283"/>
      <c r="I232" s="289"/>
      <c r="J232" s="292"/>
      <c r="K232" s="292"/>
      <c r="L232" s="278">
        <f t="shared" si="15"/>
        <v>98</v>
      </c>
      <c r="M232" s="276">
        <v>30</v>
      </c>
      <c r="N232" s="279" t="s">
        <v>4577</v>
      </c>
      <c r="O232" s="2436" t="s">
        <v>3880</v>
      </c>
      <c r="Q232" s="2436" t="s">
        <v>4578</v>
      </c>
      <c r="S232" s="2436" t="s">
        <v>4579</v>
      </c>
      <c r="V232" s="690"/>
      <c r="X232" s="690"/>
      <c r="Y232" s="690" t="s">
        <v>1514</v>
      </c>
    </row>
    <row r="233" spans="1:25" s="305" customFormat="1">
      <c r="A233" s="662" t="s">
        <v>4568</v>
      </c>
      <c r="B233" s="1286" t="s">
        <v>234</v>
      </c>
      <c r="C233" s="1280" t="s">
        <v>2731</v>
      </c>
      <c r="D233" s="1281"/>
      <c r="E233" s="1877">
        <v>69</v>
      </c>
      <c r="F233" s="275" t="s">
        <v>48</v>
      </c>
      <c r="G233" s="275" t="s">
        <v>4569</v>
      </c>
      <c r="H233" s="283"/>
      <c r="I233" s="289"/>
      <c r="J233" s="292"/>
      <c r="K233" s="292"/>
      <c r="L233" s="278">
        <f t="shared" si="15"/>
        <v>99</v>
      </c>
      <c r="M233" s="276">
        <v>30</v>
      </c>
      <c r="N233" s="279" t="s">
        <v>4577</v>
      </c>
      <c r="O233" s="2436" t="s">
        <v>3880</v>
      </c>
      <c r="Q233" s="2436" t="s">
        <v>4578</v>
      </c>
      <c r="S233" s="2436" t="s">
        <v>4579</v>
      </c>
      <c r="V233" s="690"/>
      <c r="X233" s="690"/>
      <c r="Y233" s="690"/>
    </row>
    <row r="234" spans="1:25" s="688" customFormat="1">
      <c r="A234" s="679" t="s">
        <v>416</v>
      </c>
      <c r="B234" s="1272" t="s">
        <v>234</v>
      </c>
      <c r="C234" s="1273" t="s">
        <v>419</v>
      </c>
      <c r="D234" s="1274"/>
      <c r="E234" s="1255">
        <v>60</v>
      </c>
      <c r="F234" s="681" t="s">
        <v>55</v>
      </c>
      <c r="G234" s="681"/>
      <c r="H234" s="683"/>
      <c r="I234" s="689"/>
      <c r="J234" s="685"/>
      <c r="K234" s="685"/>
      <c r="L234" s="685">
        <v>110</v>
      </c>
      <c r="M234" s="683">
        <v>50</v>
      </c>
      <c r="N234" s="706">
        <v>6</v>
      </c>
      <c r="O234" s="707"/>
      <c r="P234" s="696"/>
      <c r="Q234" s="696"/>
      <c r="R234" s="696"/>
      <c r="S234" s="696"/>
      <c r="T234" s="696"/>
      <c r="U234" s="696"/>
    </row>
    <row r="235" spans="1:25" s="688" customFormat="1">
      <c r="A235" s="679" t="s">
        <v>358</v>
      </c>
      <c r="B235" s="1272" t="s">
        <v>234</v>
      </c>
      <c r="C235" s="1273" t="s">
        <v>419</v>
      </c>
      <c r="D235" s="1274"/>
      <c r="E235" s="1255" t="s">
        <v>417</v>
      </c>
      <c r="F235" s="681" t="s">
        <v>359</v>
      </c>
      <c r="G235" s="681"/>
      <c r="H235" s="683"/>
      <c r="I235" s="689"/>
      <c r="J235" s="685"/>
      <c r="K235" s="685"/>
      <c r="L235" s="685"/>
      <c r="M235" s="683"/>
      <c r="N235" s="706"/>
      <c r="O235" s="707"/>
      <c r="P235" s="696"/>
      <c r="Q235" s="696"/>
      <c r="R235" s="696"/>
      <c r="S235" s="696"/>
      <c r="T235" s="696"/>
      <c r="U235" s="696"/>
    </row>
    <row r="236" spans="1:25" s="547" customFormat="1">
      <c r="A236" s="679" t="s">
        <v>391</v>
      </c>
      <c r="B236" s="1286" t="s">
        <v>234</v>
      </c>
      <c r="C236" s="1280" t="s">
        <v>3981</v>
      </c>
      <c r="D236" s="1281"/>
      <c r="E236" s="1255">
        <v>97.5</v>
      </c>
      <c r="F236" s="275" t="s">
        <v>4334</v>
      </c>
      <c r="G236" s="679" t="s">
        <v>1911</v>
      </c>
      <c r="H236" s="664"/>
      <c r="I236" s="665"/>
      <c r="J236" s="666"/>
      <c r="K236" s="666"/>
      <c r="L236" s="685">
        <f>M236+E236</f>
        <v>172.5</v>
      </c>
      <c r="M236" s="683">
        <v>75</v>
      </c>
      <c r="N236" s="706">
        <v>4</v>
      </c>
      <c r="O236" s="643"/>
      <c r="P236" s="639"/>
      <c r="Q236" s="639"/>
      <c r="R236" s="639"/>
      <c r="S236" s="639"/>
      <c r="T236" s="639"/>
      <c r="U236" s="639"/>
    </row>
    <row r="237" spans="1:25" s="305" customFormat="1" ht="14.25" customHeight="1">
      <c r="A237" s="662" t="s">
        <v>4123</v>
      </c>
      <c r="B237" s="1286" t="s">
        <v>234</v>
      </c>
      <c r="C237" s="1280" t="s">
        <v>570</v>
      </c>
      <c r="D237" s="1281"/>
      <c r="E237" s="1851">
        <v>71</v>
      </c>
      <c r="F237" s="288"/>
      <c r="G237" s="288"/>
      <c r="H237" s="283"/>
      <c r="I237" s="1353"/>
      <c r="J237" s="292"/>
      <c r="K237" s="292"/>
      <c r="L237" s="666">
        <v>97</v>
      </c>
      <c r="M237" s="664">
        <f>L237-E237</f>
        <v>26</v>
      </c>
      <c r="N237" s="2398"/>
      <c r="O237" s="690"/>
      <c r="P237" s="2404" t="s">
        <v>4278</v>
      </c>
      <c r="R237" s="690"/>
      <c r="V237" s="690"/>
      <c r="X237" s="690"/>
      <c r="Y237" s="690" t="s">
        <v>1514</v>
      </c>
    </row>
    <row r="238" spans="1:25" s="305" customFormat="1">
      <c r="A238" s="662" t="s">
        <v>4124</v>
      </c>
      <c r="B238" s="1286" t="s">
        <v>234</v>
      </c>
      <c r="C238" s="1280" t="s">
        <v>570</v>
      </c>
      <c r="D238" s="1281"/>
      <c r="E238" s="1851">
        <v>92</v>
      </c>
      <c r="F238" s="1889" t="s">
        <v>4129</v>
      </c>
      <c r="G238" s="283"/>
      <c r="H238" s="283"/>
      <c r="I238" s="289"/>
      <c r="J238" s="292"/>
      <c r="K238" s="292"/>
      <c r="L238" s="666">
        <v>127</v>
      </c>
      <c r="M238" s="664">
        <f>L238-E238</f>
        <v>35</v>
      </c>
      <c r="N238" s="2398"/>
      <c r="O238" s="690"/>
      <c r="P238" s="2404" t="s">
        <v>4279</v>
      </c>
      <c r="R238" s="690"/>
      <c r="V238" s="690"/>
      <c r="X238" s="690"/>
      <c r="Y238" s="690" t="s">
        <v>1514</v>
      </c>
    </row>
    <row r="239" spans="1:25" s="305" customFormat="1">
      <c r="A239" s="662" t="s">
        <v>4125</v>
      </c>
      <c r="B239" s="1286" t="s">
        <v>234</v>
      </c>
      <c r="C239" s="1280" t="s">
        <v>570</v>
      </c>
      <c r="D239" s="1281"/>
      <c r="E239" s="1851">
        <v>148</v>
      </c>
      <c r="F239" s="288"/>
      <c r="G239" s="283"/>
      <c r="H239" s="283"/>
      <c r="I239" s="289"/>
      <c r="J239" s="292"/>
      <c r="K239" s="292"/>
      <c r="L239" s="666">
        <v>227</v>
      </c>
      <c r="M239" s="664">
        <f>L239-E239</f>
        <v>79</v>
      </c>
      <c r="N239" s="2398"/>
      <c r="O239" s="690"/>
      <c r="P239" s="2404" t="s">
        <v>4280</v>
      </c>
      <c r="R239" s="690"/>
      <c r="V239" s="690"/>
      <c r="X239" s="690"/>
      <c r="Y239" s="690" t="s">
        <v>1514</v>
      </c>
    </row>
    <row r="240" spans="1:25" s="547" customFormat="1">
      <c r="A240" s="662" t="s">
        <v>4059</v>
      </c>
      <c r="B240" s="1286" t="s">
        <v>234</v>
      </c>
      <c r="C240" s="1280" t="s">
        <v>571</v>
      </c>
      <c r="D240" s="1274"/>
      <c r="E240" s="1851">
        <v>110</v>
      </c>
      <c r="F240" s="679"/>
      <c r="G240" s="275"/>
      <c r="H240" s="276"/>
      <c r="I240" s="277"/>
      <c r="J240" s="278"/>
      <c r="K240" s="278"/>
      <c r="L240" s="666">
        <v>175</v>
      </c>
      <c r="M240" s="664">
        <f>L240-E240</f>
        <v>65</v>
      </c>
      <c r="N240" s="667">
        <v>3</v>
      </c>
      <c r="O240" s="1856" t="s">
        <v>3880</v>
      </c>
      <c r="P240" s="639"/>
      <c r="Q240" s="2403" t="s">
        <v>4060</v>
      </c>
      <c r="R240" s="639"/>
      <c r="S240" s="639"/>
      <c r="T240" s="639"/>
      <c r="U240" s="639"/>
    </row>
    <row r="241" spans="1:21" s="548" customFormat="1">
      <c r="A241" s="662" t="s">
        <v>4061</v>
      </c>
      <c r="B241" s="1286" t="s">
        <v>234</v>
      </c>
      <c r="C241" s="1280" t="s">
        <v>1436</v>
      </c>
      <c r="D241" s="1274"/>
      <c r="E241" s="1851">
        <v>205</v>
      </c>
      <c r="F241" s="662" t="s">
        <v>4062</v>
      </c>
      <c r="G241" s="275"/>
      <c r="H241" s="276"/>
      <c r="I241" s="277"/>
      <c r="J241" s="278"/>
      <c r="K241" s="278"/>
      <c r="L241" s="666">
        <v>240</v>
      </c>
      <c r="M241" s="664">
        <f>L241-E241</f>
        <v>35</v>
      </c>
      <c r="N241" s="667">
        <v>3</v>
      </c>
      <c r="O241" s="1856" t="s">
        <v>3880</v>
      </c>
      <c r="P241" s="640"/>
      <c r="Q241" s="2403" t="s">
        <v>4060</v>
      </c>
      <c r="R241" s="640"/>
      <c r="S241" s="640"/>
      <c r="T241" s="640"/>
      <c r="U241" s="640"/>
    </row>
    <row r="242" spans="1:21" s="305" customFormat="1">
      <c r="A242" s="662" t="s">
        <v>3747</v>
      </c>
      <c r="B242" s="2397" t="s">
        <v>461</v>
      </c>
      <c r="C242" s="1280" t="s">
        <v>227</v>
      </c>
      <c r="D242" s="1281"/>
      <c r="E242" s="1851">
        <v>50</v>
      </c>
      <c r="F242" s="305" t="s">
        <v>2848</v>
      </c>
      <c r="G242" s="671" t="s">
        <v>3752</v>
      </c>
      <c r="H242" s="293" t="s">
        <v>229</v>
      </c>
      <c r="I242" s="1393"/>
      <c r="J242" s="292" t="s">
        <v>667</v>
      </c>
      <c r="K242" s="292"/>
      <c r="L242" s="666">
        <f>E242+M242</f>
        <v>67</v>
      </c>
      <c r="M242" s="664">
        <v>17</v>
      </c>
      <c r="N242" s="2398">
        <v>6</v>
      </c>
      <c r="O242" s="1897" t="s">
        <v>4017</v>
      </c>
      <c r="P242" s="2405"/>
      <c r="Q242" s="2404" t="s">
        <v>3751</v>
      </c>
    </row>
    <row r="243" spans="1:21" s="305" customFormat="1">
      <c r="A243" s="662" t="s">
        <v>3748</v>
      </c>
      <c r="B243" s="2397" t="s">
        <v>461</v>
      </c>
      <c r="C243" s="1280" t="s">
        <v>227</v>
      </c>
      <c r="D243" s="1281"/>
      <c r="E243" s="1851">
        <v>58</v>
      </c>
      <c r="F243" s="305" t="s">
        <v>2848</v>
      </c>
      <c r="G243" s="671" t="s">
        <v>3752</v>
      </c>
      <c r="H243" s="293" t="s">
        <v>229</v>
      </c>
      <c r="I243" s="1393"/>
      <c r="J243" s="292" t="s">
        <v>667</v>
      </c>
      <c r="K243" s="292"/>
      <c r="L243" s="666">
        <f>E243+M243</f>
        <v>75</v>
      </c>
      <c r="M243" s="664">
        <v>17</v>
      </c>
      <c r="N243" s="2398">
        <v>6</v>
      </c>
      <c r="O243" s="1897" t="s">
        <v>4017</v>
      </c>
      <c r="P243" s="2405"/>
      <c r="Q243" s="2404" t="s">
        <v>3751</v>
      </c>
    </row>
    <row r="244" spans="1:21" s="305" customFormat="1">
      <c r="A244" s="662" t="s">
        <v>3749</v>
      </c>
      <c r="B244" s="2397" t="s">
        <v>461</v>
      </c>
      <c r="C244" s="1280" t="s">
        <v>227</v>
      </c>
      <c r="D244" s="1281"/>
      <c r="E244" s="1851">
        <v>64</v>
      </c>
      <c r="F244" s="305" t="s">
        <v>2848</v>
      </c>
      <c r="G244" s="671" t="s">
        <v>3752</v>
      </c>
      <c r="H244" s="293" t="s">
        <v>229</v>
      </c>
      <c r="I244" s="1393"/>
      <c r="J244" s="292" t="s">
        <v>667</v>
      </c>
      <c r="K244" s="292"/>
      <c r="L244" s="666">
        <f>E244+M244</f>
        <v>82</v>
      </c>
      <c r="M244" s="664">
        <v>18</v>
      </c>
      <c r="N244" s="2398">
        <v>6</v>
      </c>
      <c r="O244" s="1897" t="s">
        <v>4017</v>
      </c>
      <c r="P244" s="2405"/>
      <c r="Q244" s="2404" t="s">
        <v>3751</v>
      </c>
    </row>
    <row r="245" spans="1:21" s="305" customFormat="1">
      <c r="A245" s="662" t="s">
        <v>3750</v>
      </c>
      <c r="B245" s="2397" t="s">
        <v>461</v>
      </c>
      <c r="C245" s="1280" t="s">
        <v>227</v>
      </c>
      <c r="D245" s="1281"/>
      <c r="E245" s="1851">
        <v>69</v>
      </c>
      <c r="F245" s="288"/>
      <c r="G245" s="671" t="s">
        <v>3752</v>
      </c>
      <c r="H245" s="293" t="s">
        <v>229</v>
      </c>
      <c r="I245" s="1393"/>
      <c r="J245" s="292" t="s">
        <v>667</v>
      </c>
      <c r="K245" s="292"/>
      <c r="L245" s="666">
        <f>E245+M245</f>
        <v>89</v>
      </c>
      <c r="M245" s="664">
        <v>20</v>
      </c>
      <c r="N245" s="2398">
        <v>6</v>
      </c>
      <c r="O245" s="1897" t="s">
        <v>4017</v>
      </c>
      <c r="P245" s="2405"/>
      <c r="Q245" s="2404" t="s">
        <v>3751</v>
      </c>
    </row>
    <row r="246" spans="1:21" s="1396" customFormat="1">
      <c r="A246" s="662" t="s">
        <v>3717</v>
      </c>
      <c r="B246" s="1286" t="s">
        <v>573</v>
      </c>
      <c r="C246" s="1280" t="s">
        <v>3777</v>
      </c>
      <c r="D246" s="1312"/>
      <c r="E246" s="1851">
        <v>55</v>
      </c>
      <c r="F246" s="663" t="s">
        <v>3720</v>
      </c>
      <c r="G246" s="288"/>
      <c r="H246" s="664">
        <v>2</v>
      </c>
      <c r="I246" s="666" t="s">
        <v>1803</v>
      </c>
      <c r="J246" s="292"/>
      <c r="K246" s="292"/>
      <c r="L246" s="666">
        <v>80</v>
      </c>
      <c r="M246" s="664">
        <f t="shared" ref="M246:M258" si="16">L246-E246</f>
        <v>25</v>
      </c>
      <c r="N246" s="667">
        <v>3.5</v>
      </c>
      <c r="O246" s="1897" t="s">
        <v>3880</v>
      </c>
      <c r="P246" s="1395"/>
      <c r="Q246" s="1856" t="s">
        <v>3715</v>
      </c>
      <c r="R246" s="1395"/>
      <c r="S246" s="1395"/>
      <c r="T246" s="1395"/>
      <c r="U246" s="1395"/>
    </row>
    <row r="247" spans="1:21" s="305" customFormat="1">
      <c r="A247" s="662" t="s">
        <v>3718</v>
      </c>
      <c r="B247" s="1286" t="s">
        <v>573</v>
      </c>
      <c r="C247" s="1280" t="s">
        <v>3777</v>
      </c>
      <c r="D247" s="1312"/>
      <c r="E247" s="1851">
        <v>67</v>
      </c>
      <c r="F247" s="663" t="s">
        <v>574</v>
      </c>
      <c r="G247" s="288"/>
      <c r="H247" s="664">
        <v>2</v>
      </c>
      <c r="I247" s="666" t="s">
        <v>1803</v>
      </c>
      <c r="J247" s="292"/>
      <c r="K247" s="292"/>
      <c r="L247" s="666">
        <v>104</v>
      </c>
      <c r="M247" s="664">
        <f t="shared" si="16"/>
        <v>37</v>
      </c>
      <c r="N247" s="667">
        <v>3.5</v>
      </c>
      <c r="O247" s="1897" t="s">
        <v>3880</v>
      </c>
      <c r="P247" s="297"/>
      <c r="Q247" s="1856" t="s">
        <v>3715</v>
      </c>
      <c r="R247" s="297"/>
      <c r="S247" s="297"/>
      <c r="T247" s="297"/>
      <c r="U247" s="297"/>
    </row>
    <row r="248" spans="1:21" s="305" customFormat="1">
      <c r="A248" s="662" t="s">
        <v>3719</v>
      </c>
      <c r="B248" s="1286" t="s">
        <v>573</v>
      </c>
      <c r="C248" s="1280" t="s">
        <v>3777</v>
      </c>
      <c r="D248" s="1312"/>
      <c r="E248" s="1851">
        <v>72</v>
      </c>
      <c r="F248" s="663" t="s">
        <v>574</v>
      </c>
      <c r="G248" s="288"/>
      <c r="H248" s="664">
        <v>2</v>
      </c>
      <c r="I248" s="666" t="s">
        <v>1803</v>
      </c>
      <c r="J248" s="292"/>
      <c r="K248" s="292"/>
      <c r="L248" s="666">
        <v>114</v>
      </c>
      <c r="M248" s="664">
        <f t="shared" si="16"/>
        <v>42</v>
      </c>
      <c r="N248" s="667">
        <v>3.5</v>
      </c>
      <c r="O248" s="1897" t="s">
        <v>3880</v>
      </c>
      <c r="P248" s="297"/>
      <c r="Q248" s="1856" t="s">
        <v>3715</v>
      </c>
      <c r="R248" s="297"/>
      <c r="S248" s="297"/>
      <c r="T248" s="297"/>
      <c r="U248" s="297"/>
    </row>
    <row r="249" spans="1:21" s="305" customFormat="1">
      <c r="A249" s="662" t="s">
        <v>3714</v>
      </c>
      <c r="B249" s="1286" t="s">
        <v>573</v>
      </c>
      <c r="C249" s="1280" t="s">
        <v>686</v>
      </c>
      <c r="D249" s="1281"/>
      <c r="E249" s="2399">
        <v>129.5</v>
      </c>
      <c r="F249" s="663" t="s">
        <v>844</v>
      </c>
      <c r="G249" s="663"/>
      <c r="H249" s="664">
        <v>2</v>
      </c>
      <c r="I249" s="666" t="s">
        <v>1803</v>
      </c>
      <c r="J249" s="292"/>
      <c r="K249" s="292"/>
      <c r="L249" s="666">
        <v>219</v>
      </c>
      <c r="M249" s="664">
        <f t="shared" si="16"/>
        <v>89.5</v>
      </c>
      <c r="N249" s="667">
        <v>5</v>
      </c>
      <c r="O249" s="1856" t="s">
        <v>3880</v>
      </c>
      <c r="P249" s="297"/>
      <c r="Q249" s="1856" t="s">
        <v>3715</v>
      </c>
      <c r="R249" s="297"/>
      <c r="S249" s="297"/>
      <c r="T249" s="297"/>
      <c r="U249" s="297"/>
    </row>
    <row r="250" spans="1:21" s="305" customFormat="1">
      <c r="A250" s="662" t="s">
        <v>3709</v>
      </c>
      <c r="B250" s="1286" t="s">
        <v>573</v>
      </c>
      <c r="C250" s="1280" t="s">
        <v>686</v>
      </c>
      <c r="D250" s="1281"/>
      <c r="E250" s="1851">
        <v>139.5</v>
      </c>
      <c r="F250" s="663" t="s">
        <v>844</v>
      </c>
      <c r="G250" s="663"/>
      <c r="H250" s="664">
        <v>2</v>
      </c>
      <c r="I250" s="666" t="s">
        <v>1803</v>
      </c>
      <c r="J250" s="292"/>
      <c r="K250" s="292"/>
      <c r="L250" s="666">
        <v>239</v>
      </c>
      <c r="M250" s="664">
        <f t="shared" si="16"/>
        <v>99.5</v>
      </c>
      <c r="N250" s="667">
        <v>5</v>
      </c>
      <c r="O250" s="1856" t="s">
        <v>3880</v>
      </c>
      <c r="P250" s="297"/>
      <c r="Q250" s="1856" t="s">
        <v>3715</v>
      </c>
      <c r="R250" s="297"/>
      <c r="S250" s="297"/>
      <c r="T250" s="297"/>
      <c r="U250" s="297"/>
    </row>
    <row r="251" spans="1:21" s="305" customFormat="1">
      <c r="A251" s="662" t="s">
        <v>3710</v>
      </c>
      <c r="B251" s="1286" t="s">
        <v>573</v>
      </c>
      <c r="C251" s="1280" t="s">
        <v>686</v>
      </c>
      <c r="D251" s="1281"/>
      <c r="E251" s="1851">
        <v>162.5</v>
      </c>
      <c r="F251" s="663" t="s">
        <v>844</v>
      </c>
      <c r="G251" s="663"/>
      <c r="H251" s="664">
        <v>2</v>
      </c>
      <c r="I251" s="666" t="s">
        <v>1803</v>
      </c>
      <c r="J251" s="292"/>
      <c r="K251" s="292"/>
      <c r="L251" s="666">
        <v>285</v>
      </c>
      <c r="M251" s="664">
        <f t="shared" si="16"/>
        <v>122.5</v>
      </c>
      <c r="N251" s="667">
        <v>5</v>
      </c>
      <c r="O251" s="1856" t="s">
        <v>3880</v>
      </c>
      <c r="P251" s="297"/>
      <c r="Q251" s="1856" t="s">
        <v>3715</v>
      </c>
      <c r="R251" s="297"/>
      <c r="S251" s="297"/>
      <c r="T251" s="297"/>
      <c r="U251" s="297"/>
    </row>
    <row r="252" spans="1:21" s="305" customFormat="1">
      <c r="A252" s="662" t="s">
        <v>3711</v>
      </c>
      <c r="B252" s="1286" t="s">
        <v>573</v>
      </c>
      <c r="C252" s="1280" t="s">
        <v>686</v>
      </c>
      <c r="D252" s="1281"/>
      <c r="E252" s="1851">
        <v>149.5</v>
      </c>
      <c r="F252" s="663" t="s">
        <v>844</v>
      </c>
      <c r="G252" s="663"/>
      <c r="H252" s="664">
        <v>2</v>
      </c>
      <c r="I252" s="666" t="s">
        <v>1803</v>
      </c>
      <c r="J252" s="292"/>
      <c r="K252" s="292"/>
      <c r="L252" s="666">
        <v>259</v>
      </c>
      <c r="M252" s="664">
        <f t="shared" si="16"/>
        <v>109.5</v>
      </c>
      <c r="N252" s="667">
        <v>5</v>
      </c>
      <c r="O252" s="1856" t="s">
        <v>3880</v>
      </c>
      <c r="P252" s="297"/>
      <c r="Q252" s="1856" t="s">
        <v>3715</v>
      </c>
      <c r="R252" s="297"/>
      <c r="S252" s="297"/>
      <c r="T252" s="297"/>
      <c r="U252" s="297"/>
    </row>
    <row r="253" spans="1:21" s="305" customFormat="1">
      <c r="A253" s="662" t="s">
        <v>3713</v>
      </c>
      <c r="B253" s="1286" t="s">
        <v>573</v>
      </c>
      <c r="C253" s="1280" t="s">
        <v>686</v>
      </c>
      <c r="D253" s="1281"/>
      <c r="E253" s="1851">
        <v>174.5</v>
      </c>
      <c r="F253" s="663" t="s">
        <v>844</v>
      </c>
      <c r="G253" s="663"/>
      <c r="H253" s="664">
        <v>2</v>
      </c>
      <c r="I253" s="666" t="s">
        <v>1803</v>
      </c>
      <c r="J253" s="292"/>
      <c r="K253" s="292"/>
      <c r="L253" s="666">
        <v>299</v>
      </c>
      <c r="M253" s="664">
        <f t="shared" si="16"/>
        <v>124.5</v>
      </c>
      <c r="N253" s="667">
        <v>5</v>
      </c>
      <c r="O253" s="1856" t="s">
        <v>3880</v>
      </c>
      <c r="P253" s="297"/>
      <c r="Q253" s="1856" t="s">
        <v>3715</v>
      </c>
      <c r="R253" s="297"/>
      <c r="S253" s="297"/>
      <c r="T253" s="297"/>
      <c r="U253" s="297"/>
    </row>
    <row r="254" spans="1:21" s="305" customFormat="1">
      <c r="A254" s="662" t="s">
        <v>3712</v>
      </c>
      <c r="B254" s="1286" t="s">
        <v>573</v>
      </c>
      <c r="C254" s="1280" t="s">
        <v>686</v>
      </c>
      <c r="D254" s="1281"/>
      <c r="E254" s="1851">
        <v>299.5</v>
      </c>
      <c r="F254" s="663" t="s">
        <v>844</v>
      </c>
      <c r="G254" s="663"/>
      <c r="H254" s="664">
        <v>2</v>
      </c>
      <c r="I254" s="666" t="s">
        <v>1803</v>
      </c>
      <c r="J254" s="292"/>
      <c r="K254" s="292"/>
      <c r="L254" s="666">
        <v>559</v>
      </c>
      <c r="M254" s="664">
        <f t="shared" si="16"/>
        <v>259.5</v>
      </c>
      <c r="N254" s="667">
        <v>5</v>
      </c>
      <c r="O254" s="1856" t="s">
        <v>3880</v>
      </c>
      <c r="P254" s="297"/>
      <c r="Q254" s="1856" t="s">
        <v>3715</v>
      </c>
      <c r="R254" s="297"/>
      <c r="S254" s="297"/>
      <c r="T254" s="297"/>
      <c r="U254" s="297"/>
    </row>
    <row r="255" spans="1:21" s="305" customFormat="1">
      <c r="A255" s="662" t="s">
        <v>3861</v>
      </c>
      <c r="B255" s="2397" t="s">
        <v>575</v>
      </c>
      <c r="C255" s="1280" t="s">
        <v>2565</v>
      </c>
      <c r="D255" s="1312"/>
      <c r="E255" s="1851">
        <v>53.5</v>
      </c>
      <c r="F255" s="1858" t="s">
        <v>2702</v>
      </c>
      <c r="G255" s="288"/>
      <c r="H255" s="283"/>
      <c r="I255" s="665" t="s">
        <v>3866</v>
      </c>
      <c r="J255" s="292"/>
      <c r="K255" s="2414" t="s">
        <v>2703</v>
      </c>
      <c r="L255" s="666">
        <v>87</v>
      </c>
      <c r="M255" s="664">
        <f t="shared" si="16"/>
        <v>33.5</v>
      </c>
      <c r="N255" s="667">
        <v>8</v>
      </c>
      <c r="O255" s="1856" t="s">
        <v>4281</v>
      </c>
      <c r="P255" s="297"/>
      <c r="Q255" s="2403" t="s">
        <v>3870</v>
      </c>
      <c r="R255" s="648"/>
      <c r="S255" s="297" t="s">
        <v>2704</v>
      </c>
      <c r="T255" s="297"/>
      <c r="U255" s="2415" t="s">
        <v>3871</v>
      </c>
    </row>
    <row r="256" spans="1:21" s="305" customFormat="1">
      <c r="A256" s="662" t="s">
        <v>3862</v>
      </c>
      <c r="B256" s="2397" t="s">
        <v>575</v>
      </c>
      <c r="C256" s="1280" t="s">
        <v>2565</v>
      </c>
      <c r="D256" s="1312"/>
      <c r="E256" s="1851">
        <v>62</v>
      </c>
      <c r="F256" s="1858" t="s">
        <v>2702</v>
      </c>
      <c r="G256" s="288"/>
      <c r="H256" s="283"/>
      <c r="I256" s="665" t="s">
        <v>3866</v>
      </c>
      <c r="J256" s="292"/>
      <c r="K256" s="2414" t="s">
        <v>2703</v>
      </c>
      <c r="L256" s="666">
        <v>98</v>
      </c>
      <c r="M256" s="664">
        <f t="shared" si="16"/>
        <v>36</v>
      </c>
      <c r="N256" s="667">
        <v>8</v>
      </c>
      <c r="O256" s="1856" t="s">
        <v>4281</v>
      </c>
      <c r="P256" s="297"/>
      <c r="Q256" s="2403" t="s">
        <v>3870</v>
      </c>
      <c r="R256" s="648"/>
      <c r="S256" s="297" t="s">
        <v>2704</v>
      </c>
      <c r="T256" s="297"/>
      <c r="U256" s="2415" t="s">
        <v>3871</v>
      </c>
    </row>
    <row r="257" spans="1:21" s="305" customFormat="1">
      <c r="A257" s="662" t="s">
        <v>3863</v>
      </c>
      <c r="B257" s="2397" t="s">
        <v>575</v>
      </c>
      <c r="C257" s="1280" t="s">
        <v>2565</v>
      </c>
      <c r="D257" s="1312"/>
      <c r="E257" s="1851">
        <v>75</v>
      </c>
      <c r="F257" s="1858" t="s">
        <v>2702</v>
      </c>
      <c r="G257" s="288"/>
      <c r="H257" s="283"/>
      <c r="I257" s="665" t="s">
        <v>3866</v>
      </c>
      <c r="J257" s="292"/>
      <c r="K257" s="2414" t="s">
        <v>2703</v>
      </c>
      <c r="L257" s="666">
        <v>115</v>
      </c>
      <c r="M257" s="664">
        <f t="shared" si="16"/>
        <v>40</v>
      </c>
      <c r="N257" s="667">
        <v>8</v>
      </c>
      <c r="O257" s="1856" t="s">
        <v>4281</v>
      </c>
      <c r="P257" s="297"/>
      <c r="Q257" s="2403" t="s">
        <v>3870</v>
      </c>
      <c r="R257" s="648"/>
      <c r="S257" s="297" t="s">
        <v>2704</v>
      </c>
      <c r="T257" s="297"/>
      <c r="U257" s="2415" t="s">
        <v>3871</v>
      </c>
    </row>
    <row r="258" spans="1:21" s="305" customFormat="1">
      <c r="A258" s="662" t="s">
        <v>3864</v>
      </c>
      <c r="B258" s="2397" t="s">
        <v>575</v>
      </c>
      <c r="C258" s="1280" t="s">
        <v>2565</v>
      </c>
      <c r="D258" s="1312"/>
      <c r="E258" s="1851">
        <v>83.5</v>
      </c>
      <c r="F258" s="1858" t="s">
        <v>2702</v>
      </c>
      <c r="G258" s="288"/>
      <c r="H258" s="283"/>
      <c r="I258" s="665" t="s">
        <v>3866</v>
      </c>
      <c r="J258" s="292"/>
      <c r="K258" s="2414" t="s">
        <v>2703</v>
      </c>
      <c r="L258" s="666">
        <v>126</v>
      </c>
      <c r="M258" s="664">
        <f t="shared" si="16"/>
        <v>42.5</v>
      </c>
      <c r="N258" s="667">
        <v>8</v>
      </c>
      <c r="O258" s="1856" t="s">
        <v>4281</v>
      </c>
      <c r="P258" s="297"/>
      <c r="Q258" s="2403" t="s">
        <v>3870</v>
      </c>
      <c r="R258" s="648"/>
      <c r="S258" s="297" t="s">
        <v>2704</v>
      </c>
      <c r="T258" s="297"/>
      <c r="U258" s="2415" t="s">
        <v>3871</v>
      </c>
    </row>
    <row r="259" spans="1:21" s="305" customFormat="1">
      <c r="A259" s="662" t="s">
        <v>3867</v>
      </c>
      <c r="B259" s="2397" t="s">
        <v>575</v>
      </c>
      <c r="C259" s="1280" t="s">
        <v>2565</v>
      </c>
      <c r="D259" s="1312"/>
      <c r="E259" s="1851" t="s">
        <v>3868</v>
      </c>
      <c r="F259" s="1858" t="s">
        <v>2702</v>
      </c>
      <c r="G259" s="288"/>
      <c r="H259" s="283"/>
      <c r="I259" s="665" t="s">
        <v>3869</v>
      </c>
      <c r="J259" s="292"/>
      <c r="K259" s="2414" t="s">
        <v>2703</v>
      </c>
      <c r="L259" s="666">
        <v>151</v>
      </c>
      <c r="M259" s="664">
        <v>52</v>
      </c>
      <c r="N259" s="667">
        <v>8</v>
      </c>
      <c r="O259" s="1856" t="s">
        <v>4281</v>
      </c>
      <c r="P259" s="297"/>
      <c r="Q259" s="2403" t="s">
        <v>3870</v>
      </c>
      <c r="R259" s="648"/>
      <c r="S259" s="297" t="s">
        <v>2704</v>
      </c>
      <c r="T259" s="297"/>
      <c r="U259" s="2415" t="s">
        <v>3871</v>
      </c>
    </row>
    <row r="260" spans="1:21" s="305" customFormat="1">
      <c r="A260" s="662" t="s">
        <v>3865</v>
      </c>
      <c r="B260" s="2397" t="s">
        <v>575</v>
      </c>
      <c r="C260" s="1280" t="s">
        <v>2565</v>
      </c>
      <c r="D260" s="1312"/>
      <c r="E260" s="1851">
        <v>81</v>
      </c>
      <c r="F260" s="1858" t="s">
        <v>2702</v>
      </c>
      <c r="G260" s="288"/>
      <c r="H260" s="283"/>
      <c r="I260" s="665" t="s">
        <v>3866</v>
      </c>
      <c r="J260" s="292"/>
      <c r="K260" s="2414" t="s">
        <v>2703</v>
      </c>
      <c r="L260" s="666">
        <v>122</v>
      </c>
      <c r="M260" s="664">
        <f>L260-E260</f>
        <v>41</v>
      </c>
      <c r="N260" s="667">
        <v>8</v>
      </c>
      <c r="O260" s="1856" t="s">
        <v>4281</v>
      </c>
      <c r="P260" s="297"/>
      <c r="Q260" s="2403" t="s">
        <v>3870</v>
      </c>
      <c r="R260" s="648"/>
      <c r="S260" s="297" t="s">
        <v>2704</v>
      </c>
      <c r="T260" s="297"/>
      <c r="U260" s="2415" t="s">
        <v>3871</v>
      </c>
    </row>
    <row r="261" spans="1:21" s="305" customFormat="1">
      <c r="A261" s="662" t="s">
        <v>3700</v>
      </c>
      <c r="B261" s="2397" t="s">
        <v>575</v>
      </c>
      <c r="C261" s="1280" t="s">
        <v>235</v>
      </c>
      <c r="D261" s="1281"/>
      <c r="E261" s="1851">
        <v>110</v>
      </c>
      <c r="F261" s="663" t="s">
        <v>893</v>
      </c>
      <c r="G261" s="663" t="s">
        <v>3708</v>
      </c>
      <c r="H261" s="664">
        <v>2</v>
      </c>
      <c r="I261" s="666" t="s">
        <v>1803</v>
      </c>
      <c r="J261" s="292"/>
      <c r="K261" s="292"/>
      <c r="L261" s="666">
        <v>146</v>
      </c>
      <c r="M261" s="664">
        <v>25</v>
      </c>
      <c r="N261" s="2398">
        <v>5.5</v>
      </c>
      <c r="O261" s="671" t="s">
        <v>572</v>
      </c>
    </row>
    <row r="262" spans="1:21" s="305" customFormat="1">
      <c r="A262" s="662" t="s">
        <v>3700</v>
      </c>
      <c r="B262" s="2397" t="s">
        <v>575</v>
      </c>
      <c r="C262" s="1280" t="s">
        <v>235</v>
      </c>
      <c r="D262" s="1281"/>
      <c r="E262" s="1851">
        <v>88</v>
      </c>
      <c r="F262" s="663" t="s">
        <v>1785</v>
      </c>
      <c r="G262" s="663" t="s">
        <v>3701</v>
      </c>
      <c r="H262" s="664">
        <v>2</v>
      </c>
      <c r="I262" s="666" t="s">
        <v>1803</v>
      </c>
      <c r="J262" s="292"/>
      <c r="K262" s="292"/>
      <c r="L262" s="666">
        <v>125</v>
      </c>
      <c r="M262" s="664">
        <v>25</v>
      </c>
      <c r="N262" s="2398">
        <v>5.5</v>
      </c>
      <c r="O262" s="671" t="s">
        <v>572</v>
      </c>
    </row>
    <row r="263" spans="1:21" s="305" customFormat="1">
      <c r="A263" s="662" t="s">
        <v>3705</v>
      </c>
      <c r="B263" s="2397" t="s">
        <v>575</v>
      </c>
      <c r="C263" s="1280" t="s">
        <v>235</v>
      </c>
      <c r="D263" s="1281"/>
      <c r="E263" s="2399" t="s">
        <v>719</v>
      </c>
      <c r="F263" s="663" t="s">
        <v>1786</v>
      </c>
      <c r="G263" s="663" t="s">
        <v>3701</v>
      </c>
      <c r="H263" s="664">
        <v>2</v>
      </c>
      <c r="I263" s="666" t="s">
        <v>1803</v>
      </c>
      <c r="J263" s="292"/>
      <c r="K263" s="292"/>
      <c r="L263" s="666"/>
      <c r="M263" s="283"/>
      <c r="N263" s="2398"/>
      <c r="O263" s="671" t="s">
        <v>572</v>
      </c>
    </row>
    <row r="264" spans="1:21" s="305" customFormat="1">
      <c r="A264" s="662" t="s">
        <v>3702</v>
      </c>
      <c r="B264" s="2397" t="s">
        <v>575</v>
      </c>
      <c r="C264" s="1280" t="s">
        <v>235</v>
      </c>
      <c r="D264" s="1281"/>
      <c r="E264" s="1851">
        <v>120</v>
      </c>
      <c r="F264" s="663" t="s">
        <v>893</v>
      </c>
      <c r="G264" s="663" t="s">
        <v>3701</v>
      </c>
      <c r="H264" s="664">
        <v>2</v>
      </c>
      <c r="I264" s="666" t="s">
        <v>1803</v>
      </c>
      <c r="J264" s="292"/>
      <c r="K264" s="292"/>
      <c r="L264" s="666">
        <v>158</v>
      </c>
      <c r="M264" s="664">
        <v>25</v>
      </c>
      <c r="N264" s="2398">
        <v>5.5</v>
      </c>
      <c r="O264" s="671" t="s">
        <v>572</v>
      </c>
    </row>
    <row r="265" spans="1:21" s="305" customFormat="1">
      <c r="A265" s="662" t="s">
        <v>3702</v>
      </c>
      <c r="B265" s="2397" t="s">
        <v>575</v>
      </c>
      <c r="C265" s="1280" t="s">
        <v>235</v>
      </c>
      <c r="D265" s="1281"/>
      <c r="E265" s="1851">
        <v>98</v>
      </c>
      <c r="F265" s="663" t="s">
        <v>1785</v>
      </c>
      <c r="G265" s="663" t="s">
        <v>3701</v>
      </c>
      <c r="H265" s="664">
        <v>2</v>
      </c>
      <c r="I265" s="666" t="s">
        <v>1803</v>
      </c>
      <c r="J265" s="292"/>
      <c r="K265" s="292"/>
      <c r="L265" s="666">
        <v>135</v>
      </c>
      <c r="M265" s="664">
        <v>25</v>
      </c>
      <c r="N265" s="2398">
        <v>5.5</v>
      </c>
      <c r="O265" s="671" t="s">
        <v>572</v>
      </c>
    </row>
    <row r="266" spans="1:21" s="305" customFormat="1">
      <c r="A266" s="662" t="s">
        <v>3703</v>
      </c>
      <c r="B266" s="2397" t="s">
        <v>575</v>
      </c>
      <c r="C266" s="1280" t="s">
        <v>235</v>
      </c>
      <c r="D266" s="1281"/>
      <c r="E266" s="1851">
        <v>155</v>
      </c>
      <c r="F266" s="663" t="s">
        <v>893</v>
      </c>
      <c r="G266" s="663" t="s">
        <v>3701</v>
      </c>
      <c r="H266" s="664">
        <v>2</v>
      </c>
      <c r="I266" s="666" t="s">
        <v>1803</v>
      </c>
      <c r="J266" s="292"/>
      <c r="K266" s="292"/>
      <c r="L266" s="666">
        <v>190</v>
      </c>
      <c r="M266" s="664">
        <v>25</v>
      </c>
      <c r="N266" s="2398">
        <v>5.5</v>
      </c>
      <c r="O266" s="671" t="s">
        <v>572</v>
      </c>
    </row>
    <row r="267" spans="1:21" s="305" customFormat="1">
      <c r="A267" s="662" t="s">
        <v>3703</v>
      </c>
      <c r="B267" s="2397" t="s">
        <v>575</v>
      </c>
      <c r="C267" s="1280" t="s">
        <v>235</v>
      </c>
      <c r="D267" s="1281"/>
      <c r="E267" s="1851">
        <v>115</v>
      </c>
      <c r="F267" s="663" t="s">
        <v>1785</v>
      </c>
      <c r="G267" s="663" t="s">
        <v>3701</v>
      </c>
      <c r="H267" s="664">
        <v>2</v>
      </c>
      <c r="I267" s="666" t="s">
        <v>1803</v>
      </c>
      <c r="J267" s="292"/>
      <c r="K267" s="292"/>
      <c r="L267" s="666">
        <v>145</v>
      </c>
      <c r="M267" s="664">
        <v>25</v>
      </c>
      <c r="N267" s="2398">
        <v>5.5</v>
      </c>
      <c r="O267" s="671" t="s">
        <v>572</v>
      </c>
    </row>
    <row r="268" spans="1:21" s="305" customFormat="1">
      <c r="A268" s="662" t="s">
        <v>3704</v>
      </c>
      <c r="B268" s="2397" t="s">
        <v>575</v>
      </c>
      <c r="C268" s="1280" t="s">
        <v>235</v>
      </c>
      <c r="D268" s="1281"/>
      <c r="E268" s="1851">
        <v>160</v>
      </c>
      <c r="F268" s="663" t="s">
        <v>893</v>
      </c>
      <c r="G268" s="663" t="s">
        <v>3701</v>
      </c>
      <c r="H268" s="664">
        <v>2</v>
      </c>
      <c r="I268" s="666" t="s">
        <v>1803</v>
      </c>
      <c r="J268" s="292"/>
      <c r="K268" s="292"/>
      <c r="L268" s="666">
        <v>275</v>
      </c>
      <c r="M268" s="664">
        <v>55</v>
      </c>
      <c r="N268" s="2398">
        <v>5.5</v>
      </c>
      <c r="O268" s="671" t="s">
        <v>572</v>
      </c>
    </row>
    <row r="269" spans="1:21" s="305" customFormat="1">
      <c r="A269" s="662" t="s">
        <v>3704</v>
      </c>
      <c r="B269" s="2397" t="s">
        <v>575</v>
      </c>
      <c r="C269" s="1280" t="s">
        <v>235</v>
      </c>
      <c r="D269" s="1281"/>
      <c r="E269" s="1851">
        <v>140</v>
      </c>
      <c r="F269" s="663" t="s">
        <v>1785</v>
      </c>
      <c r="G269" s="663" t="s">
        <v>3701</v>
      </c>
      <c r="H269" s="664">
        <v>2</v>
      </c>
      <c r="I269" s="666" t="s">
        <v>1803</v>
      </c>
      <c r="J269" s="292"/>
      <c r="K269" s="292"/>
      <c r="L269" s="666">
        <v>245</v>
      </c>
      <c r="M269" s="664">
        <v>55</v>
      </c>
      <c r="N269" s="2398">
        <v>5.5</v>
      </c>
      <c r="O269" s="671" t="s">
        <v>572</v>
      </c>
    </row>
    <row r="270" spans="1:21" s="305" customFormat="1">
      <c r="A270" s="662" t="s">
        <v>3706</v>
      </c>
      <c r="B270" s="2397" t="s">
        <v>575</v>
      </c>
      <c r="C270" s="1280" t="s">
        <v>235</v>
      </c>
      <c r="D270" s="1281"/>
      <c r="E270" s="1851">
        <v>175</v>
      </c>
      <c r="F270" s="663" t="s">
        <v>893</v>
      </c>
      <c r="G270" s="663" t="s">
        <v>3701</v>
      </c>
      <c r="H270" s="664">
        <v>2</v>
      </c>
      <c r="I270" s="666" t="s">
        <v>1803</v>
      </c>
      <c r="J270" s="292"/>
      <c r="K270" s="292"/>
      <c r="L270" s="666">
        <v>320</v>
      </c>
      <c r="M270" s="664">
        <v>90</v>
      </c>
      <c r="N270" s="2398">
        <v>5.5</v>
      </c>
      <c r="O270" s="671" t="s">
        <v>572</v>
      </c>
    </row>
    <row r="271" spans="1:21" s="305" customFormat="1">
      <c r="A271" s="662" t="s">
        <v>3706</v>
      </c>
      <c r="B271" s="2397" t="s">
        <v>575</v>
      </c>
      <c r="C271" s="1280" t="s">
        <v>235</v>
      </c>
      <c r="D271" s="1281"/>
      <c r="E271" s="1851">
        <v>170</v>
      </c>
      <c r="F271" s="663" t="s">
        <v>1785</v>
      </c>
      <c r="G271" s="663" t="s">
        <v>3701</v>
      </c>
      <c r="H271" s="664">
        <v>2</v>
      </c>
      <c r="I271" s="666" t="s">
        <v>1803</v>
      </c>
      <c r="J271" s="292"/>
      <c r="K271" s="292"/>
      <c r="L271" s="666">
        <v>320</v>
      </c>
      <c r="M271" s="664">
        <v>90</v>
      </c>
      <c r="N271" s="2398">
        <v>5.5</v>
      </c>
      <c r="O271" s="671" t="s">
        <v>572</v>
      </c>
    </row>
    <row r="272" spans="1:21" s="305" customFormat="1">
      <c r="A272" s="662" t="s">
        <v>3707</v>
      </c>
      <c r="B272" s="2397" t="s">
        <v>575</v>
      </c>
      <c r="C272" s="1280" t="s">
        <v>235</v>
      </c>
      <c r="D272" s="1281"/>
      <c r="E272" s="1851">
        <v>170</v>
      </c>
      <c r="F272" s="663" t="s">
        <v>893</v>
      </c>
      <c r="G272" s="663" t="s">
        <v>3701</v>
      </c>
      <c r="H272" s="664">
        <v>2</v>
      </c>
      <c r="I272" s="666" t="s">
        <v>1803</v>
      </c>
      <c r="J272" s="292"/>
      <c r="K272" s="292"/>
      <c r="L272" s="666">
        <v>320</v>
      </c>
      <c r="M272" s="664">
        <v>90</v>
      </c>
      <c r="N272" s="2398">
        <v>5.5</v>
      </c>
      <c r="O272" s="671" t="s">
        <v>572</v>
      </c>
    </row>
    <row r="273" spans="1:21" s="305" customFormat="1">
      <c r="A273" s="662" t="s">
        <v>3707</v>
      </c>
      <c r="B273" s="2397" t="s">
        <v>575</v>
      </c>
      <c r="C273" s="1280" t="s">
        <v>235</v>
      </c>
      <c r="D273" s="1281"/>
      <c r="E273" s="1851">
        <v>160</v>
      </c>
      <c r="F273" s="663" t="s">
        <v>1785</v>
      </c>
      <c r="G273" s="663" t="s">
        <v>3701</v>
      </c>
      <c r="H273" s="664">
        <v>2</v>
      </c>
      <c r="I273" s="666" t="s">
        <v>1803</v>
      </c>
      <c r="J273" s="292"/>
      <c r="K273" s="292"/>
      <c r="L273" s="666">
        <v>275</v>
      </c>
      <c r="M273" s="664">
        <v>55</v>
      </c>
      <c r="N273" s="2398">
        <v>5.5</v>
      </c>
      <c r="O273" s="671" t="s">
        <v>572</v>
      </c>
    </row>
    <row r="274" spans="1:21" s="305" customFormat="1">
      <c r="A274" s="662" t="s">
        <v>3958</v>
      </c>
      <c r="B274" s="2397" t="s">
        <v>576</v>
      </c>
      <c r="C274" s="1280" t="s">
        <v>209</v>
      </c>
      <c r="D274" s="1281"/>
      <c r="E274" s="1851">
        <v>74.5</v>
      </c>
      <c r="F274" s="663"/>
      <c r="G274" s="663"/>
      <c r="H274" s="664"/>
      <c r="I274" s="666"/>
      <c r="J274" s="292"/>
      <c r="K274" s="292"/>
      <c r="L274" s="666">
        <v>119</v>
      </c>
      <c r="M274" s="664">
        <f>L274-E274</f>
        <v>44.5</v>
      </c>
      <c r="N274" s="667">
        <v>4</v>
      </c>
      <c r="O274" s="1856" t="s">
        <v>3880</v>
      </c>
      <c r="Q274" s="2404" t="s">
        <v>3953</v>
      </c>
    </row>
    <row r="275" spans="1:21" s="456" customFormat="1">
      <c r="A275" s="662" t="s">
        <v>2380</v>
      </c>
      <c r="B275" s="2397" t="s">
        <v>576</v>
      </c>
      <c r="C275" s="1280" t="s">
        <v>209</v>
      </c>
      <c r="D275" s="1281"/>
      <c r="E275" s="1851">
        <v>79.5</v>
      </c>
      <c r="F275" s="681"/>
      <c r="G275" s="681"/>
      <c r="H275" s="683"/>
      <c r="I275" s="689"/>
      <c r="J275" s="685"/>
      <c r="K275" s="685"/>
      <c r="L275" s="666">
        <v>129</v>
      </c>
      <c r="M275" s="664">
        <f>L275-E275</f>
        <v>49.5</v>
      </c>
      <c r="N275" s="706">
        <v>4</v>
      </c>
      <c r="O275" s="1856" t="s">
        <v>3880</v>
      </c>
      <c r="P275" s="479"/>
      <c r="Q275" s="2404" t="s">
        <v>3953</v>
      </c>
      <c r="R275" s="479"/>
      <c r="S275" s="479"/>
      <c r="T275" s="479"/>
      <c r="U275" s="479"/>
    </row>
    <row r="276" spans="1:21" s="456" customFormat="1">
      <c r="A276" s="2530" t="s">
        <v>4171</v>
      </c>
      <c r="B276" s="2397" t="s">
        <v>1439</v>
      </c>
      <c r="C276" s="1280" t="s">
        <v>1438</v>
      </c>
      <c r="D276" s="1281"/>
      <c r="E276" s="1851">
        <v>92.5</v>
      </c>
      <c r="F276" s="275" t="s">
        <v>4633</v>
      </c>
      <c r="G276" s="663" t="s">
        <v>4173</v>
      </c>
      <c r="H276" s="683"/>
      <c r="I276" s="2530" t="s">
        <v>4686</v>
      </c>
      <c r="J276" s="685"/>
      <c r="K276" s="685"/>
      <c r="L276" s="666">
        <v>122</v>
      </c>
      <c r="M276" s="664">
        <f>L276-E276</f>
        <v>29.5</v>
      </c>
      <c r="N276" s="667">
        <v>3</v>
      </c>
      <c r="O276" s="1856" t="s">
        <v>3880</v>
      </c>
      <c r="P276" s="479"/>
      <c r="Q276" s="2404" t="s">
        <v>4174</v>
      </c>
      <c r="R276" s="479"/>
      <c r="S276" s="2403" t="s">
        <v>4175</v>
      </c>
      <c r="T276" s="479"/>
      <c r="U276" s="479"/>
    </row>
    <row r="277" spans="1:21" s="456" customFormat="1">
      <c r="A277" s="2530" t="s">
        <v>4685</v>
      </c>
      <c r="B277" s="2397" t="s">
        <v>1439</v>
      </c>
      <c r="C277" s="1280" t="s">
        <v>1438</v>
      </c>
      <c r="D277" s="1281"/>
      <c r="E277" s="1851">
        <v>97.5</v>
      </c>
      <c r="F277" s="2509" t="s">
        <v>4633</v>
      </c>
      <c r="G277" s="663" t="s">
        <v>4173</v>
      </c>
      <c r="H277" s="683"/>
      <c r="I277" s="2530" t="s">
        <v>4687</v>
      </c>
      <c r="J277" s="685"/>
      <c r="K277" s="685"/>
      <c r="L277" s="666">
        <v>132</v>
      </c>
      <c r="M277" s="664">
        <f>L277-E277</f>
        <v>34.5</v>
      </c>
      <c r="N277" s="667">
        <v>3</v>
      </c>
      <c r="O277" s="1856" t="s">
        <v>3880</v>
      </c>
      <c r="P277" s="479"/>
      <c r="Q277" s="2404" t="s">
        <v>4174</v>
      </c>
      <c r="R277" s="479"/>
      <c r="S277" s="2403" t="s">
        <v>4175</v>
      </c>
      <c r="T277" s="479"/>
      <c r="U277" s="479"/>
    </row>
    <row r="278" spans="1:21" s="456" customFormat="1">
      <c r="A278" s="2530" t="s">
        <v>4172</v>
      </c>
      <c r="B278" s="2397" t="s">
        <v>1439</v>
      </c>
      <c r="C278" s="1280" t="s">
        <v>1438</v>
      </c>
      <c r="D278" s="1274"/>
      <c r="E278" s="1851">
        <v>146.25</v>
      </c>
      <c r="F278" s="663" t="s">
        <v>4634</v>
      </c>
      <c r="G278" s="663" t="s">
        <v>4173</v>
      </c>
      <c r="H278" s="683"/>
      <c r="I278" s="689" t="s">
        <v>1298</v>
      </c>
      <c r="J278" s="685"/>
      <c r="K278" s="685"/>
      <c r="L278" s="666">
        <v>198</v>
      </c>
      <c r="M278" s="664">
        <f>L278-E278</f>
        <v>51.75</v>
      </c>
      <c r="N278" s="667">
        <v>3</v>
      </c>
      <c r="O278" s="1856" t="s">
        <v>3880</v>
      </c>
      <c r="P278" s="479"/>
      <c r="Q278" s="2404" t="s">
        <v>4174</v>
      </c>
      <c r="R278" s="479"/>
      <c r="S278" s="2403" t="s">
        <v>4175</v>
      </c>
      <c r="T278" s="479"/>
      <c r="U278" s="479"/>
    </row>
    <row r="279" spans="1:21" s="305" customFormat="1">
      <c r="A279" s="1315"/>
      <c r="B279" s="1392" t="s">
        <v>774</v>
      </c>
      <c r="C279" s="1316" t="s">
        <v>1595</v>
      </c>
      <c r="D279" s="1312"/>
      <c r="E279" s="1255">
        <v>51</v>
      </c>
      <c r="F279" s="288" t="s">
        <v>2856</v>
      </c>
      <c r="G279" s="288"/>
      <c r="H279" s="683">
        <v>2</v>
      </c>
      <c r="I279" s="689" t="s">
        <v>206</v>
      </c>
      <c r="J279" s="685"/>
      <c r="K279" s="685"/>
      <c r="L279" s="685">
        <v>61</v>
      </c>
      <c r="M279" s="683">
        <v>10</v>
      </c>
      <c r="N279" s="706"/>
      <c r="O279" s="648"/>
      <c r="P279" s="297"/>
      <c r="Q279" s="297"/>
      <c r="R279" s="297"/>
      <c r="S279" s="297"/>
      <c r="T279" s="297"/>
      <c r="U279" s="297"/>
    </row>
    <row r="280" spans="1:21" s="305" customFormat="1">
      <c r="A280" s="662" t="s">
        <v>4112</v>
      </c>
      <c r="B280" s="2397" t="s">
        <v>2208</v>
      </c>
      <c r="C280" s="1280" t="s">
        <v>2209</v>
      </c>
      <c r="D280" s="1312"/>
      <c r="E280" s="1851">
        <v>42</v>
      </c>
      <c r="F280" s="288"/>
      <c r="G280" s="288"/>
      <c r="H280" s="664">
        <v>1.9</v>
      </c>
      <c r="I280" s="666" t="s">
        <v>1803</v>
      </c>
      <c r="J280" s="292"/>
      <c r="K280" s="292"/>
      <c r="L280" s="666">
        <f>M280+E280</f>
        <v>72</v>
      </c>
      <c r="M280" s="664">
        <v>30</v>
      </c>
      <c r="N280" s="667">
        <v>9.5</v>
      </c>
      <c r="O280" s="1856" t="s">
        <v>4115</v>
      </c>
      <c r="P280" s="297"/>
      <c r="Q280" s="2403" t="s">
        <v>4011</v>
      </c>
      <c r="R280" s="297"/>
      <c r="S280" s="2403" t="s">
        <v>4116</v>
      </c>
      <c r="T280" s="297"/>
      <c r="U280" s="297"/>
    </row>
    <row r="281" spans="1:21" s="305" customFormat="1">
      <c r="A281" s="662" t="s">
        <v>4113</v>
      </c>
      <c r="B281" s="2397" t="s">
        <v>2208</v>
      </c>
      <c r="C281" s="1280" t="s">
        <v>2209</v>
      </c>
      <c r="D281" s="1312"/>
      <c r="E281" s="1851">
        <v>60</v>
      </c>
      <c r="F281" s="288"/>
      <c r="G281" s="288"/>
      <c r="H281" s="664">
        <v>1.9</v>
      </c>
      <c r="I281" s="666" t="s">
        <v>1803</v>
      </c>
      <c r="J281" s="292"/>
      <c r="K281" s="292"/>
      <c r="L281" s="666">
        <f>M281+E281</f>
        <v>90</v>
      </c>
      <c r="M281" s="664">
        <v>30</v>
      </c>
      <c r="N281" s="667">
        <v>9.5</v>
      </c>
      <c r="O281" s="1856" t="s">
        <v>4115</v>
      </c>
      <c r="P281" s="297"/>
      <c r="Q281" s="2403" t="s">
        <v>4011</v>
      </c>
      <c r="R281" s="297"/>
      <c r="S281" s="2403" t="s">
        <v>4116</v>
      </c>
      <c r="T281" s="297"/>
      <c r="U281" s="297"/>
    </row>
    <row r="282" spans="1:21" s="305" customFormat="1">
      <c r="A282" s="662" t="s">
        <v>4114</v>
      </c>
      <c r="B282" s="2397" t="s">
        <v>2208</v>
      </c>
      <c r="C282" s="1280" t="s">
        <v>2209</v>
      </c>
      <c r="D282" s="1312"/>
      <c r="E282" s="1851">
        <v>79</v>
      </c>
      <c r="F282" s="288"/>
      <c r="G282" s="288"/>
      <c r="H282" s="664">
        <v>1.9</v>
      </c>
      <c r="I282" s="666" t="s">
        <v>1803</v>
      </c>
      <c r="J282" s="292"/>
      <c r="K282" s="292"/>
      <c r="L282" s="666">
        <f>M282+E282</f>
        <v>119</v>
      </c>
      <c r="M282" s="664">
        <v>40</v>
      </c>
      <c r="N282" s="667">
        <v>9.5</v>
      </c>
      <c r="O282" s="1856" t="s">
        <v>4115</v>
      </c>
      <c r="P282" s="297"/>
      <c r="Q282" s="2403" t="s">
        <v>4011</v>
      </c>
      <c r="R282" s="297"/>
      <c r="S282" s="2403" t="s">
        <v>4116</v>
      </c>
      <c r="T282" s="297"/>
      <c r="U282" s="297"/>
    </row>
    <row r="283" spans="1:21" s="305" customFormat="1">
      <c r="A283" s="662" t="s">
        <v>4111</v>
      </c>
      <c r="B283" s="2397" t="s">
        <v>2208</v>
      </c>
      <c r="C283" s="1280" t="s">
        <v>2209</v>
      </c>
      <c r="D283" s="1312"/>
      <c r="E283" s="1851">
        <v>98</v>
      </c>
      <c r="F283" s="288"/>
      <c r="G283" s="288"/>
      <c r="H283" s="664">
        <v>1.9</v>
      </c>
      <c r="I283" s="666" t="s">
        <v>1803</v>
      </c>
      <c r="J283" s="292"/>
      <c r="K283" s="292"/>
      <c r="L283" s="666">
        <f>M283+E283</f>
        <v>148</v>
      </c>
      <c r="M283" s="664">
        <v>50</v>
      </c>
      <c r="N283" s="667">
        <v>9.5</v>
      </c>
      <c r="O283" s="1856" t="s">
        <v>4115</v>
      </c>
      <c r="P283" s="297"/>
      <c r="Q283" s="2403" t="s">
        <v>4011</v>
      </c>
      <c r="R283" s="297"/>
      <c r="S283" s="2403" t="s">
        <v>4116</v>
      </c>
      <c r="T283" s="297"/>
      <c r="U283" s="297"/>
    </row>
    <row r="284" spans="1:21" s="791" customFormat="1">
      <c r="A284" s="784"/>
      <c r="B284" s="1284" t="s">
        <v>774</v>
      </c>
      <c r="C284" s="1276" t="s">
        <v>1594</v>
      </c>
      <c r="D284" s="1277"/>
      <c r="E284" s="1278">
        <v>53</v>
      </c>
      <c r="F284" s="785" t="s">
        <v>2211</v>
      </c>
      <c r="G284" s="785"/>
      <c r="H284" s="786">
        <v>1.9</v>
      </c>
      <c r="I284" s="788" t="s">
        <v>1803</v>
      </c>
      <c r="J284" s="788"/>
      <c r="K284" s="788"/>
      <c r="L284" s="788">
        <f>M284+E284</f>
        <v>68</v>
      </c>
      <c r="M284" s="786">
        <v>15</v>
      </c>
      <c r="N284" s="797"/>
      <c r="O284" s="803" t="s">
        <v>2212</v>
      </c>
      <c r="P284" s="798"/>
      <c r="Q284" s="798"/>
      <c r="R284" s="798"/>
      <c r="S284" s="798"/>
      <c r="T284" s="798"/>
      <c r="U284" s="798"/>
    </row>
    <row r="285" spans="1:21" s="791" customFormat="1">
      <c r="A285" s="662" t="s">
        <v>4194</v>
      </c>
      <c r="B285" s="2397" t="s">
        <v>774</v>
      </c>
      <c r="C285" s="1280" t="s">
        <v>2933</v>
      </c>
      <c r="D285" s="1277"/>
      <c r="E285" s="1851">
        <v>45</v>
      </c>
      <c r="F285" s="785"/>
      <c r="G285" s="785"/>
      <c r="H285" s="786"/>
      <c r="I285" s="788"/>
      <c r="J285" s="788"/>
      <c r="K285" s="788"/>
      <c r="L285" s="278">
        <v>70</v>
      </c>
      <c r="M285" s="276">
        <f>L285-E285</f>
        <v>25</v>
      </c>
      <c r="N285" s="797"/>
      <c r="O285" s="803"/>
      <c r="P285" s="798"/>
      <c r="Q285" s="798"/>
      <c r="R285" s="798"/>
      <c r="S285" s="798"/>
      <c r="T285" s="798"/>
      <c r="U285" s="798"/>
    </row>
    <row r="286" spans="1:21" s="791" customFormat="1">
      <c r="A286" s="662" t="s">
        <v>2448</v>
      </c>
      <c r="B286" s="2397" t="s">
        <v>774</v>
      </c>
      <c r="C286" s="1280" t="s">
        <v>2933</v>
      </c>
      <c r="D286" s="1277"/>
      <c r="E286" s="1851">
        <v>47.5</v>
      </c>
      <c r="F286" s="785"/>
      <c r="G286" s="785"/>
      <c r="H286" s="786"/>
      <c r="I286" s="788"/>
      <c r="J286" s="788"/>
      <c r="K286" s="788"/>
      <c r="L286" s="278">
        <v>75</v>
      </c>
      <c r="M286" s="276">
        <f>L286-E286</f>
        <v>27.5</v>
      </c>
      <c r="N286" s="797"/>
      <c r="O286" s="803"/>
      <c r="P286" s="798"/>
      <c r="Q286" s="798"/>
      <c r="R286" s="798"/>
      <c r="S286" s="798"/>
      <c r="T286" s="798"/>
      <c r="U286" s="798"/>
    </row>
    <row r="287" spans="1:21" s="445" customFormat="1">
      <c r="A287" s="444" t="s">
        <v>443</v>
      </c>
      <c r="B287" s="2516" t="s">
        <v>774</v>
      </c>
      <c r="C287" s="1880" t="s">
        <v>2933</v>
      </c>
      <c r="D287" s="1279"/>
      <c r="E287" s="1877">
        <v>52.5</v>
      </c>
      <c r="F287" s="275" t="s">
        <v>2936</v>
      </c>
      <c r="G287" s="275"/>
      <c r="H287" s="276">
        <v>1.9</v>
      </c>
      <c r="I287" s="278" t="s">
        <v>1803</v>
      </c>
      <c r="J287" s="278"/>
      <c r="K287" s="278"/>
      <c r="L287" s="278">
        <v>82.5</v>
      </c>
      <c r="M287" s="276">
        <f>L287-E287</f>
        <v>30</v>
      </c>
      <c r="N287" s="632">
        <v>2</v>
      </c>
      <c r="O287" s="644" t="s">
        <v>2934</v>
      </c>
      <c r="P287" s="487"/>
      <c r="Q287" s="487"/>
      <c r="R287" s="487"/>
      <c r="S287" s="487"/>
      <c r="T287" s="487"/>
      <c r="U287" s="487"/>
    </row>
    <row r="288" spans="1:21" s="445" customFormat="1">
      <c r="A288" s="444" t="s">
        <v>2935</v>
      </c>
      <c r="B288" s="2516" t="s">
        <v>774</v>
      </c>
      <c r="C288" s="1880" t="s">
        <v>2933</v>
      </c>
      <c r="D288" s="1279"/>
      <c r="E288" s="1877">
        <v>55</v>
      </c>
      <c r="F288" s="275" t="s">
        <v>2936</v>
      </c>
      <c r="G288" s="275"/>
      <c r="H288" s="276">
        <v>1.9</v>
      </c>
      <c r="I288" s="278" t="s">
        <v>1803</v>
      </c>
      <c r="J288" s="278"/>
      <c r="K288" s="278"/>
      <c r="L288" s="278">
        <v>85</v>
      </c>
      <c r="M288" s="276">
        <f>L288-E288</f>
        <v>30</v>
      </c>
      <c r="N288" s="632">
        <v>2</v>
      </c>
      <c r="O288" s="644" t="s">
        <v>2934</v>
      </c>
      <c r="P288" s="487"/>
      <c r="Q288" s="487"/>
      <c r="R288" s="487"/>
      <c r="S288" s="487"/>
      <c r="T288" s="487"/>
      <c r="U288" s="487"/>
    </row>
    <row r="289" spans="1:21" s="445" customFormat="1">
      <c r="A289" s="444" t="s">
        <v>6</v>
      </c>
      <c r="B289" s="2516" t="s">
        <v>774</v>
      </c>
      <c r="C289" s="1880" t="s">
        <v>2933</v>
      </c>
      <c r="D289" s="1279"/>
      <c r="E289" s="1877">
        <v>64</v>
      </c>
      <c r="F289" s="275" t="s">
        <v>2936</v>
      </c>
      <c r="G289" s="275"/>
      <c r="H289" s="276">
        <v>1.9</v>
      </c>
      <c r="I289" s="278" t="s">
        <v>1803</v>
      </c>
      <c r="J289" s="278"/>
      <c r="K289" s="278"/>
      <c r="L289" s="278">
        <v>98</v>
      </c>
      <c r="M289" s="276">
        <f>L289-E289</f>
        <v>34</v>
      </c>
      <c r="N289" s="632">
        <v>2</v>
      </c>
      <c r="O289" s="644" t="s">
        <v>2934</v>
      </c>
      <c r="P289" s="487"/>
      <c r="Q289" s="487"/>
      <c r="R289" s="487"/>
      <c r="S289" s="487"/>
      <c r="T289" s="487"/>
      <c r="U289" s="487"/>
    </row>
    <row r="290" spans="1:21" s="456" customFormat="1">
      <c r="A290" s="679"/>
      <c r="B290" s="1285" t="s">
        <v>774</v>
      </c>
      <c r="C290" s="1273" t="s">
        <v>775</v>
      </c>
      <c r="D290" s="1274"/>
      <c r="E290" s="1255">
        <v>52.55</v>
      </c>
      <c r="F290" s="681"/>
      <c r="G290" s="681"/>
      <c r="H290" s="683"/>
      <c r="I290" s="689"/>
      <c r="J290" s="685"/>
      <c r="K290" s="685"/>
      <c r="L290" s="685">
        <v>74.55</v>
      </c>
      <c r="M290" s="683">
        <v>15</v>
      </c>
      <c r="N290" s="706">
        <v>3</v>
      </c>
      <c r="O290" s="647"/>
      <c r="P290" s="479"/>
      <c r="Q290" s="479"/>
      <c r="R290" s="479"/>
      <c r="S290" s="479"/>
      <c r="T290" s="479"/>
      <c r="U290" s="479"/>
    </row>
    <row r="291" spans="1:21" s="456" customFormat="1">
      <c r="A291" s="679"/>
      <c r="B291" s="1285" t="s">
        <v>774</v>
      </c>
      <c r="C291" s="1273" t="s">
        <v>775</v>
      </c>
      <c r="D291" s="1274"/>
      <c r="E291" s="1255">
        <v>66.900000000000006</v>
      </c>
      <c r="F291" s="681" t="s">
        <v>1914</v>
      </c>
      <c r="G291" s="681"/>
      <c r="H291" s="683"/>
      <c r="I291" s="689"/>
      <c r="J291" s="685"/>
      <c r="K291" s="685"/>
      <c r="L291" s="685">
        <f>E291+22</f>
        <v>88.9</v>
      </c>
      <c r="M291" s="683">
        <v>15</v>
      </c>
      <c r="N291" s="706">
        <v>3</v>
      </c>
      <c r="O291" s="647"/>
      <c r="P291" s="479"/>
      <c r="Q291" s="479"/>
      <c r="R291" s="479"/>
      <c r="S291" s="479"/>
      <c r="T291" s="479"/>
      <c r="U291" s="479"/>
    </row>
    <row r="292" spans="1:21" s="305" customFormat="1">
      <c r="A292" s="1315"/>
      <c r="B292" s="1392" t="s">
        <v>2850</v>
      </c>
      <c r="C292" s="1316" t="s">
        <v>2851</v>
      </c>
      <c r="D292" s="1312"/>
      <c r="E292" s="1300">
        <v>65</v>
      </c>
      <c r="F292" s="288" t="s">
        <v>2852</v>
      </c>
      <c r="G292" s="288"/>
      <c r="H292" s="283"/>
      <c r="I292" s="289"/>
      <c r="J292" s="292"/>
      <c r="K292" s="292"/>
      <c r="L292" s="292">
        <v>110</v>
      </c>
      <c r="M292" s="283">
        <v>55</v>
      </c>
      <c r="N292" s="634"/>
      <c r="O292" s="302" t="s">
        <v>2853</v>
      </c>
      <c r="P292" s="297"/>
      <c r="Q292" s="297"/>
      <c r="R292" s="297"/>
      <c r="S292" s="297"/>
      <c r="T292" s="297"/>
      <c r="U292" s="297"/>
    </row>
    <row r="293" spans="1:21" s="305" customFormat="1" ht="14.25" customHeight="1">
      <c r="A293" s="662" t="s">
        <v>4229</v>
      </c>
      <c r="B293" s="1286" t="s">
        <v>474</v>
      </c>
      <c r="C293" s="1280" t="s">
        <v>485</v>
      </c>
      <c r="D293" s="1312"/>
      <c r="E293" s="1851">
        <v>101.25</v>
      </c>
      <c r="F293" s="288"/>
      <c r="G293" s="671" t="s">
        <v>420</v>
      </c>
      <c r="H293" s="664">
        <v>2.5</v>
      </c>
      <c r="I293" s="665" t="s">
        <v>206</v>
      </c>
      <c r="J293" s="1853" t="s">
        <v>1515</v>
      </c>
      <c r="K293" s="292"/>
      <c r="L293" s="666">
        <f t="shared" ref="L293:L300" si="17">E293+M293</f>
        <v>123.75</v>
      </c>
      <c r="M293" s="664">
        <v>22.5</v>
      </c>
      <c r="N293" s="2398">
        <v>3</v>
      </c>
      <c r="O293" s="2404" t="s">
        <v>4228</v>
      </c>
      <c r="P293" s="2404" t="s">
        <v>4233</v>
      </c>
    </row>
    <row r="294" spans="1:21" s="305" customFormat="1">
      <c r="A294" s="662" t="s">
        <v>4230</v>
      </c>
      <c r="B294" s="1286" t="s">
        <v>474</v>
      </c>
      <c r="C294" s="1280" t="s">
        <v>485</v>
      </c>
      <c r="D294" s="1312"/>
      <c r="E294" s="1851">
        <v>108.75</v>
      </c>
      <c r="F294" s="288"/>
      <c r="G294" s="671" t="s">
        <v>420</v>
      </c>
      <c r="H294" s="664">
        <v>2.5</v>
      </c>
      <c r="I294" s="665" t="s">
        <v>206</v>
      </c>
      <c r="J294" s="1853" t="s">
        <v>1515</v>
      </c>
      <c r="K294" s="292"/>
      <c r="L294" s="666">
        <f t="shared" si="17"/>
        <v>131.25</v>
      </c>
      <c r="M294" s="664">
        <v>22.5</v>
      </c>
      <c r="N294" s="2398">
        <v>3</v>
      </c>
      <c r="O294" s="2404" t="s">
        <v>4228</v>
      </c>
      <c r="P294" s="2404" t="s">
        <v>4233</v>
      </c>
    </row>
    <row r="295" spans="1:21" s="305" customFormat="1">
      <c r="A295" s="662" t="s">
        <v>4231</v>
      </c>
      <c r="B295" s="1286" t="s">
        <v>474</v>
      </c>
      <c r="C295" s="1280" t="s">
        <v>485</v>
      </c>
      <c r="D295" s="1312"/>
      <c r="E295" s="1851">
        <v>116.25</v>
      </c>
      <c r="F295" s="288"/>
      <c r="G295" s="671" t="s">
        <v>420</v>
      </c>
      <c r="H295" s="664">
        <v>2.5</v>
      </c>
      <c r="I295" s="665" t="s">
        <v>206</v>
      </c>
      <c r="J295" s="1853" t="s">
        <v>1515</v>
      </c>
      <c r="K295" s="292"/>
      <c r="L295" s="666">
        <f t="shared" si="17"/>
        <v>138.75</v>
      </c>
      <c r="M295" s="664">
        <v>22.5</v>
      </c>
      <c r="N295" s="2398">
        <v>3</v>
      </c>
      <c r="O295" s="2404" t="s">
        <v>4228</v>
      </c>
      <c r="P295" s="2404" t="s">
        <v>4233</v>
      </c>
    </row>
    <row r="296" spans="1:21" s="305" customFormat="1">
      <c r="A296" s="662" t="s">
        <v>4232</v>
      </c>
      <c r="B296" s="1286" t="s">
        <v>474</v>
      </c>
      <c r="C296" s="1280" t="s">
        <v>485</v>
      </c>
      <c r="D296" s="1312"/>
      <c r="E296" s="1851">
        <v>123.75</v>
      </c>
      <c r="F296" s="288"/>
      <c r="G296" s="671" t="s">
        <v>420</v>
      </c>
      <c r="H296" s="664">
        <v>2.5</v>
      </c>
      <c r="I296" s="665" t="s">
        <v>206</v>
      </c>
      <c r="J296" s="1853" t="s">
        <v>1515</v>
      </c>
      <c r="K296" s="292"/>
      <c r="L296" s="666">
        <f t="shared" si="17"/>
        <v>146.25</v>
      </c>
      <c r="M296" s="664">
        <v>22.5</v>
      </c>
      <c r="N296" s="2398">
        <v>3</v>
      </c>
      <c r="O296" s="2404" t="s">
        <v>4228</v>
      </c>
      <c r="P296" s="2404" t="s">
        <v>4233</v>
      </c>
    </row>
    <row r="297" spans="1:21" s="305" customFormat="1" ht="14.25" customHeight="1">
      <c r="A297" s="662" t="s">
        <v>4229</v>
      </c>
      <c r="B297" s="1286" t="s">
        <v>474</v>
      </c>
      <c r="C297" s="1280" t="s">
        <v>485</v>
      </c>
      <c r="D297" s="1312"/>
      <c r="E297" s="1851">
        <v>128.25</v>
      </c>
      <c r="F297" s="288" t="s">
        <v>2705</v>
      </c>
      <c r="G297" s="671" t="s">
        <v>420</v>
      </c>
      <c r="H297" s="664">
        <v>2.5</v>
      </c>
      <c r="I297" s="665" t="s">
        <v>206</v>
      </c>
      <c r="J297" s="1853" t="s">
        <v>1515</v>
      </c>
      <c r="K297" s="292"/>
      <c r="L297" s="666">
        <f t="shared" si="17"/>
        <v>156.75</v>
      </c>
      <c r="M297" s="664">
        <v>28.5</v>
      </c>
      <c r="N297" s="2398">
        <v>3</v>
      </c>
      <c r="O297" s="2404" t="s">
        <v>4228</v>
      </c>
      <c r="P297" s="2404" t="s">
        <v>4233</v>
      </c>
    </row>
    <row r="298" spans="1:21" s="305" customFormat="1">
      <c r="A298" s="662" t="s">
        <v>4230</v>
      </c>
      <c r="B298" s="1286" t="s">
        <v>474</v>
      </c>
      <c r="C298" s="1280" t="s">
        <v>485</v>
      </c>
      <c r="D298" s="1312"/>
      <c r="E298" s="1851">
        <v>137.75</v>
      </c>
      <c r="F298" s="288" t="s">
        <v>2705</v>
      </c>
      <c r="G298" s="671" t="s">
        <v>420</v>
      </c>
      <c r="H298" s="664">
        <v>2.5</v>
      </c>
      <c r="I298" s="665" t="s">
        <v>206</v>
      </c>
      <c r="J298" s="1853" t="s">
        <v>1515</v>
      </c>
      <c r="K298" s="292"/>
      <c r="L298" s="666">
        <f t="shared" si="17"/>
        <v>166.25</v>
      </c>
      <c r="M298" s="664">
        <v>28.5</v>
      </c>
      <c r="N298" s="2398">
        <v>3</v>
      </c>
      <c r="O298" s="2404" t="s">
        <v>4228</v>
      </c>
      <c r="P298" s="2404" t="s">
        <v>4233</v>
      </c>
    </row>
    <row r="299" spans="1:21" s="305" customFormat="1">
      <c r="A299" s="662" t="s">
        <v>4231</v>
      </c>
      <c r="B299" s="1286" t="s">
        <v>474</v>
      </c>
      <c r="C299" s="1280" t="s">
        <v>485</v>
      </c>
      <c r="D299" s="1312"/>
      <c r="E299" s="1851">
        <v>147.25</v>
      </c>
      <c r="F299" s="288" t="s">
        <v>2705</v>
      </c>
      <c r="G299" s="671" t="s">
        <v>420</v>
      </c>
      <c r="H299" s="664">
        <v>2.5</v>
      </c>
      <c r="I299" s="665" t="s">
        <v>206</v>
      </c>
      <c r="J299" s="1853" t="s">
        <v>1515</v>
      </c>
      <c r="K299" s="292"/>
      <c r="L299" s="666">
        <f t="shared" si="17"/>
        <v>175.75</v>
      </c>
      <c r="M299" s="664">
        <v>28.5</v>
      </c>
      <c r="N299" s="2398">
        <v>3</v>
      </c>
      <c r="O299" s="2404" t="s">
        <v>4228</v>
      </c>
      <c r="P299" s="2404" t="s">
        <v>4233</v>
      </c>
    </row>
    <row r="300" spans="1:21" s="305" customFormat="1">
      <c r="A300" s="662" t="s">
        <v>4232</v>
      </c>
      <c r="B300" s="1286" t="s">
        <v>474</v>
      </c>
      <c r="C300" s="1280" t="s">
        <v>485</v>
      </c>
      <c r="D300" s="1312"/>
      <c r="E300" s="1851">
        <v>156.75</v>
      </c>
      <c r="F300" s="288" t="s">
        <v>2705</v>
      </c>
      <c r="G300" s="671" t="s">
        <v>420</v>
      </c>
      <c r="H300" s="664">
        <v>2.5</v>
      </c>
      <c r="I300" s="665" t="s">
        <v>206</v>
      </c>
      <c r="J300" s="1853" t="s">
        <v>1515</v>
      </c>
      <c r="K300" s="292"/>
      <c r="L300" s="666">
        <f t="shared" si="17"/>
        <v>185.25</v>
      </c>
      <c r="M300" s="664">
        <v>28.5</v>
      </c>
      <c r="N300" s="2398">
        <v>3</v>
      </c>
      <c r="O300" s="2404" t="s">
        <v>4228</v>
      </c>
      <c r="P300" s="2404" t="s">
        <v>4233</v>
      </c>
    </row>
    <row r="301" spans="1:21" s="445" customFormat="1">
      <c r="A301" s="2802" t="s">
        <v>1105</v>
      </c>
      <c r="B301" s="2803"/>
      <c r="C301" s="2803"/>
      <c r="D301" s="2803"/>
      <c r="E301" s="2803"/>
      <c r="F301" s="2803"/>
      <c r="G301" s="2803"/>
      <c r="H301" s="2803"/>
      <c r="I301" s="2803"/>
      <c r="J301" s="2803"/>
      <c r="K301" s="2803"/>
      <c r="L301" s="2803"/>
      <c r="M301" s="2803"/>
      <c r="N301" s="2804"/>
      <c r="O301" s="646"/>
      <c r="P301" s="487"/>
      <c r="Q301" s="487"/>
      <c r="R301" s="487"/>
      <c r="S301" s="487"/>
      <c r="T301" s="487"/>
      <c r="U301" s="487"/>
    </row>
    <row r="302" spans="1:21" s="445" customFormat="1">
      <c r="A302" s="1781"/>
      <c r="B302" s="1790" t="s">
        <v>1468</v>
      </c>
      <c r="C302" s="1783" t="s">
        <v>290</v>
      </c>
      <c r="D302" s="1784"/>
      <c r="E302" s="1785">
        <v>50</v>
      </c>
      <c r="F302" s="1787" t="s">
        <v>1909</v>
      </c>
      <c r="G302" s="1787" t="s">
        <v>420</v>
      </c>
      <c r="H302" s="1787"/>
      <c r="I302" s="1788"/>
      <c r="J302" s="1788"/>
      <c r="K302" s="1788"/>
      <c r="L302" s="1788">
        <v>65</v>
      </c>
      <c r="M302" s="1787">
        <v>15</v>
      </c>
      <c r="N302" s="1789">
        <v>3</v>
      </c>
      <c r="O302" s="646"/>
      <c r="P302" s="487"/>
      <c r="Q302" s="487"/>
      <c r="R302" s="487"/>
      <c r="S302" s="487"/>
      <c r="T302" s="487"/>
      <c r="U302" s="487"/>
    </row>
    <row r="303" spans="1:21" s="305" customFormat="1">
      <c r="A303" s="1318"/>
      <c r="B303" s="1314" t="s">
        <v>395</v>
      </c>
      <c r="C303" s="2820" t="s">
        <v>2697</v>
      </c>
      <c r="D303" s="2821"/>
      <c r="E303" s="1300">
        <v>105</v>
      </c>
      <c r="F303" s="288" t="s">
        <v>2698</v>
      </c>
      <c r="G303" s="293"/>
      <c r="H303" s="283"/>
      <c r="I303" s="1340">
        <v>2</v>
      </c>
      <c r="J303" s="292" t="s">
        <v>206</v>
      </c>
      <c r="K303" s="292"/>
      <c r="L303" s="292">
        <v>198</v>
      </c>
      <c r="M303" s="283">
        <f>L303-E303</f>
        <v>93</v>
      </c>
      <c r="N303" s="634"/>
      <c r="O303" s="648"/>
      <c r="P303" s="297"/>
      <c r="Q303" s="297"/>
      <c r="R303" s="297"/>
      <c r="S303" s="297"/>
      <c r="T303" s="297"/>
      <c r="U303" s="297"/>
    </row>
    <row r="304" spans="1:21" s="305" customFormat="1">
      <c r="A304" s="1318"/>
      <c r="B304" s="1314" t="s">
        <v>395</v>
      </c>
      <c r="C304" s="2820" t="s">
        <v>2697</v>
      </c>
      <c r="D304" s="2821"/>
      <c r="E304" s="1300">
        <v>115</v>
      </c>
      <c r="F304" s="288" t="s">
        <v>2698</v>
      </c>
      <c r="G304" s="293"/>
      <c r="H304" s="283"/>
      <c r="I304" s="1340">
        <v>2</v>
      </c>
      <c r="J304" s="292" t="s">
        <v>206</v>
      </c>
      <c r="K304" s="292"/>
      <c r="L304" s="292">
        <v>208</v>
      </c>
      <c r="M304" s="283">
        <f>L304-E304</f>
        <v>93</v>
      </c>
      <c r="N304" s="634"/>
      <c r="O304" s="648"/>
      <c r="P304" s="297"/>
      <c r="Q304" s="297"/>
      <c r="R304" s="297"/>
      <c r="S304" s="297"/>
      <c r="T304" s="297"/>
      <c r="U304" s="297"/>
    </row>
    <row r="305" spans="1:21" s="445" customFormat="1">
      <c r="A305" s="1781" t="s">
        <v>17</v>
      </c>
      <c r="B305" s="1790" t="s">
        <v>1443</v>
      </c>
      <c r="C305" s="1783" t="s">
        <v>16</v>
      </c>
      <c r="D305" s="1784"/>
      <c r="E305" s="1785">
        <v>79</v>
      </c>
      <c r="F305" s="1787" t="s">
        <v>1909</v>
      </c>
      <c r="G305" s="1787"/>
      <c r="H305" s="1787"/>
      <c r="I305" s="1788"/>
      <c r="J305" s="1788"/>
      <c r="K305" s="1788"/>
      <c r="L305" s="1788">
        <v>113</v>
      </c>
      <c r="M305" s="1787">
        <v>34</v>
      </c>
      <c r="N305" s="1789">
        <v>3</v>
      </c>
      <c r="O305" s="646"/>
      <c r="P305" s="487"/>
      <c r="Q305" s="487"/>
      <c r="R305" s="487"/>
      <c r="S305" s="487"/>
      <c r="T305" s="487"/>
      <c r="U305" s="487"/>
    </row>
    <row r="306" spans="1:21" s="445" customFormat="1">
      <c r="A306" s="1781" t="s">
        <v>18</v>
      </c>
      <c r="B306" s="1790" t="s">
        <v>395</v>
      </c>
      <c r="C306" s="1783" t="s">
        <v>16</v>
      </c>
      <c r="D306" s="1784"/>
      <c r="E306" s="1785">
        <v>90</v>
      </c>
      <c r="F306" s="1787" t="s">
        <v>1909</v>
      </c>
      <c r="G306" s="1787"/>
      <c r="H306" s="1787"/>
      <c r="I306" s="1788"/>
      <c r="J306" s="1788"/>
      <c r="K306" s="1788"/>
      <c r="L306" s="1788">
        <v>128</v>
      </c>
      <c r="M306" s="1787">
        <v>38</v>
      </c>
      <c r="N306" s="1789">
        <v>3</v>
      </c>
      <c r="O306" s="646"/>
      <c r="P306" s="487"/>
      <c r="Q306" s="487"/>
      <c r="R306" s="487"/>
      <c r="S306" s="487"/>
      <c r="T306" s="487"/>
      <c r="U306" s="487"/>
    </row>
    <row r="307" spans="1:21" s="445" customFormat="1">
      <c r="A307" s="1781" t="s">
        <v>19</v>
      </c>
      <c r="B307" s="1790" t="s">
        <v>395</v>
      </c>
      <c r="C307" s="1783" t="s">
        <v>16</v>
      </c>
      <c r="D307" s="1784"/>
      <c r="E307" s="1785">
        <v>79</v>
      </c>
      <c r="F307" s="1787" t="s">
        <v>1909</v>
      </c>
      <c r="G307" s="1787"/>
      <c r="H307" s="1787"/>
      <c r="I307" s="1788"/>
      <c r="J307" s="1788"/>
      <c r="K307" s="1788"/>
      <c r="L307" s="1788">
        <v>112.5</v>
      </c>
      <c r="M307" s="1787">
        <v>33.5</v>
      </c>
      <c r="N307" s="1789">
        <v>3</v>
      </c>
      <c r="O307" s="646"/>
      <c r="P307" s="487"/>
      <c r="Q307" s="487"/>
      <c r="R307" s="487"/>
      <c r="S307" s="487"/>
      <c r="T307" s="487"/>
      <c r="U307" s="487"/>
    </row>
    <row r="308" spans="1:21" s="445" customFormat="1">
      <c r="A308" s="2463" t="s">
        <v>4131</v>
      </c>
      <c r="B308" s="1876" t="s">
        <v>1470</v>
      </c>
      <c r="C308" s="1880" t="s">
        <v>1469</v>
      </c>
      <c r="D308" s="1279"/>
      <c r="E308" s="1877">
        <v>64</v>
      </c>
      <c r="F308" s="373" t="s">
        <v>4090</v>
      </c>
      <c r="G308" s="373" t="s">
        <v>4133</v>
      </c>
      <c r="H308" s="373">
        <v>2.6</v>
      </c>
      <c r="I308" s="2464" t="s">
        <v>206</v>
      </c>
      <c r="J308" s="1788"/>
      <c r="K308" s="1788"/>
      <c r="L308" s="1788"/>
      <c r="M308" s="373">
        <v>72</v>
      </c>
      <c r="N308" s="669" t="s">
        <v>4234</v>
      </c>
      <c r="O308" s="646" t="s">
        <v>4242</v>
      </c>
      <c r="P308" s="487"/>
      <c r="Q308" s="490" t="s">
        <v>4130</v>
      </c>
      <c r="R308" s="487"/>
      <c r="S308" s="487"/>
      <c r="T308" s="487"/>
      <c r="U308" s="487"/>
    </row>
    <row r="309" spans="1:21" s="445" customFormat="1">
      <c r="A309" s="2463" t="s">
        <v>4132</v>
      </c>
      <c r="B309" s="1876" t="s">
        <v>1470</v>
      </c>
      <c r="C309" s="1880" t="s">
        <v>1469</v>
      </c>
      <c r="D309" s="1279"/>
      <c r="E309" s="1877">
        <v>69</v>
      </c>
      <c r="F309" s="373" t="s">
        <v>4090</v>
      </c>
      <c r="G309" s="1787"/>
      <c r="H309" s="373">
        <v>2.6</v>
      </c>
      <c r="I309" s="2464" t="s">
        <v>206</v>
      </c>
      <c r="J309" s="1788"/>
      <c r="K309" s="1788"/>
      <c r="L309" s="1788"/>
      <c r="M309" s="373">
        <v>78</v>
      </c>
      <c r="N309" s="669" t="s">
        <v>4234</v>
      </c>
      <c r="O309" s="646" t="s">
        <v>4242</v>
      </c>
      <c r="P309" s="487"/>
      <c r="Q309" s="487"/>
      <c r="R309" s="487"/>
      <c r="S309" s="487"/>
      <c r="T309" s="487"/>
      <c r="U309" s="487"/>
    </row>
    <row r="310" spans="1:21" s="688" customFormat="1">
      <c r="A310" s="720"/>
      <c r="B310" s="1286" t="s">
        <v>291</v>
      </c>
      <c r="C310" s="1280" t="s">
        <v>292</v>
      </c>
      <c r="D310" s="1274"/>
      <c r="E310" s="1851">
        <v>57.5</v>
      </c>
      <c r="F310" s="1852" t="s">
        <v>4321</v>
      </c>
      <c r="G310" s="1852" t="s">
        <v>4320</v>
      </c>
      <c r="H310" s="1852">
        <v>2.6</v>
      </c>
      <c r="I310" s="2481" t="s">
        <v>206</v>
      </c>
      <c r="J310" s="722"/>
      <c r="K310" s="722" t="s">
        <v>352</v>
      </c>
      <c r="L310" s="2481">
        <v>65</v>
      </c>
      <c r="M310" s="1852">
        <f>L310-E310</f>
        <v>7.5</v>
      </c>
      <c r="N310" s="669">
        <v>4</v>
      </c>
      <c r="O310" s="1856" t="s">
        <v>3880</v>
      </c>
      <c r="P310" s="696"/>
      <c r="Q310" s="696"/>
      <c r="R310" s="696"/>
      <c r="S310" s="696"/>
      <c r="T310" s="696"/>
      <c r="U310" s="696"/>
    </row>
    <row r="311" spans="1:21" s="688" customFormat="1">
      <c r="A311" s="720"/>
      <c r="B311" s="1286" t="s">
        <v>291</v>
      </c>
      <c r="C311" s="1280" t="s">
        <v>847</v>
      </c>
      <c r="D311" s="1281"/>
      <c r="E311" s="1851">
        <v>52</v>
      </c>
      <c r="F311" s="713"/>
      <c r="G311" s="1852" t="s">
        <v>4322</v>
      </c>
      <c r="H311" s="1852">
        <v>2.6</v>
      </c>
      <c r="I311" s="2481" t="s">
        <v>206</v>
      </c>
      <c r="J311" s="722"/>
      <c r="K311" s="722"/>
      <c r="L311" s="2481">
        <v>62</v>
      </c>
      <c r="M311" s="1852">
        <f>L311-E311</f>
        <v>10</v>
      </c>
      <c r="N311" s="669">
        <v>4</v>
      </c>
      <c r="O311" s="1856" t="s">
        <v>3880</v>
      </c>
      <c r="P311" s="696"/>
      <c r="Q311" s="696"/>
      <c r="R311" s="696"/>
      <c r="S311" s="696"/>
      <c r="T311" s="696"/>
      <c r="U311" s="696"/>
    </row>
    <row r="312" spans="1:21" s="305" customFormat="1">
      <c r="A312" s="1781"/>
      <c r="B312" s="1791" t="s">
        <v>294</v>
      </c>
      <c r="C312" s="1792" t="s">
        <v>295</v>
      </c>
      <c r="D312" s="1793"/>
      <c r="E312" s="1785">
        <v>42</v>
      </c>
      <c r="F312" s="1787" t="s">
        <v>1915</v>
      </c>
      <c r="G312" s="1787" t="s">
        <v>420</v>
      </c>
      <c r="H312" s="1787"/>
      <c r="I312" s="1788"/>
      <c r="J312" s="1788"/>
      <c r="K312" s="1788"/>
      <c r="L312" s="1788">
        <v>50</v>
      </c>
      <c r="M312" s="1787">
        <v>8</v>
      </c>
      <c r="N312" s="1789">
        <v>2.5</v>
      </c>
      <c r="O312" s="645"/>
      <c r="P312" s="297"/>
      <c r="Q312" s="297"/>
      <c r="R312" s="297"/>
      <c r="S312" s="297"/>
      <c r="T312" s="297"/>
      <c r="U312" s="297"/>
    </row>
    <row r="313" spans="1:21" s="305" customFormat="1">
      <c r="A313" s="1315" t="s">
        <v>1779</v>
      </c>
      <c r="B313" s="1314" t="s">
        <v>1516</v>
      </c>
      <c r="C313" s="1316" t="s">
        <v>1517</v>
      </c>
      <c r="D313" s="1312"/>
      <c r="E313" s="1300">
        <v>56.5</v>
      </c>
      <c r="F313" s="288" t="s">
        <v>1518</v>
      </c>
      <c r="G313" s="288"/>
      <c r="H313" s="1319">
        <v>1.6</v>
      </c>
      <c r="I313" s="1321" t="s">
        <v>206</v>
      </c>
      <c r="J313" s="305" t="s">
        <v>2849</v>
      </c>
      <c r="L313" s="292">
        <v>103</v>
      </c>
      <c r="M313" s="283">
        <f>L313-E313</f>
        <v>46.5</v>
      </c>
      <c r="N313" s="1317"/>
      <c r="O313" s="305" t="s">
        <v>1597</v>
      </c>
      <c r="R313" s="305" t="s">
        <v>2849</v>
      </c>
      <c r="T313" s="305" t="s">
        <v>2857</v>
      </c>
    </row>
    <row r="314" spans="1:21" s="305" customFormat="1">
      <c r="A314" s="1315" t="s">
        <v>1779</v>
      </c>
      <c r="B314" s="1314" t="s">
        <v>1516</v>
      </c>
      <c r="C314" s="1316" t="s">
        <v>1517</v>
      </c>
      <c r="D314" s="1312"/>
      <c r="E314" s="1300">
        <v>79.5</v>
      </c>
      <c r="F314" s="288" t="s">
        <v>1596</v>
      </c>
      <c r="G314" s="288"/>
      <c r="H314" s="1319">
        <v>1.6</v>
      </c>
      <c r="I314" s="1321" t="s">
        <v>206</v>
      </c>
      <c r="J314" s="305" t="s">
        <v>2849</v>
      </c>
      <c r="L314" s="292">
        <v>118</v>
      </c>
      <c r="M314" s="283">
        <f t="shared" ref="M314:M320" si="18">L314-E314</f>
        <v>38.5</v>
      </c>
      <c r="N314" s="1317"/>
      <c r="O314" s="305" t="s">
        <v>1597</v>
      </c>
      <c r="R314" s="305" t="s">
        <v>2849</v>
      </c>
      <c r="T314" s="305" t="s">
        <v>2857</v>
      </c>
    </row>
    <row r="315" spans="1:21" s="305" customFormat="1">
      <c r="A315" s="1315" t="s">
        <v>1780</v>
      </c>
      <c r="B315" s="1314" t="s">
        <v>1516</v>
      </c>
      <c r="C315" s="1316" t="s">
        <v>1517</v>
      </c>
      <c r="D315" s="1312"/>
      <c r="E315" s="1300">
        <v>69</v>
      </c>
      <c r="F315" s="288" t="s">
        <v>1518</v>
      </c>
      <c r="G315" s="288"/>
      <c r="H315" s="1319">
        <v>1.6</v>
      </c>
      <c r="I315" s="1321" t="s">
        <v>206</v>
      </c>
      <c r="J315" s="305" t="s">
        <v>2849</v>
      </c>
      <c r="L315" s="292">
        <v>122</v>
      </c>
      <c r="M315" s="283">
        <f t="shared" si="18"/>
        <v>53</v>
      </c>
      <c r="N315" s="1317"/>
      <c r="O315" s="305" t="s">
        <v>1597</v>
      </c>
      <c r="R315" s="305" t="s">
        <v>2849</v>
      </c>
      <c r="T315" s="305" t="s">
        <v>2857</v>
      </c>
    </row>
    <row r="316" spans="1:21" s="305" customFormat="1">
      <c r="A316" s="1315" t="s">
        <v>1780</v>
      </c>
      <c r="B316" s="1314" t="s">
        <v>1516</v>
      </c>
      <c r="C316" s="1316" t="s">
        <v>1517</v>
      </c>
      <c r="D316" s="1312"/>
      <c r="E316" s="1300">
        <v>87</v>
      </c>
      <c r="F316" s="288" t="s">
        <v>1596</v>
      </c>
      <c r="G316" s="288"/>
      <c r="H316" s="1319">
        <v>1.6</v>
      </c>
      <c r="I316" s="1321" t="s">
        <v>206</v>
      </c>
      <c r="J316" s="305" t="s">
        <v>2849</v>
      </c>
      <c r="L316" s="292">
        <v>133</v>
      </c>
      <c r="M316" s="283">
        <f t="shared" si="18"/>
        <v>46</v>
      </c>
      <c r="N316" s="1317"/>
      <c r="O316" s="305" t="s">
        <v>1597</v>
      </c>
      <c r="R316" s="305" t="s">
        <v>2849</v>
      </c>
      <c r="T316" s="305" t="s">
        <v>2857</v>
      </c>
    </row>
    <row r="317" spans="1:21" s="791" customFormat="1">
      <c r="A317" s="662" t="s">
        <v>1779</v>
      </c>
      <c r="B317" s="1286" t="s">
        <v>1519</v>
      </c>
      <c r="C317" s="1280" t="s">
        <v>1517</v>
      </c>
      <c r="D317" s="1281"/>
      <c r="E317" s="1851">
        <v>56.5</v>
      </c>
      <c r="F317" s="663" t="s">
        <v>4028</v>
      </c>
      <c r="G317" s="288"/>
      <c r="H317" s="1852">
        <v>1.5</v>
      </c>
      <c r="I317" s="1853" t="s">
        <v>206</v>
      </c>
      <c r="J317" s="292"/>
      <c r="K317" s="292"/>
      <c r="L317" s="666">
        <v>103</v>
      </c>
      <c r="M317" s="664">
        <f t="shared" si="18"/>
        <v>46.5</v>
      </c>
      <c r="N317" s="1317"/>
      <c r="O317" s="305"/>
      <c r="P317" s="305"/>
    </row>
    <row r="318" spans="1:21" s="791" customFormat="1">
      <c r="A318" s="662" t="s">
        <v>1779</v>
      </c>
      <c r="B318" s="1286" t="s">
        <v>1519</v>
      </c>
      <c r="C318" s="1280" t="s">
        <v>1517</v>
      </c>
      <c r="D318" s="1281"/>
      <c r="E318" s="1851"/>
      <c r="F318" s="663" t="s">
        <v>4029</v>
      </c>
      <c r="G318" s="288"/>
      <c r="H318" s="1852">
        <v>1.5</v>
      </c>
      <c r="I318" s="1853" t="s">
        <v>206</v>
      </c>
      <c r="J318" s="292"/>
      <c r="K318" s="292"/>
      <c r="L318" s="666"/>
      <c r="M318" s="664">
        <f t="shared" si="18"/>
        <v>0</v>
      </c>
      <c r="N318" s="1317"/>
      <c r="O318" s="305"/>
      <c r="P318" s="305"/>
    </row>
    <row r="319" spans="1:21" s="791" customFormat="1">
      <c r="A319" s="662" t="s">
        <v>4031</v>
      </c>
      <c r="B319" s="1286" t="s">
        <v>1519</v>
      </c>
      <c r="C319" s="1280" t="s">
        <v>1517</v>
      </c>
      <c r="D319" s="1281"/>
      <c r="E319" s="1851">
        <v>69</v>
      </c>
      <c r="F319" s="663" t="s">
        <v>4028</v>
      </c>
      <c r="G319" s="288"/>
      <c r="H319" s="1852">
        <v>1.5</v>
      </c>
      <c r="I319" s="1853" t="s">
        <v>206</v>
      </c>
      <c r="J319" s="292"/>
      <c r="K319" s="292"/>
      <c r="L319" s="666">
        <v>122</v>
      </c>
      <c r="M319" s="664">
        <f t="shared" si="18"/>
        <v>53</v>
      </c>
      <c r="N319" s="1317"/>
      <c r="O319" s="305"/>
      <c r="P319" s="305"/>
    </row>
    <row r="320" spans="1:21" s="791" customFormat="1">
      <c r="A320" s="662" t="s">
        <v>4031</v>
      </c>
      <c r="B320" s="1286" t="s">
        <v>1519</v>
      </c>
      <c r="C320" s="1280" t="s">
        <v>1517</v>
      </c>
      <c r="D320" s="1281"/>
      <c r="E320" s="1851"/>
      <c r="F320" s="663" t="s">
        <v>4030</v>
      </c>
      <c r="G320" s="288"/>
      <c r="H320" s="1852">
        <v>1.5</v>
      </c>
      <c r="I320" s="1853" t="s">
        <v>206</v>
      </c>
      <c r="J320" s="292"/>
      <c r="K320" s="292"/>
      <c r="L320" s="666"/>
      <c r="M320" s="664">
        <f t="shared" si="18"/>
        <v>0</v>
      </c>
      <c r="N320" s="1317"/>
      <c r="O320" s="305"/>
      <c r="P320" s="305"/>
    </row>
    <row r="321" spans="1:21" s="305" customFormat="1">
      <c r="A321" s="679"/>
      <c r="B321" s="1272" t="s">
        <v>1476</v>
      </c>
      <c r="C321" s="1273" t="s">
        <v>1477</v>
      </c>
      <c r="D321" s="1274"/>
      <c r="E321" s="1255">
        <f>61+26</f>
        <v>87</v>
      </c>
      <c r="F321" s="681" t="s">
        <v>1916</v>
      </c>
      <c r="G321" s="681" t="s">
        <v>420</v>
      </c>
      <c r="H321" s="683"/>
      <c r="I321" s="689"/>
      <c r="J321" s="685"/>
      <c r="K321" s="685"/>
      <c r="L321" s="685">
        <v>136.5</v>
      </c>
      <c r="M321" s="683">
        <v>49.5</v>
      </c>
      <c r="N321" s="686"/>
      <c r="O321" s="645"/>
      <c r="P321" s="297"/>
      <c r="Q321" s="297"/>
      <c r="R321" s="297"/>
      <c r="S321" s="297"/>
      <c r="T321" s="297"/>
      <c r="U321" s="297"/>
    </row>
    <row r="322" spans="1:21" s="305" customFormat="1">
      <c r="A322" s="679"/>
      <c r="B322" s="1272" t="s">
        <v>1476</v>
      </c>
      <c r="C322" s="1273" t="s">
        <v>1477</v>
      </c>
      <c r="D322" s="1274"/>
      <c r="E322" s="1255">
        <v>102</v>
      </c>
      <c r="F322" s="681" t="s">
        <v>1913</v>
      </c>
      <c r="G322" s="681" t="s">
        <v>420</v>
      </c>
      <c r="H322" s="683"/>
      <c r="I322" s="689"/>
      <c r="J322" s="685"/>
      <c r="K322" s="685"/>
      <c r="L322" s="685">
        <v>146.5</v>
      </c>
      <c r="M322" s="683">
        <v>44.5</v>
      </c>
      <c r="N322" s="686"/>
      <c r="O322" s="645"/>
      <c r="P322" s="297"/>
      <c r="Q322" s="297"/>
      <c r="R322" s="297"/>
      <c r="S322" s="297"/>
      <c r="T322" s="297"/>
      <c r="U322" s="297"/>
    </row>
    <row r="323" spans="1:21" s="305" customFormat="1">
      <c r="A323" s="679"/>
      <c r="B323" s="1286" t="s">
        <v>238</v>
      </c>
      <c r="C323" s="1280" t="s">
        <v>1459</v>
      </c>
      <c r="D323" s="1281"/>
      <c r="E323" s="1255">
        <v>90.2</v>
      </c>
      <c r="F323" s="547" t="s">
        <v>4334</v>
      </c>
      <c r="G323" s="681"/>
      <c r="H323" s="683"/>
      <c r="I323" s="689"/>
      <c r="J323" s="685"/>
      <c r="K323" s="685"/>
      <c r="L323" s="685">
        <v>112.7</v>
      </c>
      <c r="M323" s="683">
        <v>22.5</v>
      </c>
      <c r="N323" s="686"/>
      <c r="O323" s="645"/>
      <c r="P323" s="297"/>
      <c r="Q323" s="297"/>
      <c r="R323" s="297"/>
      <c r="S323" s="297"/>
      <c r="T323" s="297"/>
      <c r="U323" s="297"/>
    </row>
    <row r="324" spans="1:21" s="305" customFormat="1">
      <c r="A324" s="679"/>
      <c r="B324" s="1272" t="s">
        <v>238</v>
      </c>
      <c r="C324" s="1273" t="s">
        <v>1460</v>
      </c>
      <c r="D324" s="1274"/>
      <c r="E324" s="1255">
        <v>59</v>
      </c>
      <c r="F324" s="681" t="s">
        <v>1917</v>
      </c>
      <c r="G324" s="681"/>
      <c r="H324" s="683" t="s">
        <v>215</v>
      </c>
      <c r="I324" s="689"/>
      <c r="J324" s="685"/>
      <c r="K324" s="685"/>
      <c r="L324" s="685">
        <v>74</v>
      </c>
      <c r="M324" s="683">
        <v>15</v>
      </c>
      <c r="N324" s="686"/>
      <c r="O324" s="645"/>
      <c r="P324" s="297"/>
      <c r="Q324" s="297"/>
      <c r="R324" s="297"/>
      <c r="S324" s="297"/>
      <c r="T324" s="297"/>
      <c r="U324" s="297"/>
    </row>
    <row r="325" spans="1:21" s="305" customFormat="1">
      <c r="A325" s="1318"/>
      <c r="B325" s="1314" t="s">
        <v>238</v>
      </c>
      <c r="C325" s="2820" t="s">
        <v>2695</v>
      </c>
      <c r="D325" s="2821"/>
      <c r="E325" s="1300">
        <v>139</v>
      </c>
      <c r="F325" s="288"/>
      <c r="G325" s="298" t="s">
        <v>2696</v>
      </c>
      <c r="H325" s="283"/>
      <c r="I325" s="289"/>
      <c r="J325" s="292"/>
      <c r="K325" s="292"/>
      <c r="L325" s="292">
        <v>198</v>
      </c>
      <c r="M325" s="283">
        <f>L325-E325</f>
        <v>59</v>
      </c>
      <c r="N325" s="634"/>
      <c r="O325" s="648"/>
      <c r="P325" s="297"/>
      <c r="Q325" s="297"/>
      <c r="R325" s="297"/>
      <c r="S325" s="297"/>
      <c r="T325" s="297"/>
      <c r="U325" s="297"/>
    </row>
    <row r="326" spans="1:21" s="305" customFormat="1">
      <c r="A326" s="1318"/>
      <c r="B326" s="1314" t="s">
        <v>238</v>
      </c>
      <c r="C326" s="2820" t="s">
        <v>2695</v>
      </c>
      <c r="D326" s="2821"/>
      <c r="E326" s="1300">
        <v>149.5</v>
      </c>
      <c r="F326" s="288"/>
      <c r="G326" s="298" t="s">
        <v>2696</v>
      </c>
      <c r="H326" s="283"/>
      <c r="I326" s="289"/>
      <c r="J326" s="292"/>
      <c r="K326" s="292"/>
      <c r="L326" s="292">
        <v>208</v>
      </c>
      <c r="M326" s="283">
        <f>L326-E326</f>
        <v>58.5</v>
      </c>
      <c r="N326" s="634"/>
      <c r="O326" s="648"/>
      <c r="P326" s="297"/>
      <c r="Q326" s="297"/>
      <c r="R326" s="297"/>
      <c r="S326" s="297"/>
      <c r="T326" s="297"/>
      <c r="U326" s="297"/>
    </row>
    <row r="327" spans="1:21" s="445" customFormat="1">
      <c r="A327" s="1781"/>
      <c r="B327" s="1790" t="s">
        <v>238</v>
      </c>
      <c r="C327" s="2812" t="s">
        <v>1461</v>
      </c>
      <c r="D327" s="2813"/>
      <c r="E327" s="1785"/>
      <c r="F327" s="1786" t="s">
        <v>1909</v>
      </c>
      <c r="G327" s="1794"/>
      <c r="H327" s="1795"/>
      <c r="I327" s="1796"/>
      <c r="J327" s="1797"/>
      <c r="K327" s="1797"/>
      <c r="L327" s="1797"/>
      <c r="M327" s="1795"/>
      <c r="N327" s="1798"/>
      <c r="O327" s="646"/>
      <c r="P327" s="487"/>
      <c r="Q327" s="487"/>
      <c r="R327" s="487"/>
      <c r="S327" s="487"/>
      <c r="T327" s="487"/>
      <c r="U327" s="487"/>
    </row>
    <row r="328" spans="1:21" s="456" customFormat="1">
      <c r="A328" s="1781"/>
      <c r="B328" s="1790" t="s">
        <v>1462</v>
      </c>
      <c r="C328" s="1783" t="s">
        <v>1463</v>
      </c>
      <c r="D328" s="1784"/>
      <c r="E328" s="1785"/>
      <c r="F328" s="1786" t="s">
        <v>1909</v>
      </c>
      <c r="G328" s="1787"/>
      <c r="H328" s="1787"/>
      <c r="I328" s="1788"/>
      <c r="J328" s="1788"/>
      <c r="K328" s="1788"/>
      <c r="L328" s="1788"/>
      <c r="M328" s="1787"/>
      <c r="N328" s="1789"/>
      <c r="O328" s="647"/>
      <c r="P328" s="479"/>
      <c r="Q328" s="479"/>
      <c r="R328" s="479"/>
      <c r="S328" s="479"/>
      <c r="T328" s="479"/>
      <c r="U328" s="479"/>
    </row>
    <row r="329" spans="1:21" s="456" customFormat="1">
      <c r="A329" s="1781"/>
      <c r="B329" s="1790" t="s">
        <v>1462</v>
      </c>
      <c r="C329" s="1783" t="s">
        <v>1464</v>
      </c>
      <c r="D329" s="1784"/>
      <c r="E329" s="1785"/>
      <c r="F329" s="1786" t="s">
        <v>1909</v>
      </c>
      <c r="G329" s="1787"/>
      <c r="H329" s="1787"/>
      <c r="I329" s="1788"/>
      <c r="J329" s="1788"/>
      <c r="K329" s="1788"/>
      <c r="L329" s="1788"/>
      <c r="M329" s="1787"/>
      <c r="N329" s="1789"/>
      <c r="O329" s="647"/>
      <c r="P329" s="479"/>
      <c r="Q329" s="479"/>
      <c r="R329" s="479"/>
      <c r="S329" s="479"/>
      <c r="T329" s="479"/>
      <c r="U329" s="479"/>
    </row>
    <row r="330" spans="1:21" s="445" customFormat="1" ht="16.5" customHeight="1">
      <c r="A330" s="1781"/>
      <c r="B330" s="1790" t="s">
        <v>1471</v>
      </c>
      <c r="C330" s="1783" t="s">
        <v>1467</v>
      </c>
      <c r="D330" s="1784"/>
      <c r="E330" s="1785"/>
      <c r="F330" s="1786" t="s">
        <v>1909</v>
      </c>
      <c r="G330" s="1787"/>
      <c r="H330" s="1799"/>
      <c r="I330" s="1800"/>
      <c r="J330" s="1788"/>
      <c r="K330" s="1788"/>
      <c r="L330" s="1788"/>
      <c r="M330" s="1787"/>
      <c r="N330" s="1789"/>
      <c r="O330" s="646"/>
      <c r="P330" s="487"/>
      <c r="Q330" s="487"/>
      <c r="R330" s="487"/>
      <c r="S330" s="487"/>
      <c r="T330" s="487"/>
      <c r="U330" s="487"/>
    </row>
    <row r="331" spans="1:21" s="305" customFormat="1" ht="16.5" customHeight="1">
      <c r="A331" s="662" t="s">
        <v>4490</v>
      </c>
      <c r="B331" s="1286" t="s">
        <v>365</v>
      </c>
      <c r="C331" s="1280" t="s">
        <v>1546</v>
      </c>
      <c r="D331" s="1312"/>
      <c r="E331" s="1851">
        <v>38.5</v>
      </c>
      <c r="F331" s="288"/>
      <c r="G331" s="288"/>
      <c r="H331" s="283"/>
      <c r="I331" s="289"/>
      <c r="J331" s="292"/>
      <c r="K331" s="292"/>
      <c r="L331" s="666">
        <f>M331+E331</f>
        <v>62.5</v>
      </c>
      <c r="M331" s="664">
        <v>24</v>
      </c>
      <c r="N331" s="1317">
        <v>4</v>
      </c>
      <c r="O331" s="2404" t="s">
        <v>4017</v>
      </c>
      <c r="P331" s="2404" t="s">
        <v>4493</v>
      </c>
      <c r="Q331" s="2404" t="s">
        <v>4492</v>
      </c>
    </row>
    <row r="332" spans="1:21" s="305" customFormat="1" ht="16.5" customHeight="1">
      <c r="A332" s="662" t="s">
        <v>4491</v>
      </c>
      <c r="B332" s="1286" t="s">
        <v>365</v>
      </c>
      <c r="C332" s="1280" t="s">
        <v>1546</v>
      </c>
      <c r="D332" s="1312"/>
      <c r="E332" s="1851">
        <v>42</v>
      </c>
      <c r="F332" s="288"/>
      <c r="G332" s="288"/>
      <c r="H332" s="283"/>
      <c r="I332" s="289"/>
      <c r="J332" s="292"/>
      <c r="K332" s="292"/>
      <c r="L332" s="666">
        <f>M332+E332</f>
        <v>66</v>
      </c>
      <c r="M332" s="664">
        <v>24</v>
      </c>
      <c r="N332" s="1317">
        <v>4</v>
      </c>
      <c r="O332" s="2404" t="s">
        <v>4017</v>
      </c>
      <c r="P332" s="2404" t="s">
        <v>4494</v>
      </c>
      <c r="Q332" s="2404" t="s">
        <v>4492</v>
      </c>
    </row>
    <row r="333" spans="1:21" s="305" customFormat="1" ht="15.75" customHeight="1">
      <c r="A333" s="662" t="s">
        <v>4012</v>
      </c>
      <c r="B333" s="1286" t="s">
        <v>365</v>
      </c>
      <c r="C333" s="1280" t="s">
        <v>2624</v>
      </c>
      <c r="D333" s="1312"/>
      <c r="E333" s="1851">
        <v>37.5</v>
      </c>
      <c r="F333" s="288"/>
      <c r="G333" s="663" t="s">
        <v>4290</v>
      </c>
      <c r="H333" s="283"/>
      <c r="I333" s="289"/>
      <c r="J333" s="292"/>
      <c r="K333" s="292"/>
      <c r="L333" s="666">
        <v>60</v>
      </c>
      <c r="M333" s="664">
        <f>L333-E333</f>
        <v>22.5</v>
      </c>
      <c r="N333" s="2398">
        <v>6</v>
      </c>
      <c r="O333" s="2404" t="s">
        <v>4017</v>
      </c>
      <c r="Q333" s="2404" t="s">
        <v>4016</v>
      </c>
    </row>
    <row r="334" spans="1:21" s="305" customFormat="1" ht="16.5" customHeight="1">
      <c r="A334" s="662" t="s">
        <v>4013</v>
      </c>
      <c r="B334" s="1286" t="s">
        <v>365</v>
      </c>
      <c r="C334" s="1280" t="s">
        <v>2624</v>
      </c>
      <c r="D334" s="1312"/>
      <c r="E334" s="1851">
        <v>45</v>
      </c>
      <c r="F334" s="288"/>
      <c r="G334" s="663" t="s">
        <v>4290</v>
      </c>
      <c r="H334" s="283"/>
      <c r="I334" s="289"/>
      <c r="J334" s="292"/>
      <c r="K334" s="292"/>
      <c r="L334" s="666">
        <v>75</v>
      </c>
      <c r="M334" s="664">
        <f>L334-E334</f>
        <v>30</v>
      </c>
      <c r="N334" s="2398">
        <v>6</v>
      </c>
      <c r="O334" s="2404" t="s">
        <v>4017</v>
      </c>
      <c r="Q334" s="2404" t="s">
        <v>4016</v>
      </c>
    </row>
    <row r="335" spans="1:21" s="305" customFormat="1" ht="16.5" customHeight="1">
      <c r="A335" s="662" t="s">
        <v>4014</v>
      </c>
      <c r="B335" s="1286" t="s">
        <v>365</v>
      </c>
      <c r="C335" s="1280" t="s">
        <v>2624</v>
      </c>
      <c r="D335" s="1312"/>
      <c r="E335" s="1851">
        <v>52.5</v>
      </c>
      <c r="F335" s="663" t="s">
        <v>4015</v>
      </c>
      <c r="G335" s="663" t="s">
        <v>4290</v>
      </c>
      <c r="H335" s="283"/>
      <c r="I335" s="289"/>
      <c r="J335" s="292"/>
      <c r="K335" s="292"/>
      <c r="L335" s="666">
        <v>90</v>
      </c>
      <c r="M335" s="664">
        <f>L335-E335</f>
        <v>37.5</v>
      </c>
      <c r="N335" s="2398">
        <v>6</v>
      </c>
      <c r="O335" s="2404" t="s">
        <v>4017</v>
      </c>
      <c r="Q335" s="2404" t="s">
        <v>4016</v>
      </c>
    </row>
    <row r="336" spans="1:21" s="305" customFormat="1" ht="16.5" customHeight="1">
      <c r="A336" s="662" t="s">
        <v>4406</v>
      </c>
      <c r="B336" s="1286" t="s">
        <v>365</v>
      </c>
      <c r="C336" s="1280" t="s">
        <v>2845</v>
      </c>
      <c r="D336" s="1312"/>
      <c r="E336" s="1851">
        <v>31</v>
      </c>
      <c r="F336" s="663"/>
      <c r="G336" s="663"/>
      <c r="H336" s="283"/>
      <c r="I336" s="289"/>
      <c r="J336" s="292"/>
      <c r="K336" s="292"/>
      <c r="L336" s="666">
        <f>M336+E336</f>
        <v>57</v>
      </c>
      <c r="M336" s="664">
        <v>26</v>
      </c>
      <c r="N336" s="667"/>
      <c r="O336" s="2404" t="s">
        <v>4389</v>
      </c>
      <c r="P336" s="2404" t="s">
        <v>4412</v>
      </c>
      <c r="Q336" s="2404" t="s">
        <v>4016</v>
      </c>
      <c r="S336" s="2404" t="s">
        <v>4413</v>
      </c>
    </row>
    <row r="337" spans="1:21" s="305" customFormat="1" ht="16.5" customHeight="1">
      <c r="A337" s="662" t="s">
        <v>4407</v>
      </c>
      <c r="B337" s="1286" t="s">
        <v>365</v>
      </c>
      <c r="C337" s="1280" t="s">
        <v>2845</v>
      </c>
      <c r="D337" s="1312"/>
      <c r="E337" s="1851">
        <v>41</v>
      </c>
      <c r="F337" s="663"/>
      <c r="G337" s="663"/>
      <c r="H337" s="283"/>
      <c r="I337" s="289"/>
      <c r="J337" s="292"/>
      <c r="K337" s="292"/>
      <c r="L337" s="666">
        <f t="shared" ref="L337:L343" si="19">M337+E337</f>
        <v>67</v>
      </c>
      <c r="M337" s="664">
        <v>26</v>
      </c>
      <c r="N337" s="667"/>
      <c r="O337" s="2404" t="s">
        <v>4389</v>
      </c>
      <c r="P337" s="2404" t="s">
        <v>4412</v>
      </c>
      <c r="Q337" s="2404" t="s">
        <v>4016</v>
      </c>
      <c r="S337" s="2404" t="s">
        <v>4413</v>
      </c>
    </row>
    <row r="338" spans="1:21" s="305" customFormat="1" ht="16.5" customHeight="1">
      <c r="A338" s="662" t="s">
        <v>4408</v>
      </c>
      <c r="B338" s="1286" t="s">
        <v>365</v>
      </c>
      <c r="C338" s="1280" t="s">
        <v>2845</v>
      </c>
      <c r="D338" s="1312"/>
      <c r="E338" s="1851">
        <v>32</v>
      </c>
      <c r="F338" s="663"/>
      <c r="G338" s="663"/>
      <c r="H338" s="283"/>
      <c r="I338" s="289"/>
      <c r="J338" s="292"/>
      <c r="K338" s="292"/>
      <c r="L338" s="666">
        <f t="shared" si="19"/>
        <v>58</v>
      </c>
      <c r="M338" s="664">
        <v>26</v>
      </c>
      <c r="N338" s="667"/>
      <c r="O338" s="2404" t="s">
        <v>4389</v>
      </c>
      <c r="P338" s="2404" t="s">
        <v>4412</v>
      </c>
      <c r="Q338" s="2404" t="s">
        <v>4016</v>
      </c>
      <c r="S338" s="2404" t="s">
        <v>4413</v>
      </c>
    </row>
    <row r="339" spans="1:21" s="305" customFormat="1" ht="16.5" customHeight="1">
      <c r="A339" s="662" t="s">
        <v>4409</v>
      </c>
      <c r="B339" s="1286" t="s">
        <v>365</v>
      </c>
      <c r="C339" s="1280" t="s">
        <v>2845</v>
      </c>
      <c r="D339" s="1312"/>
      <c r="E339" s="1851">
        <v>42</v>
      </c>
      <c r="F339" s="663"/>
      <c r="G339" s="663"/>
      <c r="H339" s="283"/>
      <c r="I339" s="289"/>
      <c r="J339" s="292"/>
      <c r="K339" s="292"/>
      <c r="L339" s="666">
        <f t="shared" si="19"/>
        <v>68</v>
      </c>
      <c r="M339" s="664">
        <v>26</v>
      </c>
      <c r="N339" s="667"/>
      <c r="O339" s="2404" t="s">
        <v>4389</v>
      </c>
      <c r="P339" s="2404" t="s">
        <v>4412</v>
      </c>
      <c r="Q339" s="2404" t="s">
        <v>4404</v>
      </c>
      <c r="S339" s="2404" t="s">
        <v>4413</v>
      </c>
    </row>
    <row r="340" spans="1:21" s="305" customFormat="1" ht="16.5" customHeight="1">
      <c r="A340" s="662" t="s">
        <v>4410</v>
      </c>
      <c r="B340" s="1286" t="s">
        <v>365</v>
      </c>
      <c r="C340" s="1280" t="s">
        <v>2845</v>
      </c>
      <c r="D340" s="1312"/>
      <c r="E340" s="1851">
        <v>34</v>
      </c>
      <c r="F340" s="663"/>
      <c r="G340" s="663"/>
      <c r="H340" s="283"/>
      <c r="I340" s="289"/>
      <c r="J340" s="292"/>
      <c r="K340" s="292"/>
      <c r="L340" s="666">
        <f t="shared" si="19"/>
        <v>60</v>
      </c>
      <c r="M340" s="664">
        <v>26</v>
      </c>
      <c r="N340" s="667"/>
      <c r="O340" s="2404" t="s">
        <v>4389</v>
      </c>
      <c r="P340" s="2404" t="s">
        <v>4412</v>
      </c>
      <c r="Q340" s="2404" t="s">
        <v>4403</v>
      </c>
      <c r="S340" s="2404" t="s">
        <v>4414</v>
      </c>
    </row>
    <row r="341" spans="1:21" s="305" customFormat="1" ht="16.5" customHeight="1">
      <c r="A341" s="662" t="s">
        <v>4411</v>
      </c>
      <c r="B341" s="1286" t="s">
        <v>365</v>
      </c>
      <c r="C341" s="1280" t="s">
        <v>2845</v>
      </c>
      <c r="D341" s="1312"/>
      <c r="E341" s="1851">
        <v>44</v>
      </c>
      <c r="F341" s="663"/>
      <c r="G341" s="663"/>
      <c r="H341" s="283"/>
      <c r="I341" s="289"/>
      <c r="J341" s="292"/>
      <c r="K341" s="292"/>
      <c r="L341" s="666">
        <f t="shared" si="19"/>
        <v>70</v>
      </c>
      <c r="M341" s="664">
        <v>26</v>
      </c>
      <c r="N341" s="667"/>
      <c r="O341" s="2404" t="s">
        <v>4389</v>
      </c>
      <c r="P341" s="2404" t="s">
        <v>4412</v>
      </c>
      <c r="Q341" s="2404" t="s">
        <v>4403</v>
      </c>
      <c r="S341" s="2404" t="s">
        <v>4414</v>
      </c>
    </row>
    <row r="342" spans="1:21" s="305" customFormat="1" ht="16.5" customHeight="1">
      <c r="A342" s="662" t="s">
        <v>4387</v>
      </c>
      <c r="B342" s="1286" t="s">
        <v>365</v>
      </c>
      <c r="C342" s="1280" t="s">
        <v>2845</v>
      </c>
      <c r="D342" s="1312"/>
      <c r="E342" s="1851">
        <v>40</v>
      </c>
      <c r="F342" s="663"/>
      <c r="G342" s="663"/>
      <c r="H342" s="283"/>
      <c r="I342" s="289"/>
      <c r="J342" s="292"/>
      <c r="K342" s="292"/>
      <c r="L342" s="666">
        <f t="shared" si="19"/>
        <v>66</v>
      </c>
      <c r="M342" s="664">
        <v>26</v>
      </c>
      <c r="N342" s="667"/>
      <c r="O342" s="2404" t="s">
        <v>4389</v>
      </c>
      <c r="P342" s="2404" t="s">
        <v>4412</v>
      </c>
      <c r="Q342" s="2404" t="s">
        <v>4405</v>
      </c>
      <c r="S342" s="2404" t="s">
        <v>4415</v>
      </c>
    </row>
    <row r="343" spans="1:21" s="305" customFormat="1" ht="16.5" customHeight="1">
      <c r="A343" s="662" t="s">
        <v>4402</v>
      </c>
      <c r="B343" s="1286" t="s">
        <v>365</v>
      </c>
      <c r="C343" s="1280" t="s">
        <v>2845</v>
      </c>
      <c r="D343" s="1312"/>
      <c r="E343" s="1851">
        <v>50</v>
      </c>
      <c r="F343" s="663"/>
      <c r="G343" s="663"/>
      <c r="H343" s="283"/>
      <c r="I343" s="289"/>
      <c r="J343" s="292"/>
      <c r="K343" s="292"/>
      <c r="L343" s="666">
        <f t="shared" si="19"/>
        <v>76</v>
      </c>
      <c r="M343" s="664">
        <v>26</v>
      </c>
      <c r="N343" s="667"/>
      <c r="O343" s="2404" t="s">
        <v>4389</v>
      </c>
      <c r="P343" s="2404" t="s">
        <v>4412</v>
      </c>
      <c r="Q343" s="2404" t="s">
        <v>4405</v>
      </c>
      <c r="S343" s="2404" t="s">
        <v>4415</v>
      </c>
    </row>
    <row r="344" spans="1:21" s="445" customFormat="1">
      <c r="A344" s="477"/>
      <c r="B344" s="1790" t="s">
        <v>297</v>
      </c>
      <c r="C344" s="1783" t="s">
        <v>325</v>
      </c>
      <c r="D344" s="1784"/>
      <c r="E344" s="1785">
        <v>44</v>
      </c>
      <c r="F344" s="1786" t="s">
        <v>1909</v>
      </c>
      <c r="G344" s="1786"/>
      <c r="H344" s="1795"/>
      <c r="I344" s="1796"/>
      <c r="J344" s="1797"/>
      <c r="K344" s="1797"/>
      <c r="L344" s="1797">
        <v>74</v>
      </c>
      <c r="M344" s="1795">
        <v>30</v>
      </c>
      <c r="N344" s="1798">
        <v>3</v>
      </c>
      <c r="O344" s="646"/>
      <c r="P344" s="487"/>
      <c r="Q344" s="487"/>
      <c r="R344" s="487"/>
      <c r="S344" s="487"/>
      <c r="T344" s="487"/>
      <c r="U344" s="487"/>
    </row>
    <row r="345" spans="1:21" s="305" customFormat="1">
      <c r="A345" s="1315" t="s">
        <v>2858</v>
      </c>
      <c r="B345" s="1314" t="s">
        <v>365</v>
      </c>
      <c r="C345" s="1316" t="s">
        <v>1080</v>
      </c>
      <c r="D345" s="1312"/>
      <c r="E345" s="1300">
        <v>34</v>
      </c>
      <c r="F345" s="288"/>
      <c r="G345" s="288"/>
      <c r="H345" s="283"/>
      <c r="I345" s="289"/>
      <c r="J345" s="292"/>
      <c r="K345" s="292"/>
      <c r="L345" s="292">
        <v>59</v>
      </c>
      <c r="M345" s="283">
        <f>L345-E345</f>
        <v>25</v>
      </c>
      <c r="N345" s="1317">
        <v>4</v>
      </c>
      <c r="O345" s="305" t="s">
        <v>2861</v>
      </c>
    </row>
    <row r="346" spans="1:21" s="305" customFormat="1">
      <c r="A346" s="1315" t="s">
        <v>2859</v>
      </c>
      <c r="B346" s="1314" t="s">
        <v>365</v>
      </c>
      <c r="C346" s="1316" t="s">
        <v>1080</v>
      </c>
      <c r="D346" s="1312"/>
      <c r="E346" s="1300">
        <v>42</v>
      </c>
      <c r="F346" s="288"/>
      <c r="G346" s="288"/>
      <c r="H346" s="283"/>
      <c r="I346" s="289"/>
      <c r="J346" s="292"/>
      <c r="K346" s="292"/>
      <c r="L346" s="292">
        <v>68</v>
      </c>
      <c r="M346" s="283">
        <f>L346-E346</f>
        <v>26</v>
      </c>
      <c r="N346" s="1317">
        <v>4</v>
      </c>
      <c r="O346" s="305" t="s">
        <v>2861</v>
      </c>
    </row>
    <row r="347" spans="1:21" s="305" customFormat="1">
      <c r="A347" s="1315" t="s">
        <v>2860</v>
      </c>
      <c r="B347" s="1314" t="s">
        <v>365</v>
      </c>
      <c r="C347" s="1316" t="s">
        <v>1080</v>
      </c>
      <c r="D347" s="1312"/>
      <c r="E347" s="1300">
        <v>50</v>
      </c>
      <c r="F347" s="288"/>
      <c r="G347" s="288"/>
      <c r="H347" s="283"/>
      <c r="I347" s="289"/>
      <c r="J347" s="292"/>
      <c r="K347" s="292"/>
      <c r="L347" s="292">
        <v>81</v>
      </c>
      <c r="M347" s="283">
        <f>L347-E347</f>
        <v>31</v>
      </c>
      <c r="N347" s="1317">
        <v>4</v>
      </c>
      <c r="O347" s="305" t="s">
        <v>2861</v>
      </c>
    </row>
    <row r="348" spans="1:21" s="456" customFormat="1">
      <c r="A348" s="542"/>
      <c r="B348" s="1834" t="s">
        <v>1466</v>
      </c>
      <c r="C348" s="1835" t="s">
        <v>1465</v>
      </c>
      <c r="D348" s="1836"/>
      <c r="E348" s="1837"/>
      <c r="F348" s="1838" t="s">
        <v>1909</v>
      </c>
      <c r="G348" s="543"/>
      <c r="H348" s="544"/>
      <c r="I348" s="545"/>
      <c r="J348" s="546"/>
      <c r="K348" s="546"/>
      <c r="L348" s="546"/>
      <c r="M348" s="544"/>
      <c r="N348" s="631"/>
      <c r="O348" s="647"/>
      <c r="P348" s="482"/>
      <c r="Q348" s="479"/>
      <c r="R348" s="479"/>
      <c r="S348" s="479"/>
      <c r="T348" s="479"/>
      <c r="U348" s="479"/>
    </row>
    <row r="349" spans="1:21" s="305" customFormat="1">
      <c r="A349" s="662" t="s">
        <v>3897</v>
      </c>
      <c r="B349" s="1286" t="s">
        <v>237</v>
      </c>
      <c r="C349" s="1280" t="s">
        <v>577</v>
      </c>
      <c r="D349" s="1281"/>
      <c r="E349" s="1851">
        <v>39</v>
      </c>
      <c r="F349" s="288" t="s">
        <v>885</v>
      </c>
      <c r="G349" s="663" t="s">
        <v>4291</v>
      </c>
      <c r="H349" s="283"/>
      <c r="I349" s="289"/>
      <c r="J349" s="292"/>
      <c r="K349" s="292"/>
      <c r="L349" s="666">
        <f>E349+M349</f>
        <v>59</v>
      </c>
      <c r="M349" s="664">
        <v>20</v>
      </c>
      <c r="N349" s="667">
        <v>4</v>
      </c>
      <c r="O349" s="1856" t="s">
        <v>3883</v>
      </c>
      <c r="P349" s="297"/>
      <c r="Q349" s="2403" t="s">
        <v>3896</v>
      </c>
      <c r="R349" s="297"/>
      <c r="S349" s="297"/>
      <c r="T349" s="297"/>
      <c r="U349" s="297"/>
    </row>
    <row r="350" spans="1:21" s="305" customFormat="1">
      <c r="A350" s="662" t="s">
        <v>3898</v>
      </c>
      <c r="B350" s="1286" t="s">
        <v>237</v>
      </c>
      <c r="C350" s="1280" t="s">
        <v>577</v>
      </c>
      <c r="D350" s="1281"/>
      <c r="E350" s="1851">
        <v>47</v>
      </c>
      <c r="F350" s="288" t="s">
        <v>885</v>
      </c>
      <c r="G350" s="663" t="s">
        <v>4291</v>
      </c>
      <c r="H350" s="283"/>
      <c r="I350" s="289"/>
      <c r="J350" s="292"/>
      <c r="K350" s="292"/>
      <c r="L350" s="666">
        <f>E350+M350</f>
        <v>71</v>
      </c>
      <c r="M350" s="664">
        <v>24</v>
      </c>
      <c r="N350" s="667">
        <v>4</v>
      </c>
      <c r="O350" s="1856" t="s">
        <v>3883</v>
      </c>
      <c r="P350" s="297"/>
      <c r="Q350" s="2403" t="s">
        <v>3896</v>
      </c>
      <c r="R350" s="297"/>
      <c r="S350" s="297"/>
      <c r="T350" s="297"/>
      <c r="U350" s="297"/>
    </row>
    <row r="351" spans="1:21" s="770" customFormat="1">
      <c r="A351" s="765" t="s">
        <v>1760</v>
      </c>
      <c r="B351" s="1883" t="s">
        <v>237</v>
      </c>
      <c r="C351" s="1884" t="s">
        <v>578</v>
      </c>
      <c r="D351" s="1885"/>
      <c r="E351" s="1271">
        <v>42</v>
      </c>
      <c r="F351" s="1889" t="s">
        <v>4335</v>
      </c>
      <c r="G351" s="766"/>
      <c r="H351" s="767"/>
      <c r="I351" s="768"/>
      <c r="J351" s="769"/>
      <c r="K351" s="769"/>
      <c r="L351" s="769">
        <v>62</v>
      </c>
      <c r="M351" s="767">
        <f>L351-E351</f>
        <v>20</v>
      </c>
      <c r="N351" s="777">
        <v>5</v>
      </c>
      <c r="O351" s="780" t="s">
        <v>1782</v>
      </c>
      <c r="P351" s="779"/>
      <c r="Q351" s="779"/>
      <c r="R351" s="779"/>
      <c r="S351" s="779"/>
      <c r="T351" s="779"/>
      <c r="U351" s="779"/>
    </row>
    <row r="352" spans="1:21" s="770" customFormat="1">
      <c r="A352" s="771" t="s">
        <v>1761</v>
      </c>
      <c r="B352" s="1883" t="s">
        <v>237</v>
      </c>
      <c r="C352" s="1884" t="s">
        <v>578</v>
      </c>
      <c r="D352" s="1885"/>
      <c r="E352" s="1271">
        <v>45</v>
      </c>
      <c r="F352" s="1889" t="s">
        <v>4335</v>
      </c>
      <c r="G352" s="766"/>
      <c r="H352" s="767"/>
      <c r="I352" s="768"/>
      <c r="J352" s="769"/>
      <c r="K352" s="769"/>
      <c r="L352" s="769">
        <v>67</v>
      </c>
      <c r="M352" s="767">
        <f>L352-E352</f>
        <v>22</v>
      </c>
      <c r="N352" s="777">
        <v>5</v>
      </c>
      <c r="O352" s="780" t="s">
        <v>1782</v>
      </c>
      <c r="P352" s="779"/>
      <c r="Q352" s="779"/>
      <c r="R352" s="779"/>
      <c r="S352" s="779"/>
      <c r="T352" s="779"/>
      <c r="U352" s="779"/>
    </row>
    <row r="353" spans="1:26" s="770" customFormat="1">
      <c r="A353" s="771" t="s">
        <v>1762</v>
      </c>
      <c r="B353" s="1883" t="s">
        <v>237</v>
      </c>
      <c r="C353" s="1884" t="s">
        <v>578</v>
      </c>
      <c r="D353" s="1885"/>
      <c r="E353" s="1271">
        <v>49</v>
      </c>
      <c r="F353" s="1889" t="s">
        <v>4335</v>
      </c>
      <c r="G353" s="766"/>
      <c r="H353" s="767"/>
      <c r="I353" s="768"/>
      <c r="J353" s="769"/>
      <c r="K353" s="769"/>
      <c r="L353" s="769">
        <v>77</v>
      </c>
      <c r="M353" s="767">
        <f>L353-E353</f>
        <v>28</v>
      </c>
      <c r="N353" s="777">
        <v>5</v>
      </c>
      <c r="O353" s="780" t="s">
        <v>1782</v>
      </c>
      <c r="P353" s="779"/>
      <c r="Q353" s="779"/>
      <c r="R353" s="779"/>
      <c r="S353" s="779"/>
      <c r="T353" s="779"/>
      <c r="U353" s="779"/>
    </row>
    <row r="354" spans="1:26" s="770" customFormat="1">
      <c r="A354" s="765" t="s">
        <v>659</v>
      </c>
      <c r="B354" s="1883" t="s">
        <v>237</v>
      </c>
      <c r="C354" s="1884" t="s">
        <v>578</v>
      </c>
      <c r="D354" s="1885"/>
      <c r="E354" s="1271"/>
      <c r="F354" s="1889" t="s">
        <v>4335</v>
      </c>
      <c r="G354" s="767"/>
      <c r="H354" s="767"/>
      <c r="I354" s="768"/>
      <c r="J354" s="769"/>
      <c r="K354" s="769"/>
      <c r="L354" s="769"/>
      <c r="M354" s="767"/>
      <c r="N354" s="777"/>
      <c r="O354" s="778" t="s">
        <v>1763</v>
      </c>
      <c r="P354" s="779"/>
      <c r="Q354" s="779"/>
      <c r="R354" s="779"/>
      <c r="S354" s="779"/>
      <c r="T354" s="779"/>
      <c r="U354" s="779"/>
    </row>
    <row r="355" spans="1:26" s="770" customFormat="1">
      <c r="A355" s="765" t="s">
        <v>1589</v>
      </c>
      <c r="B355" s="1883" t="s">
        <v>237</v>
      </c>
      <c r="C355" s="1884" t="s">
        <v>578</v>
      </c>
      <c r="D355" s="1885"/>
      <c r="E355" s="1271" t="s">
        <v>1589</v>
      </c>
      <c r="F355" s="1889" t="s">
        <v>4335</v>
      </c>
      <c r="G355" s="767"/>
      <c r="H355" s="767"/>
      <c r="I355" s="768"/>
      <c r="J355" s="769"/>
      <c r="K355" s="769"/>
      <c r="L355" s="769"/>
      <c r="M355" s="767"/>
      <c r="N355" s="777"/>
      <c r="O355" s="780" t="s">
        <v>1759</v>
      </c>
      <c r="P355" s="779"/>
      <c r="Q355" s="779"/>
      <c r="R355" s="779"/>
      <c r="S355" s="779"/>
      <c r="T355" s="779"/>
      <c r="U355" s="779"/>
    </row>
    <row r="356" spans="1:26" s="770" customFormat="1">
      <c r="A356" s="542" t="s">
        <v>4265</v>
      </c>
      <c r="B356" s="1286" t="s">
        <v>237</v>
      </c>
      <c r="C356" s="1280" t="s">
        <v>690</v>
      </c>
      <c r="D356" s="1281"/>
      <c r="E356" s="2461">
        <v>60</v>
      </c>
      <c r="F356" t="s">
        <v>4264</v>
      </c>
      <c r="G356" s="767"/>
      <c r="H356" s="767"/>
      <c r="I356" s="768"/>
      <c r="J356" s="769"/>
      <c r="K356" s="769"/>
      <c r="L356" s="666">
        <f>M356+E356</f>
        <v>90</v>
      </c>
      <c r="M356" s="276">
        <v>30</v>
      </c>
      <c r="N356" s="632">
        <v>4.5</v>
      </c>
      <c r="O356" s="1856" t="s">
        <v>4017</v>
      </c>
      <c r="P356" s="779"/>
      <c r="Q356" s="490" t="s">
        <v>3953</v>
      </c>
      <c r="R356" s="779"/>
      <c r="S356" s="779"/>
      <c r="T356" s="779"/>
      <c r="U356" s="779"/>
    </row>
    <row r="357" spans="1:26" s="305" customFormat="1">
      <c r="A357" s="444" t="s">
        <v>38</v>
      </c>
      <c r="B357" s="1286" t="s">
        <v>237</v>
      </c>
      <c r="C357" s="1280" t="s">
        <v>690</v>
      </c>
      <c r="D357" s="1281"/>
      <c r="E357" s="1851">
        <v>45</v>
      </c>
      <c r="F357" s="663"/>
      <c r="G357" s="663" t="s">
        <v>4293</v>
      </c>
      <c r="H357" s="283"/>
      <c r="I357" s="289"/>
      <c r="J357" s="292"/>
      <c r="K357" s="292"/>
      <c r="L357" s="666">
        <f>M357+E357</f>
        <v>75</v>
      </c>
      <c r="M357" s="276">
        <v>30</v>
      </c>
      <c r="N357" s="632">
        <v>4.5</v>
      </c>
      <c r="O357" s="1856" t="s">
        <v>4017</v>
      </c>
      <c r="P357" s="2475"/>
      <c r="Q357" s="490" t="s">
        <v>3953</v>
      </c>
      <c r="R357" s="297"/>
      <c r="S357" s="297"/>
      <c r="T357" s="297"/>
      <c r="U357" s="297"/>
    </row>
    <row r="358" spans="1:26" s="688" customFormat="1" ht="16.5" customHeight="1">
      <c r="A358" s="679" t="s">
        <v>38</v>
      </c>
      <c r="B358" s="1272" t="s">
        <v>237</v>
      </c>
      <c r="C358" s="1273" t="s">
        <v>56</v>
      </c>
      <c r="D358" s="1274"/>
      <c r="E358" s="1255">
        <v>49</v>
      </c>
      <c r="F358" s="692" t="s">
        <v>4315</v>
      </c>
      <c r="G358" s="681"/>
      <c r="H358" s="693"/>
      <c r="I358" s="694">
        <v>1</v>
      </c>
      <c r="J358" s="685" t="s">
        <v>206</v>
      </c>
      <c r="K358" s="685"/>
      <c r="L358" s="685">
        <v>98</v>
      </c>
      <c r="M358" s="683">
        <v>49</v>
      </c>
      <c r="N358" s="686">
        <v>4</v>
      </c>
      <c r="O358" s="687" t="s">
        <v>1520</v>
      </c>
      <c r="Y358" s="695" t="s">
        <v>854</v>
      </c>
      <c r="Z358" s="696"/>
    </row>
    <row r="359" spans="1:26" s="688" customFormat="1" ht="16.5" customHeight="1">
      <c r="A359" s="679" t="s">
        <v>330</v>
      </c>
      <c r="B359" s="1272" t="s">
        <v>237</v>
      </c>
      <c r="C359" s="1273" t="s">
        <v>56</v>
      </c>
      <c r="D359" s="1274"/>
      <c r="E359" s="1255">
        <v>62</v>
      </c>
      <c r="F359" s="692" t="s">
        <v>4315</v>
      </c>
      <c r="G359" s="681"/>
      <c r="H359" s="693"/>
      <c r="I359" s="694">
        <v>1</v>
      </c>
      <c r="J359" s="685" t="s">
        <v>206</v>
      </c>
      <c r="K359" s="685"/>
      <c r="L359" s="685">
        <v>124</v>
      </c>
      <c r="M359" s="683">
        <v>62</v>
      </c>
      <c r="N359" s="686">
        <v>4</v>
      </c>
      <c r="O359" s="687" t="s">
        <v>1521</v>
      </c>
      <c r="Y359" s="695" t="s">
        <v>854</v>
      </c>
      <c r="Z359" s="696"/>
    </row>
    <row r="360" spans="1:26" s="688" customFormat="1">
      <c r="A360" s="679" t="s">
        <v>416</v>
      </c>
      <c r="B360" s="1272" t="s">
        <v>237</v>
      </c>
      <c r="C360" s="1273" t="s">
        <v>56</v>
      </c>
      <c r="D360" s="1274"/>
      <c r="E360" s="1255">
        <v>73</v>
      </c>
      <c r="F360" s="692" t="s">
        <v>4315</v>
      </c>
      <c r="G360" s="681"/>
      <c r="H360" s="693"/>
      <c r="I360" s="694">
        <v>1</v>
      </c>
      <c r="J360" s="685" t="s">
        <v>206</v>
      </c>
      <c r="K360" s="685"/>
      <c r="L360" s="685">
        <v>146</v>
      </c>
      <c r="M360" s="683">
        <v>73</v>
      </c>
      <c r="N360" s="686">
        <v>4</v>
      </c>
      <c r="O360" s="687" t="s">
        <v>1522</v>
      </c>
      <c r="Y360" s="695" t="s">
        <v>854</v>
      </c>
      <c r="Z360" s="696"/>
    </row>
    <row r="361" spans="1:26" s="688" customFormat="1">
      <c r="A361" s="679" t="s">
        <v>853</v>
      </c>
      <c r="B361" s="1272" t="s">
        <v>237</v>
      </c>
      <c r="C361" s="1273" t="s">
        <v>56</v>
      </c>
      <c r="D361" s="1274"/>
      <c r="E361" s="1255">
        <v>128</v>
      </c>
      <c r="F361" s="692" t="s">
        <v>4315</v>
      </c>
      <c r="G361" s="681"/>
      <c r="H361" s="693"/>
      <c r="I361" s="694">
        <v>1</v>
      </c>
      <c r="J361" s="685" t="s">
        <v>206</v>
      </c>
      <c r="K361" s="685"/>
      <c r="L361" s="685">
        <v>256</v>
      </c>
      <c r="M361" s="683">
        <v>128</v>
      </c>
      <c r="N361" s="686">
        <v>4</v>
      </c>
      <c r="O361" s="687" t="s">
        <v>1523</v>
      </c>
      <c r="Y361" s="695" t="s">
        <v>854</v>
      </c>
      <c r="Z361" s="696"/>
    </row>
    <row r="362" spans="1:26" s="305" customFormat="1">
      <c r="A362" s="662" t="s">
        <v>3996</v>
      </c>
      <c r="B362" s="1286" t="s">
        <v>237</v>
      </c>
      <c r="C362" s="1280" t="s">
        <v>845</v>
      </c>
      <c r="D362" s="1312"/>
      <c r="E362" s="1851">
        <v>64.5</v>
      </c>
      <c r="F362" s="663" t="s">
        <v>3998</v>
      </c>
      <c r="G362" s="663" t="s">
        <v>4292</v>
      </c>
      <c r="H362" s="283"/>
      <c r="I362" s="289"/>
      <c r="J362" s="292"/>
      <c r="K362" s="292"/>
      <c r="L362" s="666">
        <v>114</v>
      </c>
      <c r="M362" s="664">
        <f>L362-E362</f>
        <v>49.5</v>
      </c>
      <c r="N362" s="2398">
        <v>5</v>
      </c>
      <c r="O362" s="690"/>
      <c r="P362" s="2404" t="s">
        <v>3995</v>
      </c>
      <c r="Y362" s="297"/>
      <c r="Z362" s="297"/>
    </row>
    <row r="363" spans="1:26" s="305" customFormat="1">
      <c r="A363" s="662" t="s">
        <v>3997</v>
      </c>
      <c r="B363" s="1286" t="s">
        <v>237</v>
      </c>
      <c r="C363" s="1280" t="s">
        <v>845</v>
      </c>
      <c r="D363" s="1312"/>
      <c r="E363" s="1851">
        <v>69.5</v>
      </c>
      <c r="F363" s="663" t="s">
        <v>3998</v>
      </c>
      <c r="G363" s="663" t="s">
        <v>4292</v>
      </c>
      <c r="H363" s="283"/>
      <c r="I363" s="289"/>
      <c r="J363" s="292"/>
      <c r="K363" s="292"/>
      <c r="L363" s="666">
        <v>124</v>
      </c>
      <c r="M363" s="664">
        <f>L363-E363</f>
        <v>54.5</v>
      </c>
      <c r="N363" s="2398">
        <v>5</v>
      </c>
      <c r="O363" s="690"/>
      <c r="P363" s="2404" t="s">
        <v>3995</v>
      </c>
      <c r="Y363" s="297"/>
      <c r="Z363" s="297"/>
    </row>
    <row r="364" spans="1:26" s="305" customFormat="1">
      <c r="A364" s="662" t="s">
        <v>3999</v>
      </c>
      <c r="B364" s="1286" t="s">
        <v>237</v>
      </c>
      <c r="C364" s="1280" t="s">
        <v>845</v>
      </c>
      <c r="D364" s="1312"/>
      <c r="E364" s="1851">
        <v>74.5</v>
      </c>
      <c r="F364" s="663" t="s">
        <v>3998</v>
      </c>
      <c r="G364" s="663" t="s">
        <v>4292</v>
      </c>
      <c r="H364" s="283"/>
      <c r="I364" s="289"/>
      <c r="J364" s="292"/>
      <c r="K364" s="292"/>
      <c r="L364" s="666">
        <v>134</v>
      </c>
      <c r="M364" s="664">
        <f>L364-E364</f>
        <v>59.5</v>
      </c>
      <c r="N364" s="2398">
        <v>5</v>
      </c>
      <c r="O364" s="690"/>
      <c r="P364" s="2404" t="s">
        <v>3995</v>
      </c>
      <c r="Y364" s="297"/>
      <c r="Z364" s="297"/>
    </row>
    <row r="365" spans="1:26" s="305" customFormat="1">
      <c r="A365" s="662" t="s">
        <v>4000</v>
      </c>
      <c r="B365" s="1286" t="s">
        <v>237</v>
      </c>
      <c r="C365" s="1280" t="s">
        <v>845</v>
      </c>
      <c r="D365" s="1312"/>
      <c r="E365" s="1851">
        <v>84.5</v>
      </c>
      <c r="F365" s="663" t="s">
        <v>3998</v>
      </c>
      <c r="G365" s="663" t="s">
        <v>4292</v>
      </c>
      <c r="H365" s="283"/>
      <c r="I365" s="289"/>
      <c r="J365" s="292"/>
      <c r="K365" s="292"/>
      <c r="L365" s="666">
        <v>149</v>
      </c>
      <c r="M365" s="664">
        <f>L365-E365</f>
        <v>64.5</v>
      </c>
      <c r="N365" s="2398">
        <v>5</v>
      </c>
      <c r="O365" s="690"/>
      <c r="P365" s="2404" t="s">
        <v>3995</v>
      </c>
      <c r="Y365" s="297"/>
      <c r="Z365" s="297"/>
    </row>
    <row r="366" spans="1:26" s="305" customFormat="1">
      <c r="A366" s="1832"/>
      <c r="B366" s="1286" t="s">
        <v>1058</v>
      </c>
      <c r="C366" s="1280" t="s">
        <v>724</v>
      </c>
      <c r="D366" s="1784"/>
      <c r="E366" s="1785">
        <v>46</v>
      </c>
      <c r="F366" s="275" t="s">
        <v>4334</v>
      </c>
      <c r="G366" s="1786" t="s">
        <v>1909</v>
      </c>
      <c r="H366" s="1795"/>
      <c r="I366" s="1839">
        <v>1</v>
      </c>
      <c r="J366" s="1797" t="s">
        <v>206</v>
      </c>
      <c r="K366" s="1797"/>
      <c r="L366" s="1797">
        <v>83</v>
      </c>
      <c r="M366" s="1795">
        <v>37</v>
      </c>
      <c r="N366" s="1833"/>
      <c r="O366" s="690"/>
    </row>
    <row r="367" spans="1:26" s="305" customFormat="1">
      <c r="A367" s="1832" t="s">
        <v>6</v>
      </c>
      <c r="B367" s="1286" t="s">
        <v>1058</v>
      </c>
      <c r="C367" s="1280" t="s">
        <v>724</v>
      </c>
      <c r="D367" s="1784"/>
      <c r="E367" s="1785">
        <v>40.5</v>
      </c>
      <c r="F367" s="275" t="s">
        <v>4334</v>
      </c>
      <c r="G367" s="1786"/>
      <c r="H367" s="1795"/>
      <c r="I367" s="1839">
        <v>1</v>
      </c>
      <c r="J367" s="1797" t="s">
        <v>206</v>
      </c>
      <c r="K367" s="1797"/>
      <c r="L367" s="1797">
        <v>71</v>
      </c>
      <c r="M367" s="1795">
        <v>30.5</v>
      </c>
      <c r="N367" s="1833"/>
      <c r="O367" s="690"/>
    </row>
    <row r="368" spans="1:26" s="305" customFormat="1">
      <c r="A368" s="1832"/>
      <c r="B368" s="1790" t="s">
        <v>1058</v>
      </c>
      <c r="C368" s="1783" t="s">
        <v>298</v>
      </c>
      <c r="D368" s="1784"/>
      <c r="E368" s="1785">
        <v>35</v>
      </c>
      <c r="F368" s="1786" t="s">
        <v>1909</v>
      </c>
      <c r="G368" s="1786">
        <v>14</v>
      </c>
      <c r="H368" s="1795"/>
      <c r="I368" s="1796"/>
      <c r="J368" s="1797"/>
      <c r="K368" s="1797"/>
      <c r="L368" s="1797">
        <v>50</v>
      </c>
      <c r="M368" s="1795">
        <v>25</v>
      </c>
      <c r="N368" s="1833">
        <v>4</v>
      </c>
    </row>
    <row r="369" spans="1:21" s="688" customFormat="1">
      <c r="A369" s="679" t="s">
        <v>354</v>
      </c>
      <c r="B369" s="1272" t="s">
        <v>1058</v>
      </c>
      <c r="C369" s="1273" t="s">
        <v>299</v>
      </c>
      <c r="D369" s="1274"/>
      <c r="E369" s="1255">
        <v>42</v>
      </c>
      <c r="F369" s="681" t="s">
        <v>885</v>
      </c>
      <c r="G369" s="681"/>
      <c r="H369" s="683"/>
      <c r="I369" s="689"/>
      <c r="J369" s="685"/>
      <c r="K369" s="685"/>
      <c r="L369" s="685">
        <v>66.5</v>
      </c>
      <c r="M369" s="683">
        <v>24.5</v>
      </c>
      <c r="N369" s="706">
        <v>4</v>
      </c>
      <c r="O369" s="707"/>
      <c r="P369" s="696"/>
      <c r="Q369" s="696"/>
      <c r="R369" s="696"/>
      <c r="S369" s="696"/>
      <c r="T369" s="696"/>
      <c r="U369" s="696"/>
    </row>
    <row r="370" spans="1:21" s="688" customFormat="1">
      <c r="A370" s="679" t="s">
        <v>355</v>
      </c>
      <c r="B370" s="1272" t="s">
        <v>1058</v>
      </c>
      <c r="C370" s="1273" t="s">
        <v>299</v>
      </c>
      <c r="D370" s="1274"/>
      <c r="E370" s="1255">
        <v>35</v>
      </c>
      <c r="F370" s="681" t="s">
        <v>885</v>
      </c>
      <c r="G370" s="681"/>
      <c r="H370" s="683"/>
      <c r="I370" s="689"/>
      <c r="J370" s="685"/>
      <c r="K370" s="685"/>
      <c r="L370" s="685">
        <v>59.5</v>
      </c>
      <c r="M370" s="683">
        <v>24.5</v>
      </c>
      <c r="N370" s="706">
        <v>4</v>
      </c>
      <c r="O370" s="707"/>
      <c r="P370" s="696"/>
      <c r="Q370" s="696"/>
      <c r="R370" s="696"/>
      <c r="S370" s="696"/>
      <c r="T370" s="696"/>
      <c r="U370" s="696"/>
    </row>
    <row r="371" spans="1:21" s="688" customFormat="1">
      <c r="A371" s="662" t="s">
        <v>4390</v>
      </c>
      <c r="B371" s="1286" t="s">
        <v>1058</v>
      </c>
      <c r="C371" s="1280" t="s">
        <v>2845</v>
      </c>
      <c r="D371" s="1274"/>
      <c r="E371" s="1851">
        <v>31</v>
      </c>
      <c r="F371" s="681"/>
      <c r="G371" s="681"/>
      <c r="H371" s="683"/>
      <c r="I371" s="689"/>
      <c r="J371" s="685"/>
      <c r="K371" s="685"/>
      <c r="L371" s="666">
        <f>M371+E371</f>
        <v>57</v>
      </c>
      <c r="M371" s="664">
        <v>26</v>
      </c>
      <c r="N371" s="706"/>
      <c r="O371" s="1856" t="s">
        <v>4389</v>
      </c>
      <c r="P371" s="2403" t="s">
        <v>4396</v>
      </c>
      <c r="Q371" s="2403" t="s">
        <v>4150</v>
      </c>
      <c r="R371" s="2403"/>
      <c r="S371" s="2403" t="s">
        <v>4399</v>
      </c>
      <c r="T371" s="696"/>
      <c r="U371" s="696"/>
    </row>
    <row r="372" spans="1:21" s="688" customFormat="1">
      <c r="A372" s="662" t="s">
        <v>4391</v>
      </c>
      <c r="B372" s="1286" t="s">
        <v>1058</v>
      </c>
      <c r="C372" s="1280" t="s">
        <v>2845</v>
      </c>
      <c r="D372" s="1274"/>
      <c r="E372" s="1851">
        <v>41</v>
      </c>
      <c r="F372" s="681"/>
      <c r="G372" s="681"/>
      <c r="H372" s="683"/>
      <c r="I372" s="689"/>
      <c r="J372" s="685"/>
      <c r="K372" s="685"/>
      <c r="L372" s="666">
        <f t="shared" ref="L372:L378" si="20">M372+E372</f>
        <v>67</v>
      </c>
      <c r="M372" s="664">
        <v>26</v>
      </c>
      <c r="N372" s="706"/>
      <c r="O372" s="1856" t="s">
        <v>4389</v>
      </c>
      <c r="P372" s="2403" t="s">
        <v>4396</v>
      </c>
      <c r="Q372" s="2403" t="s">
        <v>4150</v>
      </c>
      <c r="R372" s="2403"/>
      <c r="S372" s="2403" t="s">
        <v>4399</v>
      </c>
      <c r="T372" s="696"/>
      <c r="U372" s="696"/>
    </row>
    <row r="373" spans="1:21" s="688" customFormat="1">
      <c r="A373" s="662" t="s">
        <v>4392</v>
      </c>
      <c r="B373" s="1286" t="s">
        <v>1058</v>
      </c>
      <c r="C373" s="1280" t="s">
        <v>2845</v>
      </c>
      <c r="D373" s="1274"/>
      <c r="E373" s="1851">
        <v>33</v>
      </c>
      <c r="F373" s="681"/>
      <c r="G373" s="681"/>
      <c r="H373" s="683"/>
      <c r="I373" s="689"/>
      <c r="J373" s="685"/>
      <c r="K373" s="685"/>
      <c r="L373" s="666">
        <f t="shared" si="20"/>
        <v>59</v>
      </c>
      <c r="M373" s="664">
        <v>26</v>
      </c>
      <c r="N373" s="706"/>
      <c r="O373" s="1856" t="s">
        <v>4389</v>
      </c>
      <c r="P373" s="2403" t="s">
        <v>4396</v>
      </c>
      <c r="Q373" s="2403" t="s">
        <v>4150</v>
      </c>
      <c r="R373" s="2403"/>
      <c r="S373" s="2403" t="s">
        <v>4399</v>
      </c>
      <c r="T373" s="696"/>
      <c r="U373" s="696"/>
    </row>
    <row r="374" spans="1:21" s="688" customFormat="1">
      <c r="A374" s="662" t="s">
        <v>4393</v>
      </c>
      <c r="B374" s="1286" t="s">
        <v>1058</v>
      </c>
      <c r="C374" s="1280" t="s">
        <v>2845</v>
      </c>
      <c r="D374" s="1274"/>
      <c r="E374" s="1851">
        <v>49</v>
      </c>
      <c r="F374" s="681"/>
      <c r="G374" s="681"/>
      <c r="H374" s="683"/>
      <c r="I374" s="689"/>
      <c r="J374" s="685"/>
      <c r="K374" s="685"/>
      <c r="L374" s="666">
        <f t="shared" si="20"/>
        <v>75</v>
      </c>
      <c r="M374" s="664">
        <v>26</v>
      </c>
      <c r="N374" s="706"/>
      <c r="O374" s="1856" t="s">
        <v>4389</v>
      </c>
      <c r="P374" s="2403" t="s">
        <v>4396</v>
      </c>
      <c r="Q374" s="2403" t="s">
        <v>4150</v>
      </c>
      <c r="R374" s="2403"/>
      <c r="S374" s="2403" t="s">
        <v>4399</v>
      </c>
      <c r="T374" s="696"/>
      <c r="U374" s="696"/>
    </row>
    <row r="375" spans="1:21" s="688" customFormat="1">
      <c r="A375" s="662" t="s">
        <v>4394</v>
      </c>
      <c r="B375" s="1286" t="s">
        <v>1058</v>
      </c>
      <c r="C375" s="1280" t="s">
        <v>2845</v>
      </c>
      <c r="D375" s="1274"/>
      <c r="E375" s="1851">
        <v>36</v>
      </c>
      <c r="F375" s="681"/>
      <c r="G375" s="681"/>
      <c r="H375" s="683"/>
      <c r="I375" s="689"/>
      <c r="J375" s="685"/>
      <c r="K375" s="685"/>
      <c r="L375" s="666">
        <f t="shared" si="20"/>
        <v>62</v>
      </c>
      <c r="M375" s="664">
        <v>26</v>
      </c>
      <c r="N375" s="706"/>
      <c r="O375" s="1856" t="s">
        <v>4389</v>
      </c>
      <c r="P375" s="2403" t="s">
        <v>4396</v>
      </c>
      <c r="Q375" s="2403" t="s">
        <v>4397</v>
      </c>
      <c r="R375" s="2403"/>
      <c r="S375" s="2403" t="s">
        <v>4400</v>
      </c>
      <c r="T375" s="696"/>
      <c r="U375" s="696"/>
    </row>
    <row r="376" spans="1:21" s="688" customFormat="1">
      <c r="A376" s="662" t="s">
        <v>4395</v>
      </c>
      <c r="B376" s="1286" t="s">
        <v>1058</v>
      </c>
      <c r="C376" s="1280" t="s">
        <v>2845</v>
      </c>
      <c r="D376" s="1274"/>
      <c r="E376" s="1851">
        <v>55</v>
      </c>
      <c r="F376" s="681"/>
      <c r="G376" s="681"/>
      <c r="H376" s="683"/>
      <c r="I376" s="689"/>
      <c r="J376" s="685"/>
      <c r="K376" s="685"/>
      <c r="L376" s="666">
        <f t="shared" si="20"/>
        <v>81</v>
      </c>
      <c r="M376" s="664">
        <v>26</v>
      </c>
      <c r="N376" s="706"/>
      <c r="O376" s="1856" t="s">
        <v>4389</v>
      </c>
      <c r="P376" s="2403" t="s">
        <v>4396</v>
      </c>
      <c r="Q376" s="2403" t="s">
        <v>4397</v>
      </c>
      <c r="R376" s="2403"/>
      <c r="S376" s="2403" t="s">
        <v>4400</v>
      </c>
      <c r="T376" s="696"/>
      <c r="U376" s="696"/>
    </row>
    <row r="377" spans="1:21" s="688" customFormat="1">
      <c r="A377" s="662" t="s">
        <v>4387</v>
      </c>
      <c r="B377" s="1286" t="s">
        <v>1058</v>
      </c>
      <c r="C377" s="1280" t="s">
        <v>2845</v>
      </c>
      <c r="D377" s="1274"/>
      <c r="E377" s="1851">
        <v>57</v>
      </c>
      <c r="F377" s="681"/>
      <c r="G377" s="681"/>
      <c r="H377" s="683"/>
      <c r="I377" s="689"/>
      <c r="J377" s="685"/>
      <c r="K377" s="685"/>
      <c r="L377" s="666">
        <f t="shared" si="20"/>
        <v>83</v>
      </c>
      <c r="M377" s="664">
        <v>26</v>
      </c>
      <c r="N377" s="706"/>
      <c r="O377" s="1856" t="s">
        <v>4389</v>
      </c>
      <c r="P377" s="2403" t="s">
        <v>4396</v>
      </c>
      <c r="Q377" s="2403" t="s">
        <v>4398</v>
      </c>
      <c r="R377" s="2403"/>
      <c r="S377" s="2403" t="s">
        <v>4401</v>
      </c>
      <c r="T377" s="696"/>
      <c r="U377" s="696"/>
    </row>
    <row r="378" spans="1:21" s="688" customFormat="1">
      <c r="A378" s="662" t="s">
        <v>4388</v>
      </c>
      <c r="B378" s="1286" t="s">
        <v>1058</v>
      </c>
      <c r="C378" s="1280" t="s">
        <v>2845</v>
      </c>
      <c r="D378" s="1274"/>
      <c r="E378" s="1851">
        <v>62</v>
      </c>
      <c r="F378" s="681"/>
      <c r="G378" s="681"/>
      <c r="H378" s="683"/>
      <c r="I378" s="689"/>
      <c r="J378" s="685"/>
      <c r="K378" s="685"/>
      <c r="L378" s="666">
        <f t="shared" si="20"/>
        <v>88</v>
      </c>
      <c r="M378" s="664">
        <v>26</v>
      </c>
      <c r="N378" s="706"/>
      <c r="O378" s="1856" t="s">
        <v>4389</v>
      </c>
      <c r="P378" s="2403" t="s">
        <v>4396</v>
      </c>
      <c r="Q378" s="2403" t="s">
        <v>4398</v>
      </c>
      <c r="R378" s="2403"/>
      <c r="S378" s="2403" t="s">
        <v>4401</v>
      </c>
      <c r="T378" s="696"/>
      <c r="U378" s="696"/>
    </row>
    <row r="379" spans="1:21" s="305" customFormat="1">
      <c r="A379" s="662" t="s">
        <v>3885</v>
      </c>
      <c r="B379" s="1286" t="s">
        <v>1058</v>
      </c>
      <c r="C379" s="1280" t="s">
        <v>300</v>
      </c>
      <c r="D379" s="1281"/>
      <c r="E379" s="1851">
        <v>35.5</v>
      </c>
      <c r="F379" s="288"/>
      <c r="G379" s="288"/>
      <c r="H379" s="2419">
        <v>2</v>
      </c>
      <c r="I379" s="666" t="s">
        <v>3882</v>
      </c>
      <c r="J379" s="292"/>
      <c r="K379" s="292"/>
      <c r="L379" s="666">
        <v>53.5</v>
      </c>
      <c r="M379" s="664">
        <f t="shared" ref="M379:M384" si="21">L379-E379</f>
        <v>18</v>
      </c>
      <c r="N379" s="667">
        <v>2</v>
      </c>
      <c r="O379" s="1856" t="s">
        <v>3883</v>
      </c>
      <c r="P379" s="297"/>
      <c r="Q379" s="2403" t="s">
        <v>4102</v>
      </c>
      <c r="R379" s="297"/>
      <c r="S379" s="297"/>
      <c r="T379" s="297"/>
      <c r="U379" s="297"/>
    </row>
    <row r="380" spans="1:21" s="305" customFormat="1">
      <c r="A380" s="662" t="s">
        <v>3884</v>
      </c>
      <c r="B380" s="1286" t="s">
        <v>1058</v>
      </c>
      <c r="C380" s="1280" t="s">
        <v>300</v>
      </c>
      <c r="D380" s="1281"/>
      <c r="E380" s="1851">
        <v>48</v>
      </c>
      <c r="F380" s="288"/>
      <c r="G380" s="288"/>
      <c r="H380" s="2419">
        <v>2</v>
      </c>
      <c r="I380" s="666" t="s">
        <v>3882</v>
      </c>
      <c r="J380" s="292"/>
      <c r="K380" s="292"/>
      <c r="L380" s="666">
        <v>62.5</v>
      </c>
      <c r="M380" s="664">
        <f t="shared" si="21"/>
        <v>14.5</v>
      </c>
      <c r="N380" s="667">
        <v>2</v>
      </c>
      <c r="O380" s="1856" t="s">
        <v>3883</v>
      </c>
      <c r="P380" s="297"/>
      <c r="Q380" s="2403" t="s">
        <v>4102</v>
      </c>
      <c r="R380" s="297"/>
      <c r="S380" s="297"/>
      <c r="T380" s="297"/>
      <c r="U380" s="297"/>
    </row>
    <row r="381" spans="1:21" s="305" customFormat="1">
      <c r="A381" s="662" t="s">
        <v>3886</v>
      </c>
      <c r="B381" s="1286" t="s">
        <v>1058</v>
      </c>
      <c r="C381" s="1280" t="s">
        <v>300</v>
      </c>
      <c r="D381" s="1281"/>
      <c r="E381" s="1851">
        <v>50</v>
      </c>
      <c r="F381" s="288"/>
      <c r="G381" s="288"/>
      <c r="H381" s="2419">
        <v>2</v>
      </c>
      <c r="I381" s="666" t="s">
        <v>3882</v>
      </c>
      <c r="J381" s="292"/>
      <c r="K381" s="292"/>
      <c r="L381" s="666">
        <v>65.5</v>
      </c>
      <c r="M381" s="664">
        <f t="shared" si="21"/>
        <v>15.5</v>
      </c>
      <c r="N381" s="667">
        <v>2</v>
      </c>
      <c r="O381" s="1856" t="s">
        <v>3883</v>
      </c>
      <c r="P381" s="297"/>
      <c r="Q381" s="2403" t="s">
        <v>4102</v>
      </c>
      <c r="R381" s="297"/>
      <c r="S381" s="297"/>
      <c r="T381" s="297"/>
      <c r="U381" s="297"/>
    </row>
    <row r="382" spans="1:21" s="764" customFormat="1">
      <c r="A382" s="759" t="s">
        <v>38</v>
      </c>
      <c r="B382" s="1286" t="s">
        <v>1058</v>
      </c>
      <c r="C382" s="1280" t="s">
        <v>3980</v>
      </c>
      <c r="D382" s="1282"/>
      <c r="E382" s="1283">
        <v>37</v>
      </c>
      <c r="F382" s="275" t="s">
        <v>4334</v>
      </c>
      <c r="G382" s="760"/>
      <c r="H382" s="782"/>
      <c r="I382" s="762"/>
      <c r="J382" s="763"/>
      <c r="K382" s="763"/>
      <c r="L382" s="763">
        <v>65</v>
      </c>
      <c r="M382" s="761">
        <f t="shared" si="21"/>
        <v>28</v>
      </c>
      <c r="N382" s="781">
        <v>5</v>
      </c>
      <c r="O382" s="775"/>
      <c r="P382" s="776"/>
      <c r="Q382" s="776"/>
      <c r="R382" s="776"/>
      <c r="S382" s="776"/>
      <c r="T382" s="776"/>
      <c r="U382" s="776"/>
    </row>
    <row r="383" spans="1:21" s="764" customFormat="1">
      <c r="A383" s="759" t="s">
        <v>1764</v>
      </c>
      <c r="B383" s="1286" t="s">
        <v>1058</v>
      </c>
      <c r="C383" s="1280" t="s">
        <v>3980</v>
      </c>
      <c r="D383" s="1282"/>
      <c r="E383" s="1283">
        <v>41</v>
      </c>
      <c r="F383" s="275" t="s">
        <v>4334</v>
      </c>
      <c r="G383" s="760"/>
      <c r="H383" s="761"/>
      <c r="I383" s="762"/>
      <c r="J383" s="763"/>
      <c r="K383" s="763"/>
      <c r="L383" s="763">
        <v>69</v>
      </c>
      <c r="M383" s="761">
        <f t="shared" si="21"/>
        <v>28</v>
      </c>
      <c r="N383" s="781">
        <v>5</v>
      </c>
      <c r="O383" s="775"/>
      <c r="P383" s="776"/>
      <c r="Q383" s="776"/>
      <c r="R383" s="776"/>
      <c r="S383" s="776"/>
      <c r="T383" s="776"/>
      <c r="U383" s="776"/>
    </row>
    <row r="384" spans="1:21" s="764" customFormat="1">
      <c r="A384" s="783" t="s">
        <v>1765</v>
      </c>
      <c r="B384" s="1286" t="s">
        <v>1058</v>
      </c>
      <c r="C384" s="1280" t="s">
        <v>3980</v>
      </c>
      <c r="D384" s="1282"/>
      <c r="E384" s="1283">
        <v>45</v>
      </c>
      <c r="F384" s="275" t="s">
        <v>4334</v>
      </c>
      <c r="G384" s="772"/>
      <c r="H384" s="772"/>
      <c r="I384" s="773"/>
      <c r="J384" s="773"/>
      <c r="K384" s="773"/>
      <c r="L384" s="773">
        <v>73</v>
      </c>
      <c r="M384" s="761">
        <f t="shared" si="21"/>
        <v>28</v>
      </c>
      <c r="N384" s="774">
        <v>5</v>
      </c>
      <c r="O384" s="775"/>
      <c r="P384" s="776"/>
      <c r="Q384" s="776"/>
      <c r="R384" s="776"/>
      <c r="S384" s="776"/>
      <c r="T384" s="776"/>
      <c r="U384" s="776"/>
    </row>
    <row r="385" spans="1:26" s="305" customFormat="1">
      <c r="A385" s="1781"/>
      <c r="B385" s="1790" t="s">
        <v>301</v>
      </c>
      <c r="C385" s="1783" t="s">
        <v>1484</v>
      </c>
      <c r="D385" s="1784"/>
      <c r="E385" s="1785">
        <v>42.5</v>
      </c>
      <c r="F385" s="1786" t="s">
        <v>1909</v>
      </c>
      <c r="G385" s="1787" t="s">
        <v>420</v>
      </c>
      <c r="H385" s="1787"/>
      <c r="I385" s="1801"/>
      <c r="J385" s="1801"/>
      <c r="K385" s="1801"/>
      <c r="L385" s="1801">
        <v>57</v>
      </c>
      <c r="M385" s="1787">
        <v>14.5</v>
      </c>
      <c r="N385" s="1789">
        <v>2.5</v>
      </c>
      <c r="O385" s="645"/>
      <c r="P385" s="297"/>
      <c r="Q385" s="297"/>
      <c r="R385" s="297"/>
      <c r="S385" s="297"/>
      <c r="T385" s="297"/>
      <c r="U385" s="297"/>
    </row>
    <row r="386" spans="1:26" s="688" customFormat="1">
      <c r="A386" s="662" t="s">
        <v>4237</v>
      </c>
      <c r="B386" s="1286" t="s">
        <v>1472</v>
      </c>
      <c r="C386" s="1280" t="s">
        <v>1473</v>
      </c>
      <c r="D386" s="1274"/>
      <c r="E386" s="1851">
        <v>99</v>
      </c>
      <c r="F386" s="663" t="s">
        <v>4236</v>
      </c>
      <c r="G386" s="681"/>
      <c r="H386" s="683"/>
      <c r="I386" s="289" t="s">
        <v>4635</v>
      </c>
      <c r="J386" s="685"/>
      <c r="K386" s="685"/>
      <c r="L386" s="666">
        <f>E386+M386</f>
        <v>129</v>
      </c>
      <c r="M386" s="664">
        <v>30</v>
      </c>
      <c r="N386" s="706"/>
      <c r="O386" s="1856" t="s">
        <v>4024</v>
      </c>
      <c r="P386" s="2403" t="s">
        <v>4027</v>
      </c>
      <c r="Q386" s="2403" t="s">
        <v>4240</v>
      </c>
      <c r="R386" s="696"/>
      <c r="S386" s="696"/>
      <c r="T386" s="696"/>
      <c r="U386" s="696"/>
    </row>
    <row r="387" spans="1:26" s="688" customFormat="1">
      <c r="A387" s="662" t="s">
        <v>4238</v>
      </c>
      <c r="B387" s="1286" t="s">
        <v>1472</v>
      </c>
      <c r="C387" s="1280" t="s">
        <v>1473</v>
      </c>
      <c r="D387" s="1274"/>
      <c r="E387" s="1851">
        <v>112</v>
      </c>
      <c r="F387" s="663" t="s">
        <v>4236</v>
      </c>
      <c r="G387" s="681"/>
      <c r="H387" s="683"/>
      <c r="I387" s="689"/>
      <c r="J387" s="685"/>
      <c r="K387" s="685"/>
      <c r="L387" s="666">
        <f>E387+M387</f>
        <v>142</v>
      </c>
      <c r="M387" s="664">
        <v>30</v>
      </c>
      <c r="N387" s="706"/>
      <c r="O387" s="1856" t="s">
        <v>4024</v>
      </c>
      <c r="P387" s="2403" t="s">
        <v>4027</v>
      </c>
      <c r="Q387" s="2403" t="s">
        <v>4240</v>
      </c>
      <c r="R387" s="696"/>
      <c r="S387" s="696"/>
      <c r="T387" s="696"/>
      <c r="U387" s="696"/>
    </row>
    <row r="388" spans="1:26" s="688" customFormat="1">
      <c r="A388" s="662" t="s">
        <v>4239</v>
      </c>
      <c r="B388" s="1286" t="s">
        <v>1472</v>
      </c>
      <c r="C388" s="1280" t="s">
        <v>1473</v>
      </c>
      <c r="D388" s="1274"/>
      <c r="E388" s="1851">
        <v>121</v>
      </c>
      <c r="F388" s="663" t="s">
        <v>4236</v>
      </c>
      <c r="G388" s="663" t="s">
        <v>4241</v>
      </c>
      <c r="H388" s="683"/>
      <c r="I388" s="689"/>
      <c r="J388" s="685"/>
      <c r="K388" s="685"/>
      <c r="L388" s="666">
        <f>E388+M388</f>
        <v>151</v>
      </c>
      <c r="M388" s="664">
        <v>30</v>
      </c>
      <c r="N388" s="706"/>
      <c r="O388" s="1856" t="s">
        <v>4024</v>
      </c>
      <c r="P388" s="2403" t="s">
        <v>4027</v>
      </c>
      <c r="Q388" s="2403" t="s">
        <v>3817</v>
      </c>
      <c r="R388" s="696"/>
      <c r="S388" s="696"/>
      <c r="T388" s="696"/>
      <c r="U388" s="696"/>
    </row>
    <row r="389" spans="1:26" s="688" customFormat="1">
      <c r="A389" s="662" t="s">
        <v>4426</v>
      </c>
      <c r="B389" s="1286" t="s">
        <v>4425</v>
      </c>
      <c r="C389" s="1280" t="s">
        <v>2845</v>
      </c>
      <c r="D389" s="1274"/>
      <c r="E389" s="1851">
        <v>36</v>
      </c>
      <c r="F389" s="663"/>
      <c r="G389" s="663"/>
      <c r="H389" s="683"/>
      <c r="I389" s="689"/>
      <c r="J389" s="685"/>
      <c r="K389" s="685"/>
      <c r="L389" s="666">
        <f t="shared" ref="L389:L394" si="22">E389+M389</f>
        <v>62</v>
      </c>
      <c r="M389" s="664">
        <v>26</v>
      </c>
      <c r="N389" s="706"/>
      <c r="O389" s="1856" t="s">
        <v>4422</v>
      </c>
      <c r="P389" s="2403" t="s">
        <v>4435</v>
      </c>
      <c r="Q389" s="2403" t="s">
        <v>4130</v>
      </c>
      <c r="R389" s="696"/>
      <c r="S389" s="2403" t="s">
        <v>4399</v>
      </c>
      <c r="T389" s="696"/>
      <c r="U389" s="696"/>
    </row>
    <row r="390" spans="1:26" s="688" customFormat="1">
      <c r="A390" s="662" t="s">
        <v>4427</v>
      </c>
      <c r="B390" s="1286" t="s">
        <v>4425</v>
      </c>
      <c r="C390" s="1280" t="s">
        <v>2845</v>
      </c>
      <c r="D390" s="1274"/>
      <c r="E390" s="1851">
        <v>46</v>
      </c>
      <c r="F390" s="663"/>
      <c r="G390" s="663"/>
      <c r="H390" s="683"/>
      <c r="I390" s="689"/>
      <c r="J390" s="685"/>
      <c r="K390" s="685"/>
      <c r="L390" s="666">
        <f t="shared" si="22"/>
        <v>72</v>
      </c>
      <c r="M390" s="664">
        <v>26</v>
      </c>
      <c r="N390" s="706"/>
      <c r="O390" s="1856" t="s">
        <v>4434</v>
      </c>
      <c r="P390" s="2403" t="s">
        <v>4436</v>
      </c>
      <c r="Q390" s="2403" t="s">
        <v>4130</v>
      </c>
      <c r="R390" s="696"/>
      <c r="S390" s="2403" t="s">
        <v>4399</v>
      </c>
      <c r="T390" s="696"/>
      <c r="U390" s="696"/>
    </row>
    <row r="391" spans="1:26" s="688" customFormat="1">
      <c r="A391" s="662" t="s">
        <v>4428</v>
      </c>
      <c r="B391" s="1286" t="s">
        <v>4425</v>
      </c>
      <c r="C391" s="1280" t="s">
        <v>2845</v>
      </c>
      <c r="D391" s="1274"/>
      <c r="E391" s="1851">
        <v>40</v>
      </c>
      <c r="F391" s="663"/>
      <c r="G391" s="663"/>
      <c r="H391" s="683"/>
      <c r="I391" s="689"/>
      <c r="J391" s="685"/>
      <c r="K391" s="685"/>
      <c r="L391" s="666">
        <f t="shared" si="22"/>
        <v>66</v>
      </c>
      <c r="M391" s="664">
        <v>26</v>
      </c>
      <c r="N391" s="706"/>
      <c r="O391" s="1856" t="s">
        <v>4432</v>
      </c>
      <c r="P391" s="2403" t="s">
        <v>4437</v>
      </c>
      <c r="Q391" s="2403" t="s">
        <v>4441</v>
      </c>
      <c r="R391" s="696"/>
      <c r="S391" s="2403" t="s">
        <v>4400</v>
      </c>
      <c r="T391" s="696"/>
      <c r="U391" s="696"/>
    </row>
    <row r="392" spans="1:26" s="688" customFormat="1">
      <c r="A392" s="662" t="s">
        <v>4429</v>
      </c>
      <c r="B392" s="1286" t="s">
        <v>4425</v>
      </c>
      <c r="C392" s="1280" t="s">
        <v>2845</v>
      </c>
      <c r="D392" s="1274"/>
      <c r="E392" s="1851">
        <v>50</v>
      </c>
      <c r="F392" s="663"/>
      <c r="G392" s="663"/>
      <c r="H392" s="683"/>
      <c r="I392" s="689"/>
      <c r="J392" s="685"/>
      <c r="K392" s="685"/>
      <c r="L392" s="666">
        <f t="shared" si="22"/>
        <v>76</v>
      </c>
      <c r="M392" s="664">
        <v>26</v>
      </c>
      <c r="N392" s="706"/>
      <c r="O392" s="1856" t="s">
        <v>4434</v>
      </c>
      <c r="P392" s="2403" t="s">
        <v>4438</v>
      </c>
      <c r="Q392" s="2403" t="s">
        <v>4441</v>
      </c>
      <c r="R392" s="696"/>
      <c r="S392" s="2403" t="s">
        <v>4400</v>
      </c>
      <c r="T392" s="696"/>
      <c r="U392" s="696"/>
    </row>
    <row r="393" spans="1:26" s="688" customFormat="1">
      <c r="A393" s="662" t="s">
        <v>4430</v>
      </c>
      <c r="B393" s="1286" t="s">
        <v>4425</v>
      </c>
      <c r="C393" s="1280" t="s">
        <v>2845</v>
      </c>
      <c r="D393" s="1274"/>
      <c r="E393" s="1851">
        <v>72</v>
      </c>
      <c r="F393" s="663"/>
      <c r="G393" s="663"/>
      <c r="H393" s="683"/>
      <c r="I393" s="689"/>
      <c r="J393" s="685"/>
      <c r="K393" s="685"/>
      <c r="L393" s="666">
        <f t="shared" si="22"/>
        <v>98</v>
      </c>
      <c r="M393" s="664">
        <v>26</v>
      </c>
      <c r="N393" s="706"/>
      <c r="O393" s="1856" t="s">
        <v>4433</v>
      </c>
      <c r="P393" s="2403" t="s">
        <v>4439</v>
      </c>
      <c r="Q393" s="2403" t="s">
        <v>4442</v>
      </c>
      <c r="R393" s="696"/>
      <c r="S393" s="2403" t="s">
        <v>4401</v>
      </c>
      <c r="T393" s="696"/>
      <c r="U393" s="696"/>
    </row>
    <row r="394" spans="1:26" s="688" customFormat="1">
      <c r="A394" s="662" t="s">
        <v>4431</v>
      </c>
      <c r="B394" s="1286" t="s">
        <v>4425</v>
      </c>
      <c r="C394" s="1280" t="s">
        <v>2845</v>
      </c>
      <c r="D394" s="1274"/>
      <c r="E394" s="1851">
        <v>62</v>
      </c>
      <c r="F394" s="663"/>
      <c r="G394" s="663"/>
      <c r="H394" s="683"/>
      <c r="I394" s="689"/>
      <c r="J394" s="685"/>
      <c r="K394" s="685"/>
      <c r="L394" s="666">
        <f t="shared" si="22"/>
        <v>88</v>
      </c>
      <c r="M394" s="664">
        <v>26</v>
      </c>
      <c r="N394" s="706"/>
      <c r="O394" s="1856" t="s">
        <v>4434</v>
      </c>
      <c r="P394" s="2403" t="s">
        <v>4440</v>
      </c>
      <c r="Q394" s="2403" t="s">
        <v>4442</v>
      </c>
      <c r="R394" s="696"/>
      <c r="S394" s="2403" t="s">
        <v>4401</v>
      </c>
      <c r="T394" s="696"/>
      <c r="U394" s="696"/>
    </row>
    <row r="395" spans="1:26" s="688" customFormat="1">
      <c r="A395" s="662" t="s">
        <v>3404</v>
      </c>
      <c r="B395" s="1286" t="s">
        <v>1758</v>
      </c>
      <c r="C395" s="1280" t="s">
        <v>3797</v>
      </c>
      <c r="D395" s="1281"/>
      <c r="E395" s="1851">
        <v>92.5</v>
      </c>
      <c r="F395" s="663" t="s">
        <v>3799</v>
      </c>
      <c r="G395" s="663" t="s">
        <v>4294</v>
      </c>
      <c r="H395" s="1852">
        <v>1.5</v>
      </c>
      <c r="I395" s="1853" t="s">
        <v>206</v>
      </c>
      <c r="J395" s="685"/>
      <c r="K395" s="685"/>
      <c r="L395" s="666">
        <v>130</v>
      </c>
      <c r="M395" s="1852">
        <f>L395-E395</f>
        <v>37.5</v>
      </c>
      <c r="N395" s="669">
        <v>4</v>
      </c>
      <c r="O395" s="1855"/>
      <c r="P395" s="2403" t="s">
        <v>3746</v>
      </c>
      <c r="Q395" s="1856" t="s">
        <v>2765</v>
      </c>
      <c r="R395" s="696"/>
      <c r="S395" s="696"/>
      <c r="T395" s="696"/>
      <c r="U395" s="696"/>
    </row>
    <row r="396" spans="1:26" s="764" customFormat="1">
      <c r="A396" s="1854" t="s">
        <v>3405</v>
      </c>
      <c r="B396" s="1286" t="s">
        <v>1758</v>
      </c>
      <c r="C396" s="1280" t="s">
        <v>3798</v>
      </c>
      <c r="D396" s="1281"/>
      <c r="E396" s="1851">
        <v>97.5</v>
      </c>
      <c r="F396" s="663" t="s">
        <v>3799</v>
      </c>
      <c r="G396" s="663" t="s">
        <v>4294</v>
      </c>
      <c r="H396" s="1852">
        <v>1.5</v>
      </c>
      <c r="I396" s="1853" t="s">
        <v>206</v>
      </c>
      <c r="J396" s="1801"/>
      <c r="K396" s="1801"/>
      <c r="L396" s="1853">
        <v>140</v>
      </c>
      <c r="M396" s="1852">
        <f>L396-E396</f>
        <v>42.5</v>
      </c>
      <c r="N396" s="669">
        <v>4</v>
      </c>
      <c r="O396" s="1855"/>
      <c r="P396" s="2403" t="s">
        <v>3746</v>
      </c>
      <c r="Q396" s="1856" t="s">
        <v>2765</v>
      </c>
      <c r="R396" s="776"/>
      <c r="S396" s="776"/>
      <c r="T396" s="776"/>
      <c r="U396" s="776"/>
    </row>
    <row r="397" spans="1:26" s="445" customFormat="1" ht="16.5" customHeight="1">
      <c r="A397" s="2814" t="s">
        <v>1127</v>
      </c>
      <c r="B397" s="2815"/>
      <c r="C397" s="2815"/>
      <c r="D397" s="2815"/>
      <c r="E397" s="2815"/>
      <c r="F397" s="2815"/>
      <c r="G397" s="2815"/>
      <c r="H397" s="2815"/>
      <c r="I397" s="2815"/>
      <c r="J397" s="2815"/>
      <c r="K397" s="2815"/>
      <c r="L397" s="2815"/>
      <c r="M397" s="2815"/>
      <c r="N397" s="2816"/>
      <c r="O397" s="646"/>
      <c r="P397" s="487"/>
      <c r="Q397" s="487"/>
      <c r="R397" s="487"/>
      <c r="S397" s="487"/>
      <c r="T397" s="487"/>
      <c r="U397" s="487"/>
      <c r="Y397" s="488" t="s">
        <v>854</v>
      </c>
      <c r="Z397" s="487"/>
    </row>
    <row r="398" spans="1:26" s="688" customFormat="1">
      <c r="A398" s="679" t="s">
        <v>38</v>
      </c>
      <c r="B398" s="1272" t="s">
        <v>473</v>
      </c>
      <c r="C398" s="1273" t="s">
        <v>579</v>
      </c>
      <c r="D398" s="1274"/>
      <c r="E398" s="1255">
        <v>27</v>
      </c>
      <c r="F398" s="275" t="s">
        <v>4637</v>
      </c>
      <c r="G398" s="681"/>
      <c r="H398" s="288"/>
      <c r="I398" s="689"/>
      <c r="J398" s="685"/>
      <c r="K398" s="685"/>
      <c r="L398" s="689">
        <v>28</v>
      </c>
      <c r="M398" s="681"/>
      <c r="N398" s="706">
        <v>3</v>
      </c>
      <c r="O398" s="707"/>
      <c r="P398" s="696"/>
      <c r="Q398" s="696"/>
      <c r="R398" s="696"/>
      <c r="S398" s="696"/>
      <c r="T398" s="696"/>
      <c r="U398" s="696"/>
      <c r="V398" s="681" t="s">
        <v>4</v>
      </c>
    </row>
    <row r="399" spans="1:26" s="688" customFormat="1">
      <c r="A399" s="679" t="s">
        <v>580</v>
      </c>
      <c r="B399" s="1272" t="s">
        <v>473</v>
      </c>
      <c r="C399" s="1273" t="s">
        <v>579</v>
      </c>
      <c r="D399" s="1274"/>
      <c r="E399" s="1255">
        <v>32</v>
      </c>
      <c r="F399" s="275" t="s">
        <v>4637</v>
      </c>
      <c r="G399" s="681"/>
      <c r="H399" s="288"/>
      <c r="I399" s="689"/>
      <c r="J399" s="685"/>
      <c r="K399" s="685"/>
      <c r="L399" s="689">
        <v>36</v>
      </c>
      <c r="M399" s="681"/>
      <c r="N399" s="706">
        <v>3</v>
      </c>
      <c r="O399" s="707"/>
      <c r="P399" s="696"/>
      <c r="Q399" s="696"/>
      <c r="R399" s="696"/>
      <c r="S399" s="696"/>
      <c r="T399" s="696"/>
      <c r="U399" s="696"/>
      <c r="V399" s="681" t="s">
        <v>4</v>
      </c>
    </row>
    <row r="400" spans="1:26" s="688" customFormat="1">
      <c r="A400" s="679" t="s">
        <v>228</v>
      </c>
      <c r="B400" s="1272" t="s">
        <v>473</v>
      </c>
      <c r="C400" s="1273" t="s">
        <v>579</v>
      </c>
      <c r="D400" s="1274"/>
      <c r="E400" s="1255">
        <v>37</v>
      </c>
      <c r="F400" s="275" t="s">
        <v>4637</v>
      </c>
      <c r="G400" s="681"/>
      <c r="H400" s="288"/>
      <c r="I400" s="689"/>
      <c r="J400" s="685"/>
      <c r="K400" s="685"/>
      <c r="L400" s="689">
        <v>41</v>
      </c>
      <c r="M400" s="681"/>
      <c r="N400" s="706">
        <v>3</v>
      </c>
      <c r="O400" s="707"/>
      <c r="P400" s="696"/>
      <c r="Q400" s="696"/>
      <c r="R400" s="696"/>
      <c r="S400" s="696"/>
      <c r="T400" s="696"/>
      <c r="U400" s="696"/>
      <c r="V400" s="681" t="s">
        <v>4</v>
      </c>
    </row>
    <row r="401" spans="1:21" s="456" customFormat="1">
      <c r="A401" s="679" t="s">
        <v>1919</v>
      </c>
      <c r="B401" s="1272" t="s">
        <v>473</v>
      </c>
      <c r="C401" s="1287" t="s">
        <v>724</v>
      </c>
      <c r="D401" s="1274"/>
      <c r="E401" s="1255">
        <v>32</v>
      </c>
      <c r="F401" s="681" t="s">
        <v>1992</v>
      </c>
      <c r="G401" s="681"/>
      <c r="H401" s="683"/>
      <c r="I401" s="689"/>
      <c r="J401" s="685"/>
      <c r="K401" s="685"/>
      <c r="L401" s="689">
        <v>58</v>
      </c>
      <c r="M401" s="681">
        <v>26</v>
      </c>
      <c r="N401" s="632">
        <v>5</v>
      </c>
      <c r="O401" s="707"/>
      <c r="P401" s="479"/>
      <c r="Q401" s="479"/>
      <c r="R401" s="479"/>
      <c r="S401" s="479"/>
      <c r="T401" s="479"/>
      <c r="U401" s="479"/>
    </row>
    <row r="402" spans="1:21" s="456" customFormat="1">
      <c r="A402" s="679" t="s">
        <v>1920</v>
      </c>
      <c r="B402" s="1272" t="s">
        <v>473</v>
      </c>
      <c r="C402" s="1287" t="s">
        <v>724</v>
      </c>
      <c r="D402" s="1274"/>
      <c r="E402" s="1255">
        <v>34</v>
      </c>
      <c r="F402" s="681" t="s">
        <v>1992</v>
      </c>
      <c r="G402" s="681"/>
      <c r="H402" s="683"/>
      <c r="I402" s="689"/>
      <c r="J402" s="685"/>
      <c r="K402" s="685"/>
      <c r="L402" s="689">
        <v>58</v>
      </c>
      <c r="M402" s="681">
        <v>26</v>
      </c>
      <c r="N402" s="632">
        <v>5</v>
      </c>
      <c r="O402" s="707"/>
      <c r="P402" s="479"/>
      <c r="Q402" s="479"/>
      <c r="R402" s="479"/>
      <c r="S402" s="479"/>
      <c r="T402" s="479"/>
      <c r="U402" s="479"/>
    </row>
    <row r="403" spans="1:21" s="456" customFormat="1">
      <c r="A403" s="679" t="s">
        <v>1922</v>
      </c>
      <c r="B403" s="1272" t="s">
        <v>473</v>
      </c>
      <c r="C403" s="1287" t="s">
        <v>724</v>
      </c>
      <c r="D403" s="1274"/>
      <c r="E403" s="1255">
        <v>35</v>
      </c>
      <c r="F403" s="681" t="s">
        <v>1992</v>
      </c>
      <c r="G403" s="681"/>
      <c r="H403" s="683"/>
      <c r="I403" s="689"/>
      <c r="J403" s="685"/>
      <c r="K403" s="685"/>
      <c r="L403" s="689">
        <v>64</v>
      </c>
      <c r="M403" s="681">
        <v>29</v>
      </c>
      <c r="N403" s="632">
        <v>5</v>
      </c>
      <c r="O403" s="707"/>
      <c r="P403" s="479"/>
      <c r="Q403" s="479"/>
      <c r="R403" s="479"/>
      <c r="S403" s="479"/>
      <c r="T403" s="479"/>
      <c r="U403" s="479"/>
    </row>
    <row r="404" spans="1:21" s="456" customFormat="1">
      <c r="A404" s="679" t="s">
        <v>1923</v>
      </c>
      <c r="B404" s="1272" t="s">
        <v>473</v>
      </c>
      <c r="C404" s="1287" t="s">
        <v>724</v>
      </c>
      <c r="D404" s="1274"/>
      <c r="E404" s="1255">
        <v>42</v>
      </c>
      <c r="F404" s="681" t="s">
        <v>1992</v>
      </c>
      <c r="G404" s="681"/>
      <c r="H404" s="683"/>
      <c r="I404" s="689"/>
      <c r="J404" s="685"/>
      <c r="K404" s="685"/>
      <c r="L404" s="689">
        <v>76</v>
      </c>
      <c r="M404" s="681">
        <v>34</v>
      </c>
      <c r="N404" s="632">
        <v>5</v>
      </c>
      <c r="O404" s="707"/>
      <c r="P404" s="479"/>
      <c r="Q404" s="479"/>
      <c r="R404" s="479"/>
      <c r="S404" s="479"/>
      <c r="T404" s="479"/>
      <c r="U404" s="479"/>
    </row>
    <row r="405" spans="1:21" s="305" customFormat="1">
      <c r="A405" s="662" t="s">
        <v>3851</v>
      </c>
      <c r="B405" s="1286" t="s">
        <v>473</v>
      </c>
      <c r="C405" s="2413" t="s">
        <v>605</v>
      </c>
      <c r="D405" s="1312"/>
      <c r="E405" s="1851">
        <v>15</v>
      </c>
      <c r="F405" s="663" t="s">
        <v>1784</v>
      </c>
      <c r="G405" s="663" t="s">
        <v>3857</v>
      </c>
      <c r="H405" s="283"/>
      <c r="I405" s="665" t="s">
        <v>3856</v>
      </c>
      <c r="J405" s="292"/>
      <c r="K405" s="666" t="s">
        <v>3859</v>
      </c>
      <c r="L405" s="665">
        <v>26</v>
      </c>
      <c r="M405" s="663">
        <f t="shared" ref="M405:M412" si="23">L405-E405</f>
        <v>11</v>
      </c>
      <c r="N405" s="634" t="s">
        <v>884</v>
      </c>
      <c r="O405" s="1856" t="s">
        <v>3883</v>
      </c>
      <c r="P405" s="1856" t="s">
        <v>3860</v>
      </c>
      <c r="Q405" s="2403" t="s">
        <v>3858</v>
      </c>
      <c r="R405" s="297"/>
      <c r="S405" s="297"/>
      <c r="T405" s="297"/>
      <c r="U405" s="297"/>
    </row>
    <row r="406" spans="1:21" s="305" customFormat="1">
      <c r="A406" s="662" t="s">
        <v>3853</v>
      </c>
      <c r="B406" s="1286" t="s">
        <v>473</v>
      </c>
      <c r="C406" s="2413" t="s">
        <v>605</v>
      </c>
      <c r="D406" s="1312"/>
      <c r="E406" s="1851">
        <v>17</v>
      </c>
      <c r="F406" s="663" t="s">
        <v>1784</v>
      </c>
      <c r="G406" s="663" t="s">
        <v>3857</v>
      </c>
      <c r="H406" s="283"/>
      <c r="I406" s="665" t="s">
        <v>3856</v>
      </c>
      <c r="J406" s="292"/>
      <c r="K406" s="666" t="s">
        <v>3859</v>
      </c>
      <c r="L406" s="665">
        <v>30</v>
      </c>
      <c r="M406" s="663">
        <f t="shared" si="23"/>
        <v>13</v>
      </c>
      <c r="N406" s="634" t="s">
        <v>884</v>
      </c>
      <c r="O406" s="1856" t="s">
        <v>3883</v>
      </c>
      <c r="P406" s="1856" t="s">
        <v>3860</v>
      </c>
      <c r="Q406" s="2403" t="s">
        <v>3858</v>
      </c>
      <c r="R406" s="297"/>
      <c r="S406" s="297"/>
      <c r="T406" s="297"/>
      <c r="U406" s="297"/>
    </row>
    <row r="407" spans="1:21" s="305" customFormat="1">
      <c r="A407" s="662" t="s">
        <v>3852</v>
      </c>
      <c r="B407" s="1286" t="s">
        <v>473</v>
      </c>
      <c r="C407" s="2413" t="s">
        <v>605</v>
      </c>
      <c r="D407" s="1312"/>
      <c r="E407" s="1851">
        <v>22</v>
      </c>
      <c r="F407" s="663" t="s">
        <v>1784</v>
      </c>
      <c r="G407" s="663" t="s">
        <v>3857</v>
      </c>
      <c r="H407" s="283"/>
      <c r="I407" s="665" t="s">
        <v>3856</v>
      </c>
      <c r="J407" s="292"/>
      <c r="K407" s="666" t="s">
        <v>3859</v>
      </c>
      <c r="L407" s="665">
        <v>37</v>
      </c>
      <c r="M407" s="663">
        <f t="shared" si="23"/>
        <v>15</v>
      </c>
      <c r="N407" s="634" t="s">
        <v>884</v>
      </c>
      <c r="O407" s="1856" t="s">
        <v>3883</v>
      </c>
      <c r="P407" s="1856" t="s">
        <v>3860</v>
      </c>
      <c r="Q407" s="2403" t="s">
        <v>3858</v>
      </c>
      <c r="R407" s="297"/>
      <c r="S407" s="297"/>
      <c r="T407" s="297"/>
      <c r="U407" s="297"/>
    </row>
    <row r="408" spans="1:21" s="305" customFormat="1">
      <c r="A408" s="662" t="s">
        <v>3854</v>
      </c>
      <c r="B408" s="1286" t="s">
        <v>473</v>
      </c>
      <c r="C408" s="2413" t="s">
        <v>605</v>
      </c>
      <c r="D408" s="1312"/>
      <c r="E408" s="1851">
        <v>27</v>
      </c>
      <c r="F408" s="663" t="s">
        <v>1784</v>
      </c>
      <c r="G408" s="663" t="s">
        <v>3857</v>
      </c>
      <c r="H408" s="283"/>
      <c r="I408" s="665" t="s">
        <v>3856</v>
      </c>
      <c r="J408" s="292"/>
      <c r="K408" s="666" t="s">
        <v>3859</v>
      </c>
      <c r="L408" s="665">
        <v>45</v>
      </c>
      <c r="M408" s="663">
        <f t="shared" si="23"/>
        <v>18</v>
      </c>
      <c r="N408" s="634" t="s">
        <v>884</v>
      </c>
      <c r="O408" s="1856" t="s">
        <v>3883</v>
      </c>
      <c r="P408" s="1856" t="s">
        <v>3860</v>
      </c>
      <c r="Q408" s="2403" t="s">
        <v>3858</v>
      </c>
      <c r="R408" s="297"/>
      <c r="S408" s="297"/>
      <c r="T408" s="297"/>
      <c r="U408" s="297"/>
    </row>
    <row r="409" spans="1:21" s="305" customFormat="1">
      <c r="A409" s="662" t="s">
        <v>3855</v>
      </c>
      <c r="B409" s="1286" t="s">
        <v>473</v>
      </c>
      <c r="C409" s="2413" t="s">
        <v>605</v>
      </c>
      <c r="D409" s="1312"/>
      <c r="E409" s="1851">
        <v>50</v>
      </c>
      <c r="F409" s="663" t="s">
        <v>2683</v>
      </c>
      <c r="G409" s="663" t="s">
        <v>3857</v>
      </c>
      <c r="H409" s="283"/>
      <c r="I409" s="665" t="s">
        <v>3856</v>
      </c>
      <c r="J409" s="292"/>
      <c r="K409" s="666" t="s">
        <v>3859</v>
      </c>
      <c r="L409" s="665">
        <v>90</v>
      </c>
      <c r="M409" s="663">
        <f t="shared" si="23"/>
        <v>40</v>
      </c>
      <c r="N409" s="634" t="s">
        <v>884</v>
      </c>
      <c r="O409" s="1856" t="s">
        <v>3883</v>
      </c>
      <c r="P409" s="1856" t="s">
        <v>3860</v>
      </c>
      <c r="Q409" s="2403" t="s">
        <v>3858</v>
      </c>
      <c r="R409" s="297"/>
      <c r="S409" s="297"/>
      <c r="T409" s="297"/>
      <c r="U409" s="297"/>
    </row>
    <row r="410" spans="1:21" s="688" customFormat="1">
      <c r="A410" s="662" t="s">
        <v>4356</v>
      </c>
      <c r="B410" s="1286" t="s">
        <v>473</v>
      </c>
      <c r="C410" s="2413" t="s">
        <v>1051</v>
      </c>
      <c r="D410" s="1274"/>
      <c r="E410" s="1851">
        <v>27</v>
      </c>
      <c r="F410" s="681"/>
      <c r="G410" s="681"/>
      <c r="H410" s="683"/>
      <c r="I410" s="689"/>
      <c r="J410" s="685"/>
      <c r="K410" s="685"/>
      <c r="L410" s="665">
        <v>47</v>
      </c>
      <c r="M410" s="663">
        <f t="shared" si="23"/>
        <v>20</v>
      </c>
      <c r="N410" s="667">
        <v>4</v>
      </c>
      <c r="O410" s="1856" t="s">
        <v>3880</v>
      </c>
      <c r="P410" s="2403" t="s">
        <v>4456</v>
      </c>
      <c r="Q410" s="696"/>
      <c r="R410" s="696"/>
      <c r="S410" s="696"/>
      <c r="T410" s="696"/>
      <c r="U410" s="696"/>
    </row>
    <row r="411" spans="1:21" s="688" customFormat="1">
      <c r="A411" s="662" t="s">
        <v>4454</v>
      </c>
      <c r="B411" s="1286" t="s">
        <v>473</v>
      </c>
      <c r="C411" s="2413" t="s">
        <v>1051</v>
      </c>
      <c r="D411" s="1274"/>
      <c r="E411" s="1851">
        <v>32</v>
      </c>
      <c r="F411" s="681"/>
      <c r="G411" s="681"/>
      <c r="H411" s="683"/>
      <c r="I411" s="689"/>
      <c r="J411" s="685"/>
      <c r="K411" s="685"/>
      <c r="L411" s="665">
        <v>54</v>
      </c>
      <c r="M411" s="663">
        <f t="shared" si="23"/>
        <v>22</v>
      </c>
      <c r="N411" s="667">
        <v>4</v>
      </c>
      <c r="O411" s="1856" t="s">
        <v>4148</v>
      </c>
      <c r="P411" s="2403" t="s">
        <v>4457</v>
      </c>
      <c r="Q411" s="696"/>
      <c r="R411" s="696"/>
      <c r="S411" s="696"/>
      <c r="T411" s="696"/>
      <c r="U411" s="696"/>
    </row>
    <row r="412" spans="1:21" s="688" customFormat="1">
      <c r="A412" s="662" t="s">
        <v>4455</v>
      </c>
      <c r="B412" s="1286" t="s">
        <v>473</v>
      </c>
      <c r="C412" s="2413" t="s">
        <v>1051</v>
      </c>
      <c r="D412" s="1274"/>
      <c r="E412" s="1851">
        <v>37</v>
      </c>
      <c r="F412" s="681"/>
      <c r="G412" s="681"/>
      <c r="H412" s="683"/>
      <c r="I412" s="689"/>
      <c r="J412" s="685"/>
      <c r="K412" s="685"/>
      <c r="L412" s="665">
        <v>64</v>
      </c>
      <c r="M412" s="663">
        <f t="shared" si="23"/>
        <v>27</v>
      </c>
      <c r="N412" s="667">
        <v>4</v>
      </c>
      <c r="O412" s="1856" t="s">
        <v>3880</v>
      </c>
      <c r="P412" s="2403" t="s">
        <v>4458</v>
      </c>
      <c r="Q412" s="696"/>
      <c r="R412" s="696"/>
      <c r="S412" s="696"/>
      <c r="T412" s="696"/>
      <c r="U412" s="696"/>
    </row>
    <row r="413" spans="1:21" s="305" customFormat="1">
      <c r="A413" s="1315" t="s">
        <v>2641</v>
      </c>
      <c r="B413" s="1314" t="s">
        <v>473</v>
      </c>
      <c r="C413" s="1323" t="s">
        <v>494</v>
      </c>
      <c r="D413" s="1312"/>
      <c r="E413" s="1300">
        <v>25</v>
      </c>
      <c r="F413" s="288"/>
      <c r="G413" s="288" t="s">
        <v>1783</v>
      </c>
      <c r="H413" s="283"/>
      <c r="I413" s="289"/>
      <c r="J413" s="292"/>
      <c r="K413" s="292"/>
      <c r="L413" s="289">
        <f>E413+M413</f>
        <v>45</v>
      </c>
      <c r="M413" s="288">
        <v>20</v>
      </c>
      <c r="N413" s="634">
        <v>2</v>
      </c>
      <c r="O413" s="648" t="s">
        <v>2634</v>
      </c>
      <c r="P413" s="648" t="s">
        <v>2644</v>
      </c>
      <c r="Q413" s="297"/>
      <c r="R413" s="297"/>
      <c r="S413" s="297"/>
      <c r="T413" s="297"/>
      <c r="U413" s="297"/>
    </row>
    <row r="414" spans="1:21" s="305" customFormat="1">
      <c r="A414" s="1315" t="s">
        <v>604</v>
      </c>
      <c r="B414" s="1314" t="s">
        <v>473</v>
      </c>
      <c r="C414" s="1323" t="s">
        <v>494</v>
      </c>
      <c r="D414" s="1312"/>
      <c r="E414" s="1300">
        <v>30</v>
      </c>
      <c r="F414" s="288"/>
      <c r="G414" s="288" t="s">
        <v>1783</v>
      </c>
      <c r="H414" s="283"/>
      <c r="I414" s="289"/>
      <c r="J414" s="292"/>
      <c r="K414" s="292"/>
      <c r="L414" s="289">
        <f>E414+M414</f>
        <v>55</v>
      </c>
      <c r="M414" s="288">
        <v>25</v>
      </c>
      <c r="N414" s="634">
        <v>2</v>
      </c>
      <c r="O414" s="648" t="s">
        <v>2634</v>
      </c>
      <c r="P414" s="648" t="s">
        <v>2644</v>
      </c>
      <c r="Q414" s="297"/>
      <c r="R414" s="297"/>
      <c r="S414" s="297"/>
      <c r="T414" s="297"/>
      <c r="U414" s="297"/>
    </row>
    <row r="415" spans="1:21" s="305" customFormat="1">
      <c r="A415" s="1315" t="s">
        <v>2642</v>
      </c>
      <c r="B415" s="1314" t="s">
        <v>473</v>
      </c>
      <c r="C415" s="1323" t="s">
        <v>494</v>
      </c>
      <c r="D415" s="1312"/>
      <c r="E415" s="1300">
        <v>35</v>
      </c>
      <c r="F415" s="288"/>
      <c r="G415" s="288" t="s">
        <v>1783</v>
      </c>
      <c r="H415" s="283"/>
      <c r="I415" s="289"/>
      <c r="J415" s="292"/>
      <c r="K415" s="292"/>
      <c r="L415" s="289">
        <f>E415+M415</f>
        <v>60</v>
      </c>
      <c r="M415" s="288">
        <v>25</v>
      </c>
      <c r="N415" s="634">
        <v>25</v>
      </c>
      <c r="O415" s="648" t="s">
        <v>2634</v>
      </c>
      <c r="P415" s="648" t="s">
        <v>2644</v>
      </c>
      <c r="Q415" s="297"/>
      <c r="R415" s="297"/>
      <c r="S415" s="297"/>
      <c r="T415" s="297"/>
      <c r="U415" s="297"/>
    </row>
    <row r="416" spans="1:21" s="305" customFormat="1">
      <c r="A416" s="1315" t="s">
        <v>2643</v>
      </c>
      <c r="B416" s="1314" t="s">
        <v>473</v>
      </c>
      <c r="C416" s="1323" t="s">
        <v>494</v>
      </c>
      <c r="D416" s="1312"/>
      <c r="E416" s="1300">
        <v>40</v>
      </c>
      <c r="F416" s="288"/>
      <c r="G416" s="288" t="s">
        <v>1783</v>
      </c>
      <c r="H416" s="283"/>
      <c r="I416" s="289"/>
      <c r="J416" s="292"/>
      <c r="K416" s="292"/>
      <c r="L416" s="289">
        <f>E416+M416</f>
        <v>70</v>
      </c>
      <c r="M416" s="288">
        <v>30</v>
      </c>
      <c r="N416" s="634">
        <v>2</v>
      </c>
      <c r="O416" s="648" t="s">
        <v>2634</v>
      </c>
      <c r="P416" s="648" t="s">
        <v>2644</v>
      </c>
      <c r="Q416" s="297"/>
      <c r="R416" s="297"/>
      <c r="S416" s="297"/>
      <c r="T416" s="297"/>
      <c r="U416" s="297"/>
    </row>
    <row r="417" spans="1:21" s="305" customFormat="1">
      <c r="A417" s="1315"/>
      <c r="B417" s="1286" t="s">
        <v>473</v>
      </c>
      <c r="C417" s="2413" t="s">
        <v>400</v>
      </c>
      <c r="D417" s="1312"/>
      <c r="E417" s="1300"/>
      <c r="F417" s="663" t="s">
        <v>4333</v>
      </c>
      <c r="G417" s="288"/>
      <c r="H417" s="283"/>
      <c r="I417" s="289"/>
      <c r="J417" s="292"/>
      <c r="K417" s="292"/>
      <c r="L417" s="289"/>
      <c r="M417" s="288"/>
      <c r="N417" s="634"/>
      <c r="O417" s="648"/>
      <c r="P417" s="302"/>
      <c r="Q417" s="2403" t="s">
        <v>3953</v>
      </c>
      <c r="R417" s="297"/>
      <c r="S417" s="2403" t="s">
        <v>4332</v>
      </c>
      <c r="T417" s="297"/>
      <c r="U417" s="297"/>
    </row>
    <row r="418" spans="1:21" s="688" customFormat="1">
      <c r="A418" s="679" t="s">
        <v>38</v>
      </c>
      <c r="B418" s="1272" t="s">
        <v>473</v>
      </c>
      <c r="C418" s="1287" t="s">
        <v>582</v>
      </c>
      <c r="D418" s="1274"/>
      <c r="E418" s="1255">
        <v>27</v>
      </c>
      <c r="F418" s="275" t="s">
        <v>4637</v>
      </c>
      <c r="G418" s="681"/>
      <c r="H418" s="288"/>
      <c r="I418" s="689"/>
      <c r="J418" s="685"/>
      <c r="K418" s="685"/>
      <c r="L418" s="689">
        <v>34</v>
      </c>
      <c r="M418" s="681"/>
      <c r="N418" s="706">
        <v>3</v>
      </c>
      <c r="O418" s="707"/>
      <c r="P418" s="696"/>
      <c r="Q418" s="696"/>
      <c r="R418" s="696"/>
      <c r="S418" s="696"/>
      <c r="T418" s="696"/>
      <c r="U418" s="696"/>
    </row>
    <row r="419" spans="1:21" s="688" customFormat="1">
      <c r="A419" s="679" t="s">
        <v>580</v>
      </c>
      <c r="B419" s="1272" t="s">
        <v>473</v>
      </c>
      <c r="C419" s="1287" t="s">
        <v>582</v>
      </c>
      <c r="D419" s="1274"/>
      <c r="E419" s="1255">
        <v>32</v>
      </c>
      <c r="F419" s="275" t="s">
        <v>4637</v>
      </c>
      <c r="G419" s="681"/>
      <c r="H419" s="288"/>
      <c r="I419" s="689"/>
      <c r="J419" s="685"/>
      <c r="K419" s="685"/>
      <c r="L419" s="689">
        <v>44</v>
      </c>
      <c r="M419" s="681"/>
      <c r="N419" s="706">
        <v>3</v>
      </c>
      <c r="O419" s="707"/>
      <c r="P419" s="696"/>
      <c r="Q419" s="696"/>
      <c r="R419" s="696"/>
      <c r="S419" s="696"/>
      <c r="T419" s="696"/>
      <c r="U419" s="696"/>
    </row>
    <row r="420" spans="1:21" s="688" customFormat="1">
      <c r="A420" s="679" t="s">
        <v>228</v>
      </c>
      <c r="B420" s="1272" t="s">
        <v>473</v>
      </c>
      <c r="C420" s="1287" t="s">
        <v>582</v>
      </c>
      <c r="D420" s="1274"/>
      <c r="E420" s="1255">
        <v>37</v>
      </c>
      <c r="F420" s="275" t="s">
        <v>4637</v>
      </c>
      <c r="G420" s="681"/>
      <c r="H420" s="288"/>
      <c r="I420" s="689"/>
      <c r="J420" s="685"/>
      <c r="K420" s="685"/>
      <c r="L420" s="689">
        <v>50</v>
      </c>
      <c r="M420" s="681"/>
      <c r="N420" s="706">
        <v>3</v>
      </c>
      <c r="O420" s="707"/>
      <c r="P420" s="696"/>
      <c r="Q420" s="696"/>
      <c r="R420" s="696"/>
      <c r="S420" s="696"/>
      <c r="T420" s="696"/>
      <c r="U420" s="696"/>
    </row>
    <row r="421" spans="1:21" s="305" customFormat="1">
      <c r="A421" s="1315" t="s">
        <v>2732</v>
      </c>
      <c r="B421" s="1314" t="s">
        <v>473</v>
      </c>
      <c r="C421" s="1323" t="s">
        <v>1753</v>
      </c>
      <c r="D421" s="1312"/>
      <c r="E421" s="1300">
        <v>22</v>
      </c>
      <c r="F421" s="288"/>
      <c r="G421" s="288"/>
      <c r="H421" s="283"/>
      <c r="I421" s="289"/>
      <c r="J421" s="292"/>
      <c r="K421" s="292"/>
      <c r="L421" s="289">
        <f t="shared" ref="L421:L431" si="24">M421+E421</f>
        <v>38</v>
      </c>
      <c r="M421" s="288">
        <v>16</v>
      </c>
      <c r="N421" s="634"/>
      <c r="O421" s="648"/>
      <c r="P421" s="297"/>
      <c r="Q421" s="297"/>
      <c r="R421" s="297"/>
      <c r="S421" s="297"/>
      <c r="T421" s="297"/>
      <c r="U421" s="297"/>
    </row>
    <row r="422" spans="1:21" s="305" customFormat="1">
      <c r="A422" s="1315" t="s">
        <v>2733</v>
      </c>
      <c r="B422" s="1314" t="s">
        <v>473</v>
      </c>
      <c r="C422" s="1323" t="s">
        <v>1753</v>
      </c>
      <c r="D422" s="1312"/>
      <c r="E422" s="1300">
        <v>25</v>
      </c>
      <c r="F422" s="288"/>
      <c r="G422" s="288"/>
      <c r="H422" s="283"/>
      <c r="I422" s="289"/>
      <c r="J422" s="292"/>
      <c r="K422" s="292"/>
      <c r="L422" s="289">
        <f t="shared" si="24"/>
        <v>41</v>
      </c>
      <c r="M422" s="288">
        <v>16</v>
      </c>
      <c r="N422" s="634"/>
      <c r="O422" s="648"/>
      <c r="P422" s="297"/>
      <c r="Q422" s="297"/>
      <c r="R422" s="297"/>
      <c r="S422" s="297"/>
      <c r="T422" s="297"/>
      <c r="U422" s="297"/>
    </row>
    <row r="423" spans="1:21" s="305" customFormat="1">
      <c r="A423" s="1315" t="s">
        <v>2734</v>
      </c>
      <c r="B423" s="1314" t="s">
        <v>473</v>
      </c>
      <c r="C423" s="1323" t="s">
        <v>1753</v>
      </c>
      <c r="D423" s="1312"/>
      <c r="E423" s="1300">
        <v>31</v>
      </c>
      <c r="F423" s="288"/>
      <c r="G423" s="288"/>
      <c r="H423" s="283"/>
      <c r="I423" s="289"/>
      <c r="J423" s="292"/>
      <c r="K423" s="292"/>
      <c r="L423" s="289">
        <f t="shared" si="24"/>
        <v>47</v>
      </c>
      <c r="M423" s="288">
        <v>16</v>
      </c>
      <c r="N423" s="634"/>
      <c r="O423" s="648"/>
      <c r="P423" s="297"/>
      <c r="Q423" s="297"/>
      <c r="R423" s="297"/>
      <c r="S423" s="297"/>
      <c r="T423" s="297"/>
      <c r="U423" s="297"/>
    </row>
    <row r="424" spans="1:21" s="305" customFormat="1">
      <c r="A424" s="1315" t="s">
        <v>38</v>
      </c>
      <c r="B424" s="1286" t="s">
        <v>473</v>
      </c>
      <c r="C424" s="1280" t="s">
        <v>21</v>
      </c>
      <c r="D424" s="1312"/>
      <c r="E424" s="1300">
        <v>27</v>
      </c>
      <c r="F424" s="275" t="s">
        <v>4637</v>
      </c>
      <c r="G424" s="288"/>
      <c r="H424" s="288"/>
      <c r="I424" s="289"/>
      <c r="J424" s="292"/>
      <c r="K424" s="292"/>
      <c r="L424" s="289">
        <f t="shared" si="24"/>
        <v>54</v>
      </c>
      <c r="M424" s="288">
        <v>27</v>
      </c>
      <c r="N424" s="634">
        <v>3</v>
      </c>
      <c r="O424" s="648" t="s">
        <v>2865</v>
      </c>
      <c r="P424" s="297"/>
      <c r="Q424" s="297"/>
      <c r="R424" s="297"/>
      <c r="S424" s="297"/>
      <c r="T424" s="297"/>
      <c r="U424" s="297"/>
    </row>
    <row r="425" spans="1:21" s="305" customFormat="1">
      <c r="A425" s="1315" t="s">
        <v>2863</v>
      </c>
      <c r="B425" s="1286" t="s">
        <v>473</v>
      </c>
      <c r="C425" s="1280" t="s">
        <v>21</v>
      </c>
      <c r="D425" s="1312"/>
      <c r="E425" s="1300">
        <v>40</v>
      </c>
      <c r="F425" s="275" t="s">
        <v>4637</v>
      </c>
      <c r="G425" s="288"/>
      <c r="H425" s="288"/>
      <c r="I425" s="289"/>
      <c r="J425" s="292"/>
      <c r="K425" s="292"/>
      <c r="L425" s="289">
        <f t="shared" si="24"/>
        <v>80</v>
      </c>
      <c r="M425" s="288">
        <v>40</v>
      </c>
      <c r="N425" s="634">
        <v>3</v>
      </c>
      <c r="O425" s="648" t="s">
        <v>2865</v>
      </c>
      <c r="P425" s="297"/>
      <c r="Q425" s="297"/>
      <c r="R425" s="297"/>
      <c r="S425" s="297"/>
      <c r="T425" s="297"/>
      <c r="U425" s="297"/>
    </row>
    <row r="426" spans="1:21" s="305" customFormat="1">
      <c r="A426" s="1315" t="s">
        <v>2864</v>
      </c>
      <c r="B426" s="1286" t="s">
        <v>473</v>
      </c>
      <c r="C426" s="1280" t="s">
        <v>21</v>
      </c>
      <c r="D426" s="1312"/>
      <c r="E426" s="1300">
        <v>52</v>
      </c>
      <c r="F426" s="275" t="s">
        <v>4637</v>
      </c>
      <c r="G426" s="288"/>
      <c r="H426" s="288"/>
      <c r="I426" s="289"/>
      <c r="J426" s="292"/>
      <c r="K426" s="292"/>
      <c r="L426" s="289">
        <f t="shared" si="24"/>
        <v>94</v>
      </c>
      <c r="M426" s="288">
        <v>42</v>
      </c>
      <c r="N426" s="634">
        <v>3</v>
      </c>
      <c r="O426" s="648" t="s">
        <v>2865</v>
      </c>
      <c r="P426" s="297"/>
      <c r="Q426" s="297"/>
      <c r="R426" s="297"/>
      <c r="S426" s="297"/>
      <c r="T426" s="297"/>
      <c r="U426" s="297"/>
    </row>
    <row r="427" spans="1:21" s="305" customFormat="1">
      <c r="A427" s="1315" t="s">
        <v>1524</v>
      </c>
      <c r="B427" s="1286" t="s">
        <v>473</v>
      </c>
      <c r="C427" s="1280" t="s">
        <v>21</v>
      </c>
      <c r="D427" s="1312"/>
      <c r="E427" s="1300">
        <v>43</v>
      </c>
      <c r="F427" s="275" t="s">
        <v>4637</v>
      </c>
      <c r="G427" s="288"/>
      <c r="H427" s="288"/>
      <c r="I427" s="289"/>
      <c r="J427" s="292"/>
      <c r="K427" s="292"/>
      <c r="L427" s="289">
        <f t="shared" si="24"/>
        <v>80</v>
      </c>
      <c r="M427" s="288">
        <v>37</v>
      </c>
      <c r="N427" s="634">
        <v>3</v>
      </c>
      <c r="O427" s="648" t="s">
        <v>2865</v>
      </c>
      <c r="P427" s="297"/>
      <c r="Q427" s="297"/>
      <c r="R427" s="297"/>
      <c r="S427" s="297"/>
      <c r="T427" s="297"/>
      <c r="U427" s="297"/>
    </row>
    <row r="428" spans="1:21" s="305" customFormat="1">
      <c r="A428" s="662" t="s">
        <v>3810</v>
      </c>
      <c r="B428" s="1286" t="s">
        <v>473</v>
      </c>
      <c r="C428" s="1280" t="s">
        <v>3438</v>
      </c>
      <c r="D428" s="1312"/>
      <c r="E428" s="1851">
        <v>36</v>
      </c>
      <c r="F428" s="288"/>
      <c r="G428" s="663" t="s">
        <v>3811</v>
      </c>
      <c r="H428" s="283"/>
      <c r="I428" s="665" t="s">
        <v>3418</v>
      </c>
      <c r="J428" s="292"/>
      <c r="K428" s="292"/>
      <c r="L428" s="666">
        <f t="shared" si="24"/>
        <v>65.5</v>
      </c>
      <c r="M428" s="663">
        <v>29.5</v>
      </c>
      <c r="N428" s="667">
        <v>7</v>
      </c>
      <c r="O428" s="1856" t="s">
        <v>3957</v>
      </c>
      <c r="P428" s="1856" t="s">
        <v>3439</v>
      </c>
      <c r="Q428" s="2403" t="s">
        <v>3817</v>
      </c>
      <c r="R428" s="297"/>
      <c r="S428" s="297"/>
      <c r="T428" s="297"/>
      <c r="U428" s="297"/>
    </row>
    <row r="429" spans="1:21" s="305" customFormat="1">
      <c r="A429" s="662" t="s">
        <v>3812</v>
      </c>
      <c r="B429" s="1286" t="s">
        <v>473</v>
      </c>
      <c r="C429" s="1280" t="s">
        <v>3438</v>
      </c>
      <c r="D429" s="1312"/>
      <c r="E429" s="1851">
        <v>43</v>
      </c>
      <c r="F429" s="288"/>
      <c r="G429" s="663" t="s">
        <v>3815</v>
      </c>
      <c r="H429" s="283"/>
      <c r="I429" s="665" t="s">
        <v>3418</v>
      </c>
      <c r="J429" s="292"/>
      <c r="K429" s="292"/>
      <c r="L429" s="666">
        <f t="shared" si="24"/>
        <v>78</v>
      </c>
      <c r="M429" s="663">
        <v>35</v>
      </c>
      <c r="N429" s="667">
        <v>7</v>
      </c>
      <c r="O429" s="1856" t="s">
        <v>3957</v>
      </c>
      <c r="P429" s="1856" t="s">
        <v>3439</v>
      </c>
      <c r="Q429" s="2403" t="s">
        <v>3817</v>
      </c>
      <c r="R429" s="297"/>
      <c r="S429" s="297"/>
      <c r="T429" s="297"/>
      <c r="U429" s="297"/>
    </row>
    <row r="430" spans="1:21" s="305" customFormat="1">
      <c r="A430" s="662" t="s">
        <v>3813</v>
      </c>
      <c r="B430" s="1286" t="s">
        <v>473</v>
      </c>
      <c r="C430" s="1280" t="s">
        <v>3438</v>
      </c>
      <c r="D430" s="1312"/>
      <c r="E430" s="1851">
        <v>40</v>
      </c>
      <c r="F430" s="288"/>
      <c r="G430" s="663" t="s">
        <v>3815</v>
      </c>
      <c r="H430" s="283"/>
      <c r="I430" s="665" t="s">
        <v>3418</v>
      </c>
      <c r="J430" s="292"/>
      <c r="K430" s="292"/>
      <c r="L430" s="666">
        <f t="shared" si="24"/>
        <v>74</v>
      </c>
      <c r="M430" s="663">
        <v>34</v>
      </c>
      <c r="N430" s="667">
        <v>7</v>
      </c>
      <c r="O430" s="1856" t="s">
        <v>3957</v>
      </c>
      <c r="P430" s="1856" t="s">
        <v>3439</v>
      </c>
      <c r="Q430" s="2403" t="s">
        <v>3817</v>
      </c>
      <c r="R430" s="297"/>
      <c r="S430" s="297"/>
      <c r="T430" s="297"/>
      <c r="U430" s="297"/>
    </row>
    <row r="431" spans="1:21" s="305" customFormat="1">
      <c r="A431" s="662" t="s">
        <v>3814</v>
      </c>
      <c r="B431" s="1286" t="s">
        <v>473</v>
      </c>
      <c r="C431" s="1280" t="s">
        <v>3438</v>
      </c>
      <c r="D431" s="1312"/>
      <c r="E431" s="1851">
        <v>52</v>
      </c>
      <c r="F431" s="288"/>
      <c r="G431" s="663" t="s">
        <v>3816</v>
      </c>
      <c r="H431" s="283"/>
      <c r="I431" s="665" t="s">
        <v>3418</v>
      </c>
      <c r="J431" s="292"/>
      <c r="K431" s="292"/>
      <c r="L431" s="666">
        <f t="shared" si="24"/>
        <v>98</v>
      </c>
      <c r="M431" s="663">
        <v>46</v>
      </c>
      <c r="N431" s="667">
        <v>7</v>
      </c>
      <c r="O431" s="1856" t="s">
        <v>3957</v>
      </c>
      <c r="P431" s="1856" t="s">
        <v>3439</v>
      </c>
      <c r="Q431" s="2403" t="s">
        <v>3817</v>
      </c>
      <c r="R431" s="297"/>
      <c r="S431" s="297"/>
      <c r="T431" s="297"/>
      <c r="U431" s="297"/>
    </row>
    <row r="432" spans="1:21" s="305" customFormat="1">
      <c r="A432" s="679" t="s">
        <v>1924</v>
      </c>
      <c r="B432" s="1272" t="s">
        <v>473</v>
      </c>
      <c r="C432" s="1273" t="s">
        <v>323</v>
      </c>
      <c r="D432" s="1274"/>
      <c r="E432" s="1255">
        <v>89.5</v>
      </c>
      <c r="F432" s="681" t="s">
        <v>1992</v>
      </c>
      <c r="G432" s="681"/>
      <c r="H432" s="683"/>
      <c r="I432" s="689"/>
      <c r="J432" s="685"/>
      <c r="K432" s="685"/>
      <c r="L432" s="689">
        <f>89.5+79.5</f>
        <v>169</v>
      </c>
      <c r="M432" s="681">
        <v>79.5</v>
      </c>
      <c r="N432" s="686">
        <v>5</v>
      </c>
      <c r="O432" s="707"/>
    </row>
    <row r="433" spans="1:21" s="305" customFormat="1">
      <c r="A433" s="679" t="s">
        <v>1921</v>
      </c>
      <c r="B433" s="1272" t="s">
        <v>473</v>
      </c>
      <c r="C433" s="1273" t="s">
        <v>323</v>
      </c>
      <c r="D433" s="1274"/>
      <c r="E433" s="1255">
        <v>62.5</v>
      </c>
      <c r="F433" s="681" t="s">
        <v>1992</v>
      </c>
      <c r="G433" s="681"/>
      <c r="H433" s="683"/>
      <c r="I433" s="689"/>
      <c r="J433" s="685"/>
      <c r="K433" s="685"/>
      <c r="L433" s="689">
        <f>62.5+52.5</f>
        <v>115</v>
      </c>
      <c r="M433" s="681">
        <v>52.5</v>
      </c>
      <c r="N433" s="686">
        <v>5</v>
      </c>
      <c r="O433" s="707"/>
    </row>
    <row r="434" spans="1:21" s="688" customFormat="1">
      <c r="A434" s="679" t="s">
        <v>38</v>
      </c>
      <c r="B434" s="1272" t="s">
        <v>473</v>
      </c>
      <c r="C434" s="1273" t="s">
        <v>583</v>
      </c>
      <c r="D434" s="1274"/>
      <c r="E434" s="1255">
        <v>35</v>
      </c>
      <c r="F434" s="275" t="s">
        <v>4637</v>
      </c>
      <c r="G434" s="681"/>
      <c r="H434" s="288"/>
      <c r="I434" s="689"/>
      <c r="J434" s="685"/>
      <c r="K434" s="685"/>
      <c r="L434" s="689">
        <v>58</v>
      </c>
      <c r="M434" s="681"/>
      <c r="N434" s="706">
        <v>3</v>
      </c>
      <c r="O434" s="707"/>
      <c r="P434" s="696"/>
      <c r="Q434" s="696"/>
      <c r="R434" s="696"/>
      <c r="S434" s="696"/>
      <c r="T434" s="696"/>
      <c r="U434" s="696"/>
    </row>
    <row r="435" spans="1:21" s="688" customFormat="1">
      <c r="A435" s="679" t="s">
        <v>580</v>
      </c>
      <c r="B435" s="1272" t="s">
        <v>473</v>
      </c>
      <c r="C435" s="1273" t="s">
        <v>583</v>
      </c>
      <c r="D435" s="1274"/>
      <c r="E435" s="1255">
        <v>42</v>
      </c>
      <c r="F435" s="275" t="s">
        <v>4637</v>
      </c>
      <c r="G435" s="681"/>
      <c r="H435" s="288"/>
      <c r="I435" s="689"/>
      <c r="J435" s="685"/>
      <c r="K435" s="685"/>
      <c r="L435" s="689">
        <v>68</v>
      </c>
      <c r="M435" s="681"/>
      <c r="N435" s="706">
        <v>3</v>
      </c>
      <c r="O435" s="707"/>
      <c r="P435" s="696"/>
      <c r="Q435" s="696"/>
      <c r="R435" s="696"/>
      <c r="S435" s="696"/>
      <c r="T435" s="696"/>
      <c r="U435" s="696"/>
    </row>
    <row r="436" spans="1:21" s="688" customFormat="1">
      <c r="A436" s="679" t="s">
        <v>228</v>
      </c>
      <c r="B436" s="1272" t="s">
        <v>473</v>
      </c>
      <c r="C436" s="1273" t="s">
        <v>583</v>
      </c>
      <c r="D436" s="1274"/>
      <c r="E436" s="1255">
        <v>50</v>
      </c>
      <c r="F436" s="275" t="s">
        <v>4637</v>
      </c>
      <c r="G436" s="681"/>
      <c r="H436" s="288"/>
      <c r="I436" s="689"/>
      <c r="J436" s="685"/>
      <c r="K436" s="685"/>
      <c r="L436" s="689">
        <v>81</v>
      </c>
      <c r="M436" s="681"/>
      <c r="N436" s="706">
        <v>3</v>
      </c>
      <c r="O436" s="707"/>
      <c r="P436" s="696"/>
      <c r="Q436" s="696"/>
      <c r="R436" s="696"/>
      <c r="S436" s="696"/>
      <c r="T436" s="696"/>
      <c r="U436" s="696"/>
    </row>
    <row r="437" spans="1:21" s="688" customFormat="1">
      <c r="A437" s="679" t="s">
        <v>38</v>
      </c>
      <c r="B437" s="1272" t="s">
        <v>473</v>
      </c>
      <c r="C437" s="1273" t="s">
        <v>584</v>
      </c>
      <c r="D437" s="1274"/>
      <c r="E437" s="1255">
        <v>35</v>
      </c>
      <c r="F437" s="275" t="s">
        <v>4637</v>
      </c>
      <c r="G437" s="681"/>
      <c r="H437" s="288"/>
      <c r="I437" s="689"/>
      <c r="J437" s="685"/>
      <c r="K437" s="685"/>
      <c r="L437" s="689">
        <v>58</v>
      </c>
      <c r="M437" s="681"/>
      <c r="N437" s="706">
        <v>3</v>
      </c>
      <c r="O437" s="707"/>
      <c r="P437" s="696"/>
      <c r="Q437" s="696"/>
      <c r="R437" s="696"/>
      <c r="S437" s="696"/>
      <c r="T437" s="696"/>
      <c r="U437" s="696"/>
    </row>
    <row r="438" spans="1:21" s="688" customFormat="1">
      <c r="A438" s="679" t="s">
        <v>580</v>
      </c>
      <c r="B438" s="1272" t="s">
        <v>473</v>
      </c>
      <c r="C438" s="1273" t="s">
        <v>584</v>
      </c>
      <c r="D438" s="1274"/>
      <c r="E438" s="1255">
        <v>42</v>
      </c>
      <c r="F438" s="275" t="s">
        <v>4637</v>
      </c>
      <c r="G438" s="681"/>
      <c r="H438" s="288"/>
      <c r="I438" s="689"/>
      <c r="J438" s="685"/>
      <c r="K438" s="685"/>
      <c r="L438" s="689">
        <v>68</v>
      </c>
      <c r="M438" s="681"/>
      <c r="N438" s="706">
        <v>3</v>
      </c>
      <c r="O438" s="707"/>
      <c r="P438" s="696"/>
      <c r="Q438" s="696"/>
      <c r="R438" s="696"/>
      <c r="S438" s="696"/>
      <c r="T438" s="696"/>
      <c r="U438" s="696"/>
    </row>
    <row r="439" spans="1:21" s="688" customFormat="1" ht="15" customHeight="1">
      <c r="A439" s="679" t="s">
        <v>228</v>
      </c>
      <c r="B439" s="1272" t="s">
        <v>473</v>
      </c>
      <c r="C439" s="1273" t="s">
        <v>584</v>
      </c>
      <c r="D439" s="1274"/>
      <c r="E439" s="1255">
        <v>50</v>
      </c>
      <c r="F439" s="275" t="s">
        <v>4637</v>
      </c>
      <c r="G439" s="681"/>
      <c r="H439" s="288"/>
      <c r="I439" s="689"/>
      <c r="J439" s="685"/>
      <c r="K439" s="685"/>
      <c r="L439" s="689">
        <v>81</v>
      </c>
      <c r="M439" s="681"/>
      <c r="N439" s="706">
        <v>3</v>
      </c>
      <c r="O439" s="707"/>
      <c r="P439" s="696"/>
      <c r="Q439" s="696"/>
      <c r="R439" s="696"/>
      <c r="S439" s="696"/>
      <c r="T439" s="696"/>
      <c r="U439" s="696"/>
    </row>
    <row r="440" spans="1:21" s="688" customFormat="1">
      <c r="A440" s="679" t="s">
        <v>38</v>
      </c>
      <c r="B440" s="1286" t="s">
        <v>473</v>
      </c>
      <c r="C440" s="1280" t="s">
        <v>585</v>
      </c>
      <c r="D440" s="1274"/>
      <c r="E440" s="1255">
        <v>30.5</v>
      </c>
      <c r="F440" s="663" t="s">
        <v>4334</v>
      </c>
      <c r="G440" s="681"/>
      <c r="H440" s="288" t="s">
        <v>2640</v>
      </c>
      <c r="I440" s="689"/>
      <c r="J440" s="685"/>
      <c r="K440" s="685"/>
      <c r="L440" s="689">
        <v>51</v>
      </c>
      <c r="M440" s="681"/>
      <c r="N440" s="706">
        <v>3</v>
      </c>
      <c r="O440" s="707"/>
      <c r="P440" s="696"/>
      <c r="Q440" s="696"/>
      <c r="R440" s="696"/>
      <c r="S440" s="696"/>
      <c r="T440" s="696"/>
      <c r="U440" s="696"/>
    </row>
    <row r="441" spans="1:21" s="688" customFormat="1">
      <c r="A441" s="679" t="s">
        <v>580</v>
      </c>
      <c r="B441" s="1286" t="s">
        <v>473</v>
      </c>
      <c r="C441" s="1280" t="s">
        <v>585</v>
      </c>
      <c r="D441" s="1274"/>
      <c r="E441" s="1255">
        <v>37</v>
      </c>
      <c r="F441" s="663" t="s">
        <v>4334</v>
      </c>
      <c r="G441" s="681"/>
      <c r="H441" s="288" t="s">
        <v>2640</v>
      </c>
      <c r="I441" s="689"/>
      <c r="J441" s="685"/>
      <c r="K441" s="685"/>
      <c r="L441" s="689">
        <v>64</v>
      </c>
      <c r="M441" s="681"/>
      <c r="N441" s="706">
        <v>3</v>
      </c>
      <c r="O441" s="707"/>
      <c r="P441" s="696"/>
      <c r="Q441" s="696"/>
      <c r="R441" s="696"/>
      <c r="S441" s="696"/>
      <c r="T441" s="696"/>
      <c r="U441" s="696"/>
    </row>
    <row r="442" spans="1:21" s="688" customFormat="1">
      <c r="A442" s="679" t="s">
        <v>228</v>
      </c>
      <c r="B442" s="1286" t="s">
        <v>473</v>
      </c>
      <c r="C442" s="1280" t="s">
        <v>585</v>
      </c>
      <c r="D442" s="1274"/>
      <c r="E442" s="1255">
        <v>42.5</v>
      </c>
      <c r="F442" s="663" t="s">
        <v>4334</v>
      </c>
      <c r="G442" s="681"/>
      <c r="H442" s="288" t="s">
        <v>2640</v>
      </c>
      <c r="I442" s="689"/>
      <c r="J442" s="685"/>
      <c r="K442" s="685"/>
      <c r="L442" s="689">
        <v>75</v>
      </c>
      <c r="M442" s="681"/>
      <c r="N442" s="706">
        <v>3</v>
      </c>
      <c r="O442" s="707"/>
      <c r="P442" s="696"/>
      <c r="Q442" s="696"/>
      <c r="R442" s="696"/>
      <c r="S442" s="696"/>
      <c r="T442" s="696"/>
      <c r="U442" s="696"/>
    </row>
    <row r="443" spans="1:21" s="305" customFormat="1">
      <c r="A443" s="1315" t="s">
        <v>38</v>
      </c>
      <c r="B443" s="1286" t="s">
        <v>473</v>
      </c>
      <c r="C443" s="1280" t="s">
        <v>2862</v>
      </c>
      <c r="D443" s="1312"/>
      <c r="E443" s="1300">
        <v>26</v>
      </c>
      <c r="F443" s="663" t="s">
        <v>4334</v>
      </c>
      <c r="G443" s="288"/>
      <c r="H443" s="283"/>
      <c r="I443" s="289"/>
      <c r="J443" s="292"/>
      <c r="K443" s="292"/>
      <c r="L443" s="289">
        <f>M443+E443</f>
        <v>52</v>
      </c>
      <c r="M443" s="288">
        <v>26</v>
      </c>
      <c r="N443" s="634">
        <v>3</v>
      </c>
      <c r="O443" s="648"/>
      <c r="P443" s="297"/>
      <c r="Q443" s="297"/>
      <c r="R443" s="297"/>
      <c r="S443" s="297"/>
      <c r="T443" s="297"/>
      <c r="U443" s="297"/>
    </row>
    <row r="444" spans="1:21" s="305" customFormat="1">
      <c r="A444" s="1315" t="s">
        <v>2863</v>
      </c>
      <c r="B444" s="1286" t="s">
        <v>473</v>
      </c>
      <c r="C444" s="1280" t="s">
        <v>2862</v>
      </c>
      <c r="D444" s="1312"/>
      <c r="E444" s="1300">
        <v>37</v>
      </c>
      <c r="F444" s="663" t="s">
        <v>4334</v>
      </c>
      <c r="G444" s="288"/>
      <c r="H444" s="283"/>
      <c r="I444" s="289"/>
      <c r="J444" s="292"/>
      <c r="K444" s="292"/>
      <c r="L444" s="289">
        <f>M444+E444</f>
        <v>74</v>
      </c>
      <c r="M444" s="288">
        <v>37</v>
      </c>
      <c r="N444" s="634">
        <v>3</v>
      </c>
      <c r="O444" s="648"/>
      <c r="P444" s="297"/>
      <c r="Q444" s="297"/>
      <c r="R444" s="297"/>
      <c r="S444" s="297"/>
      <c r="T444" s="297"/>
      <c r="U444" s="297"/>
    </row>
    <row r="445" spans="1:21" s="305" customFormat="1">
      <c r="A445" s="1315" t="s">
        <v>2864</v>
      </c>
      <c r="B445" s="1286" t="s">
        <v>473</v>
      </c>
      <c r="C445" s="1280" t="s">
        <v>2862</v>
      </c>
      <c r="D445" s="1312"/>
      <c r="E445" s="1300">
        <v>50</v>
      </c>
      <c r="F445" s="663" t="s">
        <v>4334</v>
      </c>
      <c r="G445" s="288"/>
      <c r="H445" s="283"/>
      <c r="I445" s="289"/>
      <c r="J445" s="292"/>
      <c r="K445" s="292"/>
      <c r="L445" s="289">
        <f>M445+E445</f>
        <v>90</v>
      </c>
      <c r="M445" s="288">
        <v>40</v>
      </c>
      <c r="N445" s="634">
        <v>3</v>
      </c>
      <c r="O445" s="648"/>
      <c r="P445" s="297"/>
      <c r="Q445" s="297"/>
      <c r="R445" s="297"/>
      <c r="S445" s="297"/>
      <c r="T445" s="297"/>
      <c r="U445" s="297"/>
    </row>
    <row r="446" spans="1:21" s="305" customFormat="1">
      <c r="A446" s="1315" t="s">
        <v>1524</v>
      </c>
      <c r="B446" s="1286" t="s">
        <v>473</v>
      </c>
      <c r="C446" s="1280" t="s">
        <v>2862</v>
      </c>
      <c r="D446" s="1312"/>
      <c r="E446" s="1300">
        <v>41</v>
      </c>
      <c r="F446" s="663" t="s">
        <v>4334</v>
      </c>
      <c r="G446" s="288"/>
      <c r="H446" s="283"/>
      <c r="I446" s="289"/>
      <c r="J446" s="292"/>
      <c r="K446" s="292"/>
      <c r="L446" s="289">
        <f>M446+E446</f>
        <v>76</v>
      </c>
      <c r="M446" s="288">
        <v>35</v>
      </c>
      <c r="N446" s="634">
        <v>3</v>
      </c>
      <c r="O446" s="648"/>
      <c r="P446" s="297"/>
      <c r="Q446" s="297"/>
      <c r="R446" s="297"/>
      <c r="S446" s="297"/>
      <c r="T446" s="297"/>
      <c r="U446" s="297"/>
    </row>
    <row r="447" spans="1:21" s="688" customFormat="1">
      <c r="A447" s="679" t="s">
        <v>38</v>
      </c>
      <c r="B447" s="1286" t="s">
        <v>473</v>
      </c>
      <c r="C447" s="1280" t="s">
        <v>20</v>
      </c>
      <c r="D447" s="1281"/>
      <c r="E447" s="1255">
        <v>28</v>
      </c>
      <c r="F447" s="663" t="s">
        <v>4334</v>
      </c>
      <c r="G447" s="681"/>
      <c r="H447" s="683"/>
      <c r="I447" s="689"/>
      <c r="J447" s="685"/>
      <c r="K447" s="685"/>
      <c r="L447" s="689">
        <v>56</v>
      </c>
      <c r="M447" s="681">
        <v>28</v>
      </c>
      <c r="N447" s="706">
        <v>3</v>
      </c>
      <c r="O447" s="707"/>
      <c r="P447" s="696"/>
      <c r="Q447" s="696"/>
      <c r="R447" s="696"/>
      <c r="S447" s="696"/>
      <c r="T447" s="696"/>
      <c r="U447" s="696"/>
    </row>
    <row r="448" spans="1:21" s="688" customFormat="1">
      <c r="A448" s="679" t="s">
        <v>1735</v>
      </c>
      <c r="B448" s="1286" t="s">
        <v>473</v>
      </c>
      <c r="C448" s="1280" t="s">
        <v>20</v>
      </c>
      <c r="D448" s="1281"/>
      <c r="E448" s="1255">
        <v>32</v>
      </c>
      <c r="F448" s="663" t="s">
        <v>4334</v>
      </c>
      <c r="G448" s="681"/>
      <c r="H448" s="683"/>
      <c r="I448" s="689"/>
      <c r="J448" s="685"/>
      <c r="K448" s="685"/>
      <c r="L448" s="689">
        <v>64</v>
      </c>
      <c r="M448" s="681">
        <v>32</v>
      </c>
      <c r="N448" s="706">
        <v>3</v>
      </c>
      <c r="O448" s="707"/>
      <c r="P448" s="696"/>
      <c r="Q448" s="696"/>
      <c r="R448" s="696"/>
      <c r="S448" s="696"/>
      <c r="T448" s="696"/>
      <c r="U448" s="696"/>
    </row>
    <row r="449" spans="1:221" s="688" customFormat="1">
      <c r="A449" s="679" t="s">
        <v>1736</v>
      </c>
      <c r="B449" s="1286" t="s">
        <v>473</v>
      </c>
      <c r="C449" s="1280" t="s">
        <v>20</v>
      </c>
      <c r="D449" s="1281"/>
      <c r="E449" s="1255">
        <v>43</v>
      </c>
      <c r="F449" s="663" t="s">
        <v>4334</v>
      </c>
      <c r="G449" s="681"/>
      <c r="H449" s="683"/>
      <c r="I449" s="689"/>
      <c r="J449" s="685"/>
      <c r="K449" s="685"/>
      <c r="L449" s="689"/>
      <c r="M449" s="681">
        <v>35</v>
      </c>
      <c r="N449" s="706">
        <v>3</v>
      </c>
      <c r="O449" s="707"/>
      <c r="P449" s="696"/>
      <c r="Q449" s="696"/>
      <c r="R449" s="696"/>
      <c r="S449" s="696"/>
      <c r="T449" s="696"/>
      <c r="U449" s="696"/>
    </row>
    <row r="450" spans="1:221" s="688" customFormat="1">
      <c r="A450" s="679"/>
      <c r="B450" s="1272" t="s">
        <v>473</v>
      </c>
      <c r="C450" s="1273" t="s">
        <v>586</v>
      </c>
      <c r="D450" s="1274"/>
      <c r="E450" s="1255"/>
      <c r="F450" s="681" t="s">
        <v>48</v>
      </c>
      <c r="G450" s="681"/>
      <c r="H450" s="683"/>
      <c r="I450" s="689"/>
      <c r="J450" s="685"/>
      <c r="K450" s="685"/>
      <c r="L450" s="689"/>
      <c r="M450" s="681"/>
      <c r="N450" s="706">
        <v>3</v>
      </c>
      <c r="O450" s="707"/>
      <c r="P450" s="696"/>
      <c r="Q450" s="696"/>
      <c r="R450" s="696"/>
      <c r="S450" s="696"/>
      <c r="T450" s="696"/>
      <c r="U450" s="696"/>
    </row>
    <row r="451" spans="1:221" s="445" customFormat="1" ht="17">
      <c r="A451" s="679" t="s">
        <v>1925</v>
      </c>
      <c r="B451" s="1272" t="s">
        <v>473</v>
      </c>
      <c r="C451" s="1273" t="s">
        <v>1993</v>
      </c>
      <c r="D451" s="1274"/>
      <c r="E451" s="1255">
        <v>75</v>
      </c>
      <c r="F451" s="681" t="s">
        <v>1931</v>
      </c>
      <c r="G451" s="681" t="s">
        <v>1992</v>
      </c>
      <c r="H451" s="683"/>
      <c r="I451" s="689"/>
      <c r="J451" s="849"/>
      <c r="K451" s="685"/>
      <c r="L451" s="689">
        <v>150</v>
      </c>
      <c r="M451" s="681">
        <v>75</v>
      </c>
      <c r="N451" s="706">
        <v>5</v>
      </c>
      <c r="O451" s="707"/>
      <c r="P451" s="487"/>
      <c r="Q451" s="487"/>
      <c r="R451" s="487"/>
      <c r="S451" s="487"/>
      <c r="T451" s="487"/>
      <c r="U451" s="487"/>
    </row>
    <row r="452" spans="1:221" s="445" customFormat="1" ht="17">
      <c r="A452" s="679" t="s">
        <v>1919</v>
      </c>
      <c r="B452" s="1272" t="s">
        <v>473</v>
      </c>
      <c r="C452" s="1273" t="s">
        <v>1993</v>
      </c>
      <c r="D452" s="1274"/>
      <c r="E452" s="1255">
        <v>82.5</v>
      </c>
      <c r="F452" s="681"/>
      <c r="G452" s="681" t="s">
        <v>1992</v>
      </c>
      <c r="H452" s="683"/>
      <c r="I452" s="689"/>
      <c r="J452" s="849"/>
      <c r="K452" s="685"/>
      <c r="L452" s="689">
        <f>82.5+62.5</f>
        <v>145</v>
      </c>
      <c r="M452" s="681">
        <v>62.5</v>
      </c>
      <c r="N452" s="706">
        <v>5</v>
      </c>
      <c r="O452" s="707"/>
      <c r="P452" s="487"/>
      <c r="Q452" s="487"/>
      <c r="R452" s="487"/>
      <c r="S452" s="487"/>
      <c r="T452" s="487"/>
      <c r="U452" s="487"/>
    </row>
    <row r="453" spans="1:221" s="445" customFormat="1" ht="17">
      <c r="A453" s="679" t="s">
        <v>1926</v>
      </c>
      <c r="B453" s="1272" t="s">
        <v>473</v>
      </c>
      <c r="C453" s="1273" t="s">
        <v>1993</v>
      </c>
      <c r="D453" s="1274"/>
      <c r="E453" s="1255">
        <v>100</v>
      </c>
      <c r="F453" s="681"/>
      <c r="G453" s="681" t="s">
        <v>1992</v>
      </c>
      <c r="H453" s="683"/>
      <c r="I453" s="689"/>
      <c r="J453" s="849"/>
      <c r="K453" s="685"/>
      <c r="L453" s="689">
        <v>180</v>
      </c>
      <c r="M453" s="681">
        <v>80</v>
      </c>
      <c r="N453" s="706">
        <v>5</v>
      </c>
      <c r="O453" s="707"/>
      <c r="P453" s="487"/>
      <c r="Q453" s="487"/>
      <c r="R453" s="487"/>
      <c r="S453" s="487"/>
      <c r="T453" s="487"/>
      <c r="U453" s="487"/>
    </row>
    <row r="454" spans="1:221" s="445" customFormat="1" ht="17">
      <c r="A454" s="679" t="s">
        <v>1920</v>
      </c>
      <c r="B454" s="1272" t="s">
        <v>473</v>
      </c>
      <c r="C454" s="1273" t="s">
        <v>1993</v>
      </c>
      <c r="D454" s="1274"/>
      <c r="E454" s="1255">
        <v>107.5</v>
      </c>
      <c r="F454" s="681"/>
      <c r="G454" s="681" t="s">
        <v>1992</v>
      </c>
      <c r="H454" s="683"/>
      <c r="I454" s="689"/>
      <c r="J454" s="849"/>
      <c r="K454" s="685"/>
      <c r="L454" s="689">
        <f>107.5+87.5</f>
        <v>195</v>
      </c>
      <c r="M454" s="681">
        <v>87.5</v>
      </c>
      <c r="N454" s="706">
        <v>5</v>
      </c>
      <c r="O454" s="707"/>
      <c r="P454" s="487"/>
      <c r="Q454" s="487"/>
      <c r="R454" s="487"/>
      <c r="S454" s="487"/>
      <c r="T454" s="487"/>
      <c r="U454" s="487"/>
    </row>
    <row r="455" spans="1:221" s="445" customFormat="1" ht="17">
      <c r="A455" s="679" t="s">
        <v>1921</v>
      </c>
      <c r="B455" s="1272" t="s">
        <v>473</v>
      </c>
      <c r="C455" s="1273" t="s">
        <v>1993</v>
      </c>
      <c r="D455" s="1274"/>
      <c r="E455" s="1255">
        <v>82.5</v>
      </c>
      <c r="F455" s="681" t="s">
        <v>1930</v>
      </c>
      <c r="G455" s="681" t="s">
        <v>1992</v>
      </c>
      <c r="H455" s="683"/>
      <c r="I455" s="689"/>
      <c r="J455" s="849"/>
      <c r="K455" s="685"/>
      <c r="L455" s="689">
        <f>82.5+62.5</f>
        <v>145</v>
      </c>
      <c r="M455" s="681">
        <v>62.5</v>
      </c>
      <c r="N455" s="706">
        <v>5</v>
      </c>
      <c r="O455" s="707"/>
      <c r="P455" s="487"/>
      <c r="Q455" s="487"/>
      <c r="R455" s="487"/>
      <c r="S455" s="487"/>
      <c r="T455" s="487"/>
      <c r="U455" s="487"/>
    </row>
    <row r="456" spans="1:221" s="445" customFormat="1" ht="17">
      <c r="A456" s="679" t="s">
        <v>1928</v>
      </c>
      <c r="B456" s="1272" t="s">
        <v>473</v>
      </c>
      <c r="C456" s="1273" t="s">
        <v>1993</v>
      </c>
      <c r="D456" s="1274"/>
      <c r="E456" s="1255">
        <v>57</v>
      </c>
      <c r="F456" s="681"/>
      <c r="G456" s="681" t="s">
        <v>1992</v>
      </c>
      <c r="H456" s="683"/>
      <c r="I456" s="689"/>
      <c r="J456" s="849"/>
      <c r="K456" s="685"/>
      <c r="L456" s="689">
        <v>114</v>
      </c>
      <c r="M456" s="681">
        <v>57</v>
      </c>
      <c r="N456" s="706">
        <v>5</v>
      </c>
      <c r="O456" s="707"/>
      <c r="P456" s="487"/>
      <c r="Q456" s="487"/>
      <c r="R456" s="487"/>
      <c r="S456" s="487"/>
      <c r="T456" s="487"/>
      <c r="U456" s="487"/>
    </row>
    <row r="457" spans="1:221" s="445" customFormat="1" ht="17">
      <c r="A457" s="679" t="s">
        <v>1923</v>
      </c>
      <c r="B457" s="1272" t="s">
        <v>473</v>
      </c>
      <c r="C457" s="1273" t="s">
        <v>1993</v>
      </c>
      <c r="D457" s="1274"/>
      <c r="E457" s="1255">
        <v>90</v>
      </c>
      <c r="F457" s="681"/>
      <c r="G457" s="681" t="s">
        <v>1992</v>
      </c>
      <c r="H457" s="683"/>
      <c r="I457" s="689"/>
      <c r="J457" s="849"/>
      <c r="K457" s="685"/>
      <c r="L457" s="689">
        <f>90+80</f>
        <v>170</v>
      </c>
      <c r="M457" s="681">
        <v>80</v>
      </c>
      <c r="N457" s="706">
        <v>5</v>
      </c>
      <c r="O457" s="707"/>
      <c r="P457" s="487"/>
      <c r="Q457" s="487"/>
      <c r="R457" s="487"/>
      <c r="S457" s="487"/>
      <c r="T457" s="487"/>
      <c r="U457" s="487"/>
    </row>
    <row r="458" spans="1:221" s="445" customFormat="1" ht="17">
      <c r="A458" s="679" t="s">
        <v>1929</v>
      </c>
      <c r="B458" s="1272" t="s">
        <v>473</v>
      </c>
      <c r="C458" s="1273" t="s">
        <v>1993</v>
      </c>
      <c r="D458" s="1274"/>
      <c r="E458" s="1255">
        <v>75</v>
      </c>
      <c r="F458" s="681"/>
      <c r="G458" s="681" t="s">
        <v>1992</v>
      </c>
      <c r="H458" s="683"/>
      <c r="I458" s="689"/>
      <c r="J458" s="849"/>
      <c r="K458" s="685"/>
      <c r="L458" s="689">
        <v>150</v>
      </c>
      <c r="M458" s="681">
        <v>75</v>
      </c>
      <c r="N458" s="706">
        <v>5</v>
      </c>
      <c r="O458" s="707"/>
      <c r="P458" s="487"/>
      <c r="Q458" s="487"/>
      <c r="R458" s="487"/>
      <c r="S458" s="487"/>
      <c r="T458" s="487"/>
      <c r="U458" s="487"/>
    </row>
    <row r="459" spans="1:221" s="305" customFormat="1">
      <c r="A459" s="444" t="s">
        <v>1766</v>
      </c>
      <c r="B459" s="1876" t="s">
        <v>473</v>
      </c>
      <c r="C459" s="1880" t="s">
        <v>689</v>
      </c>
      <c r="D459" s="1279"/>
      <c r="E459" s="1877">
        <v>44.5</v>
      </c>
      <c r="F459" s="288" t="s">
        <v>4636</v>
      </c>
      <c r="G459" s="288"/>
      <c r="H459" s="283"/>
      <c r="I459" s="289"/>
      <c r="J459" s="292"/>
      <c r="K459" s="292"/>
      <c r="L459" s="289">
        <v>70</v>
      </c>
      <c r="M459" s="288">
        <f>L459-E459</f>
        <v>25.5</v>
      </c>
      <c r="N459" s="1317">
        <v>4</v>
      </c>
      <c r="O459" s="646" t="s">
        <v>3880</v>
      </c>
      <c r="P459" s="2446" t="s">
        <v>3991</v>
      </c>
    </row>
    <row r="460" spans="1:221" s="1397" customFormat="1">
      <c r="A460" s="444" t="s">
        <v>1767</v>
      </c>
      <c r="B460" s="1876" t="s">
        <v>473</v>
      </c>
      <c r="C460" s="1880" t="s">
        <v>689</v>
      </c>
      <c r="D460" s="1279"/>
      <c r="E460" s="1877">
        <v>52.5</v>
      </c>
      <c r="F460" s="288"/>
      <c r="G460" s="288"/>
      <c r="H460" s="283"/>
      <c r="I460" s="289"/>
      <c r="J460" s="292"/>
      <c r="K460" s="292"/>
      <c r="L460" s="289">
        <v>82</v>
      </c>
      <c r="M460" s="288">
        <f>L460-E460</f>
        <v>29.5</v>
      </c>
      <c r="N460" s="1317">
        <v>4</v>
      </c>
      <c r="O460" s="646" t="s">
        <v>3880</v>
      </c>
      <c r="P460" s="2446" t="s">
        <v>3991</v>
      </c>
      <c r="AJ460" s="305"/>
      <c r="AK460" s="305"/>
      <c r="AL460" s="305"/>
      <c r="AM460" s="305"/>
      <c r="AN460" s="305"/>
      <c r="AO460" s="305"/>
      <c r="AP460" s="305"/>
      <c r="AQ460" s="305"/>
      <c r="AR460" s="305"/>
      <c r="AS460" s="305"/>
      <c r="AT460" s="305"/>
      <c r="AU460" s="305"/>
      <c r="AV460" s="305"/>
      <c r="AW460" s="305"/>
      <c r="AX460" s="305"/>
      <c r="AY460" s="305"/>
      <c r="AZ460" s="305"/>
      <c r="BA460" s="305"/>
      <c r="BB460" s="305"/>
      <c r="BC460" s="305"/>
      <c r="BD460" s="305"/>
      <c r="BE460" s="305"/>
      <c r="BF460" s="305"/>
      <c r="BG460" s="305"/>
      <c r="BH460" s="305"/>
      <c r="BI460" s="305"/>
      <c r="BJ460" s="305"/>
      <c r="BK460" s="305"/>
      <c r="BL460" s="305"/>
      <c r="BM460" s="305"/>
      <c r="BN460" s="305"/>
      <c r="BO460" s="305"/>
      <c r="BP460" s="305"/>
      <c r="BQ460" s="305"/>
      <c r="BR460" s="305"/>
      <c r="BS460" s="305"/>
      <c r="BT460" s="305"/>
      <c r="BU460" s="305"/>
      <c r="BV460" s="305"/>
      <c r="BW460" s="305"/>
      <c r="BX460" s="305"/>
      <c r="BY460" s="305"/>
      <c r="BZ460" s="305"/>
      <c r="CA460" s="305"/>
      <c r="CB460" s="305"/>
      <c r="CC460" s="305"/>
      <c r="CD460" s="305"/>
      <c r="CE460" s="305"/>
      <c r="CF460" s="305"/>
      <c r="CG460" s="305"/>
      <c r="CH460" s="305"/>
      <c r="CI460" s="305"/>
      <c r="CJ460" s="305"/>
      <c r="CK460" s="305"/>
      <c r="CL460" s="305"/>
      <c r="CM460" s="305"/>
      <c r="CN460" s="305"/>
      <c r="CO460" s="305"/>
      <c r="CP460" s="305"/>
      <c r="CQ460" s="305"/>
      <c r="CR460" s="305"/>
      <c r="CS460" s="305"/>
      <c r="CT460" s="305"/>
      <c r="CU460" s="305"/>
      <c r="CV460" s="305"/>
      <c r="CW460" s="305"/>
      <c r="CX460" s="305"/>
      <c r="CY460" s="305"/>
      <c r="CZ460" s="305"/>
      <c r="DA460" s="305"/>
      <c r="DB460" s="305"/>
      <c r="DC460" s="305"/>
      <c r="DD460" s="305"/>
      <c r="DE460" s="305"/>
      <c r="DF460" s="305"/>
      <c r="DG460" s="305"/>
      <c r="DH460" s="305"/>
      <c r="DI460" s="305"/>
      <c r="DJ460" s="305"/>
      <c r="DK460" s="305"/>
      <c r="DL460" s="305"/>
      <c r="DM460" s="305"/>
      <c r="DN460" s="305"/>
      <c r="DO460" s="305"/>
      <c r="DP460" s="305"/>
      <c r="DQ460" s="305"/>
      <c r="DR460" s="305"/>
      <c r="DS460" s="305"/>
      <c r="DT460" s="305"/>
      <c r="DU460" s="305"/>
      <c r="DV460" s="305"/>
      <c r="DW460" s="305"/>
      <c r="DX460" s="305"/>
      <c r="DY460" s="305"/>
      <c r="DZ460" s="305"/>
      <c r="EA460" s="305"/>
      <c r="EB460" s="305"/>
      <c r="EC460" s="305"/>
      <c r="ED460" s="305"/>
      <c r="EE460" s="305"/>
      <c r="EF460" s="305"/>
      <c r="EG460" s="305"/>
      <c r="EH460" s="305"/>
      <c r="EI460" s="305"/>
      <c r="EJ460" s="305"/>
      <c r="EK460" s="305"/>
      <c r="EL460" s="305"/>
      <c r="EM460" s="305"/>
      <c r="EN460" s="305"/>
      <c r="EO460" s="305"/>
      <c r="EP460" s="305"/>
      <c r="EQ460" s="305"/>
      <c r="ER460" s="305"/>
      <c r="ES460" s="305"/>
      <c r="ET460" s="305"/>
      <c r="EU460" s="305"/>
      <c r="EV460" s="305"/>
      <c r="EW460" s="305"/>
      <c r="EX460" s="305"/>
      <c r="EY460" s="305"/>
      <c r="EZ460" s="305"/>
      <c r="FA460" s="305"/>
      <c r="FB460" s="305"/>
      <c r="FC460" s="305"/>
      <c r="FD460" s="305"/>
      <c r="FE460" s="305"/>
      <c r="FF460" s="305"/>
      <c r="FG460" s="305"/>
      <c r="FH460" s="305"/>
      <c r="FI460" s="305"/>
      <c r="FJ460" s="305"/>
      <c r="FK460" s="305"/>
      <c r="FL460" s="305"/>
      <c r="FM460" s="305"/>
      <c r="FN460" s="305"/>
      <c r="FO460" s="305"/>
      <c r="FP460" s="305"/>
      <c r="FQ460" s="305"/>
      <c r="FR460" s="305"/>
      <c r="FS460" s="305"/>
      <c r="FT460" s="305"/>
      <c r="FU460" s="305"/>
      <c r="FV460" s="305"/>
      <c r="FW460" s="305"/>
      <c r="FX460" s="305"/>
      <c r="FY460" s="305"/>
      <c r="FZ460" s="305"/>
      <c r="GA460" s="305"/>
      <c r="GB460" s="305"/>
      <c r="GC460" s="305"/>
      <c r="GD460" s="305"/>
      <c r="GE460" s="305"/>
      <c r="GF460" s="305"/>
      <c r="GG460" s="305"/>
      <c r="GH460" s="305"/>
      <c r="GI460" s="305"/>
      <c r="GJ460" s="305"/>
      <c r="GK460" s="305"/>
      <c r="GL460" s="305"/>
      <c r="GM460" s="305"/>
      <c r="GN460" s="305"/>
      <c r="GO460" s="305"/>
      <c r="GP460" s="305"/>
      <c r="GQ460" s="305"/>
      <c r="GR460" s="305"/>
      <c r="GS460" s="305"/>
      <c r="GT460" s="305"/>
      <c r="GU460" s="305"/>
      <c r="GV460" s="305"/>
      <c r="GW460" s="305"/>
      <c r="GX460" s="305"/>
      <c r="GY460" s="305"/>
      <c r="GZ460" s="305"/>
      <c r="HA460" s="305"/>
      <c r="HB460" s="305"/>
      <c r="HC460" s="305"/>
      <c r="HD460" s="305"/>
      <c r="HE460" s="305"/>
      <c r="HF460" s="305"/>
      <c r="HG460" s="305"/>
      <c r="HH460" s="305"/>
      <c r="HI460" s="305"/>
      <c r="HJ460" s="305"/>
      <c r="HK460" s="305"/>
      <c r="HL460" s="305"/>
      <c r="HM460" s="305"/>
    </row>
    <row r="461" spans="1:221" s="1397" customFormat="1">
      <c r="A461" s="444" t="s">
        <v>1768</v>
      </c>
      <c r="B461" s="1876" t="s">
        <v>473</v>
      </c>
      <c r="C461" s="1880" t="s">
        <v>689</v>
      </c>
      <c r="D461" s="1279"/>
      <c r="E461" s="1877">
        <v>60</v>
      </c>
      <c r="F461" s="288"/>
      <c r="G461" s="288"/>
      <c r="H461" s="283"/>
      <c r="I461" s="289"/>
      <c r="J461" s="292"/>
      <c r="K461" s="292"/>
      <c r="L461" s="289">
        <v>95</v>
      </c>
      <c r="M461" s="288">
        <f>L461-E461</f>
        <v>35</v>
      </c>
      <c r="N461" s="1317">
        <v>4</v>
      </c>
      <c r="O461" s="646" t="s">
        <v>3880</v>
      </c>
      <c r="P461" s="2446" t="s">
        <v>3991</v>
      </c>
      <c r="AJ461" s="305"/>
      <c r="AK461" s="305"/>
      <c r="AL461" s="305"/>
      <c r="AM461" s="305"/>
      <c r="AN461" s="305"/>
      <c r="AO461" s="305"/>
      <c r="AP461" s="305"/>
      <c r="AQ461" s="305"/>
      <c r="AR461" s="305"/>
      <c r="AS461" s="305"/>
      <c r="AT461" s="305"/>
      <c r="AU461" s="305"/>
      <c r="AV461" s="305"/>
      <c r="AW461" s="305"/>
      <c r="AX461" s="305"/>
      <c r="AY461" s="305"/>
      <c r="AZ461" s="305"/>
      <c r="BA461" s="305"/>
      <c r="BB461" s="305"/>
      <c r="BC461" s="305"/>
      <c r="BD461" s="305"/>
      <c r="BE461" s="305"/>
      <c r="BF461" s="305"/>
      <c r="BG461" s="305"/>
      <c r="BH461" s="305"/>
      <c r="BI461" s="305"/>
      <c r="BJ461" s="305"/>
      <c r="BK461" s="305"/>
      <c r="BL461" s="305"/>
      <c r="BM461" s="305"/>
      <c r="BN461" s="305"/>
      <c r="BO461" s="305"/>
      <c r="BP461" s="305"/>
      <c r="BQ461" s="305"/>
      <c r="BR461" s="305"/>
      <c r="BS461" s="305"/>
      <c r="BT461" s="305"/>
      <c r="BU461" s="305"/>
      <c r="BV461" s="305"/>
      <c r="BW461" s="305"/>
      <c r="BX461" s="305"/>
      <c r="BY461" s="305"/>
      <c r="BZ461" s="305"/>
      <c r="CA461" s="305"/>
      <c r="CB461" s="305"/>
      <c r="CC461" s="305"/>
      <c r="CD461" s="305"/>
      <c r="CE461" s="305"/>
      <c r="CF461" s="305"/>
      <c r="CG461" s="305"/>
      <c r="CH461" s="305"/>
      <c r="CI461" s="305"/>
      <c r="CJ461" s="305"/>
      <c r="CK461" s="305"/>
      <c r="CL461" s="305"/>
      <c r="CM461" s="305"/>
      <c r="CN461" s="305"/>
      <c r="CO461" s="305"/>
      <c r="CP461" s="305"/>
      <c r="CQ461" s="305"/>
      <c r="CR461" s="305"/>
      <c r="CS461" s="305"/>
      <c r="CT461" s="305"/>
      <c r="CU461" s="305"/>
      <c r="CV461" s="305"/>
      <c r="CW461" s="305"/>
      <c r="CX461" s="305"/>
      <c r="CY461" s="305"/>
      <c r="CZ461" s="305"/>
      <c r="DA461" s="305"/>
      <c r="DB461" s="305"/>
      <c r="DC461" s="305"/>
      <c r="DD461" s="305"/>
      <c r="DE461" s="305"/>
      <c r="DF461" s="305"/>
      <c r="DG461" s="305"/>
      <c r="DH461" s="305"/>
      <c r="DI461" s="305"/>
      <c r="DJ461" s="305"/>
      <c r="DK461" s="305"/>
      <c r="DL461" s="305"/>
      <c r="DM461" s="305"/>
      <c r="DN461" s="305"/>
      <c r="DO461" s="305"/>
      <c r="DP461" s="305"/>
      <c r="DQ461" s="305"/>
      <c r="DR461" s="305"/>
      <c r="DS461" s="305"/>
      <c r="DT461" s="305"/>
      <c r="DU461" s="305"/>
      <c r="DV461" s="305"/>
      <c r="DW461" s="305"/>
      <c r="DX461" s="305"/>
      <c r="DY461" s="305"/>
      <c r="DZ461" s="305"/>
      <c r="EA461" s="305"/>
      <c r="EB461" s="305"/>
      <c r="EC461" s="305"/>
      <c r="ED461" s="305"/>
      <c r="EE461" s="305"/>
      <c r="EF461" s="305"/>
      <c r="EG461" s="305"/>
      <c r="EH461" s="305"/>
      <c r="EI461" s="305"/>
      <c r="EJ461" s="305"/>
      <c r="EK461" s="305"/>
      <c r="EL461" s="305"/>
      <c r="EM461" s="305"/>
      <c r="EN461" s="305"/>
      <c r="EO461" s="305"/>
      <c r="EP461" s="305"/>
      <c r="EQ461" s="305"/>
      <c r="ER461" s="305"/>
      <c r="ES461" s="305"/>
      <c r="ET461" s="305"/>
      <c r="EU461" s="305"/>
      <c r="EV461" s="305"/>
      <c r="EW461" s="305"/>
      <c r="EX461" s="305"/>
      <c r="EY461" s="305"/>
      <c r="EZ461" s="305"/>
      <c r="FA461" s="305"/>
      <c r="FB461" s="305"/>
      <c r="FC461" s="305"/>
      <c r="FD461" s="305"/>
      <c r="FE461" s="305"/>
      <c r="FF461" s="305"/>
      <c r="FG461" s="305"/>
      <c r="FH461" s="305"/>
      <c r="FI461" s="305"/>
      <c r="FJ461" s="305"/>
      <c r="FK461" s="305"/>
      <c r="FL461" s="305"/>
      <c r="FM461" s="305"/>
      <c r="FN461" s="305"/>
      <c r="FO461" s="305"/>
      <c r="FP461" s="305"/>
      <c r="FQ461" s="305"/>
      <c r="FR461" s="305"/>
      <c r="FS461" s="305"/>
      <c r="FT461" s="305"/>
      <c r="FU461" s="305"/>
      <c r="FV461" s="305"/>
      <c r="FW461" s="305"/>
      <c r="FX461" s="305"/>
      <c r="FY461" s="305"/>
      <c r="FZ461" s="305"/>
      <c r="GA461" s="305"/>
      <c r="GB461" s="305"/>
      <c r="GC461" s="305"/>
      <c r="GD461" s="305"/>
      <c r="GE461" s="305"/>
      <c r="GF461" s="305"/>
      <c r="GG461" s="305"/>
      <c r="GH461" s="305"/>
      <c r="GI461" s="305"/>
      <c r="GJ461" s="305"/>
      <c r="GK461" s="305"/>
      <c r="GL461" s="305"/>
      <c r="GM461" s="305"/>
      <c r="GN461" s="305"/>
      <c r="GO461" s="305"/>
      <c r="GP461" s="305"/>
      <c r="GQ461" s="305"/>
      <c r="GR461" s="305"/>
      <c r="GS461" s="305"/>
      <c r="GT461" s="305"/>
      <c r="GU461" s="305"/>
      <c r="GV461" s="305"/>
      <c r="GW461" s="305"/>
      <c r="GX461" s="305"/>
      <c r="GY461" s="305"/>
      <c r="GZ461" s="305"/>
      <c r="HA461" s="305"/>
      <c r="HB461" s="305"/>
      <c r="HC461" s="305"/>
      <c r="HD461" s="305"/>
      <c r="HE461" s="305"/>
      <c r="HF461" s="305"/>
      <c r="HG461" s="305"/>
      <c r="HH461" s="305"/>
      <c r="HI461" s="305"/>
      <c r="HJ461" s="305"/>
      <c r="HK461" s="305"/>
      <c r="HL461" s="305"/>
      <c r="HM461" s="305"/>
    </row>
    <row r="462" spans="1:221" s="445" customFormat="1" ht="17">
      <c r="A462" s="679" t="s">
        <v>38</v>
      </c>
      <c r="B462" s="1272" t="s">
        <v>473</v>
      </c>
      <c r="C462" s="1273" t="s">
        <v>587</v>
      </c>
      <c r="D462" s="1274"/>
      <c r="E462" s="1255">
        <v>47.5</v>
      </c>
      <c r="F462" s="681"/>
      <c r="G462" s="681" t="s">
        <v>1992</v>
      </c>
      <c r="H462" s="288" t="s">
        <v>2640</v>
      </c>
      <c r="I462" s="689"/>
      <c r="J462" s="849"/>
      <c r="K462" s="685"/>
      <c r="L462" s="689">
        <f>47.5+37.5</f>
        <v>85</v>
      </c>
      <c r="M462" s="681">
        <v>37.5</v>
      </c>
      <c r="N462" s="706">
        <v>4</v>
      </c>
      <c r="O462" s="707"/>
      <c r="P462" s="487"/>
      <c r="Q462" s="487"/>
      <c r="R462" s="487"/>
      <c r="S462" s="487"/>
      <c r="T462" s="487"/>
      <c r="U462" s="487"/>
    </row>
    <row r="463" spans="1:221" s="445" customFormat="1" ht="17">
      <c r="A463" s="679" t="s">
        <v>1919</v>
      </c>
      <c r="B463" s="1272" t="s">
        <v>473</v>
      </c>
      <c r="C463" s="1273" t="s">
        <v>587</v>
      </c>
      <c r="D463" s="1274"/>
      <c r="E463" s="1255">
        <v>72.5</v>
      </c>
      <c r="F463" s="681"/>
      <c r="G463" s="681" t="s">
        <v>1992</v>
      </c>
      <c r="H463" s="288" t="s">
        <v>2640</v>
      </c>
      <c r="I463" s="689"/>
      <c r="J463" s="849"/>
      <c r="K463" s="685"/>
      <c r="L463" s="689">
        <f>72.5+32.5</f>
        <v>105</v>
      </c>
      <c r="M463" s="681">
        <v>32.5</v>
      </c>
      <c r="N463" s="706">
        <v>4</v>
      </c>
      <c r="O463" s="707"/>
      <c r="P463" s="487"/>
      <c r="Q463" s="487"/>
      <c r="R463" s="487"/>
      <c r="S463" s="487"/>
      <c r="T463" s="487"/>
      <c r="U463" s="487"/>
    </row>
    <row r="464" spans="1:221" s="305" customFormat="1" ht="17">
      <c r="A464" s="679" t="s">
        <v>1932</v>
      </c>
      <c r="B464" s="1272" t="s">
        <v>473</v>
      </c>
      <c r="C464" s="1273" t="s">
        <v>587</v>
      </c>
      <c r="D464" s="1274"/>
      <c r="E464" s="1255">
        <v>85</v>
      </c>
      <c r="F464" s="681"/>
      <c r="G464" s="681" t="s">
        <v>1992</v>
      </c>
      <c r="H464" s="288" t="s">
        <v>2640</v>
      </c>
      <c r="I464" s="689"/>
      <c r="J464" s="849"/>
      <c r="K464" s="685"/>
      <c r="L464" s="689">
        <v>170</v>
      </c>
      <c r="M464" s="681">
        <v>75</v>
      </c>
      <c r="N464" s="706">
        <v>4</v>
      </c>
      <c r="O464" s="707"/>
      <c r="P464" s="297"/>
      <c r="Q464" s="297"/>
      <c r="R464" s="297"/>
      <c r="S464" s="297"/>
      <c r="T464" s="297"/>
      <c r="U464" s="297"/>
    </row>
    <row r="465" spans="1:21" s="305" customFormat="1" ht="17">
      <c r="A465" s="679" t="s">
        <v>1929</v>
      </c>
      <c r="B465" s="1272" t="s">
        <v>473</v>
      </c>
      <c r="C465" s="1273" t="s">
        <v>587</v>
      </c>
      <c r="D465" s="1274"/>
      <c r="E465" s="1255">
        <v>65</v>
      </c>
      <c r="F465" s="681"/>
      <c r="G465" s="681" t="s">
        <v>1992</v>
      </c>
      <c r="H465" s="288" t="s">
        <v>2640</v>
      </c>
      <c r="I465" s="689"/>
      <c r="J465" s="849"/>
      <c r="K465" s="685"/>
      <c r="L465" s="689">
        <v>120</v>
      </c>
      <c r="M465" s="681">
        <v>55</v>
      </c>
      <c r="N465" s="706">
        <v>4</v>
      </c>
      <c r="O465" s="707"/>
      <c r="P465" s="297"/>
      <c r="Q465" s="297"/>
      <c r="R465" s="297"/>
      <c r="S465" s="297"/>
      <c r="T465" s="297"/>
      <c r="U465" s="297"/>
    </row>
    <row r="466" spans="1:21" s="445" customFormat="1" ht="17">
      <c r="A466" s="679" t="s">
        <v>1933</v>
      </c>
      <c r="B466" s="1272" t="s">
        <v>473</v>
      </c>
      <c r="C466" s="1273" t="s">
        <v>1935</v>
      </c>
      <c r="D466" s="1274"/>
      <c r="E466" s="1255">
        <v>49.5</v>
      </c>
      <c r="F466" s="681"/>
      <c r="G466" s="681" t="s">
        <v>1992</v>
      </c>
      <c r="H466" s="288" t="s">
        <v>2640</v>
      </c>
      <c r="I466" s="689"/>
      <c r="J466" s="849"/>
      <c r="K466" s="685"/>
      <c r="L466" s="689">
        <f>49.5+39.5</f>
        <v>89</v>
      </c>
      <c r="M466" s="681">
        <v>39.5</v>
      </c>
      <c r="N466" s="706">
        <v>4</v>
      </c>
      <c r="O466" s="707"/>
      <c r="P466" s="487"/>
      <c r="Q466" s="487"/>
      <c r="R466" s="487"/>
      <c r="S466" s="487"/>
      <c r="T466" s="487"/>
      <c r="U466" s="487"/>
    </row>
    <row r="467" spans="1:21" s="445" customFormat="1" ht="17">
      <c r="A467" s="679" t="s">
        <v>1934</v>
      </c>
      <c r="B467" s="1272" t="s">
        <v>473</v>
      </c>
      <c r="C467" s="1273" t="s">
        <v>1935</v>
      </c>
      <c r="D467" s="1274"/>
      <c r="E467" s="1255">
        <v>100</v>
      </c>
      <c r="F467" s="681"/>
      <c r="G467" s="681" t="s">
        <v>1992</v>
      </c>
      <c r="H467" s="288" t="s">
        <v>2640</v>
      </c>
      <c r="I467" s="689"/>
      <c r="J467" s="849"/>
      <c r="K467" s="685"/>
      <c r="L467" s="689">
        <v>195</v>
      </c>
      <c r="M467" s="681">
        <v>95</v>
      </c>
      <c r="N467" s="706">
        <v>4</v>
      </c>
      <c r="O467" s="707"/>
      <c r="P467" s="487"/>
      <c r="Q467" s="487"/>
      <c r="R467" s="487"/>
      <c r="S467" s="487"/>
      <c r="T467" s="487"/>
      <c r="U467" s="487"/>
    </row>
    <row r="468" spans="1:21" s="445" customFormat="1" ht="17">
      <c r="A468" s="679"/>
      <c r="B468" s="1286" t="s">
        <v>473</v>
      </c>
      <c r="C468" s="1280" t="s">
        <v>1996</v>
      </c>
      <c r="D468" s="1274"/>
      <c r="E468" s="1255">
        <v>23</v>
      </c>
      <c r="F468" s="663" t="s">
        <v>4334</v>
      </c>
      <c r="G468" s="681" t="s">
        <v>1992</v>
      </c>
      <c r="H468" s="288"/>
      <c r="I468" s="689"/>
      <c r="J468" s="849"/>
      <c r="K468" s="685"/>
      <c r="L468" s="689">
        <f>23+13</f>
        <v>36</v>
      </c>
      <c r="M468" s="681">
        <v>13</v>
      </c>
      <c r="N468" s="706"/>
      <c r="O468" s="707"/>
      <c r="P468" s="487"/>
      <c r="Q468" s="487"/>
      <c r="R468" s="487"/>
      <c r="S468" s="487"/>
      <c r="T468" s="487"/>
      <c r="U468" s="487"/>
    </row>
    <row r="469" spans="1:21" s="305" customFormat="1" ht="16.5" customHeight="1">
      <c r="A469" s="477" t="s">
        <v>38</v>
      </c>
      <c r="B469" s="1288" t="s">
        <v>473</v>
      </c>
      <c r="C469" s="1289" t="s">
        <v>445</v>
      </c>
      <c r="D469" s="1290"/>
      <c r="E469" s="1291">
        <v>35</v>
      </c>
      <c r="F469" s="460" t="s">
        <v>1927</v>
      </c>
      <c r="G469" s="460" t="s">
        <v>1992</v>
      </c>
      <c r="H469" s="457"/>
      <c r="I469" s="458"/>
      <c r="J469" s="459"/>
      <c r="K469" s="459"/>
      <c r="L469" s="458">
        <v>70</v>
      </c>
      <c r="M469" s="460">
        <v>35</v>
      </c>
      <c r="N469" s="1065">
        <v>4</v>
      </c>
      <c r="O469" s="707"/>
    </row>
    <row r="470" spans="1:21" s="305" customFormat="1">
      <c r="A470" s="477" t="s">
        <v>189</v>
      </c>
      <c r="B470" s="1288" t="s">
        <v>473</v>
      </c>
      <c r="C470" s="1289" t="s">
        <v>445</v>
      </c>
      <c r="D470" s="1290"/>
      <c r="E470" s="1291">
        <v>60</v>
      </c>
      <c r="F470" s="460" t="s">
        <v>1927</v>
      </c>
      <c r="G470" s="460" t="s">
        <v>1992</v>
      </c>
      <c r="H470" s="457"/>
      <c r="I470" s="458"/>
      <c r="J470" s="459"/>
      <c r="K470" s="459"/>
      <c r="L470" s="458">
        <v>110</v>
      </c>
      <c r="M470" s="460">
        <v>50</v>
      </c>
      <c r="N470" s="1065">
        <v>4</v>
      </c>
      <c r="O470" s="707"/>
    </row>
    <row r="471" spans="1:21" s="305" customFormat="1">
      <c r="A471" s="477" t="s">
        <v>446</v>
      </c>
      <c r="B471" s="1288" t="s">
        <v>473</v>
      </c>
      <c r="C471" s="1289" t="s">
        <v>445</v>
      </c>
      <c r="D471" s="1290"/>
      <c r="E471" s="1291">
        <v>90</v>
      </c>
      <c r="F471" s="460" t="s">
        <v>1927</v>
      </c>
      <c r="G471" s="460" t="s">
        <v>1992</v>
      </c>
      <c r="H471" s="457"/>
      <c r="I471" s="458"/>
      <c r="J471" s="459"/>
      <c r="K471" s="459"/>
      <c r="L471" s="458">
        <v>170</v>
      </c>
      <c r="M471" s="460">
        <v>80</v>
      </c>
      <c r="N471" s="1065">
        <v>4</v>
      </c>
      <c r="O471" s="707"/>
    </row>
    <row r="472" spans="1:21" s="688" customFormat="1">
      <c r="A472" s="679" t="s">
        <v>1564</v>
      </c>
      <c r="B472" s="1272" t="s">
        <v>473</v>
      </c>
      <c r="C472" s="1273" t="s">
        <v>1561</v>
      </c>
      <c r="D472" s="1274"/>
      <c r="E472" s="1255">
        <v>72.5</v>
      </c>
      <c r="F472" s="681" t="s">
        <v>55</v>
      </c>
      <c r="G472" s="681"/>
      <c r="H472" s="681" t="s">
        <v>1562</v>
      </c>
      <c r="I472" s="689"/>
      <c r="J472" s="685"/>
      <c r="K472" s="685"/>
      <c r="L472" s="689">
        <v>125</v>
      </c>
      <c r="M472" s="681">
        <v>52.5</v>
      </c>
      <c r="N472" s="706"/>
      <c r="O472" s="707"/>
      <c r="P472" s="696"/>
      <c r="Q472" s="696"/>
      <c r="R472" s="696"/>
      <c r="S472" s="696"/>
      <c r="T472" s="696"/>
      <c r="U472" s="696"/>
    </row>
    <row r="473" spans="1:21" s="688" customFormat="1">
      <c r="A473" s="679" t="s">
        <v>1563</v>
      </c>
      <c r="B473" s="1272" t="s">
        <v>473</v>
      </c>
      <c r="C473" s="1273" t="s">
        <v>1561</v>
      </c>
      <c r="D473" s="1274"/>
      <c r="E473" s="1255">
        <v>87.5</v>
      </c>
      <c r="F473" s="681" t="s">
        <v>55</v>
      </c>
      <c r="G473" s="681"/>
      <c r="H473" s="681" t="s">
        <v>1562</v>
      </c>
      <c r="I473" s="689"/>
      <c r="J473" s="685"/>
      <c r="K473" s="685"/>
      <c r="L473" s="689">
        <v>155</v>
      </c>
      <c r="M473" s="681">
        <v>67.5</v>
      </c>
      <c r="N473" s="706"/>
      <c r="O473" s="707"/>
      <c r="P473" s="696"/>
      <c r="Q473" s="696"/>
      <c r="R473" s="696"/>
      <c r="S473" s="696"/>
      <c r="T473" s="696"/>
      <c r="U473" s="696"/>
    </row>
    <row r="474" spans="1:21" s="688" customFormat="1">
      <c r="A474" s="679" t="s">
        <v>15</v>
      </c>
      <c r="B474" s="1272" t="s">
        <v>473</v>
      </c>
      <c r="C474" s="1273" t="s">
        <v>1561</v>
      </c>
      <c r="D474" s="1274"/>
      <c r="E474" s="1255">
        <v>100</v>
      </c>
      <c r="F474" s="681" t="s">
        <v>55</v>
      </c>
      <c r="G474" s="681"/>
      <c r="H474" s="681" t="s">
        <v>1562</v>
      </c>
      <c r="I474" s="689"/>
      <c r="J474" s="685"/>
      <c r="K474" s="685"/>
      <c r="L474" s="689">
        <v>180</v>
      </c>
      <c r="M474" s="681">
        <v>80</v>
      </c>
      <c r="N474" s="706"/>
      <c r="O474" s="707" t="s">
        <v>1565</v>
      </c>
      <c r="P474" s="696"/>
      <c r="Q474" s="696"/>
      <c r="R474" s="696"/>
      <c r="S474" s="696"/>
      <c r="T474" s="696"/>
      <c r="U474" s="696"/>
    </row>
    <row r="475" spans="1:21" s="688" customFormat="1">
      <c r="A475" s="444" t="s">
        <v>4358</v>
      </c>
      <c r="B475" s="1876" t="s">
        <v>473</v>
      </c>
      <c r="C475" s="1880" t="s">
        <v>58</v>
      </c>
      <c r="D475" s="1274"/>
      <c r="E475" s="1877">
        <v>25</v>
      </c>
      <c r="F475" s="681"/>
      <c r="G475" s="681"/>
      <c r="H475" s="681"/>
      <c r="I475" s="689"/>
      <c r="J475" s="685"/>
      <c r="K475" s="685"/>
      <c r="L475" s="277">
        <v>52</v>
      </c>
      <c r="M475" s="275">
        <f t="shared" ref="M475:M490" si="25">L475-E475</f>
        <v>27</v>
      </c>
      <c r="N475" s="632">
        <v>4</v>
      </c>
      <c r="O475" s="646" t="s">
        <v>3880</v>
      </c>
      <c r="P475" s="2403" t="s">
        <v>4366</v>
      </c>
      <c r="Q475" s="490" t="s">
        <v>4150</v>
      </c>
      <c r="R475" s="696"/>
      <c r="S475" s="696"/>
      <c r="T475" s="696"/>
      <c r="U475" s="696"/>
    </row>
    <row r="476" spans="1:21" s="688" customFormat="1">
      <c r="A476" s="444" t="s">
        <v>4359</v>
      </c>
      <c r="B476" s="1876" t="s">
        <v>473</v>
      </c>
      <c r="C476" s="1880" t="s">
        <v>58</v>
      </c>
      <c r="D476" s="1274"/>
      <c r="E476" s="1877">
        <v>26</v>
      </c>
      <c r="F476" s="681"/>
      <c r="G476" s="681"/>
      <c r="H476" s="681"/>
      <c r="I476" s="689"/>
      <c r="J476" s="685"/>
      <c r="K476" s="685"/>
      <c r="L476" s="277">
        <v>52</v>
      </c>
      <c r="M476" s="275">
        <f t="shared" si="25"/>
        <v>26</v>
      </c>
      <c r="N476" s="632">
        <v>4</v>
      </c>
      <c r="O476" s="646" t="s">
        <v>3880</v>
      </c>
      <c r="P476" s="2403" t="s">
        <v>4366</v>
      </c>
      <c r="Q476" s="490" t="s">
        <v>4150</v>
      </c>
      <c r="R476" s="696"/>
      <c r="S476" s="696"/>
      <c r="T476" s="696"/>
      <c r="U476" s="696"/>
    </row>
    <row r="477" spans="1:21" s="688" customFormat="1">
      <c r="A477" s="444" t="s">
        <v>4361</v>
      </c>
      <c r="B477" s="1876" t="s">
        <v>473</v>
      </c>
      <c r="C477" s="1880" t="s">
        <v>58</v>
      </c>
      <c r="D477" s="1274"/>
      <c r="E477" s="1877">
        <v>29</v>
      </c>
      <c r="F477" s="681"/>
      <c r="G477" s="681"/>
      <c r="H477" s="681"/>
      <c r="I477" s="689"/>
      <c r="J477" s="685"/>
      <c r="K477" s="685"/>
      <c r="L477" s="277">
        <v>58</v>
      </c>
      <c r="M477" s="275">
        <f t="shared" si="25"/>
        <v>29</v>
      </c>
      <c r="N477" s="632">
        <v>4</v>
      </c>
      <c r="O477" s="646" t="s">
        <v>3880</v>
      </c>
      <c r="P477" s="2403" t="s">
        <v>4366</v>
      </c>
      <c r="Q477" s="490" t="s">
        <v>4365</v>
      </c>
      <c r="R477" s="696"/>
      <c r="S477" s="696"/>
      <c r="T477" s="696"/>
      <c r="U477" s="696"/>
    </row>
    <row r="478" spans="1:21" s="688" customFormat="1">
      <c r="A478" s="444" t="s">
        <v>4362</v>
      </c>
      <c r="B478" s="1876" t="s">
        <v>473</v>
      </c>
      <c r="C478" s="1880" t="s">
        <v>58</v>
      </c>
      <c r="D478" s="1274"/>
      <c r="E478" s="1877">
        <v>34</v>
      </c>
      <c r="F478" s="681"/>
      <c r="G478" s="681"/>
      <c r="H478" s="681"/>
      <c r="I478" s="689"/>
      <c r="J478" s="685"/>
      <c r="K478" s="685"/>
      <c r="L478" s="277">
        <v>68</v>
      </c>
      <c r="M478" s="275">
        <f t="shared" si="25"/>
        <v>34</v>
      </c>
      <c r="N478" s="632">
        <v>4</v>
      </c>
      <c r="O478" s="646" t="s">
        <v>3880</v>
      </c>
      <c r="P478" s="2403" t="s">
        <v>4366</v>
      </c>
      <c r="Q478" s="490" t="s">
        <v>4365</v>
      </c>
      <c r="R478" s="696"/>
      <c r="S478" s="696"/>
      <c r="T478" s="696"/>
      <c r="U478" s="696"/>
    </row>
    <row r="479" spans="1:21" s="688" customFormat="1">
      <c r="A479" s="444" t="s">
        <v>4363</v>
      </c>
      <c r="B479" s="1876" t="s">
        <v>473</v>
      </c>
      <c r="C479" s="1880" t="s">
        <v>58</v>
      </c>
      <c r="D479" s="1274"/>
      <c r="E479" s="1877">
        <v>41</v>
      </c>
      <c r="F479" s="681"/>
      <c r="G479" s="681"/>
      <c r="H479" s="681"/>
      <c r="I479" s="689"/>
      <c r="J479" s="685"/>
      <c r="K479" s="685"/>
      <c r="L479" s="277">
        <v>82</v>
      </c>
      <c r="M479" s="275">
        <f t="shared" si="25"/>
        <v>41</v>
      </c>
      <c r="N479" s="632">
        <v>4</v>
      </c>
      <c r="O479" s="646" t="s">
        <v>3880</v>
      </c>
      <c r="P479" s="2403" t="s">
        <v>4366</v>
      </c>
      <c r="Q479" s="490" t="s">
        <v>4365</v>
      </c>
      <c r="R479" s="696"/>
      <c r="S479" s="696"/>
      <c r="T479" s="696"/>
      <c r="U479" s="696"/>
    </row>
    <row r="480" spans="1:21" s="688" customFormat="1">
      <c r="A480" s="444" t="s">
        <v>4364</v>
      </c>
      <c r="B480" s="1876" t="s">
        <v>473</v>
      </c>
      <c r="C480" s="1880" t="s">
        <v>58</v>
      </c>
      <c r="D480" s="1274"/>
      <c r="E480" s="1877">
        <v>43</v>
      </c>
      <c r="F480" s="681"/>
      <c r="G480" s="681"/>
      <c r="H480" s="681"/>
      <c r="I480" s="689"/>
      <c r="J480" s="685"/>
      <c r="K480" s="685"/>
      <c r="L480" s="277">
        <v>86</v>
      </c>
      <c r="M480" s="275">
        <f t="shared" ref="M480:M481" si="26">L480-E480</f>
        <v>43</v>
      </c>
      <c r="N480" s="632">
        <v>4</v>
      </c>
      <c r="O480" s="646" t="s">
        <v>3880</v>
      </c>
      <c r="P480" s="2403" t="s">
        <v>4366</v>
      </c>
      <c r="Q480" s="490" t="s">
        <v>4365</v>
      </c>
      <c r="R480" s="696"/>
      <c r="S480" s="696"/>
      <c r="T480" s="696"/>
      <c r="U480" s="696"/>
    </row>
    <row r="481" spans="1:21" s="688" customFormat="1">
      <c r="A481" s="444" t="s">
        <v>4357</v>
      </c>
      <c r="B481" s="1876" t="s">
        <v>473</v>
      </c>
      <c r="C481" s="1880" t="s">
        <v>58</v>
      </c>
      <c r="D481" s="1274"/>
      <c r="E481" s="1877">
        <v>52</v>
      </c>
      <c r="F481" s="681"/>
      <c r="G481" s="681"/>
      <c r="H481" s="681"/>
      <c r="I481" s="689"/>
      <c r="J481" s="685"/>
      <c r="K481" s="685"/>
      <c r="L481" s="277">
        <v>104</v>
      </c>
      <c r="M481" s="275">
        <f t="shared" si="26"/>
        <v>52</v>
      </c>
      <c r="N481" s="632">
        <v>4</v>
      </c>
      <c r="O481" s="646" t="s">
        <v>3880</v>
      </c>
      <c r="P481" s="2403" t="s">
        <v>4366</v>
      </c>
      <c r="Q481" s="490" t="s">
        <v>4365</v>
      </c>
      <c r="R481" s="696"/>
      <c r="S481" s="696"/>
      <c r="T481" s="696"/>
      <c r="U481" s="696"/>
    </row>
    <row r="482" spans="1:21" s="688" customFormat="1">
      <c r="A482" s="444" t="s">
        <v>4360</v>
      </c>
      <c r="B482" s="1876" t="s">
        <v>473</v>
      </c>
      <c r="C482" s="1880" t="s">
        <v>58</v>
      </c>
      <c r="D482" s="1274"/>
      <c r="E482" s="1877">
        <v>56</v>
      </c>
      <c r="F482" s="681"/>
      <c r="G482" s="681"/>
      <c r="H482" s="681"/>
      <c r="I482" s="689"/>
      <c r="J482" s="685"/>
      <c r="K482" s="685"/>
      <c r="L482" s="277">
        <v>112</v>
      </c>
      <c r="M482" s="275">
        <f t="shared" si="25"/>
        <v>56</v>
      </c>
      <c r="N482" s="632">
        <v>4</v>
      </c>
      <c r="O482" s="646" t="s">
        <v>3880</v>
      </c>
      <c r="P482" s="2403" t="s">
        <v>4366</v>
      </c>
      <c r="Q482" s="490" t="s">
        <v>4365</v>
      </c>
      <c r="R482" s="696"/>
      <c r="S482" s="696"/>
      <c r="T482" s="696"/>
      <c r="U482" s="696"/>
    </row>
    <row r="483" spans="1:21" s="305" customFormat="1">
      <c r="A483" s="2423" t="s">
        <v>3909</v>
      </c>
      <c r="B483" s="1286" t="s">
        <v>471</v>
      </c>
      <c r="C483" s="1280" t="s">
        <v>660</v>
      </c>
      <c r="D483" s="1281"/>
      <c r="E483" s="1851">
        <v>65</v>
      </c>
      <c r="F483" s="1853" t="s">
        <v>3913</v>
      </c>
      <c r="G483" s="1852" t="s">
        <v>3912</v>
      </c>
      <c r="H483" s="1852">
        <v>1.75</v>
      </c>
      <c r="I483" s="1852" t="s">
        <v>4156</v>
      </c>
      <c r="J483" s="1321"/>
      <c r="K483" s="1321"/>
      <c r="L483" s="1853">
        <v>80</v>
      </c>
      <c r="M483" s="1852">
        <f t="shared" si="25"/>
        <v>15</v>
      </c>
      <c r="N483" s="669">
        <v>4</v>
      </c>
      <c r="O483" s="1856" t="s">
        <v>3880</v>
      </c>
      <c r="P483" s="297"/>
      <c r="Q483" s="2403" t="s">
        <v>3946</v>
      </c>
      <c r="R483" s="297"/>
      <c r="S483" s="297"/>
      <c r="T483" s="297"/>
      <c r="U483" s="297"/>
    </row>
    <row r="484" spans="1:21" s="305" customFormat="1">
      <c r="A484" s="2423" t="s">
        <v>3910</v>
      </c>
      <c r="B484" s="1286" t="s">
        <v>471</v>
      </c>
      <c r="C484" s="1280" t="s">
        <v>660</v>
      </c>
      <c r="D484" s="1281"/>
      <c r="E484" s="1851">
        <v>79.56</v>
      </c>
      <c r="F484" s="1853" t="s">
        <v>3913</v>
      </c>
      <c r="G484" s="1852" t="s">
        <v>3912</v>
      </c>
      <c r="H484" s="1852">
        <v>1.75</v>
      </c>
      <c r="I484" s="1852" t="s">
        <v>4156</v>
      </c>
      <c r="J484" s="1321"/>
      <c r="K484" s="1321"/>
      <c r="L484" s="1853">
        <v>95.16</v>
      </c>
      <c r="M484" s="1852">
        <f t="shared" si="25"/>
        <v>15.599999999999994</v>
      </c>
      <c r="N484" s="669">
        <v>4</v>
      </c>
      <c r="O484" s="1856" t="s">
        <v>3880</v>
      </c>
      <c r="P484" s="297"/>
      <c r="Q484" s="2403" t="s">
        <v>3946</v>
      </c>
      <c r="R484" s="297"/>
      <c r="S484" s="297"/>
      <c r="T484" s="297"/>
      <c r="U484" s="297"/>
    </row>
    <row r="485" spans="1:21" s="305" customFormat="1">
      <c r="A485" s="1861" t="s">
        <v>3914</v>
      </c>
      <c r="B485" s="1286" t="s">
        <v>471</v>
      </c>
      <c r="C485" s="1280" t="s">
        <v>660</v>
      </c>
      <c r="D485" s="1281"/>
      <c r="E485" s="1851">
        <v>85.02</v>
      </c>
      <c r="F485" s="1853" t="s">
        <v>3915</v>
      </c>
      <c r="G485" s="1852" t="s">
        <v>3912</v>
      </c>
      <c r="H485" s="1852">
        <v>1.75</v>
      </c>
      <c r="I485" s="1852" t="s">
        <v>4156</v>
      </c>
      <c r="J485" s="1321"/>
      <c r="K485" s="1321"/>
      <c r="L485" s="1853">
        <v>98.28</v>
      </c>
      <c r="M485" s="1852">
        <f t="shared" si="25"/>
        <v>13.260000000000005</v>
      </c>
      <c r="N485" s="669">
        <v>4</v>
      </c>
      <c r="O485" s="1856" t="s">
        <v>3880</v>
      </c>
      <c r="P485" s="297"/>
      <c r="Q485" s="2403" t="s">
        <v>3946</v>
      </c>
      <c r="R485" s="297"/>
      <c r="S485" s="297"/>
      <c r="T485" s="297"/>
      <c r="U485" s="297"/>
    </row>
    <row r="486" spans="1:21" s="305" customFormat="1">
      <c r="A486" s="1861" t="s">
        <v>3911</v>
      </c>
      <c r="B486" s="1286" t="s">
        <v>471</v>
      </c>
      <c r="C486" s="1280" t="s">
        <v>660</v>
      </c>
      <c r="D486" s="1281"/>
      <c r="E486" s="1851">
        <v>88.92</v>
      </c>
      <c r="F486" s="1853" t="s">
        <v>3913</v>
      </c>
      <c r="G486" s="1852" t="s">
        <v>3912</v>
      </c>
      <c r="H486" s="1852">
        <v>1.75</v>
      </c>
      <c r="I486" s="1852" t="s">
        <v>4156</v>
      </c>
      <c r="J486" s="1321"/>
      <c r="K486" s="1321"/>
      <c r="L486" s="1853">
        <v>102.18</v>
      </c>
      <c r="M486" s="1852">
        <f t="shared" si="25"/>
        <v>13.260000000000005</v>
      </c>
      <c r="N486" s="669">
        <v>4</v>
      </c>
      <c r="O486" s="1856" t="s">
        <v>3880</v>
      </c>
      <c r="P486" s="297"/>
      <c r="Q486" s="2403" t="s">
        <v>3946</v>
      </c>
      <c r="R486" s="297"/>
      <c r="S486" s="297"/>
      <c r="T486" s="297"/>
      <c r="U486" s="297"/>
    </row>
    <row r="487" spans="1:21" s="305" customFormat="1">
      <c r="A487" s="1861" t="s">
        <v>3973</v>
      </c>
      <c r="B487" s="1286" t="s">
        <v>471</v>
      </c>
      <c r="C487" s="1280" t="s">
        <v>588</v>
      </c>
      <c r="D487" s="1312"/>
      <c r="E487" s="1851">
        <v>64</v>
      </c>
      <c r="F487" s="1319"/>
      <c r="G487" s="1852" t="s">
        <v>3912</v>
      </c>
      <c r="H487" s="1852">
        <v>1.7</v>
      </c>
      <c r="I487" s="1852" t="s">
        <v>1803</v>
      </c>
      <c r="J487" s="1321"/>
      <c r="K487" s="1321"/>
      <c r="L487" s="1853">
        <v>79</v>
      </c>
      <c r="M487" s="1852">
        <f t="shared" si="25"/>
        <v>15</v>
      </c>
      <c r="N487" s="2437" t="s">
        <v>357</v>
      </c>
      <c r="O487" s="2404" t="s">
        <v>4004</v>
      </c>
      <c r="P487" s="1856" t="s">
        <v>3972</v>
      </c>
      <c r="Q487" s="2403" t="s">
        <v>4006</v>
      </c>
      <c r="R487" s="297"/>
      <c r="S487" s="297"/>
      <c r="T487" s="297"/>
      <c r="U487" s="297"/>
    </row>
    <row r="488" spans="1:21" s="305" customFormat="1">
      <c r="A488" s="1861" t="s">
        <v>3974</v>
      </c>
      <c r="B488" s="1286" t="s">
        <v>471</v>
      </c>
      <c r="C488" s="1280" t="s">
        <v>588</v>
      </c>
      <c r="D488" s="1312"/>
      <c r="E488" s="1851">
        <v>71</v>
      </c>
      <c r="F488" s="1319"/>
      <c r="G488" s="1852" t="s">
        <v>3912</v>
      </c>
      <c r="H488" s="1852">
        <v>1.7</v>
      </c>
      <c r="I488" s="1852" t="s">
        <v>1803</v>
      </c>
      <c r="J488" s="1321"/>
      <c r="K488" s="1321"/>
      <c r="L488" s="1853">
        <v>86</v>
      </c>
      <c r="M488" s="1852">
        <f t="shared" si="25"/>
        <v>15</v>
      </c>
      <c r="N488" s="2437" t="s">
        <v>357</v>
      </c>
      <c r="O488" s="2404" t="s">
        <v>4004</v>
      </c>
      <c r="P488" s="1856" t="s">
        <v>3972</v>
      </c>
      <c r="Q488" s="2403" t="s">
        <v>4006</v>
      </c>
      <c r="R488" s="297"/>
      <c r="S488" s="297"/>
      <c r="T488" s="297"/>
      <c r="U488" s="297"/>
    </row>
    <row r="489" spans="1:21" s="305" customFormat="1">
      <c r="A489" s="1861" t="s">
        <v>3408</v>
      </c>
      <c r="B489" s="1286" t="s">
        <v>471</v>
      </c>
      <c r="C489" s="1280" t="s">
        <v>831</v>
      </c>
      <c r="D489" s="1281"/>
      <c r="E489" s="1851">
        <v>72</v>
      </c>
      <c r="F489" s="1319"/>
      <c r="G489" s="1852" t="s">
        <v>3912</v>
      </c>
      <c r="H489" s="1852">
        <v>1.7</v>
      </c>
      <c r="I489" s="1852" t="s">
        <v>1803</v>
      </c>
      <c r="J489" s="1321"/>
      <c r="K489" s="1321"/>
      <c r="L489" s="1853">
        <v>85</v>
      </c>
      <c r="M489" s="1852">
        <f t="shared" si="25"/>
        <v>13</v>
      </c>
      <c r="N489" s="1322">
        <v>3</v>
      </c>
      <c r="O489" s="1856" t="s">
        <v>3880</v>
      </c>
      <c r="P489" s="297"/>
      <c r="Q489" s="2403" t="s">
        <v>4095</v>
      </c>
      <c r="R489" s="297"/>
      <c r="S489" s="2403" t="s">
        <v>4243</v>
      </c>
      <c r="T489" s="297"/>
      <c r="U489" s="297"/>
    </row>
    <row r="490" spans="1:21" s="305" customFormat="1">
      <c r="A490" s="1861" t="s">
        <v>3407</v>
      </c>
      <c r="B490" s="1286" t="s">
        <v>471</v>
      </c>
      <c r="C490" s="1280" t="s">
        <v>831</v>
      </c>
      <c r="D490" s="1281"/>
      <c r="E490" s="1851">
        <v>75</v>
      </c>
      <c r="F490" s="1319"/>
      <c r="G490" s="1852" t="s">
        <v>3912</v>
      </c>
      <c r="H490" s="1852">
        <v>1.7</v>
      </c>
      <c r="I490" s="1852" t="s">
        <v>1803</v>
      </c>
      <c r="J490" s="1321"/>
      <c r="K490" s="1321"/>
      <c r="L490" s="1853">
        <v>88</v>
      </c>
      <c r="M490" s="1852">
        <f t="shared" si="25"/>
        <v>13</v>
      </c>
      <c r="N490" s="1322">
        <v>3</v>
      </c>
      <c r="O490" s="1856" t="s">
        <v>3880</v>
      </c>
      <c r="P490" s="297"/>
      <c r="Q490" s="2403" t="s">
        <v>4095</v>
      </c>
      <c r="R490" s="297"/>
      <c r="S490" s="2403" t="s">
        <v>4243</v>
      </c>
      <c r="T490" s="297"/>
      <c r="U490" s="297"/>
    </row>
    <row r="491" spans="1:21" s="688" customFormat="1">
      <c r="A491" s="662" t="s">
        <v>4001</v>
      </c>
      <c r="B491" s="1286" t="s">
        <v>471</v>
      </c>
      <c r="C491" s="1280" t="s">
        <v>838</v>
      </c>
      <c r="D491" s="1281"/>
      <c r="E491" s="1851">
        <v>57.5</v>
      </c>
      <c r="F491" s="275" t="s">
        <v>4638</v>
      </c>
      <c r="G491" s="1852" t="s">
        <v>3912</v>
      </c>
      <c r="H491" s="683"/>
      <c r="I491" s="713"/>
      <c r="J491" s="685"/>
      <c r="K491" s="685"/>
      <c r="L491" s="665">
        <v>78.5</v>
      </c>
      <c r="M491" s="1852">
        <f t="shared" ref="M491:M497" si="27">L491-E491</f>
        <v>21</v>
      </c>
      <c r="N491" s="2398">
        <v>2</v>
      </c>
      <c r="O491" s="2406" t="s">
        <v>3880</v>
      </c>
      <c r="Q491" s="2403" t="s">
        <v>4005</v>
      </c>
    </row>
    <row r="492" spans="1:21" s="688" customFormat="1">
      <c r="A492" s="662" t="s">
        <v>4002</v>
      </c>
      <c r="B492" s="1286" t="s">
        <v>471</v>
      </c>
      <c r="C492" s="1280" t="s">
        <v>838</v>
      </c>
      <c r="D492" s="1274"/>
      <c r="E492" s="1851">
        <v>63.5</v>
      </c>
      <c r="F492" s="275" t="s">
        <v>4638</v>
      </c>
      <c r="G492" s="1852" t="s">
        <v>3912</v>
      </c>
      <c r="H492" s="683"/>
      <c r="I492" s="713"/>
      <c r="J492" s="685"/>
      <c r="K492" s="685"/>
      <c r="L492" s="665">
        <v>84.5</v>
      </c>
      <c r="M492" s="1852">
        <f t="shared" si="27"/>
        <v>21</v>
      </c>
      <c r="N492" s="2398">
        <v>2</v>
      </c>
      <c r="O492" s="2406" t="s">
        <v>3880</v>
      </c>
      <c r="Q492" s="2403" t="s">
        <v>4005</v>
      </c>
    </row>
    <row r="493" spans="1:21" s="688" customFormat="1">
      <c r="A493" s="662" t="s">
        <v>4003</v>
      </c>
      <c r="B493" s="1286" t="s">
        <v>471</v>
      </c>
      <c r="C493" s="1280" t="s">
        <v>838</v>
      </c>
      <c r="D493" s="1274"/>
      <c r="E493" s="1851">
        <v>70.5</v>
      </c>
      <c r="F493" s="275" t="s">
        <v>4638</v>
      </c>
      <c r="G493" s="1852" t="s">
        <v>3912</v>
      </c>
      <c r="H493" s="683"/>
      <c r="I493" s="713"/>
      <c r="J493" s="685"/>
      <c r="K493" s="685"/>
      <c r="L493" s="665">
        <v>91.5</v>
      </c>
      <c r="M493" s="1852">
        <f t="shared" si="27"/>
        <v>21</v>
      </c>
      <c r="N493" s="2398">
        <v>2</v>
      </c>
      <c r="O493" s="2406" t="s">
        <v>3880</v>
      </c>
      <c r="Q493" s="2403" t="s">
        <v>4005</v>
      </c>
    </row>
    <row r="494" spans="1:21" s="688" customFormat="1">
      <c r="A494" s="662" t="s">
        <v>4157</v>
      </c>
      <c r="B494" s="1876" t="s">
        <v>471</v>
      </c>
      <c r="C494" s="1880" t="s">
        <v>4155</v>
      </c>
      <c r="D494" s="1274"/>
      <c r="E494" s="1851">
        <v>54</v>
      </c>
      <c r="F494" s="275" t="s">
        <v>4161</v>
      </c>
      <c r="G494" s="1852" t="s">
        <v>3912</v>
      </c>
      <c r="H494" s="276">
        <v>1.7</v>
      </c>
      <c r="I494" s="277" t="s">
        <v>1803</v>
      </c>
      <c r="J494" s="685"/>
      <c r="K494" s="685"/>
      <c r="L494" s="665">
        <v>87</v>
      </c>
      <c r="M494" s="1852">
        <f t="shared" si="27"/>
        <v>33</v>
      </c>
      <c r="N494" s="2398"/>
      <c r="O494" s="2406" t="s">
        <v>3880</v>
      </c>
      <c r="Q494" s="2403" t="s">
        <v>3829</v>
      </c>
    </row>
    <row r="495" spans="1:21" s="688" customFormat="1">
      <c r="A495" s="662" t="s">
        <v>4158</v>
      </c>
      <c r="B495" s="1876" t="s">
        <v>471</v>
      </c>
      <c r="C495" s="1880" t="s">
        <v>4155</v>
      </c>
      <c r="D495" s="1274"/>
      <c r="E495" s="1851">
        <v>58</v>
      </c>
      <c r="F495" s="275" t="s">
        <v>4161</v>
      </c>
      <c r="G495" s="1852" t="s">
        <v>3912</v>
      </c>
      <c r="H495" s="276">
        <v>1.7</v>
      </c>
      <c r="I495" s="277" t="s">
        <v>1803</v>
      </c>
      <c r="J495" s="685"/>
      <c r="K495" s="685"/>
      <c r="L495" s="665">
        <v>93</v>
      </c>
      <c r="M495" s="1852">
        <f t="shared" si="27"/>
        <v>35</v>
      </c>
      <c r="N495" s="2398"/>
      <c r="O495" s="2406" t="s">
        <v>3880</v>
      </c>
      <c r="Q495" s="2403" t="s">
        <v>3829</v>
      </c>
    </row>
    <row r="496" spans="1:21" s="688" customFormat="1">
      <c r="A496" s="662" t="s">
        <v>4159</v>
      </c>
      <c r="B496" s="1876" t="s">
        <v>471</v>
      </c>
      <c r="C496" s="1880" t="s">
        <v>4155</v>
      </c>
      <c r="D496" s="1274"/>
      <c r="E496" s="1877">
        <v>68</v>
      </c>
      <c r="F496" s="275" t="s">
        <v>4161</v>
      </c>
      <c r="G496" s="1852" t="s">
        <v>3912</v>
      </c>
      <c r="H496" s="276">
        <v>1.7</v>
      </c>
      <c r="I496" s="277" t="s">
        <v>1803</v>
      </c>
      <c r="J496" s="685"/>
      <c r="K496" s="685"/>
      <c r="L496" s="277">
        <v>109</v>
      </c>
      <c r="M496" s="1852">
        <f t="shared" si="27"/>
        <v>41</v>
      </c>
      <c r="N496" s="2398"/>
      <c r="O496" s="2406" t="s">
        <v>3880</v>
      </c>
      <c r="Q496" s="2403" t="s">
        <v>3829</v>
      </c>
    </row>
    <row r="497" spans="1:21" s="688" customFormat="1">
      <c r="A497" s="662" t="s">
        <v>4160</v>
      </c>
      <c r="B497" s="1876" t="s">
        <v>471</v>
      </c>
      <c r="C497" s="1880" t="s">
        <v>4155</v>
      </c>
      <c r="D497" s="1274"/>
      <c r="E497" s="1877">
        <v>75</v>
      </c>
      <c r="F497" s="275" t="s">
        <v>4161</v>
      </c>
      <c r="G497" s="1852" t="s">
        <v>3912</v>
      </c>
      <c r="H497" s="276">
        <v>1.7</v>
      </c>
      <c r="I497" s="277" t="s">
        <v>1803</v>
      </c>
      <c r="J497" s="685"/>
      <c r="K497" s="685"/>
      <c r="L497" s="277">
        <v>120</v>
      </c>
      <c r="M497" s="1852">
        <f t="shared" si="27"/>
        <v>45</v>
      </c>
      <c r="N497" s="2398"/>
      <c r="O497" s="2406" t="s">
        <v>3880</v>
      </c>
      <c r="Q497" s="2403" t="s">
        <v>3829</v>
      </c>
    </row>
    <row r="498" spans="1:21" s="456" customFormat="1">
      <c r="A498" s="720" t="s">
        <v>602</v>
      </c>
      <c r="B498" s="1272" t="s">
        <v>484</v>
      </c>
      <c r="C498" s="1273" t="s">
        <v>1061</v>
      </c>
      <c r="D498" s="1274"/>
      <c r="E498" s="1255">
        <v>50</v>
      </c>
      <c r="F498" s="681" t="s">
        <v>1927</v>
      </c>
      <c r="G498" s="724" t="s">
        <v>420</v>
      </c>
      <c r="H498" s="713"/>
      <c r="I498" s="714"/>
      <c r="J498" s="714"/>
      <c r="K498" s="714"/>
      <c r="L498" s="714">
        <v>70</v>
      </c>
      <c r="M498" s="713">
        <v>20</v>
      </c>
      <c r="N498" s="723"/>
      <c r="O498" s="707"/>
      <c r="P498" s="479"/>
      <c r="Q498" s="479"/>
      <c r="R498" s="479"/>
      <c r="S498" s="479"/>
      <c r="T498" s="479"/>
      <c r="U498" s="479"/>
    </row>
    <row r="499" spans="1:21" s="305" customFormat="1">
      <c r="A499" s="679" t="s">
        <v>840</v>
      </c>
      <c r="B499" s="1272" t="s">
        <v>484</v>
      </c>
      <c r="C499" s="1273" t="s">
        <v>839</v>
      </c>
      <c r="D499" s="1274"/>
      <c r="E499" s="1255">
        <v>27</v>
      </c>
      <c r="F499" s="681" t="s">
        <v>1936</v>
      </c>
      <c r="G499" s="691" t="s">
        <v>420</v>
      </c>
      <c r="H499" s="683">
        <v>1.8</v>
      </c>
      <c r="I499" s="689" t="s">
        <v>206</v>
      </c>
      <c r="J499" s="685"/>
      <c r="K499" s="685"/>
      <c r="L499" s="689">
        <v>36</v>
      </c>
      <c r="M499" s="681">
        <v>9</v>
      </c>
      <c r="N499" s="686"/>
      <c r="O499" s="707"/>
    </row>
    <row r="500" spans="1:21" s="305" customFormat="1">
      <c r="A500" s="679" t="s">
        <v>602</v>
      </c>
      <c r="B500" s="1272" t="s">
        <v>484</v>
      </c>
      <c r="C500" s="1273" t="s">
        <v>839</v>
      </c>
      <c r="D500" s="1274"/>
      <c r="E500" s="1255">
        <v>22</v>
      </c>
      <c r="F500" s="681" t="s">
        <v>1936</v>
      </c>
      <c r="G500" s="691" t="s">
        <v>420</v>
      </c>
      <c r="H500" s="683">
        <v>1.8</v>
      </c>
      <c r="I500" s="689" t="s">
        <v>206</v>
      </c>
      <c r="J500" s="685"/>
      <c r="K500" s="685"/>
      <c r="L500" s="689">
        <v>31</v>
      </c>
      <c r="M500" s="681">
        <v>9</v>
      </c>
      <c r="N500" s="686"/>
      <c r="O500" s="707"/>
    </row>
    <row r="501" spans="1:21" s="305" customFormat="1">
      <c r="A501" s="679" t="s">
        <v>840</v>
      </c>
      <c r="B501" s="1272" t="s">
        <v>484</v>
      </c>
      <c r="C501" s="1273" t="s">
        <v>839</v>
      </c>
      <c r="D501" s="1274"/>
      <c r="E501" s="1255">
        <v>27</v>
      </c>
      <c r="F501" s="681" t="s">
        <v>1936</v>
      </c>
      <c r="G501" s="691" t="s">
        <v>420</v>
      </c>
      <c r="H501" s="683">
        <v>1.8</v>
      </c>
      <c r="I501" s="689" t="s">
        <v>206</v>
      </c>
      <c r="J501" s="685"/>
      <c r="K501" s="685"/>
      <c r="L501" s="689">
        <v>36</v>
      </c>
      <c r="M501" s="681">
        <v>9</v>
      </c>
      <c r="N501" s="686"/>
      <c r="O501" s="707"/>
    </row>
    <row r="502" spans="1:21" s="305" customFormat="1">
      <c r="A502" s="679" t="s">
        <v>841</v>
      </c>
      <c r="B502" s="1272" t="s">
        <v>484</v>
      </c>
      <c r="C502" s="1273" t="s">
        <v>839</v>
      </c>
      <c r="D502" s="1274"/>
      <c r="E502" s="1255">
        <v>35</v>
      </c>
      <c r="F502" s="681" t="s">
        <v>1936</v>
      </c>
      <c r="G502" s="691" t="s">
        <v>420</v>
      </c>
      <c r="H502" s="683">
        <v>1.8</v>
      </c>
      <c r="I502" s="689" t="s">
        <v>206</v>
      </c>
      <c r="J502" s="685"/>
      <c r="K502" s="685"/>
      <c r="L502" s="689">
        <v>44</v>
      </c>
      <c r="M502" s="681">
        <v>9</v>
      </c>
      <c r="N502" s="686"/>
      <c r="O502" s="707"/>
    </row>
    <row r="503" spans="1:21" s="305" customFormat="1">
      <c r="A503" s="864" t="s">
        <v>1998</v>
      </c>
      <c r="B503" s="1272" t="s">
        <v>1997</v>
      </c>
      <c r="C503" s="1273" t="s">
        <v>1999</v>
      </c>
      <c r="D503" s="1274"/>
      <c r="E503" s="1255">
        <v>57</v>
      </c>
      <c r="F503" s="681" t="s">
        <v>1992</v>
      </c>
      <c r="G503" s="691" t="s">
        <v>420</v>
      </c>
      <c r="H503" s="683">
        <v>1.7</v>
      </c>
      <c r="I503" s="689" t="s">
        <v>206</v>
      </c>
      <c r="J503" s="685"/>
      <c r="K503" s="685"/>
      <c r="L503" s="689">
        <f>57+17.5</f>
        <v>74.5</v>
      </c>
      <c r="M503" s="681">
        <v>17.5</v>
      </c>
      <c r="N503" s="686"/>
      <c r="O503" s="707"/>
    </row>
    <row r="504" spans="1:21" s="305" customFormat="1">
      <c r="A504" s="679" t="s">
        <v>842</v>
      </c>
      <c r="B504" s="1272" t="s">
        <v>484</v>
      </c>
      <c r="C504" s="1273" t="s">
        <v>839</v>
      </c>
      <c r="D504" s="1274"/>
      <c r="E504" s="1255">
        <v>53</v>
      </c>
      <c r="F504" s="681" t="s">
        <v>1936</v>
      </c>
      <c r="G504" s="691" t="s">
        <v>420</v>
      </c>
      <c r="H504" s="683">
        <v>1.8</v>
      </c>
      <c r="I504" s="689" t="s">
        <v>206</v>
      </c>
      <c r="J504" s="685"/>
      <c r="K504" s="685"/>
      <c r="L504" s="689">
        <v>71</v>
      </c>
      <c r="M504" s="681">
        <v>18</v>
      </c>
      <c r="N504" s="686"/>
      <c r="O504" s="707"/>
    </row>
    <row r="505" spans="1:21" s="445" customFormat="1">
      <c r="A505" s="679"/>
      <c r="B505" s="1272" t="s">
        <v>22</v>
      </c>
      <c r="C505" s="1273" t="s">
        <v>9</v>
      </c>
      <c r="D505" s="1274"/>
      <c r="E505" s="1255">
        <v>41.5</v>
      </c>
      <c r="F505" s="681" t="s">
        <v>1936</v>
      </c>
      <c r="G505" s="724" t="s">
        <v>420</v>
      </c>
      <c r="H505" s="683"/>
      <c r="I505" s="689"/>
      <c r="J505" s="685"/>
      <c r="K505" s="685"/>
      <c r="L505" s="685">
        <v>60.5</v>
      </c>
      <c r="M505" s="713">
        <v>19</v>
      </c>
      <c r="N505" s="706">
        <v>2</v>
      </c>
      <c r="O505" s="650"/>
      <c r="P505" s="487"/>
      <c r="Q505" s="487"/>
      <c r="R505" s="487"/>
      <c r="S505" s="487"/>
      <c r="T505" s="487"/>
      <c r="U505" s="487"/>
    </row>
    <row r="506" spans="1:21" s="305" customFormat="1">
      <c r="A506" s="662" t="s">
        <v>3948</v>
      </c>
      <c r="B506" s="1286" t="s">
        <v>472</v>
      </c>
      <c r="C506" s="1280" t="s">
        <v>4679</v>
      </c>
      <c r="D506" s="1281"/>
      <c r="E506" s="1851">
        <v>96.6</v>
      </c>
      <c r="F506" s="664" t="s">
        <v>3956</v>
      </c>
      <c r="G506" s="1852" t="s">
        <v>420</v>
      </c>
      <c r="H506" s="664" t="s">
        <v>3954</v>
      </c>
      <c r="I506" s="665" t="s">
        <v>3955</v>
      </c>
      <c r="J506" s="292"/>
      <c r="K506" s="292"/>
      <c r="L506" s="666">
        <v>120.6</v>
      </c>
      <c r="M506" s="663">
        <f t="shared" ref="M506:M511" si="28">L506-E506</f>
        <v>24</v>
      </c>
      <c r="N506" s="2398" t="s">
        <v>357</v>
      </c>
      <c r="O506" s="2404" t="s">
        <v>3883</v>
      </c>
      <c r="P506" s="2404" t="s">
        <v>3952</v>
      </c>
      <c r="Q506" s="2404" t="s">
        <v>3953</v>
      </c>
    </row>
    <row r="507" spans="1:21" s="305" customFormat="1">
      <c r="A507" s="662" t="s">
        <v>3949</v>
      </c>
      <c r="B507" s="1286" t="s">
        <v>472</v>
      </c>
      <c r="C507" s="1280" t="s">
        <v>23</v>
      </c>
      <c r="D507" s="1281"/>
      <c r="E507" s="1851">
        <v>111.6</v>
      </c>
      <c r="F507" s="664"/>
      <c r="G507" s="1852" t="s">
        <v>420</v>
      </c>
      <c r="H507" s="664" t="s">
        <v>3954</v>
      </c>
      <c r="I507" s="665" t="s">
        <v>3955</v>
      </c>
      <c r="J507" s="292"/>
      <c r="K507" s="292"/>
      <c r="L507" s="666">
        <v>135.6</v>
      </c>
      <c r="M507" s="663">
        <f t="shared" si="28"/>
        <v>24</v>
      </c>
      <c r="N507" s="2398" t="s">
        <v>357</v>
      </c>
      <c r="O507" s="2404" t="s">
        <v>3883</v>
      </c>
      <c r="P507" s="2404" t="s">
        <v>3952</v>
      </c>
      <c r="Q507" s="2404" t="s">
        <v>3953</v>
      </c>
    </row>
    <row r="508" spans="1:21" s="305" customFormat="1">
      <c r="A508" s="662" t="s">
        <v>3950</v>
      </c>
      <c r="B508" s="1286" t="s">
        <v>472</v>
      </c>
      <c r="C508" s="1280" t="s">
        <v>23</v>
      </c>
      <c r="D508" s="1281"/>
      <c r="E508" s="1851">
        <v>102.6</v>
      </c>
      <c r="F508" s="664" t="s">
        <v>3956</v>
      </c>
      <c r="G508" s="1852" t="s">
        <v>420</v>
      </c>
      <c r="H508" s="664" t="s">
        <v>3954</v>
      </c>
      <c r="I508" s="665" t="s">
        <v>3955</v>
      </c>
      <c r="J508" s="292"/>
      <c r="K508" s="292"/>
      <c r="L508" s="666">
        <v>126.6</v>
      </c>
      <c r="M508" s="663">
        <f t="shared" si="28"/>
        <v>24</v>
      </c>
      <c r="N508" s="2398" t="s">
        <v>357</v>
      </c>
      <c r="O508" s="2404" t="s">
        <v>3883</v>
      </c>
      <c r="P508" s="2404" t="s">
        <v>3952</v>
      </c>
      <c r="Q508" s="2404" t="s">
        <v>3953</v>
      </c>
    </row>
    <row r="509" spans="1:21" s="305" customFormat="1">
      <c r="A509" s="662" t="s">
        <v>3951</v>
      </c>
      <c r="B509" s="1286" t="s">
        <v>472</v>
      </c>
      <c r="C509" s="1280" t="s">
        <v>23</v>
      </c>
      <c r="D509" s="1281"/>
      <c r="E509" s="1851">
        <v>118.6</v>
      </c>
      <c r="F509" s="664"/>
      <c r="G509" s="1852" t="s">
        <v>420</v>
      </c>
      <c r="H509" s="664" t="s">
        <v>3954</v>
      </c>
      <c r="I509" s="665" t="s">
        <v>3955</v>
      </c>
      <c r="J509" s="292"/>
      <c r="K509" s="292"/>
      <c r="L509" s="666">
        <v>142.6</v>
      </c>
      <c r="M509" s="663">
        <f t="shared" si="28"/>
        <v>24</v>
      </c>
      <c r="N509" s="2398" t="s">
        <v>357</v>
      </c>
      <c r="O509" s="2404" t="s">
        <v>3883</v>
      </c>
      <c r="P509" s="2404" t="s">
        <v>3952</v>
      </c>
      <c r="Q509" s="2404" t="s">
        <v>3953</v>
      </c>
    </row>
    <row r="510" spans="1:21" s="791" customFormat="1">
      <c r="A510" s="784"/>
      <c r="B510" s="1275" t="s">
        <v>1994</v>
      </c>
      <c r="C510" s="1276" t="s">
        <v>1995</v>
      </c>
      <c r="D510" s="1277"/>
      <c r="E510" s="1278">
        <v>31.5</v>
      </c>
      <c r="F510" s="785" t="s">
        <v>1992</v>
      </c>
      <c r="G510" s="805"/>
      <c r="H510" s="786"/>
      <c r="I510" s="787"/>
      <c r="J510" s="788"/>
      <c r="K510" s="788"/>
      <c r="L510" s="788">
        <v>47</v>
      </c>
      <c r="M510" s="785">
        <f t="shared" si="28"/>
        <v>15.5</v>
      </c>
      <c r="N510" s="797"/>
      <c r="O510" s="790"/>
    </row>
    <row r="511" spans="1:21" s="791" customFormat="1">
      <c r="A511" s="784"/>
      <c r="B511" s="1275" t="s">
        <v>1559</v>
      </c>
      <c r="C511" s="1276" t="s">
        <v>1560</v>
      </c>
      <c r="D511" s="1277"/>
      <c r="E511" s="1278">
        <v>48</v>
      </c>
      <c r="F511" s="785"/>
      <c r="G511" s="785" t="s">
        <v>420</v>
      </c>
      <c r="H511" s="785"/>
      <c r="I511" s="787"/>
      <c r="J511" s="788"/>
      <c r="K511" s="788"/>
      <c r="L511" s="787">
        <v>80</v>
      </c>
      <c r="M511" s="785">
        <f t="shared" si="28"/>
        <v>32</v>
      </c>
      <c r="N511" s="797"/>
      <c r="O511" s="803"/>
      <c r="P511" s="798"/>
      <c r="Q511" s="798"/>
      <c r="R511" s="798"/>
      <c r="S511" s="798"/>
      <c r="T511" s="798"/>
      <c r="U511" s="798"/>
    </row>
    <row r="512" spans="1:21" s="445" customFormat="1">
      <c r="A512" s="679"/>
      <c r="B512" s="1272" t="s">
        <v>1938</v>
      </c>
      <c r="C512" s="1273" t="s">
        <v>1939</v>
      </c>
      <c r="D512" s="1274"/>
      <c r="E512" s="1255"/>
      <c r="F512" s="681" t="s">
        <v>1936</v>
      </c>
      <c r="G512" s="681" t="s">
        <v>1992</v>
      </c>
      <c r="H512" s="681"/>
      <c r="I512" s="689"/>
      <c r="J512" s="685"/>
      <c r="K512" s="685"/>
      <c r="L512" s="689"/>
      <c r="M512" s="681"/>
      <c r="N512" s="706"/>
      <c r="O512" s="651"/>
      <c r="P512" s="487"/>
      <c r="Q512" s="487"/>
      <c r="R512" s="487"/>
      <c r="S512" s="487"/>
      <c r="T512" s="487"/>
      <c r="U512" s="487"/>
    </row>
    <row r="513" spans="1:21" s="445" customFormat="1">
      <c r="A513" s="679"/>
      <c r="B513" s="1272" t="s">
        <v>1938</v>
      </c>
      <c r="C513" s="1273" t="s">
        <v>968</v>
      </c>
      <c r="D513" s="1274"/>
      <c r="E513" s="1255"/>
      <c r="F513" s="681" t="s">
        <v>1936</v>
      </c>
      <c r="G513" s="681" t="s">
        <v>1992</v>
      </c>
      <c r="H513" s="683"/>
      <c r="I513" s="689"/>
      <c r="J513" s="685"/>
      <c r="K513" s="685"/>
      <c r="L513" s="689"/>
      <c r="M513" s="681"/>
      <c r="N513" s="706"/>
      <c r="O513" s="651"/>
      <c r="P513" s="487"/>
      <c r="Q513" s="487"/>
      <c r="R513" s="487"/>
      <c r="S513" s="487"/>
      <c r="T513" s="487"/>
      <c r="U513" s="487"/>
    </row>
    <row r="514" spans="1:21" s="445" customFormat="1">
      <c r="A514" s="720" t="s">
        <v>1943</v>
      </c>
      <c r="B514" s="1272" t="s">
        <v>368</v>
      </c>
      <c r="C514" s="1273" t="s">
        <v>1940</v>
      </c>
      <c r="D514" s="1274"/>
      <c r="E514" s="1255">
        <v>35</v>
      </c>
      <c r="F514" s="681"/>
      <c r="G514" s="681" t="s">
        <v>1992</v>
      </c>
      <c r="H514" s="713"/>
      <c r="I514" s="714" t="s">
        <v>1937</v>
      </c>
      <c r="J514" s="714"/>
      <c r="K514" s="714"/>
      <c r="L514" s="714">
        <v>70</v>
      </c>
      <c r="M514" s="713">
        <v>35</v>
      </c>
      <c r="N514" s="723"/>
      <c r="O514" s="651"/>
      <c r="P514" s="487"/>
      <c r="Q514" s="487"/>
      <c r="R514" s="487"/>
      <c r="S514" s="487"/>
      <c r="T514" s="487"/>
      <c r="U514" s="487"/>
    </row>
    <row r="515" spans="1:21" s="445" customFormat="1">
      <c r="A515" s="720" t="s">
        <v>1926</v>
      </c>
      <c r="B515" s="1272" t="s">
        <v>368</v>
      </c>
      <c r="C515" s="1273" t="s">
        <v>1941</v>
      </c>
      <c r="D515" s="1274"/>
      <c r="E515" s="1255">
        <v>32.5</v>
      </c>
      <c r="F515" s="681"/>
      <c r="G515" s="681" t="s">
        <v>1992</v>
      </c>
      <c r="H515" s="713"/>
      <c r="I515" s="714" t="s">
        <v>1937</v>
      </c>
      <c r="J515" s="714"/>
      <c r="K515" s="714"/>
      <c r="L515" s="714">
        <v>45</v>
      </c>
      <c r="M515" s="713">
        <v>12.5</v>
      </c>
      <c r="N515" s="723"/>
      <c r="O515" s="651"/>
      <c r="P515" s="487"/>
      <c r="Q515" s="487"/>
      <c r="R515" s="487"/>
      <c r="S515" s="487"/>
      <c r="T515" s="487"/>
      <c r="U515" s="487"/>
    </row>
    <row r="516" spans="1:21" s="445" customFormat="1">
      <c r="A516" s="720" t="s">
        <v>1944</v>
      </c>
      <c r="B516" s="1272" t="s">
        <v>368</v>
      </c>
      <c r="C516" s="1273" t="s">
        <v>1942</v>
      </c>
      <c r="D516" s="1274"/>
      <c r="E516" s="1255">
        <v>73</v>
      </c>
      <c r="F516" s="681"/>
      <c r="G516" s="681" t="s">
        <v>1992</v>
      </c>
      <c r="H516" s="713"/>
      <c r="I516" s="714" t="s">
        <v>1937</v>
      </c>
      <c r="J516" s="714"/>
      <c r="K516" s="714"/>
      <c r="L516" s="714">
        <f>73+46</f>
        <v>119</v>
      </c>
      <c r="M516" s="713">
        <v>46</v>
      </c>
      <c r="N516" s="723"/>
      <c r="O516" s="651"/>
      <c r="P516" s="487"/>
      <c r="Q516" s="487"/>
      <c r="R516" s="487"/>
      <c r="S516" s="487"/>
      <c r="T516" s="487"/>
      <c r="U516" s="487"/>
    </row>
    <row r="517" spans="1:21" s="456" customFormat="1">
      <c r="A517" s="859" t="s">
        <v>1916</v>
      </c>
      <c r="B517" s="1272" t="s">
        <v>1060</v>
      </c>
      <c r="C517" s="1273" t="s">
        <v>1059</v>
      </c>
      <c r="D517" s="1274"/>
      <c r="E517" s="1255">
        <v>32.5</v>
      </c>
      <c r="F517" s="713" t="s">
        <v>1992</v>
      </c>
      <c r="G517" s="713">
        <v>13.2</v>
      </c>
      <c r="H517" s="713"/>
      <c r="I517" s="714"/>
      <c r="J517" s="714"/>
      <c r="K517" s="714"/>
      <c r="L517" s="714">
        <v>55</v>
      </c>
      <c r="M517" s="713">
        <v>22.5</v>
      </c>
      <c r="N517" s="723"/>
      <c r="O517" s="652"/>
      <c r="P517" s="479"/>
      <c r="Q517" s="479"/>
      <c r="R517" s="479"/>
      <c r="S517" s="479"/>
      <c r="T517" s="479"/>
      <c r="U517" s="479"/>
    </row>
    <row r="518" spans="1:21" s="445" customFormat="1">
      <c r="A518" s="859" t="s">
        <v>1913</v>
      </c>
      <c r="B518" s="1272" t="s">
        <v>1060</v>
      </c>
      <c r="C518" s="1273" t="s">
        <v>1059</v>
      </c>
      <c r="D518" s="1274"/>
      <c r="E518" s="1255">
        <v>35</v>
      </c>
      <c r="F518" s="713" t="s">
        <v>1992</v>
      </c>
      <c r="G518" s="713">
        <v>13.2</v>
      </c>
      <c r="H518" s="713"/>
      <c r="I518" s="714"/>
      <c r="J518" s="714"/>
      <c r="K518" s="714"/>
      <c r="L518" s="714">
        <v>57.5</v>
      </c>
      <c r="M518" s="713">
        <v>22.5</v>
      </c>
      <c r="N518" s="723"/>
      <c r="O518" s="644"/>
      <c r="P518" s="487"/>
      <c r="Q518" s="487"/>
      <c r="R518" s="487"/>
      <c r="S518" s="487"/>
      <c r="T518" s="487"/>
      <c r="U518" s="487"/>
    </row>
    <row r="519" spans="1:21" s="305" customFormat="1">
      <c r="A519" s="720"/>
      <c r="B519" s="1272" t="s">
        <v>223</v>
      </c>
      <c r="C519" s="1273" t="s">
        <v>589</v>
      </c>
      <c r="D519" s="1274"/>
      <c r="E519" s="1255">
        <v>27</v>
      </c>
      <c r="F519" s="681" t="s">
        <v>1936</v>
      </c>
      <c r="G519" s="681" t="s">
        <v>1992</v>
      </c>
      <c r="H519" s="713"/>
      <c r="I519" s="714"/>
      <c r="J519" s="714"/>
      <c r="K519" s="714"/>
      <c r="L519" s="714">
        <v>49</v>
      </c>
      <c r="M519" s="713">
        <v>22</v>
      </c>
      <c r="N519" s="723">
        <v>1</v>
      </c>
      <c r="O519" s="645"/>
      <c r="P519" s="297"/>
      <c r="Q519" s="297"/>
      <c r="R519" s="297"/>
      <c r="S519" s="297"/>
      <c r="T519" s="297"/>
      <c r="U519" s="297"/>
    </row>
    <row r="520" spans="1:21" s="305" customFormat="1">
      <c r="A520" s="860"/>
      <c r="B520" s="1292" t="s">
        <v>223</v>
      </c>
      <c r="C520" s="1293" t="s">
        <v>590</v>
      </c>
      <c r="D520" s="1294"/>
      <c r="E520" s="1295">
        <v>22</v>
      </c>
      <c r="F520" s="681" t="s">
        <v>1936</v>
      </c>
      <c r="G520" s="681" t="s">
        <v>1992</v>
      </c>
      <c r="H520" s="861"/>
      <c r="I520" s="862"/>
      <c r="J520" s="862"/>
      <c r="K520" s="862"/>
      <c r="L520" s="862">
        <v>37</v>
      </c>
      <c r="M520" s="861">
        <v>15</v>
      </c>
      <c r="N520" s="863">
        <v>1</v>
      </c>
      <c r="O520" s="645"/>
      <c r="P520" s="297"/>
      <c r="Q520" s="297"/>
      <c r="R520" s="297"/>
      <c r="S520" s="297"/>
      <c r="T520" s="297"/>
      <c r="U520" s="297"/>
    </row>
    <row r="521" spans="1:21" s="305" customFormat="1">
      <c r="A521" s="2817" t="s">
        <v>1105</v>
      </c>
      <c r="B521" s="2818"/>
      <c r="C521" s="2818"/>
      <c r="D521" s="2818"/>
      <c r="E521" s="2818"/>
      <c r="F521" s="2818"/>
      <c r="G521" s="2818"/>
      <c r="H521" s="2818"/>
      <c r="I521" s="2818"/>
      <c r="J521" s="2818"/>
      <c r="K521" s="2818"/>
      <c r="L521" s="2818"/>
      <c r="M521" s="2818"/>
      <c r="N521" s="2819"/>
      <c r="O521" s="645"/>
      <c r="P521" s="297"/>
      <c r="Q521" s="297"/>
      <c r="R521" s="297"/>
      <c r="S521" s="297"/>
      <c r="T521" s="297"/>
      <c r="U521" s="297"/>
    </row>
    <row r="522" spans="1:21" s="305" customFormat="1">
      <c r="A522" s="865"/>
      <c r="B522" s="1272" t="s">
        <v>239</v>
      </c>
      <c r="C522" s="1273" t="s">
        <v>216</v>
      </c>
      <c r="D522" s="1274"/>
      <c r="E522" s="1255">
        <v>70</v>
      </c>
      <c r="F522" s="754"/>
      <c r="G522" s="721" t="s">
        <v>1992</v>
      </c>
      <c r="H522" s="721">
        <v>1.7</v>
      </c>
      <c r="I522" s="721" t="s">
        <v>206</v>
      </c>
      <c r="J522" s="754" t="s">
        <v>211</v>
      </c>
      <c r="K522" s="754"/>
      <c r="L522" s="721">
        <v>125</v>
      </c>
      <c r="M522" s="721">
        <v>55</v>
      </c>
      <c r="N522" s="866">
        <v>6</v>
      </c>
      <c r="O522" s="645"/>
      <c r="P522" s="297"/>
      <c r="Q522" s="297"/>
      <c r="R522" s="297"/>
      <c r="S522" s="297"/>
      <c r="T522" s="297"/>
      <c r="U522" s="297"/>
    </row>
    <row r="523" spans="1:21" s="456" customFormat="1">
      <c r="A523" s="679"/>
      <c r="B523" s="1272" t="s">
        <v>239</v>
      </c>
      <c r="C523" s="1273" t="s">
        <v>2002</v>
      </c>
      <c r="D523" s="1274"/>
      <c r="E523" s="1255">
        <v>80</v>
      </c>
      <c r="F523" s="699" t="s">
        <v>417</v>
      </c>
      <c r="G523" s="681" t="s">
        <v>1992</v>
      </c>
      <c r="H523" s="721">
        <v>1.7</v>
      </c>
      <c r="I523" s="721" t="s">
        <v>206</v>
      </c>
      <c r="J523" s="697"/>
      <c r="K523" s="697"/>
      <c r="L523" s="689">
        <v>140</v>
      </c>
      <c r="M523" s="681">
        <v>60</v>
      </c>
      <c r="N523" s="866">
        <v>6</v>
      </c>
      <c r="O523" s="480"/>
      <c r="P523" s="479"/>
      <c r="Q523" s="479"/>
      <c r="R523" s="479"/>
      <c r="S523" s="479"/>
      <c r="T523" s="479"/>
      <c r="U523" s="479"/>
    </row>
    <row r="524" spans="1:21" s="445" customFormat="1">
      <c r="A524" s="679" t="s">
        <v>38</v>
      </c>
      <c r="B524" s="1272" t="s">
        <v>239</v>
      </c>
      <c r="C524" s="1273" t="s">
        <v>392</v>
      </c>
      <c r="D524" s="1274"/>
      <c r="E524" s="1255">
        <v>28</v>
      </c>
      <c r="F524" s="699" t="s">
        <v>417</v>
      </c>
      <c r="G524" s="681" t="s">
        <v>1992</v>
      </c>
      <c r="H524" s="683"/>
      <c r="I524" s="689"/>
      <c r="J524" s="697"/>
      <c r="K524" s="697"/>
      <c r="L524" s="689">
        <f>28+25</f>
        <v>53</v>
      </c>
      <c r="M524" s="681">
        <v>25</v>
      </c>
      <c r="N524" s="706">
        <v>4</v>
      </c>
      <c r="O524" s="646"/>
      <c r="P524" s="487"/>
      <c r="Q524" s="487"/>
      <c r="R524" s="487"/>
      <c r="S524" s="487"/>
      <c r="T524" s="487"/>
      <c r="U524" s="487"/>
    </row>
    <row r="525" spans="1:21" s="445" customFormat="1">
      <c r="A525" s="679" t="s">
        <v>228</v>
      </c>
      <c r="B525" s="1272" t="s">
        <v>239</v>
      </c>
      <c r="C525" s="1273" t="s">
        <v>392</v>
      </c>
      <c r="D525" s="1274"/>
      <c r="E525" s="1255">
        <v>30</v>
      </c>
      <c r="F525" s="699" t="s">
        <v>417</v>
      </c>
      <c r="G525" s="681" t="s">
        <v>1992</v>
      </c>
      <c r="H525" s="683"/>
      <c r="I525" s="689"/>
      <c r="J525" s="697"/>
      <c r="K525" s="697"/>
      <c r="L525" s="689">
        <v>55</v>
      </c>
      <c r="M525" s="681">
        <v>25</v>
      </c>
      <c r="N525" s="706">
        <v>4</v>
      </c>
      <c r="O525" s="646"/>
      <c r="P525" s="487"/>
      <c r="Q525" s="487"/>
      <c r="R525" s="487"/>
      <c r="S525" s="487"/>
      <c r="T525" s="487"/>
      <c r="U525" s="487"/>
    </row>
    <row r="526" spans="1:21" s="305" customFormat="1">
      <c r="A526" s="1315" t="s">
        <v>2718</v>
      </c>
      <c r="B526" s="1314" t="s">
        <v>239</v>
      </c>
      <c r="C526" s="1316" t="s">
        <v>591</v>
      </c>
      <c r="D526" s="1312"/>
      <c r="E526" s="1300">
        <v>31</v>
      </c>
      <c r="F526" s="288"/>
      <c r="G526" s="288"/>
      <c r="H526" s="283">
        <v>1.7</v>
      </c>
      <c r="I526" s="289" t="s">
        <v>206</v>
      </c>
      <c r="J526" s="290" t="s">
        <v>339</v>
      </c>
      <c r="K526" s="290"/>
      <c r="L526" s="289">
        <v>54</v>
      </c>
      <c r="M526" s="288">
        <f>L526-E526</f>
        <v>23</v>
      </c>
      <c r="N526" s="1317">
        <v>6</v>
      </c>
      <c r="O526" s="690"/>
      <c r="P526" s="690" t="s">
        <v>2722</v>
      </c>
    </row>
    <row r="527" spans="1:21" s="305" customFormat="1">
      <c r="A527" s="1315" t="s">
        <v>2719</v>
      </c>
      <c r="B527" s="1314" t="s">
        <v>239</v>
      </c>
      <c r="C527" s="1316" t="s">
        <v>591</v>
      </c>
      <c r="D527" s="1312"/>
      <c r="E527" s="1300">
        <v>32</v>
      </c>
      <c r="F527" s="288"/>
      <c r="G527" s="288"/>
      <c r="H527" s="283">
        <v>1.7</v>
      </c>
      <c r="I527" s="289" t="s">
        <v>206</v>
      </c>
      <c r="J527" s="290" t="s">
        <v>339</v>
      </c>
      <c r="K527" s="290"/>
      <c r="L527" s="289">
        <v>56</v>
      </c>
      <c r="M527" s="288">
        <f>L527-E527</f>
        <v>24</v>
      </c>
      <c r="N527" s="1317">
        <v>6</v>
      </c>
      <c r="O527" s="690"/>
      <c r="P527" s="690" t="s">
        <v>2722</v>
      </c>
    </row>
    <row r="528" spans="1:21" s="305" customFormat="1">
      <c r="A528" s="1315" t="s">
        <v>2720</v>
      </c>
      <c r="B528" s="1314" t="s">
        <v>239</v>
      </c>
      <c r="C528" s="1316" t="s">
        <v>591</v>
      </c>
      <c r="D528" s="1312"/>
      <c r="E528" s="1300">
        <v>37</v>
      </c>
      <c r="F528" s="288"/>
      <c r="G528" s="288"/>
      <c r="H528" s="283">
        <v>1.7</v>
      </c>
      <c r="I528" s="289" t="s">
        <v>206</v>
      </c>
      <c r="J528" s="290" t="s">
        <v>339</v>
      </c>
      <c r="K528" s="290"/>
      <c r="L528" s="289">
        <v>63</v>
      </c>
      <c r="M528" s="288">
        <f>L528-E528</f>
        <v>26</v>
      </c>
      <c r="N528" s="1317">
        <v>6</v>
      </c>
      <c r="O528" s="690"/>
      <c r="P528" s="690" t="s">
        <v>2722</v>
      </c>
    </row>
    <row r="529" spans="1:21" s="305" customFormat="1">
      <c r="A529" s="1315" t="s">
        <v>2721</v>
      </c>
      <c r="B529" s="1314" t="s">
        <v>239</v>
      </c>
      <c r="C529" s="1316" t="s">
        <v>591</v>
      </c>
      <c r="D529" s="1312"/>
      <c r="E529" s="1300">
        <v>32</v>
      </c>
      <c r="F529" s="288"/>
      <c r="G529" s="288"/>
      <c r="H529" s="283">
        <v>1.7</v>
      </c>
      <c r="I529" s="289" t="s">
        <v>206</v>
      </c>
      <c r="J529" s="290" t="s">
        <v>339</v>
      </c>
      <c r="K529" s="290"/>
      <c r="L529" s="289">
        <v>56</v>
      </c>
      <c r="M529" s="288">
        <f>L529-E529</f>
        <v>24</v>
      </c>
      <c r="N529" s="1317">
        <v>6</v>
      </c>
      <c r="O529" s="690"/>
      <c r="P529" s="690" t="s">
        <v>2722</v>
      </c>
    </row>
    <row r="530" spans="1:21" s="445" customFormat="1">
      <c r="A530" s="679" t="s">
        <v>354</v>
      </c>
      <c r="B530" s="1286" t="s">
        <v>239</v>
      </c>
      <c r="C530" s="1280" t="s">
        <v>581</v>
      </c>
      <c r="D530" s="1274"/>
      <c r="E530" s="1255">
        <v>37.5</v>
      </c>
      <c r="F530" s="663" t="s">
        <v>4334</v>
      </c>
      <c r="G530" s="681" t="s">
        <v>1</v>
      </c>
      <c r="H530" s="683">
        <v>1.7</v>
      </c>
      <c r="I530" s="689" t="s">
        <v>206</v>
      </c>
      <c r="J530" s="685"/>
      <c r="K530" s="697"/>
      <c r="L530" s="689">
        <v>70</v>
      </c>
      <c r="M530" s="681">
        <v>32.5</v>
      </c>
      <c r="N530" s="706">
        <v>1</v>
      </c>
      <c r="O530" s="650"/>
      <c r="P530" s="487"/>
      <c r="Q530" s="487"/>
      <c r="R530" s="487"/>
      <c r="S530" s="487"/>
      <c r="T530" s="487"/>
      <c r="U530" s="487"/>
    </row>
    <row r="531" spans="1:21" s="305" customFormat="1">
      <c r="A531" s="662" t="s">
        <v>3872</v>
      </c>
      <c r="B531" s="1286" t="s">
        <v>239</v>
      </c>
      <c r="C531" s="1280" t="s">
        <v>851</v>
      </c>
      <c r="D531" s="1312"/>
      <c r="E531" s="1851">
        <v>27.5</v>
      </c>
      <c r="F531" s="275"/>
      <c r="G531" s="288"/>
      <c r="H531" s="664">
        <v>1.7</v>
      </c>
      <c r="I531" s="665" t="s">
        <v>206</v>
      </c>
      <c r="J531" s="290"/>
      <c r="K531" s="290"/>
      <c r="L531" s="665">
        <v>55</v>
      </c>
      <c r="M531" s="663">
        <f>L531-E531</f>
        <v>27.5</v>
      </c>
      <c r="N531" s="2398">
        <v>5</v>
      </c>
      <c r="O531" s="2404" t="s">
        <v>3874</v>
      </c>
      <c r="Q531" s="2404" t="s">
        <v>3875</v>
      </c>
    </row>
    <row r="532" spans="1:21" s="305" customFormat="1">
      <c r="A532" s="662" t="s">
        <v>3873</v>
      </c>
      <c r="B532" s="1286" t="s">
        <v>239</v>
      </c>
      <c r="C532" s="1280" t="s">
        <v>851</v>
      </c>
      <c r="D532" s="1312"/>
      <c r="E532" s="1851">
        <v>24.5</v>
      </c>
      <c r="F532" s="283"/>
      <c r="G532" s="288"/>
      <c r="H532" s="664">
        <v>1.7</v>
      </c>
      <c r="I532" s="665" t="s">
        <v>206</v>
      </c>
      <c r="J532" s="290"/>
      <c r="K532" s="290"/>
      <c r="L532" s="665">
        <v>49</v>
      </c>
      <c r="M532" s="663">
        <f>L532-E532</f>
        <v>24.5</v>
      </c>
      <c r="N532" s="2398">
        <v>5</v>
      </c>
      <c r="O532" s="2404" t="s">
        <v>3874</v>
      </c>
      <c r="Q532" s="2404" t="s">
        <v>3875</v>
      </c>
    </row>
    <row r="533" spans="1:21" s="305" customFormat="1">
      <c r="A533" s="662" t="s">
        <v>3775</v>
      </c>
      <c r="B533" s="1286" t="s">
        <v>239</v>
      </c>
      <c r="C533" s="1280" t="s">
        <v>419</v>
      </c>
      <c r="D533" s="1281"/>
      <c r="E533" s="1851">
        <v>32.5</v>
      </c>
      <c r="F533" s="283"/>
      <c r="G533" s="288"/>
      <c r="H533" s="664" t="s">
        <v>1525</v>
      </c>
      <c r="I533" s="289"/>
      <c r="J533" s="2410" t="s">
        <v>339</v>
      </c>
      <c r="K533" s="290"/>
      <c r="L533" s="665">
        <v>55</v>
      </c>
      <c r="M533" s="663">
        <f>L533-E533</f>
        <v>22.5</v>
      </c>
      <c r="N533" s="2398">
        <v>4</v>
      </c>
      <c r="O533" s="2405" t="s">
        <v>2634</v>
      </c>
      <c r="Q533" s="2405" t="s">
        <v>3774</v>
      </c>
    </row>
    <row r="534" spans="1:21" s="305" customFormat="1">
      <c r="A534" s="662" t="s">
        <v>3776</v>
      </c>
      <c r="B534" s="1286" t="s">
        <v>239</v>
      </c>
      <c r="C534" s="1280" t="s">
        <v>419</v>
      </c>
      <c r="D534" s="1281"/>
      <c r="E534" s="1851">
        <v>37.5</v>
      </c>
      <c r="F534" s="283"/>
      <c r="G534" s="288"/>
      <c r="H534" s="664" t="s">
        <v>1525</v>
      </c>
      <c r="I534" s="289"/>
      <c r="J534" s="2410" t="s">
        <v>339</v>
      </c>
      <c r="K534" s="290"/>
      <c r="L534" s="665">
        <v>65</v>
      </c>
      <c r="M534" s="663">
        <f>L534-E534</f>
        <v>27.5</v>
      </c>
      <c r="N534" s="2398">
        <v>4</v>
      </c>
      <c r="O534" s="2405" t="s">
        <v>2634</v>
      </c>
    </row>
    <row r="535" spans="1:21" s="456" customFormat="1">
      <c r="A535" s="662"/>
      <c r="B535" s="1272" t="s">
        <v>239</v>
      </c>
      <c r="C535" s="1273" t="s">
        <v>2001</v>
      </c>
      <c r="D535" s="1274"/>
      <c r="E535" s="1255" t="s">
        <v>2000</v>
      </c>
      <c r="F535" s="699"/>
      <c r="G535" s="681" t="s">
        <v>1992</v>
      </c>
      <c r="H535" s="683"/>
      <c r="I535" s="689"/>
      <c r="J535" s="697"/>
      <c r="K535" s="697"/>
      <c r="L535" s="689"/>
      <c r="M535" s="681"/>
      <c r="N535" s="706"/>
      <c r="O535" s="647"/>
      <c r="P535" s="479"/>
      <c r="Q535" s="479"/>
      <c r="R535" s="479"/>
      <c r="S535" s="479"/>
      <c r="T535" s="479"/>
      <c r="U535" s="479"/>
    </row>
    <row r="536" spans="1:21" s="456" customFormat="1">
      <c r="A536" s="662"/>
      <c r="B536" s="1272" t="s">
        <v>239</v>
      </c>
      <c r="C536" s="1273" t="s">
        <v>2001</v>
      </c>
      <c r="D536" s="1274"/>
      <c r="E536" s="1255" t="s">
        <v>2000</v>
      </c>
      <c r="F536" s="699"/>
      <c r="G536" s="681" t="s">
        <v>1992</v>
      </c>
      <c r="H536" s="683"/>
      <c r="I536" s="689"/>
      <c r="J536" s="697"/>
      <c r="K536" s="697"/>
      <c r="L536" s="689"/>
      <c r="M536" s="681"/>
      <c r="N536" s="706"/>
      <c r="O536" s="480"/>
      <c r="P536" s="479"/>
      <c r="Q536" s="479"/>
      <c r="R536" s="479"/>
      <c r="S536" s="479"/>
      <c r="T536" s="479"/>
      <c r="U536" s="479"/>
    </row>
    <row r="537" spans="1:21" s="456" customFormat="1">
      <c r="A537" s="662" t="s">
        <v>4261</v>
      </c>
      <c r="B537" s="1876" t="s">
        <v>239</v>
      </c>
      <c r="C537" s="1880" t="s">
        <v>2766</v>
      </c>
      <c r="D537" s="1279"/>
      <c r="E537" s="1877">
        <v>52.5</v>
      </c>
      <c r="F537" s="371" t="s">
        <v>4263</v>
      </c>
      <c r="G537" s="681"/>
      <c r="H537" s="683"/>
      <c r="I537" s="689"/>
      <c r="J537" s="697"/>
      <c r="K537" s="697"/>
      <c r="L537" s="277">
        <v>90</v>
      </c>
      <c r="M537" s="275">
        <f>L537-E537</f>
        <v>37.5</v>
      </c>
      <c r="N537" s="667">
        <v>5</v>
      </c>
      <c r="O537" s="1856" t="s">
        <v>3880</v>
      </c>
      <c r="P537" s="479"/>
      <c r="Q537" s="490" t="s">
        <v>4262</v>
      </c>
      <c r="R537" s="479"/>
      <c r="S537" s="479"/>
      <c r="T537" s="479"/>
      <c r="U537" s="479"/>
    </row>
    <row r="538" spans="1:21" s="305" customFormat="1">
      <c r="A538" s="444" t="s">
        <v>4260</v>
      </c>
      <c r="B538" s="1876" t="s">
        <v>239</v>
      </c>
      <c r="C538" s="1880" t="s">
        <v>2766</v>
      </c>
      <c r="D538" s="1279"/>
      <c r="E538" s="1877">
        <v>45</v>
      </c>
      <c r="F538" s="371" t="s">
        <v>4639</v>
      </c>
      <c r="G538" s="288"/>
      <c r="H538" s="283"/>
      <c r="I538" s="289"/>
      <c r="J538" s="290"/>
      <c r="K538" s="290"/>
      <c r="L538" s="277">
        <v>85</v>
      </c>
      <c r="M538" s="275">
        <f>L538-E538</f>
        <v>40</v>
      </c>
      <c r="N538" s="667">
        <v>5</v>
      </c>
      <c r="O538" s="1856" t="s">
        <v>3880</v>
      </c>
      <c r="P538" s="297"/>
      <c r="Q538" s="490" t="s">
        <v>4262</v>
      </c>
      <c r="R538" s="297"/>
      <c r="S538" s="297"/>
      <c r="T538" s="297"/>
      <c r="U538" s="297"/>
    </row>
    <row r="539" spans="1:21" s="445" customFormat="1">
      <c r="A539" s="662"/>
      <c r="B539" s="1272" t="s">
        <v>239</v>
      </c>
      <c r="C539" s="1273" t="s">
        <v>2003</v>
      </c>
      <c r="D539" s="1274"/>
      <c r="E539" s="1255">
        <v>27</v>
      </c>
      <c r="F539" s="699"/>
      <c r="G539" s="681" t="s">
        <v>1992</v>
      </c>
      <c r="H539" s="683"/>
      <c r="I539" s="689"/>
      <c r="J539" s="697"/>
      <c r="K539" s="697"/>
      <c r="L539" s="689">
        <v>50</v>
      </c>
      <c r="M539" s="681">
        <v>23</v>
      </c>
      <c r="N539" s="706"/>
      <c r="O539" s="646"/>
      <c r="P539" s="487"/>
      <c r="Q539" s="487"/>
      <c r="R539" s="487"/>
      <c r="S539" s="487"/>
      <c r="T539" s="487"/>
      <c r="U539" s="487"/>
    </row>
    <row r="540" spans="1:21" s="305" customFormat="1">
      <c r="A540" s="679"/>
      <c r="B540" s="1272" t="s">
        <v>197</v>
      </c>
      <c r="C540" s="1273" t="s">
        <v>2013</v>
      </c>
      <c r="D540" s="1274"/>
      <c r="E540" s="1255" t="s">
        <v>2005</v>
      </c>
      <c r="F540" s="1255" t="s">
        <v>2005</v>
      </c>
      <c r="G540" s="681"/>
      <c r="H540" s="683"/>
      <c r="I540" s="689"/>
      <c r="J540" s="697"/>
      <c r="K540" s="697"/>
      <c r="L540" s="689"/>
      <c r="M540" s="681"/>
      <c r="N540" s="706"/>
      <c r="O540" s="648"/>
      <c r="P540" s="297"/>
      <c r="Q540" s="297"/>
      <c r="R540" s="297"/>
      <c r="S540" s="297"/>
      <c r="T540" s="297"/>
      <c r="U540" s="297"/>
    </row>
    <row r="541" spans="1:21" s="456" customFormat="1">
      <c r="A541" s="679"/>
      <c r="B541" s="1272" t="s">
        <v>197</v>
      </c>
      <c r="C541" s="1273" t="s">
        <v>2014</v>
      </c>
      <c r="D541" s="1274"/>
      <c r="E541" s="1255"/>
      <c r="F541" s="680" t="s">
        <v>2005</v>
      </c>
      <c r="G541" s="681">
        <v>10</v>
      </c>
      <c r="H541" s="683"/>
      <c r="I541" s="689">
        <v>1</v>
      </c>
      <c r="J541" s="697" t="s">
        <v>2004</v>
      </c>
      <c r="K541" s="697"/>
      <c r="L541" s="689">
        <v>55</v>
      </c>
      <c r="M541" s="681">
        <v>7.5</v>
      </c>
      <c r="N541" s="706"/>
      <c r="O541" s="647"/>
      <c r="P541" s="479"/>
      <c r="Q541" s="479"/>
      <c r="R541" s="479"/>
      <c r="S541" s="479"/>
      <c r="T541" s="479"/>
      <c r="U541" s="479"/>
    </row>
    <row r="542" spans="1:21" s="456" customFormat="1">
      <c r="A542" s="864" t="s">
        <v>1912</v>
      </c>
      <c r="B542" s="1272" t="s">
        <v>197</v>
      </c>
      <c r="C542" s="1273" t="s">
        <v>592</v>
      </c>
      <c r="D542" s="1274"/>
      <c r="E542" s="1255">
        <v>34.700000000000003</v>
      </c>
      <c r="F542" s="681" t="s">
        <v>1992</v>
      </c>
      <c r="G542" s="710">
        <v>12</v>
      </c>
      <c r="H542" s="683" t="s">
        <v>356</v>
      </c>
      <c r="I542" s="689">
        <v>1</v>
      </c>
      <c r="J542" s="697" t="s">
        <v>2004</v>
      </c>
      <c r="K542" s="697"/>
      <c r="L542" s="689">
        <f>34.5+29.5</f>
        <v>64</v>
      </c>
      <c r="M542" s="681">
        <v>29.5</v>
      </c>
      <c r="N542" s="706">
        <v>1</v>
      </c>
      <c r="O542" s="480"/>
      <c r="P542" s="479"/>
      <c r="Q542" s="479"/>
      <c r="R542" s="479"/>
      <c r="S542" s="479"/>
      <c r="T542" s="479"/>
      <c r="U542" s="479"/>
    </row>
    <row r="543" spans="1:21" s="456" customFormat="1">
      <c r="A543" s="703" t="s">
        <v>455</v>
      </c>
      <c r="B543" s="1272" t="s">
        <v>509</v>
      </c>
      <c r="C543" s="1273" t="s">
        <v>506</v>
      </c>
      <c r="D543" s="1274"/>
      <c r="E543" s="1255">
        <v>69</v>
      </c>
      <c r="F543" s="681"/>
      <c r="G543" s="683">
        <v>26</v>
      </c>
      <c r="H543" s="683"/>
      <c r="I543" s="689" t="s">
        <v>508</v>
      </c>
      <c r="J543" s="685"/>
      <c r="K543" s="697"/>
      <c r="L543" s="689">
        <v>115</v>
      </c>
      <c r="M543" s="681">
        <v>46</v>
      </c>
      <c r="N543" s="706">
        <v>4</v>
      </c>
      <c r="O543" s="480"/>
      <c r="P543" s="479"/>
      <c r="Q543" s="479"/>
      <c r="R543" s="479"/>
      <c r="S543" s="479"/>
      <c r="T543" s="479"/>
      <c r="U543" s="479"/>
    </row>
    <row r="544" spans="1:21" s="456" customFormat="1">
      <c r="A544" s="703" t="s">
        <v>507</v>
      </c>
      <c r="B544" s="1272" t="s">
        <v>509</v>
      </c>
      <c r="C544" s="1273" t="s">
        <v>506</v>
      </c>
      <c r="D544" s="1274"/>
      <c r="E544" s="1255">
        <v>81</v>
      </c>
      <c r="F544" s="681" t="s">
        <v>354</v>
      </c>
      <c r="G544" s="683">
        <v>26</v>
      </c>
      <c r="H544" s="711" t="s">
        <v>1909</v>
      </c>
      <c r="I544" s="689" t="s">
        <v>508</v>
      </c>
      <c r="J544" s="685"/>
      <c r="K544" s="697"/>
      <c r="L544" s="689">
        <v>138</v>
      </c>
      <c r="M544" s="681">
        <v>57</v>
      </c>
      <c r="N544" s="706">
        <v>4</v>
      </c>
      <c r="O544" s="480"/>
      <c r="P544" s="479"/>
      <c r="Q544" s="479"/>
      <c r="R544" s="479"/>
      <c r="S544" s="479"/>
      <c r="T544" s="479"/>
      <c r="U544" s="479"/>
    </row>
    <row r="545" spans="1:21" s="456" customFormat="1">
      <c r="A545" s="703" t="s">
        <v>507</v>
      </c>
      <c r="B545" s="1272" t="s">
        <v>509</v>
      </c>
      <c r="C545" s="1273" t="s">
        <v>506</v>
      </c>
      <c r="D545" s="1274"/>
      <c r="E545" s="1255">
        <v>92</v>
      </c>
      <c r="F545" s="681" t="s">
        <v>355</v>
      </c>
      <c r="G545" s="683">
        <v>26</v>
      </c>
      <c r="H545" s="711" t="s">
        <v>1909</v>
      </c>
      <c r="I545" s="689" t="s">
        <v>508</v>
      </c>
      <c r="J545" s="685"/>
      <c r="K545" s="697"/>
      <c r="L545" s="689">
        <v>160</v>
      </c>
      <c r="M545" s="681">
        <v>68</v>
      </c>
      <c r="N545" s="706">
        <v>4</v>
      </c>
      <c r="O545" s="480"/>
      <c r="P545" s="479"/>
      <c r="Q545" s="479"/>
      <c r="R545" s="479"/>
      <c r="S545" s="479"/>
      <c r="T545" s="479"/>
      <c r="U545" s="479"/>
    </row>
    <row r="546" spans="1:21" s="456" customFormat="1">
      <c r="A546" s="703"/>
      <c r="B546" s="1272" t="s">
        <v>2007</v>
      </c>
      <c r="C546" s="1273" t="s">
        <v>2008</v>
      </c>
      <c r="D546" s="1274"/>
      <c r="E546" s="1255">
        <v>67.5</v>
      </c>
      <c r="F546" s="681" t="s">
        <v>1992</v>
      </c>
      <c r="G546" s="683">
        <v>24</v>
      </c>
      <c r="H546" s="683" t="s">
        <v>2006</v>
      </c>
      <c r="I546" s="689">
        <v>0.6</v>
      </c>
      <c r="J546" s="685" t="s">
        <v>2004</v>
      </c>
      <c r="K546" s="697"/>
      <c r="L546" s="689">
        <f>67.5+50.4</f>
        <v>117.9</v>
      </c>
      <c r="M546" s="681"/>
      <c r="N546" s="706"/>
      <c r="O546" s="480"/>
      <c r="P546" s="479"/>
      <c r="Q546" s="479"/>
      <c r="R546" s="479"/>
      <c r="S546" s="479"/>
      <c r="T546" s="479"/>
      <c r="U546" s="479"/>
    </row>
    <row r="547" spans="1:21" s="456" customFormat="1">
      <c r="A547" s="703"/>
      <c r="B547" s="1272" t="s">
        <v>2011</v>
      </c>
      <c r="C547" s="1273" t="s">
        <v>2012</v>
      </c>
      <c r="D547" s="1274"/>
      <c r="E547" s="1255"/>
      <c r="F547" s="681" t="s">
        <v>1909</v>
      </c>
      <c r="G547" s="683"/>
      <c r="H547" s="683"/>
      <c r="I547" s="689"/>
      <c r="J547" s="685"/>
      <c r="K547" s="697"/>
      <c r="L547" s="689"/>
      <c r="M547" s="681"/>
      <c r="N547" s="706"/>
      <c r="O547" s="480"/>
      <c r="P547" s="479"/>
      <c r="Q547" s="479"/>
      <c r="R547" s="479"/>
      <c r="S547" s="479"/>
      <c r="T547" s="479"/>
      <c r="U547" s="479"/>
    </row>
    <row r="548" spans="1:21" s="456" customFormat="1">
      <c r="A548" s="703"/>
      <c r="B548" s="1286" t="s">
        <v>2563</v>
      </c>
      <c r="C548" s="1280" t="s">
        <v>494</v>
      </c>
      <c r="D548" s="1277"/>
      <c r="E548" s="1851">
        <v>41.5</v>
      </c>
      <c r="F548" s="785"/>
      <c r="G548" s="786"/>
      <c r="H548" s="786"/>
      <c r="I548" s="787"/>
      <c r="J548" s="788"/>
      <c r="K548" s="794"/>
      <c r="L548" s="665">
        <v>83</v>
      </c>
      <c r="M548" s="663">
        <f>L548-E548</f>
        <v>41.5</v>
      </c>
      <c r="N548" s="797"/>
      <c r="O548" s="1856" t="s">
        <v>3880</v>
      </c>
      <c r="P548" s="479"/>
      <c r="Q548" s="2403" t="s">
        <v>3953</v>
      </c>
      <c r="R548" s="479"/>
      <c r="S548" s="2403" t="s">
        <v>4235</v>
      </c>
      <c r="T548" s="479"/>
      <c r="U548" s="479"/>
    </row>
    <row r="549" spans="1:21" s="456" customFormat="1">
      <c r="A549" s="703"/>
      <c r="B549" s="1275" t="s">
        <v>2563</v>
      </c>
      <c r="C549" s="1276" t="s">
        <v>2564</v>
      </c>
      <c r="D549" s="1277"/>
      <c r="E549" s="1278">
        <v>40</v>
      </c>
      <c r="F549" s="785"/>
      <c r="G549" s="786"/>
      <c r="H549" s="786">
        <v>1</v>
      </c>
      <c r="I549" s="787" t="s">
        <v>206</v>
      </c>
      <c r="J549" s="788"/>
      <c r="K549" s="794"/>
      <c r="L549" s="787">
        <v>59</v>
      </c>
      <c r="M549" s="785">
        <f>L549-E549</f>
        <v>19</v>
      </c>
      <c r="N549" s="797"/>
      <c r="O549" s="480"/>
      <c r="P549" s="479"/>
      <c r="Q549" s="479"/>
      <c r="R549" s="479"/>
      <c r="S549" s="479"/>
      <c r="T549" s="479"/>
      <c r="U549" s="479"/>
    </row>
    <row r="550" spans="1:21" s="456" customFormat="1">
      <c r="A550" s="703"/>
      <c r="B550" s="1272" t="s">
        <v>2009</v>
      </c>
      <c r="C550" s="1273" t="s">
        <v>2010</v>
      </c>
      <c r="D550" s="1274"/>
      <c r="E550" s="1255"/>
      <c r="F550" s="681" t="s">
        <v>1909</v>
      </c>
      <c r="G550" s="683"/>
      <c r="H550" s="683"/>
      <c r="I550" s="689"/>
      <c r="J550" s="685"/>
      <c r="K550" s="697"/>
      <c r="L550" s="689"/>
      <c r="M550" s="681"/>
      <c r="N550" s="706"/>
      <c r="O550" s="480"/>
      <c r="P550" s="479"/>
      <c r="Q550" s="479"/>
      <c r="R550" s="479"/>
      <c r="S550" s="479"/>
      <c r="T550" s="479"/>
      <c r="U550" s="479"/>
    </row>
    <row r="551" spans="1:21" s="305" customFormat="1">
      <c r="A551" s="662" t="s">
        <v>4497</v>
      </c>
      <c r="B551" s="1286" t="s">
        <v>477</v>
      </c>
      <c r="C551" s="1280" t="s">
        <v>581</v>
      </c>
      <c r="D551" s="1312"/>
      <c r="E551" s="1877">
        <v>29</v>
      </c>
      <c r="F551" s="288"/>
      <c r="G551" s="288">
        <v>13</v>
      </c>
      <c r="H551" s="283"/>
      <c r="I551" s="664" t="s">
        <v>4499</v>
      </c>
      <c r="J551" s="292"/>
      <c r="K551" s="290"/>
      <c r="L551" s="277">
        <v>52</v>
      </c>
      <c r="M551" s="275">
        <f>L551-E551</f>
        <v>23</v>
      </c>
      <c r="N551" s="279">
        <v>4</v>
      </c>
      <c r="O551" s="2436" t="s">
        <v>3880</v>
      </c>
      <c r="P551" s="690" t="s">
        <v>4252</v>
      </c>
      <c r="Q551" s="2436" t="s">
        <v>4500</v>
      </c>
      <c r="T551" s="305" t="s">
        <v>1526</v>
      </c>
    </row>
    <row r="552" spans="1:21" s="305" customFormat="1">
      <c r="A552" s="662" t="s">
        <v>4498</v>
      </c>
      <c r="B552" s="1286" t="s">
        <v>477</v>
      </c>
      <c r="C552" s="1280" t="s">
        <v>581</v>
      </c>
      <c r="D552" s="1312"/>
      <c r="E552" s="1877">
        <v>31</v>
      </c>
      <c r="F552" s="275"/>
      <c r="G552" s="288"/>
      <c r="H552" s="283"/>
      <c r="I552" s="664" t="s">
        <v>4499</v>
      </c>
      <c r="J552" s="292"/>
      <c r="K552" s="290"/>
      <c r="L552" s="277">
        <v>56</v>
      </c>
      <c r="M552" s="275">
        <f>L552-E552</f>
        <v>25</v>
      </c>
      <c r="N552" s="279">
        <v>4</v>
      </c>
      <c r="O552" s="2436" t="s">
        <v>3880</v>
      </c>
      <c r="P552" s="690" t="s">
        <v>4252</v>
      </c>
      <c r="Q552" s="2436" t="s">
        <v>4500</v>
      </c>
    </row>
    <row r="553" spans="1:21" s="305" customFormat="1">
      <c r="A553" s="1315"/>
      <c r="B553" s="1314" t="s">
        <v>477</v>
      </c>
      <c r="C553" s="1316" t="s">
        <v>323</v>
      </c>
      <c r="D553" s="1312"/>
      <c r="E553" s="1300">
        <v>30</v>
      </c>
      <c r="F553" s="288"/>
      <c r="G553" s="288">
        <v>13</v>
      </c>
      <c r="H553" s="283"/>
      <c r="I553" s="283"/>
      <c r="J553" s="292"/>
      <c r="K553" s="290"/>
      <c r="L553" s="289">
        <v>55</v>
      </c>
      <c r="M553" s="288">
        <f t="shared" ref="M553:M558" si="29">L553-E553</f>
        <v>25</v>
      </c>
      <c r="N553" s="1317">
        <v>5</v>
      </c>
      <c r="O553" s="305" t="s">
        <v>2938</v>
      </c>
      <c r="P553" s="305" t="s">
        <v>2939</v>
      </c>
    </row>
    <row r="554" spans="1:21" s="305" customFormat="1">
      <c r="A554" s="1315" t="s">
        <v>2937</v>
      </c>
      <c r="B554" s="1314" t="s">
        <v>477</v>
      </c>
      <c r="C554" s="1316" t="s">
        <v>323</v>
      </c>
      <c r="D554" s="1312"/>
      <c r="E554" s="1300">
        <v>25</v>
      </c>
      <c r="F554" s="288"/>
      <c r="G554" s="288">
        <v>13</v>
      </c>
      <c r="H554" s="283"/>
      <c r="I554" s="283"/>
      <c r="J554" s="292"/>
      <c r="K554" s="290"/>
      <c r="L554" s="289">
        <v>45</v>
      </c>
      <c r="M554" s="288">
        <f t="shared" si="29"/>
        <v>20</v>
      </c>
      <c r="N554" s="1317">
        <v>5</v>
      </c>
      <c r="O554" s="305" t="s">
        <v>2938</v>
      </c>
      <c r="P554" s="305" t="s">
        <v>2939</v>
      </c>
    </row>
    <row r="555" spans="1:21" s="305" customFormat="1">
      <c r="A555" s="662" t="s">
        <v>4091</v>
      </c>
      <c r="B555" s="1286" t="s">
        <v>477</v>
      </c>
      <c r="C555" s="1280" t="s">
        <v>2020</v>
      </c>
      <c r="D555" s="1312"/>
      <c r="E555" s="1851">
        <v>21</v>
      </c>
      <c r="F555" s="663"/>
      <c r="G555" s="288"/>
      <c r="H555" s="283"/>
      <c r="I555" s="283"/>
      <c r="J555" s="292"/>
      <c r="K555" s="290"/>
      <c r="L555" s="665">
        <v>38</v>
      </c>
      <c r="M555" s="663">
        <f t="shared" si="29"/>
        <v>17</v>
      </c>
      <c r="N555" s="2398">
        <v>3</v>
      </c>
      <c r="O555" s="2404" t="s">
        <v>3880</v>
      </c>
      <c r="Q555" s="2404" t="s">
        <v>4095</v>
      </c>
    </row>
    <row r="556" spans="1:21" s="305" customFormat="1">
      <c r="A556" s="662" t="s">
        <v>4092</v>
      </c>
      <c r="B556" s="1286" t="s">
        <v>477</v>
      </c>
      <c r="C556" s="1280" t="s">
        <v>2020</v>
      </c>
      <c r="D556" s="1312"/>
      <c r="E556" s="1851">
        <v>24</v>
      </c>
      <c r="F556" s="663"/>
      <c r="G556" s="288"/>
      <c r="H556" s="283"/>
      <c r="I556" s="283"/>
      <c r="J556" s="292"/>
      <c r="K556" s="290"/>
      <c r="L556" s="665">
        <v>39</v>
      </c>
      <c r="M556" s="663">
        <f t="shared" si="29"/>
        <v>15</v>
      </c>
      <c r="N556" s="2398">
        <v>3</v>
      </c>
      <c r="O556" s="2404" t="s">
        <v>3880</v>
      </c>
      <c r="Q556" s="2404" t="s">
        <v>4095</v>
      </c>
    </row>
    <row r="557" spans="1:21" s="791" customFormat="1">
      <c r="A557" s="662" t="s">
        <v>4093</v>
      </c>
      <c r="B557" s="1286" t="s">
        <v>477</v>
      </c>
      <c r="C557" s="1280" t="s">
        <v>2020</v>
      </c>
      <c r="D557" s="1274"/>
      <c r="E557" s="1851">
        <v>69</v>
      </c>
      <c r="F557" s="663"/>
      <c r="G557" s="663" t="s">
        <v>4094</v>
      </c>
      <c r="H557" s="683"/>
      <c r="I557" s="683"/>
      <c r="J557" s="685"/>
      <c r="K557" s="697"/>
      <c r="L557" s="665">
        <v>130</v>
      </c>
      <c r="M557" s="663">
        <f t="shared" si="29"/>
        <v>61</v>
      </c>
      <c r="N557" s="2398">
        <v>3</v>
      </c>
      <c r="O557" s="2404" t="s">
        <v>3880</v>
      </c>
      <c r="Q557" s="2404" t="s">
        <v>4095</v>
      </c>
    </row>
    <row r="558" spans="1:21" s="791" customFormat="1">
      <c r="A558" s="1315"/>
      <c r="B558" s="1286" t="s">
        <v>477</v>
      </c>
      <c r="C558" s="1280" t="s">
        <v>2021</v>
      </c>
      <c r="D558" s="1281"/>
      <c r="E558" s="1851">
        <v>23.5</v>
      </c>
      <c r="F558" s="288"/>
      <c r="G558" s="288"/>
      <c r="H558" s="283"/>
      <c r="I558" s="283"/>
      <c r="J558" s="292"/>
      <c r="K558" s="290"/>
      <c r="L558" s="665">
        <v>43</v>
      </c>
      <c r="M558" s="663">
        <f t="shared" si="29"/>
        <v>19.5</v>
      </c>
      <c r="N558" s="1317"/>
      <c r="O558" s="2404" t="s">
        <v>3880</v>
      </c>
      <c r="P558" s="305"/>
      <c r="Q558" s="2404" t="s">
        <v>3953</v>
      </c>
      <c r="R558" s="305"/>
      <c r="S558" s="2404" t="s">
        <v>4212</v>
      </c>
      <c r="T558" s="305"/>
    </row>
    <row r="559" spans="1:21" s="305" customFormat="1">
      <c r="A559" s="444" t="s">
        <v>4253</v>
      </c>
      <c r="B559" s="1876" t="s">
        <v>477</v>
      </c>
      <c r="C559" s="1880" t="s">
        <v>593</v>
      </c>
      <c r="D559" s="1279"/>
      <c r="E559" s="1877">
        <v>32.5</v>
      </c>
      <c r="F559" s="288"/>
      <c r="G559" s="288"/>
      <c r="H559" s="275" t="s">
        <v>594</v>
      </c>
      <c r="I559" s="289"/>
      <c r="J559" s="292"/>
      <c r="K559" s="290"/>
      <c r="L559" s="277">
        <f>E559+M559</f>
        <v>56</v>
      </c>
      <c r="M559" s="275">
        <v>23.5</v>
      </c>
      <c r="N559" s="279">
        <v>3</v>
      </c>
      <c r="O559" s="2436" t="s">
        <v>3880</v>
      </c>
      <c r="P559" s="2436" t="s">
        <v>4256</v>
      </c>
      <c r="Q559" s="2436" t="s">
        <v>4251</v>
      </c>
      <c r="T559" s="305" t="s">
        <v>2706</v>
      </c>
    </row>
    <row r="560" spans="1:21" s="305" customFormat="1">
      <c r="A560" s="444" t="s">
        <v>4254</v>
      </c>
      <c r="B560" s="1876" t="s">
        <v>477</v>
      </c>
      <c r="C560" s="1880" t="s">
        <v>593</v>
      </c>
      <c r="D560" s="1279"/>
      <c r="E560" s="1877">
        <v>36.5</v>
      </c>
      <c r="F560" s="275" t="s">
        <v>4255</v>
      </c>
      <c r="G560" s="288"/>
      <c r="H560" s="275" t="s">
        <v>594</v>
      </c>
      <c r="I560" s="289"/>
      <c r="J560" s="292"/>
      <c r="K560" s="290"/>
      <c r="L560" s="277">
        <v>70</v>
      </c>
      <c r="M560" s="275">
        <v>23.5</v>
      </c>
      <c r="N560" s="279">
        <v>3</v>
      </c>
      <c r="O560" s="2436" t="s">
        <v>3880</v>
      </c>
      <c r="P560" s="2436" t="s">
        <v>4256</v>
      </c>
      <c r="Q560" s="2436" t="s">
        <v>4251</v>
      </c>
      <c r="T560" s="305" t="s">
        <v>2706</v>
      </c>
    </row>
    <row r="561" spans="1:21" s="305" customFormat="1">
      <c r="A561" s="444" t="s">
        <v>4254</v>
      </c>
      <c r="B561" s="1876" t="s">
        <v>477</v>
      </c>
      <c r="C561" s="1880" t="s">
        <v>593</v>
      </c>
      <c r="D561" s="1279"/>
      <c r="E561" s="1877">
        <v>32.5</v>
      </c>
      <c r="F561" s="275" t="s">
        <v>4250</v>
      </c>
      <c r="G561" s="288"/>
      <c r="H561" s="275" t="s">
        <v>594</v>
      </c>
      <c r="I561" s="289"/>
      <c r="J561" s="292"/>
      <c r="K561" s="290"/>
      <c r="L561" s="277">
        <f>E561+M561</f>
        <v>56</v>
      </c>
      <c r="M561" s="275">
        <v>23.5</v>
      </c>
      <c r="N561" s="279">
        <v>3</v>
      </c>
      <c r="O561" s="2436" t="s">
        <v>3880</v>
      </c>
      <c r="P561" s="2436" t="s">
        <v>4256</v>
      </c>
      <c r="Q561" s="2436" t="s">
        <v>4251</v>
      </c>
      <c r="T561" s="305" t="s">
        <v>2706</v>
      </c>
    </row>
    <row r="562" spans="1:21" s="305" customFormat="1">
      <c r="A562" s="662" t="s">
        <v>4009</v>
      </c>
      <c r="B562" s="1286" t="s">
        <v>477</v>
      </c>
      <c r="C562" s="1280" t="s">
        <v>595</v>
      </c>
      <c r="D562" s="1312"/>
      <c r="E562" s="1851">
        <v>32.5</v>
      </c>
      <c r="F562" s="288"/>
      <c r="G562" s="288"/>
      <c r="H562" s="288"/>
      <c r="I562" s="289"/>
      <c r="J562" s="292"/>
      <c r="K562" s="290"/>
      <c r="L562" s="665">
        <v>51</v>
      </c>
      <c r="M562" s="663">
        <f>L562-E562</f>
        <v>18.5</v>
      </c>
      <c r="N562" s="667">
        <v>3</v>
      </c>
      <c r="O562" s="2404" t="s">
        <v>3880</v>
      </c>
      <c r="P562" s="690"/>
      <c r="Q562" s="2405" t="s">
        <v>4011</v>
      </c>
    </row>
    <row r="563" spans="1:21" s="305" customFormat="1">
      <c r="A563" s="662" t="s">
        <v>3821</v>
      </c>
      <c r="B563" s="1286" t="s">
        <v>477</v>
      </c>
      <c r="C563" s="1280" t="s">
        <v>595</v>
      </c>
      <c r="D563" s="1274"/>
      <c r="E563" s="1851">
        <v>34.5</v>
      </c>
      <c r="F563" s="681"/>
      <c r="G563" s="681"/>
      <c r="H563" s="683"/>
      <c r="I563" s="689"/>
      <c r="J563" s="685"/>
      <c r="K563" s="697"/>
      <c r="L563" s="665">
        <v>55</v>
      </c>
      <c r="M563" s="663">
        <f>L563-E563</f>
        <v>20.5</v>
      </c>
      <c r="N563" s="667">
        <v>3</v>
      </c>
      <c r="O563" s="2404" t="s">
        <v>3880</v>
      </c>
      <c r="P563" s="302"/>
      <c r="Q563" s="2405" t="s">
        <v>4011</v>
      </c>
      <c r="R563" s="297"/>
      <c r="S563" s="297"/>
      <c r="T563" s="297"/>
      <c r="U563" s="297"/>
    </row>
    <row r="564" spans="1:21" s="305" customFormat="1">
      <c r="A564" s="662" t="s">
        <v>4010</v>
      </c>
      <c r="B564" s="1286" t="s">
        <v>477</v>
      </c>
      <c r="C564" s="1280" t="s">
        <v>595</v>
      </c>
      <c r="D564" s="1274"/>
      <c r="E564" s="1851">
        <v>30.5</v>
      </c>
      <c r="F564" s="681"/>
      <c r="G564" s="681"/>
      <c r="H564" s="683"/>
      <c r="I564" s="689"/>
      <c r="J564" s="685"/>
      <c r="K564" s="697"/>
      <c r="L564" s="665">
        <v>47</v>
      </c>
      <c r="M564" s="663">
        <f>L564-E564</f>
        <v>16.5</v>
      </c>
      <c r="N564" s="667">
        <v>3</v>
      </c>
      <c r="O564" s="2404" t="s">
        <v>3880</v>
      </c>
      <c r="P564" s="297"/>
      <c r="Q564" s="2405" t="s">
        <v>4011</v>
      </c>
      <c r="R564" s="297"/>
      <c r="S564" s="297"/>
      <c r="T564" s="297"/>
      <c r="U564" s="297"/>
    </row>
    <row r="565" spans="1:21" s="305" customFormat="1">
      <c r="A565" s="679"/>
      <c r="B565" s="1272" t="s">
        <v>477</v>
      </c>
      <c r="C565" s="1273" t="s">
        <v>2015</v>
      </c>
      <c r="D565" s="1274"/>
      <c r="E565" s="1255" t="s">
        <v>2005</v>
      </c>
      <c r="F565" s="1255" t="s">
        <v>2005</v>
      </c>
      <c r="G565" s="681"/>
      <c r="H565" s="683"/>
      <c r="I565" s="689"/>
      <c r="J565" s="685"/>
      <c r="K565" s="697"/>
      <c r="L565" s="689"/>
      <c r="M565" s="681"/>
      <c r="N565" s="706"/>
      <c r="O565" s="648"/>
      <c r="P565" s="297"/>
      <c r="Q565" s="297"/>
      <c r="R565" s="297"/>
      <c r="S565" s="297"/>
      <c r="T565" s="297"/>
      <c r="U565" s="297"/>
    </row>
    <row r="566" spans="1:21" s="445" customFormat="1">
      <c r="A566" s="444" t="s">
        <v>569</v>
      </c>
      <c r="B566" s="1876" t="s">
        <v>477</v>
      </c>
      <c r="C566" s="1880" t="s">
        <v>1527</v>
      </c>
      <c r="D566" s="1279"/>
      <c r="E566" s="1877">
        <v>21.5</v>
      </c>
      <c r="F566" s="275" t="s">
        <v>2633</v>
      </c>
      <c r="G566" s="275" t="s">
        <v>352</v>
      </c>
      <c r="H566" s="276" t="s">
        <v>4640</v>
      </c>
      <c r="I566" s="277"/>
      <c r="J566" s="278"/>
      <c r="K566" s="2418"/>
      <c r="L566" s="277">
        <v>37</v>
      </c>
      <c r="M566" s="275">
        <f t="shared" ref="M566:M569" si="30">L566-E566</f>
        <v>15.5</v>
      </c>
      <c r="N566" s="279">
        <v>4</v>
      </c>
      <c r="O566" s="2436" t="s">
        <v>2634</v>
      </c>
      <c r="P566" s="2436" t="s">
        <v>4641</v>
      </c>
    </row>
    <row r="567" spans="1:21" s="445" customFormat="1">
      <c r="A567" s="444" t="s">
        <v>2631</v>
      </c>
      <c r="B567" s="1876" t="s">
        <v>477</v>
      </c>
      <c r="C567" s="1880" t="s">
        <v>1527</v>
      </c>
      <c r="D567" s="1279"/>
      <c r="E567" s="1877">
        <v>25</v>
      </c>
      <c r="F567" s="275" t="s">
        <v>2633</v>
      </c>
      <c r="G567" s="275" t="s">
        <v>352</v>
      </c>
      <c r="H567" s="276" t="s">
        <v>4640</v>
      </c>
      <c r="I567" s="277"/>
      <c r="J567" s="278"/>
      <c r="K567" s="2418"/>
      <c r="L567" s="277">
        <v>44</v>
      </c>
      <c r="M567" s="275">
        <f t="shared" si="30"/>
        <v>19</v>
      </c>
      <c r="N567" s="279">
        <v>4</v>
      </c>
      <c r="O567" s="2436" t="s">
        <v>2634</v>
      </c>
      <c r="P567" s="2436" t="s">
        <v>4641</v>
      </c>
    </row>
    <row r="568" spans="1:21" s="445" customFormat="1">
      <c r="A568" s="444" t="s">
        <v>2632</v>
      </c>
      <c r="B568" s="1876" t="s">
        <v>477</v>
      </c>
      <c r="C568" s="1880" t="s">
        <v>1527</v>
      </c>
      <c r="D568" s="1279"/>
      <c r="E568" s="1877">
        <v>23</v>
      </c>
      <c r="F568" s="275" t="s">
        <v>2633</v>
      </c>
      <c r="G568" s="275" t="s">
        <v>352</v>
      </c>
      <c r="H568" s="276" t="s">
        <v>4640</v>
      </c>
      <c r="I568" s="277"/>
      <c r="J568" s="278"/>
      <c r="K568" s="2418"/>
      <c r="L568" s="277">
        <v>40</v>
      </c>
      <c r="M568" s="275">
        <f t="shared" si="30"/>
        <v>17</v>
      </c>
      <c r="N568" s="279">
        <v>4</v>
      </c>
      <c r="O568" s="2436" t="s">
        <v>2634</v>
      </c>
      <c r="P568" s="2436" t="s">
        <v>4641</v>
      </c>
    </row>
    <row r="569" spans="1:21" s="445" customFormat="1">
      <c r="A569" s="444" t="s">
        <v>324</v>
      </c>
      <c r="B569" s="1876" t="s">
        <v>477</v>
      </c>
      <c r="C569" s="1880" t="s">
        <v>1527</v>
      </c>
      <c r="D569" s="1279"/>
      <c r="E569" s="1877">
        <v>23</v>
      </c>
      <c r="F569" s="275" t="s">
        <v>2633</v>
      </c>
      <c r="G569" s="275" t="s">
        <v>352</v>
      </c>
      <c r="H569" s="276" t="s">
        <v>4640</v>
      </c>
      <c r="I569" s="277"/>
      <c r="J569" s="278"/>
      <c r="K569" s="2418"/>
      <c r="L569" s="277">
        <v>40</v>
      </c>
      <c r="M569" s="275">
        <f t="shared" si="30"/>
        <v>17</v>
      </c>
      <c r="N569" s="279">
        <v>4</v>
      </c>
      <c r="O569" s="2436" t="s">
        <v>2634</v>
      </c>
      <c r="P569" s="2436" t="s">
        <v>4641</v>
      </c>
    </row>
    <row r="570" spans="1:21" s="456" customFormat="1">
      <c r="A570" s="679" t="s">
        <v>3</v>
      </c>
      <c r="B570" s="1272" t="s">
        <v>848</v>
      </c>
      <c r="C570" s="1273" t="s">
        <v>596</v>
      </c>
      <c r="D570" s="1274"/>
      <c r="E570" s="1255">
        <v>18.5</v>
      </c>
      <c r="F570" s="681" t="s">
        <v>2016</v>
      </c>
      <c r="G570" s="681">
        <v>12</v>
      </c>
      <c r="H570" s="681" t="s">
        <v>2016</v>
      </c>
      <c r="I570" s="689"/>
      <c r="J570" s="685"/>
      <c r="K570" s="697"/>
      <c r="L570" s="689">
        <v>33</v>
      </c>
      <c r="M570" s="681">
        <v>14.5</v>
      </c>
      <c r="N570" s="706" t="s">
        <v>357</v>
      </c>
      <c r="O570" s="480"/>
      <c r="P570" s="479"/>
      <c r="Q570" s="479"/>
      <c r="R570" s="479"/>
      <c r="S570" s="479"/>
      <c r="T570" s="479"/>
      <c r="U570" s="479"/>
    </row>
    <row r="571" spans="1:21" s="456" customFormat="1">
      <c r="A571" s="679" t="s">
        <v>212</v>
      </c>
      <c r="B571" s="1272" t="s">
        <v>848</v>
      </c>
      <c r="C571" s="1273" t="s">
        <v>596</v>
      </c>
      <c r="D571" s="1274"/>
      <c r="E571" s="1255">
        <v>23.5</v>
      </c>
      <c r="F571" s="681"/>
      <c r="G571" s="681">
        <v>12</v>
      </c>
      <c r="H571" s="681" t="s">
        <v>2016</v>
      </c>
      <c r="I571" s="689"/>
      <c r="J571" s="685"/>
      <c r="K571" s="697"/>
      <c r="L571" s="689">
        <v>42</v>
      </c>
      <c r="M571" s="681">
        <v>18.5</v>
      </c>
      <c r="N571" s="706" t="s">
        <v>357</v>
      </c>
      <c r="O571" s="480"/>
      <c r="P571" s="479"/>
      <c r="Q571" s="479"/>
      <c r="R571" s="479"/>
      <c r="S571" s="479"/>
      <c r="T571" s="479"/>
      <c r="U571" s="479"/>
    </row>
    <row r="572" spans="1:21" s="456" customFormat="1">
      <c r="A572" s="679" t="s">
        <v>1049</v>
      </c>
      <c r="B572" s="1272" t="s">
        <v>848</v>
      </c>
      <c r="C572" s="1273" t="s">
        <v>596</v>
      </c>
      <c r="D572" s="1274"/>
      <c r="E572" s="1255">
        <v>29</v>
      </c>
      <c r="F572" s="681"/>
      <c r="G572" s="681">
        <v>12</v>
      </c>
      <c r="H572" s="681" t="s">
        <v>2016</v>
      </c>
      <c r="I572" s="689"/>
      <c r="J572" s="685"/>
      <c r="K572" s="697"/>
      <c r="L572" s="689">
        <v>52</v>
      </c>
      <c r="M572" s="681">
        <v>23</v>
      </c>
      <c r="N572" s="706" t="s">
        <v>357</v>
      </c>
      <c r="O572" s="480"/>
      <c r="P572" s="479"/>
      <c r="Q572" s="479"/>
      <c r="R572" s="479"/>
      <c r="S572" s="479"/>
      <c r="T572" s="479"/>
      <c r="U572" s="479"/>
    </row>
    <row r="573" spans="1:21" s="445" customFormat="1">
      <c r="A573" s="679" t="s">
        <v>3</v>
      </c>
      <c r="B573" s="1272" t="s">
        <v>848</v>
      </c>
      <c r="C573" s="1273" t="s">
        <v>596</v>
      </c>
      <c r="D573" s="1274"/>
      <c r="E573" s="1255">
        <v>32.5</v>
      </c>
      <c r="F573" s="681" t="s">
        <v>1050</v>
      </c>
      <c r="G573" s="681">
        <v>12</v>
      </c>
      <c r="H573" s="681" t="s">
        <v>2016</v>
      </c>
      <c r="I573" s="689"/>
      <c r="J573" s="685"/>
      <c r="K573" s="697"/>
      <c r="L573" s="689">
        <v>65</v>
      </c>
      <c r="M573" s="681">
        <v>32.5</v>
      </c>
      <c r="N573" s="706" t="s">
        <v>357</v>
      </c>
      <c r="O573" s="644"/>
      <c r="P573" s="487"/>
      <c r="Q573" s="487"/>
      <c r="R573" s="487"/>
      <c r="S573" s="487"/>
      <c r="T573" s="487"/>
      <c r="U573" s="487"/>
    </row>
    <row r="574" spans="1:21" s="445" customFormat="1">
      <c r="A574" s="679" t="s">
        <v>212</v>
      </c>
      <c r="B574" s="1272" t="s">
        <v>848</v>
      </c>
      <c r="C574" s="1273" t="s">
        <v>596</v>
      </c>
      <c r="D574" s="1274"/>
      <c r="E574" s="1255">
        <v>49</v>
      </c>
      <c r="F574" s="681" t="s">
        <v>1050</v>
      </c>
      <c r="G574" s="681">
        <v>12</v>
      </c>
      <c r="H574" s="681" t="s">
        <v>2016</v>
      </c>
      <c r="I574" s="689"/>
      <c r="J574" s="685"/>
      <c r="K574" s="697"/>
      <c r="L574" s="689">
        <v>98</v>
      </c>
      <c r="M574" s="681">
        <v>49</v>
      </c>
      <c r="N574" s="706" t="s">
        <v>357</v>
      </c>
      <c r="O574" s="644"/>
      <c r="P574" s="487"/>
      <c r="Q574" s="487"/>
      <c r="R574" s="487"/>
      <c r="S574" s="487"/>
      <c r="T574" s="487"/>
      <c r="U574" s="487"/>
    </row>
    <row r="575" spans="1:21" s="445" customFormat="1">
      <c r="A575" s="679" t="s">
        <v>1049</v>
      </c>
      <c r="B575" s="1272" t="s">
        <v>848</v>
      </c>
      <c r="C575" s="1273" t="s">
        <v>596</v>
      </c>
      <c r="D575" s="1274"/>
      <c r="E575" s="1255">
        <v>57.5</v>
      </c>
      <c r="F575" s="681" t="s">
        <v>1050</v>
      </c>
      <c r="G575" s="681">
        <v>12</v>
      </c>
      <c r="H575" s="681" t="s">
        <v>2016</v>
      </c>
      <c r="I575" s="689"/>
      <c r="J575" s="685"/>
      <c r="K575" s="697"/>
      <c r="L575" s="689">
        <v>115</v>
      </c>
      <c r="M575" s="681">
        <v>57.5</v>
      </c>
      <c r="N575" s="706" t="s">
        <v>357</v>
      </c>
      <c r="O575" s="644"/>
      <c r="P575" s="487"/>
      <c r="Q575" s="487"/>
      <c r="R575" s="487"/>
      <c r="S575" s="487"/>
      <c r="T575" s="487"/>
      <c r="U575" s="487"/>
    </row>
    <row r="576" spans="1:21" s="445" customFormat="1">
      <c r="A576" s="444" t="s">
        <v>4285</v>
      </c>
      <c r="B576" s="1876" t="s">
        <v>848</v>
      </c>
      <c r="C576" s="1880" t="s">
        <v>2022</v>
      </c>
      <c r="D576" s="1274"/>
      <c r="E576" s="1877">
        <v>25</v>
      </c>
      <c r="F576" s="681"/>
      <c r="G576" s="681"/>
      <c r="H576" s="681"/>
      <c r="I576" s="689"/>
      <c r="J576" s="685"/>
      <c r="K576" s="697"/>
      <c r="L576" s="277">
        <v>39</v>
      </c>
      <c r="M576" s="275">
        <f>L576-E576</f>
        <v>14</v>
      </c>
      <c r="N576" s="706"/>
      <c r="O576" s="646" t="s">
        <v>3880</v>
      </c>
      <c r="P576" s="487"/>
      <c r="Q576" s="490" t="s">
        <v>3953</v>
      </c>
      <c r="R576" s="487"/>
      <c r="S576" s="490" t="s">
        <v>4284</v>
      </c>
      <c r="T576" s="487"/>
      <c r="U576" s="487"/>
    </row>
    <row r="577" spans="1:21" s="445" customFormat="1">
      <c r="A577" s="444" t="s">
        <v>4286</v>
      </c>
      <c r="B577" s="1876" t="s">
        <v>848</v>
      </c>
      <c r="C577" s="1880" t="s">
        <v>2022</v>
      </c>
      <c r="D577" s="1274"/>
      <c r="E577" s="1877">
        <v>27.5</v>
      </c>
      <c r="F577" s="681"/>
      <c r="G577" s="681"/>
      <c r="H577" s="681"/>
      <c r="I577" s="689"/>
      <c r="J577" s="685"/>
      <c r="K577" s="697"/>
      <c r="L577" s="277">
        <v>42</v>
      </c>
      <c r="M577" s="275">
        <f>L577-E577</f>
        <v>14.5</v>
      </c>
      <c r="N577" s="706"/>
      <c r="O577" s="646" t="s">
        <v>3880</v>
      </c>
      <c r="P577" s="487"/>
      <c r="Q577" s="490" t="s">
        <v>3953</v>
      </c>
      <c r="R577" s="487"/>
      <c r="S577" s="490" t="s">
        <v>4284</v>
      </c>
      <c r="T577" s="487"/>
      <c r="U577" s="487"/>
    </row>
    <row r="578" spans="1:21" s="445" customFormat="1">
      <c r="A578" s="679" t="s">
        <v>2024</v>
      </c>
      <c r="B578" s="1272" t="s">
        <v>848</v>
      </c>
      <c r="C578" s="1273" t="s">
        <v>2023</v>
      </c>
      <c r="D578" s="1274"/>
      <c r="E578" s="1255">
        <v>27.5</v>
      </c>
      <c r="F578" s="681"/>
      <c r="G578" s="681" t="s">
        <v>1992</v>
      </c>
      <c r="H578" s="681"/>
      <c r="I578" s="689"/>
      <c r="J578" s="685"/>
      <c r="K578" s="697"/>
      <c r="L578" s="689">
        <f>27.5+17.5</f>
        <v>45</v>
      </c>
      <c r="M578" s="681">
        <v>17.5</v>
      </c>
      <c r="N578" s="706"/>
      <c r="O578" s="644"/>
      <c r="P578" s="487"/>
      <c r="Q578" s="487"/>
      <c r="R578" s="487"/>
      <c r="S578" s="487"/>
      <c r="T578" s="487"/>
      <c r="U578" s="487"/>
    </row>
    <row r="579" spans="1:21" s="305" customFormat="1">
      <c r="A579" s="1315" t="s">
        <v>569</v>
      </c>
      <c r="B579" s="1314" t="s">
        <v>848</v>
      </c>
      <c r="C579" s="1316" t="s">
        <v>2635</v>
      </c>
      <c r="D579" s="1312"/>
      <c r="E579" s="1300">
        <v>22</v>
      </c>
      <c r="F579" s="288" t="s">
        <v>2636</v>
      </c>
      <c r="G579" s="288"/>
      <c r="H579" s="283" t="s">
        <v>2638</v>
      </c>
      <c r="I579" s="289"/>
      <c r="J579" s="292"/>
      <c r="K579" s="290"/>
      <c r="L579" s="289">
        <v>38</v>
      </c>
      <c r="M579" s="288">
        <f t="shared" ref="M579:M597" si="31">L579-E579</f>
        <v>16</v>
      </c>
      <c r="N579" s="634">
        <v>3</v>
      </c>
      <c r="O579" s="690" t="s">
        <v>2634</v>
      </c>
      <c r="P579" s="297"/>
      <c r="Q579" s="297" t="s">
        <v>2639</v>
      </c>
      <c r="R579" s="297"/>
      <c r="S579" s="297"/>
      <c r="T579" s="297"/>
      <c r="U579" s="297"/>
    </row>
    <row r="580" spans="1:21" s="305" customFormat="1">
      <c r="A580" s="1315" t="s">
        <v>7</v>
      </c>
      <c r="B580" s="1314" t="s">
        <v>848</v>
      </c>
      <c r="C580" s="1316" t="s">
        <v>2635</v>
      </c>
      <c r="D580" s="1312"/>
      <c r="E580" s="1300">
        <v>32</v>
      </c>
      <c r="F580" s="288" t="s">
        <v>2637</v>
      </c>
      <c r="G580" s="288"/>
      <c r="H580" s="283" t="s">
        <v>2638</v>
      </c>
      <c r="I580" s="289"/>
      <c r="J580" s="292"/>
      <c r="K580" s="290"/>
      <c r="L580" s="289">
        <v>56</v>
      </c>
      <c r="M580" s="288">
        <f t="shared" si="31"/>
        <v>24</v>
      </c>
      <c r="N580" s="634">
        <v>3</v>
      </c>
      <c r="O580" s="690" t="s">
        <v>2634</v>
      </c>
      <c r="P580" s="297"/>
      <c r="Q580" s="297" t="s">
        <v>2639</v>
      </c>
      <c r="R580" s="297"/>
      <c r="S580" s="297"/>
      <c r="T580" s="297"/>
      <c r="U580" s="297"/>
    </row>
    <row r="581" spans="1:21" s="305" customFormat="1">
      <c r="A581" s="662" t="s">
        <v>3918</v>
      </c>
      <c r="B581" s="1286" t="s">
        <v>848</v>
      </c>
      <c r="C581" s="1280" t="s">
        <v>1734</v>
      </c>
      <c r="D581" s="1274"/>
      <c r="E581" s="1851">
        <v>35</v>
      </c>
      <c r="F581" s="288"/>
      <c r="G581" s="663" t="s">
        <v>3922</v>
      </c>
      <c r="H581" s="283"/>
      <c r="I581" s="289"/>
      <c r="J581" s="292"/>
      <c r="K581" s="290"/>
      <c r="L581" s="665">
        <v>58</v>
      </c>
      <c r="M581" s="663">
        <f t="shared" si="31"/>
        <v>23</v>
      </c>
      <c r="N581" s="667">
        <v>6</v>
      </c>
      <c r="O581" s="1856" t="s">
        <v>3880</v>
      </c>
      <c r="P581" s="297"/>
      <c r="Q581" s="2403" t="s">
        <v>3921</v>
      </c>
      <c r="R581" s="297"/>
      <c r="S581" s="297"/>
      <c r="T581" s="297"/>
      <c r="U581" s="297"/>
    </row>
    <row r="582" spans="1:21" s="688" customFormat="1">
      <c r="A582" s="662" t="s">
        <v>3919</v>
      </c>
      <c r="B582" s="1286" t="s">
        <v>848</v>
      </c>
      <c r="C582" s="1280" t="s">
        <v>1734</v>
      </c>
      <c r="D582" s="1274"/>
      <c r="E582" s="1851">
        <v>34</v>
      </c>
      <c r="F582" s="681"/>
      <c r="G582" s="663" t="s">
        <v>3922</v>
      </c>
      <c r="H582" s="683"/>
      <c r="I582" s="689"/>
      <c r="J582" s="685"/>
      <c r="K582" s="697"/>
      <c r="L582" s="665">
        <v>55</v>
      </c>
      <c r="M582" s="663">
        <f t="shared" si="31"/>
        <v>21</v>
      </c>
      <c r="N582" s="667">
        <v>6</v>
      </c>
      <c r="O582" s="1856" t="s">
        <v>3880</v>
      </c>
      <c r="P582" s="696"/>
      <c r="Q582" s="2403" t="s">
        <v>3921</v>
      </c>
      <c r="R582" s="696"/>
      <c r="S582" s="696"/>
      <c r="T582" s="696"/>
      <c r="U582" s="696"/>
    </row>
    <row r="583" spans="1:21" s="688" customFormat="1">
      <c r="A583" s="662" t="s">
        <v>3920</v>
      </c>
      <c r="B583" s="1286" t="s">
        <v>848</v>
      </c>
      <c r="C583" s="1280" t="s">
        <v>1734</v>
      </c>
      <c r="D583" s="1274"/>
      <c r="E583" s="1851">
        <v>32</v>
      </c>
      <c r="F583" s="681"/>
      <c r="G583" s="663" t="s">
        <v>3922</v>
      </c>
      <c r="H583" s="683"/>
      <c r="I583" s="689"/>
      <c r="J583" s="685"/>
      <c r="K583" s="697"/>
      <c r="L583" s="665">
        <v>52</v>
      </c>
      <c r="M583" s="663">
        <f t="shared" si="31"/>
        <v>20</v>
      </c>
      <c r="N583" s="667">
        <v>6</v>
      </c>
      <c r="O583" s="1856" t="s">
        <v>3880</v>
      </c>
      <c r="P583" s="696"/>
      <c r="Q583" s="2403" t="s">
        <v>3921</v>
      </c>
      <c r="R583" s="696"/>
      <c r="S583" s="696"/>
      <c r="T583" s="696"/>
      <c r="U583" s="696"/>
    </row>
    <row r="584" spans="1:21" s="305" customFormat="1">
      <c r="A584" s="662" t="s">
        <v>3904</v>
      </c>
      <c r="B584" s="1286" t="s">
        <v>848</v>
      </c>
      <c r="C584" s="1280" t="s">
        <v>666</v>
      </c>
      <c r="D584" s="1281"/>
      <c r="E584" s="1851">
        <v>27</v>
      </c>
      <c r="F584" s="293"/>
      <c r="G584" s="664" t="s">
        <v>3923</v>
      </c>
      <c r="I584" s="289">
        <v>0.6</v>
      </c>
      <c r="J584" s="292" t="s">
        <v>206</v>
      </c>
      <c r="K584" s="290"/>
      <c r="L584" s="665">
        <v>46</v>
      </c>
      <c r="M584" s="663">
        <f t="shared" si="31"/>
        <v>19</v>
      </c>
      <c r="N584" s="279">
        <v>5</v>
      </c>
      <c r="O584" s="1856" t="s">
        <v>3880</v>
      </c>
      <c r="Q584" s="2404" t="s">
        <v>3908</v>
      </c>
    </row>
    <row r="585" spans="1:21" s="305" customFormat="1">
      <c r="A585" s="662" t="s">
        <v>3905</v>
      </c>
      <c r="B585" s="1286" t="s">
        <v>848</v>
      </c>
      <c r="C585" s="1280" t="s">
        <v>666</v>
      </c>
      <c r="D585" s="1281"/>
      <c r="E585" s="1851">
        <v>34</v>
      </c>
      <c r="F585" s="293"/>
      <c r="G585" s="664" t="s">
        <v>3923</v>
      </c>
      <c r="I585" s="289">
        <v>0.6</v>
      </c>
      <c r="J585" s="292" t="s">
        <v>206</v>
      </c>
      <c r="K585" s="290"/>
      <c r="L585" s="665">
        <v>58</v>
      </c>
      <c r="M585" s="663">
        <f t="shared" si="31"/>
        <v>24</v>
      </c>
      <c r="N585" s="279">
        <v>5</v>
      </c>
      <c r="O585" s="1856" t="s">
        <v>3880</v>
      </c>
      <c r="Q585" s="2404" t="s">
        <v>3908</v>
      </c>
    </row>
    <row r="586" spans="1:21" s="305" customFormat="1">
      <c r="A586" s="662" t="s">
        <v>3907</v>
      </c>
      <c r="B586" s="1286" t="s">
        <v>848</v>
      </c>
      <c r="C586" s="1280" t="s">
        <v>666</v>
      </c>
      <c r="D586" s="1281"/>
      <c r="E586" s="1851">
        <v>31</v>
      </c>
      <c r="F586" s="293"/>
      <c r="G586" s="664" t="s">
        <v>3923</v>
      </c>
      <c r="I586" s="289">
        <v>0.6</v>
      </c>
      <c r="J586" s="292" t="s">
        <v>206</v>
      </c>
      <c r="K586" s="290"/>
      <c r="L586" s="665">
        <v>52</v>
      </c>
      <c r="M586" s="663">
        <f t="shared" si="31"/>
        <v>21</v>
      </c>
      <c r="N586" s="279">
        <v>5</v>
      </c>
      <c r="O586" s="1856" t="s">
        <v>3880</v>
      </c>
      <c r="Q586" s="2404" t="s">
        <v>3908</v>
      </c>
    </row>
    <row r="587" spans="1:21" s="305" customFormat="1">
      <c r="A587" s="662" t="s">
        <v>3906</v>
      </c>
      <c r="B587" s="1286" t="s">
        <v>848</v>
      </c>
      <c r="C587" s="1280" t="s">
        <v>666</v>
      </c>
      <c r="D587" s="1281"/>
      <c r="E587" s="1851">
        <v>44</v>
      </c>
      <c r="F587" s="293"/>
      <c r="G587" s="664" t="s">
        <v>3923</v>
      </c>
      <c r="H587" s="283"/>
      <c r="I587" s="289">
        <v>0.6</v>
      </c>
      <c r="J587" s="292" t="s">
        <v>206</v>
      </c>
      <c r="K587" s="290"/>
      <c r="L587" s="665">
        <v>83</v>
      </c>
      <c r="M587" s="663">
        <f t="shared" si="31"/>
        <v>39</v>
      </c>
      <c r="N587" s="279">
        <v>5</v>
      </c>
      <c r="O587" s="1856" t="s">
        <v>3880</v>
      </c>
      <c r="Q587" s="2404" t="s">
        <v>3908</v>
      </c>
    </row>
    <row r="588" spans="1:21" s="305" customFormat="1">
      <c r="A588" s="1359" t="s">
        <v>2709</v>
      </c>
      <c r="B588" s="1314" t="s">
        <v>205</v>
      </c>
      <c r="C588" s="1316" t="s">
        <v>2372</v>
      </c>
      <c r="D588" s="1312"/>
      <c r="E588" s="1300">
        <v>40</v>
      </c>
      <c r="F588" s="288" t="s">
        <v>1724</v>
      </c>
      <c r="G588" s="288"/>
      <c r="H588" s="283" t="s">
        <v>2708</v>
      </c>
      <c r="I588" s="289"/>
      <c r="J588" s="292"/>
      <c r="K588" s="290"/>
      <c r="L588" s="289">
        <v>70</v>
      </c>
      <c r="M588" s="288">
        <f t="shared" si="31"/>
        <v>30</v>
      </c>
      <c r="N588" s="634">
        <v>4</v>
      </c>
      <c r="O588" s="645"/>
      <c r="P588" s="297"/>
      <c r="Q588" s="297"/>
      <c r="R588" s="297"/>
      <c r="S588" s="297"/>
      <c r="T588" s="297"/>
      <c r="U588" s="297"/>
    </row>
    <row r="589" spans="1:21" s="305" customFormat="1">
      <c r="A589" s="1359" t="s">
        <v>2709</v>
      </c>
      <c r="B589" s="1314" t="s">
        <v>205</v>
      </c>
      <c r="C589" s="1316" t="s">
        <v>2372</v>
      </c>
      <c r="D589" s="1312"/>
      <c r="E589" s="1300">
        <v>45</v>
      </c>
      <c r="F589" s="288" t="s">
        <v>2707</v>
      </c>
      <c r="G589" s="288"/>
      <c r="H589" s="283" t="s">
        <v>2708</v>
      </c>
      <c r="I589" s="289"/>
      <c r="J589" s="292"/>
      <c r="K589" s="290"/>
      <c r="L589" s="289">
        <v>80</v>
      </c>
      <c r="M589" s="288">
        <f t="shared" si="31"/>
        <v>35</v>
      </c>
      <c r="N589" s="634">
        <v>4</v>
      </c>
      <c r="O589" s="645"/>
      <c r="P589" s="297"/>
      <c r="Q589" s="297"/>
      <c r="R589" s="297"/>
      <c r="S589" s="297"/>
      <c r="T589" s="297"/>
      <c r="U589" s="297"/>
    </row>
    <row r="590" spans="1:21" s="305" customFormat="1">
      <c r="A590" s="1359" t="s">
        <v>2710</v>
      </c>
      <c r="B590" s="1314" t="s">
        <v>205</v>
      </c>
      <c r="C590" s="1316" t="s">
        <v>2372</v>
      </c>
      <c r="D590" s="1312"/>
      <c r="E590" s="1300">
        <v>52.5</v>
      </c>
      <c r="F590" s="288" t="s">
        <v>1724</v>
      </c>
      <c r="G590" s="288"/>
      <c r="H590" s="283" t="s">
        <v>2708</v>
      </c>
      <c r="I590" s="289"/>
      <c r="J590" s="292"/>
      <c r="K590" s="290"/>
      <c r="L590" s="289">
        <v>95</v>
      </c>
      <c r="M590" s="288">
        <f t="shared" si="31"/>
        <v>42.5</v>
      </c>
      <c r="N590" s="634">
        <v>4</v>
      </c>
      <c r="O590" s="648"/>
      <c r="P590" s="302"/>
      <c r="Q590" s="297"/>
      <c r="R590" s="297"/>
      <c r="S590" s="297"/>
      <c r="T590" s="297"/>
      <c r="U590" s="297"/>
    </row>
    <row r="591" spans="1:21" s="305" customFormat="1">
      <c r="A591" s="1359" t="s">
        <v>2710</v>
      </c>
      <c r="B591" s="1314" t="s">
        <v>205</v>
      </c>
      <c r="C591" s="1316" t="s">
        <v>2372</v>
      </c>
      <c r="D591" s="1312"/>
      <c r="E591" s="1300">
        <v>57.5</v>
      </c>
      <c r="F591" s="288" t="s">
        <v>2707</v>
      </c>
      <c r="G591" s="288"/>
      <c r="H591" s="283" t="s">
        <v>2708</v>
      </c>
      <c r="I591" s="289"/>
      <c r="J591" s="292"/>
      <c r="K591" s="290"/>
      <c r="L591" s="289">
        <v>105</v>
      </c>
      <c r="M591" s="288">
        <f t="shared" si="31"/>
        <v>47.5</v>
      </c>
      <c r="N591" s="634">
        <v>4</v>
      </c>
      <c r="O591" s="648"/>
      <c r="P591" s="302"/>
      <c r="Q591" s="297"/>
      <c r="R591" s="297"/>
      <c r="S591" s="297"/>
      <c r="T591" s="297"/>
      <c r="U591" s="297"/>
    </row>
    <row r="592" spans="1:21" s="305" customFormat="1">
      <c r="A592" s="1359" t="s">
        <v>2711</v>
      </c>
      <c r="B592" s="1314" t="s">
        <v>205</v>
      </c>
      <c r="C592" s="1316" t="s">
        <v>2372</v>
      </c>
      <c r="D592" s="1312"/>
      <c r="E592" s="1300">
        <v>67.5</v>
      </c>
      <c r="F592" s="288"/>
      <c r="G592" s="288"/>
      <c r="H592" s="283"/>
      <c r="I592" s="289"/>
      <c r="J592" s="292"/>
      <c r="K592" s="290"/>
      <c r="L592" s="289">
        <v>125</v>
      </c>
      <c r="M592" s="288">
        <f t="shared" si="31"/>
        <v>57.5</v>
      </c>
      <c r="N592" s="634">
        <v>4</v>
      </c>
      <c r="O592" s="648" t="s">
        <v>2373</v>
      </c>
      <c r="P592" s="302"/>
      <c r="Q592" s="297"/>
      <c r="R592" s="297"/>
      <c r="S592" s="297"/>
      <c r="T592" s="297"/>
      <c r="U592" s="297"/>
    </row>
    <row r="593" spans="1:24" s="305" customFormat="1">
      <c r="A593" s="1859" t="s">
        <v>3800</v>
      </c>
      <c r="B593" s="1286" t="s">
        <v>205</v>
      </c>
      <c r="C593" s="1280" t="s">
        <v>856</v>
      </c>
      <c r="D593" s="1281"/>
      <c r="E593" s="1851">
        <v>42.5</v>
      </c>
      <c r="F593" s="663" t="s">
        <v>3962</v>
      </c>
      <c r="G593" s="663" t="s">
        <v>3963</v>
      </c>
      <c r="H593" s="283"/>
      <c r="I593" s="289"/>
      <c r="J593" s="292"/>
      <c r="K593" s="290"/>
      <c r="L593" s="665">
        <v>75</v>
      </c>
      <c r="M593" s="663">
        <f t="shared" si="31"/>
        <v>32.5</v>
      </c>
      <c r="N593" s="634">
        <v>4</v>
      </c>
      <c r="O593" s="648"/>
      <c r="P593" s="302"/>
      <c r="Q593" s="297"/>
      <c r="R593" s="297"/>
      <c r="S593" s="297"/>
      <c r="T593" s="297"/>
      <c r="U593" s="297"/>
    </row>
    <row r="594" spans="1:24" s="305" customFormat="1">
      <c r="A594" s="1859" t="s">
        <v>3801</v>
      </c>
      <c r="B594" s="1286" t="s">
        <v>205</v>
      </c>
      <c r="C594" s="1280" t="s">
        <v>856</v>
      </c>
      <c r="D594" s="1281"/>
      <c r="E594" s="1851">
        <v>50</v>
      </c>
      <c r="F594" s="663" t="s">
        <v>3803</v>
      </c>
      <c r="G594" s="663" t="s">
        <v>3963</v>
      </c>
      <c r="H594" s="283"/>
      <c r="I594" s="289"/>
      <c r="J594" s="292"/>
      <c r="K594" s="290"/>
      <c r="L594" s="665">
        <v>90</v>
      </c>
      <c r="M594" s="663">
        <f t="shared" si="31"/>
        <v>40</v>
      </c>
      <c r="N594" s="634">
        <v>4</v>
      </c>
      <c r="O594" s="648"/>
      <c r="P594" s="302"/>
      <c r="Q594" s="297"/>
      <c r="R594" s="297"/>
      <c r="S594" s="297"/>
      <c r="T594" s="297"/>
      <c r="U594" s="297"/>
    </row>
    <row r="595" spans="1:24" s="305" customFormat="1">
      <c r="A595" s="1860" t="s">
        <v>3804</v>
      </c>
      <c r="B595" s="1286" t="s">
        <v>205</v>
      </c>
      <c r="C595" s="1280" t="s">
        <v>856</v>
      </c>
      <c r="D595" s="1281"/>
      <c r="E595" s="1851">
        <v>30</v>
      </c>
      <c r="F595" s="663" t="s">
        <v>3803</v>
      </c>
      <c r="G595" s="663" t="s">
        <v>3963</v>
      </c>
      <c r="H595" s="283"/>
      <c r="I595" s="289"/>
      <c r="J595" s="292"/>
      <c r="K595" s="290"/>
      <c r="L595" s="665">
        <v>55</v>
      </c>
      <c r="M595" s="663">
        <f t="shared" si="31"/>
        <v>25</v>
      </c>
      <c r="N595" s="634">
        <v>4</v>
      </c>
      <c r="O595" s="648"/>
      <c r="P595" s="302"/>
      <c r="Q595" s="297"/>
      <c r="R595" s="297"/>
      <c r="S595" s="297"/>
      <c r="T595" s="297"/>
      <c r="U595" s="297"/>
    </row>
    <row r="596" spans="1:24" s="305" customFormat="1">
      <c r="A596" s="1860" t="s">
        <v>3802</v>
      </c>
      <c r="B596" s="1286" t="s">
        <v>205</v>
      </c>
      <c r="C596" s="1280" t="s">
        <v>856</v>
      </c>
      <c r="D596" s="1281"/>
      <c r="E596" s="1851">
        <v>37.5</v>
      </c>
      <c r="F596" s="663" t="s">
        <v>3803</v>
      </c>
      <c r="G596" s="663" t="s">
        <v>3963</v>
      </c>
      <c r="H596" s="283"/>
      <c r="I596" s="289"/>
      <c r="J596" s="292"/>
      <c r="K596" s="290"/>
      <c r="L596" s="665">
        <v>65</v>
      </c>
      <c r="M596" s="663">
        <f t="shared" si="31"/>
        <v>27.5</v>
      </c>
      <c r="N596" s="634">
        <v>4</v>
      </c>
      <c r="O596" s="648"/>
      <c r="P596" s="302"/>
      <c r="Q596" s="297"/>
      <c r="R596" s="297"/>
      <c r="S596" s="297"/>
      <c r="T596" s="297"/>
      <c r="U596" s="297"/>
    </row>
    <row r="597" spans="1:24" s="305" customFormat="1">
      <c r="A597" s="1860" t="s">
        <v>3805</v>
      </c>
      <c r="B597" s="1286" t="s">
        <v>205</v>
      </c>
      <c r="C597" s="1280" t="s">
        <v>856</v>
      </c>
      <c r="D597" s="1281"/>
      <c r="E597" s="1851">
        <v>42.5</v>
      </c>
      <c r="F597" s="663" t="s">
        <v>3803</v>
      </c>
      <c r="G597" s="663" t="s">
        <v>3963</v>
      </c>
      <c r="H597" s="283"/>
      <c r="I597" s="289"/>
      <c r="J597" s="292"/>
      <c r="K597" s="290"/>
      <c r="L597" s="665">
        <v>75</v>
      </c>
      <c r="M597" s="663">
        <f t="shared" si="31"/>
        <v>32.5</v>
      </c>
      <c r="N597" s="634">
        <v>4</v>
      </c>
      <c r="O597" s="648"/>
      <c r="P597" s="302"/>
      <c r="Q597" s="297"/>
      <c r="R597" s="297"/>
      <c r="S597" s="297"/>
      <c r="T597" s="297"/>
      <c r="U597" s="297"/>
    </row>
    <row r="598" spans="1:24" s="305" customFormat="1" ht="15" customHeight="1">
      <c r="A598" s="1858" t="s">
        <v>4259</v>
      </c>
      <c r="B598" s="1286" t="s">
        <v>205</v>
      </c>
      <c r="C598" s="1280" t="s">
        <v>2025</v>
      </c>
      <c r="D598" s="1312"/>
      <c r="E598" s="1851">
        <v>29</v>
      </c>
      <c r="F598" s="663" t="s">
        <v>4297</v>
      </c>
      <c r="G598" s="288"/>
      <c r="H598" s="283"/>
      <c r="I598" s="289"/>
      <c r="J598" s="292"/>
      <c r="K598" s="290"/>
      <c r="L598" s="665">
        <f>E598+M598</f>
        <v>41</v>
      </c>
      <c r="M598" s="663">
        <v>12</v>
      </c>
      <c r="N598" s="667" t="s">
        <v>4289</v>
      </c>
      <c r="O598" s="1856" t="s">
        <v>3880</v>
      </c>
      <c r="P598" s="302"/>
      <c r="Q598" s="2403" t="s">
        <v>3953</v>
      </c>
      <c r="R598" s="297"/>
      <c r="S598" s="297"/>
      <c r="T598" s="297"/>
      <c r="U598" s="297"/>
    </row>
    <row r="599" spans="1:24" s="305" customFormat="1" ht="15" customHeight="1">
      <c r="A599" s="1858" t="s">
        <v>4258</v>
      </c>
      <c r="B599" s="1286" t="s">
        <v>205</v>
      </c>
      <c r="C599" s="1280" t="s">
        <v>2025</v>
      </c>
      <c r="D599" s="1312"/>
      <c r="E599" s="1851">
        <v>26</v>
      </c>
      <c r="F599" s="663" t="s">
        <v>4298</v>
      </c>
      <c r="G599" s="288"/>
      <c r="H599" s="283"/>
      <c r="I599" s="289"/>
      <c r="J599" s="292"/>
      <c r="K599" s="290"/>
      <c r="L599" s="665">
        <f>E599+M599</f>
        <v>38</v>
      </c>
      <c r="M599" s="663">
        <v>12</v>
      </c>
      <c r="N599" s="667" t="s">
        <v>4289</v>
      </c>
      <c r="O599" s="1856" t="s">
        <v>3880</v>
      </c>
      <c r="P599" s="302"/>
      <c r="Q599" s="2403" t="s">
        <v>3953</v>
      </c>
      <c r="R599" s="297"/>
      <c r="S599" s="297"/>
      <c r="T599" s="297"/>
      <c r="U599" s="297"/>
    </row>
    <row r="600" spans="1:24" s="688" customFormat="1" ht="15" customHeight="1">
      <c r="A600" s="719"/>
      <c r="B600" s="1272" t="s">
        <v>2026</v>
      </c>
      <c r="C600" s="1273" t="s">
        <v>2027</v>
      </c>
      <c r="D600" s="1274"/>
      <c r="E600" s="1255">
        <v>28</v>
      </c>
      <c r="F600" s="681"/>
      <c r="G600" s="681"/>
      <c r="H600" s="683"/>
      <c r="I600" s="689"/>
      <c r="J600" s="685"/>
      <c r="K600" s="697"/>
      <c r="L600" s="689">
        <f>28+9.5</f>
        <v>37.5</v>
      </c>
      <c r="M600" s="681">
        <v>9.5</v>
      </c>
      <c r="N600" s="706"/>
      <c r="O600" s="707"/>
      <c r="P600" s="750"/>
      <c r="Q600" s="696"/>
      <c r="R600" s="696"/>
      <c r="S600" s="696"/>
      <c r="T600" s="696"/>
      <c r="U600" s="696"/>
    </row>
    <row r="601" spans="1:24" s="305" customFormat="1">
      <c r="A601" s="2408" t="s">
        <v>3754</v>
      </c>
      <c r="B601" s="1286" t="s">
        <v>240</v>
      </c>
      <c r="C601" s="1280" t="s">
        <v>597</v>
      </c>
      <c r="D601" s="1281"/>
      <c r="E601" s="1851">
        <v>40</v>
      </c>
      <c r="F601" s="663" t="s">
        <v>218</v>
      </c>
      <c r="G601" s="293"/>
      <c r="H601" s="283"/>
      <c r="I601" s="665" t="s">
        <v>3757</v>
      </c>
      <c r="J601" s="666"/>
      <c r="K601" s="2410"/>
      <c r="L601" s="665">
        <v>70</v>
      </c>
      <c r="M601" s="663">
        <f t="shared" ref="M601:M606" si="32">L601-E601</f>
        <v>30</v>
      </c>
      <c r="N601" s="667">
        <v>6</v>
      </c>
      <c r="O601" s="1856" t="s">
        <v>3758</v>
      </c>
      <c r="P601" s="2403" t="s">
        <v>3772</v>
      </c>
      <c r="Q601" s="1856" t="s">
        <v>3759</v>
      </c>
      <c r="R601" s="297"/>
      <c r="S601" s="297"/>
      <c r="T601" s="297"/>
      <c r="U601" s="297"/>
      <c r="W601" s="688"/>
      <c r="X601" s="688"/>
    </row>
    <row r="602" spans="1:24" s="305" customFormat="1">
      <c r="A602" s="2408" t="s">
        <v>3754</v>
      </c>
      <c r="B602" s="1286" t="s">
        <v>240</v>
      </c>
      <c r="C602" s="1280" t="s">
        <v>597</v>
      </c>
      <c r="D602" s="1281"/>
      <c r="E602" s="1851">
        <v>50</v>
      </c>
      <c r="F602" s="663" t="s">
        <v>218</v>
      </c>
      <c r="G602" s="670" t="s">
        <v>3771</v>
      </c>
      <c r="H602" s="283"/>
      <c r="I602" s="665" t="s">
        <v>3757</v>
      </c>
      <c r="J602" s="666"/>
      <c r="K602" s="2410"/>
      <c r="L602" s="665">
        <v>106</v>
      </c>
      <c r="M602" s="663">
        <f t="shared" si="32"/>
        <v>56</v>
      </c>
      <c r="N602" s="667">
        <v>6</v>
      </c>
      <c r="O602" s="1856" t="s">
        <v>3758</v>
      </c>
      <c r="P602" s="2403" t="s">
        <v>3772</v>
      </c>
      <c r="Q602" s="1856" t="s">
        <v>3759</v>
      </c>
      <c r="R602" s="297"/>
      <c r="S602" s="297"/>
      <c r="T602" s="297"/>
      <c r="U602" s="297"/>
      <c r="W602" s="688"/>
      <c r="X602" s="688"/>
    </row>
    <row r="603" spans="1:24" s="305" customFormat="1">
      <c r="A603" s="2408" t="s">
        <v>3755</v>
      </c>
      <c r="B603" s="1286" t="s">
        <v>240</v>
      </c>
      <c r="C603" s="1280" t="s">
        <v>597</v>
      </c>
      <c r="D603" s="1281"/>
      <c r="E603" s="1851">
        <v>58</v>
      </c>
      <c r="F603" s="663" t="s">
        <v>218</v>
      </c>
      <c r="G603" s="1852"/>
      <c r="H603" s="283"/>
      <c r="I603" s="665" t="s">
        <v>3757</v>
      </c>
      <c r="J603" s="666"/>
      <c r="K603" s="2410"/>
      <c r="L603" s="665">
        <v>80</v>
      </c>
      <c r="M603" s="663">
        <f t="shared" si="32"/>
        <v>22</v>
      </c>
      <c r="N603" s="667">
        <v>6</v>
      </c>
      <c r="O603" s="1856" t="s">
        <v>3758</v>
      </c>
      <c r="P603" s="2403" t="s">
        <v>3772</v>
      </c>
      <c r="Q603" s="1856" t="s">
        <v>3759</v>
      </c>
      <c r="R603" s="297"/>
      <c r="S603" s="297"/>
      <c r="T603" s="297"/>
      <c r="U603" s="297"/>
      <c r="W603" s="2826" t="s">
        <v>2870</v>
      </c>
      <c r="X603" s="2826"/>
    </row>
    <row r="604" spans="1:24" s="305" customFormat="1">
      <c r="A604" s="2408" t="s">
        <v>3755</v>
      </c>
      <c r="B604" s="1286" t="s">
        <v>240</v>
      </c>
      <c r="C604" s="1280" t="s">
        <v>597</v>
      </c>
      <c r="D604" s="1281"/>
      <c r="E604" s="1851">
        <v>68</v>
      </c>
      <c r="F604" s="663" t="s">
        <v>218</v>
      </c>
      <c r="G604" s="670" t="s">
        <v>3771</v>
      </c>
      <c r="H604" s="283"/>
      <c r="I604" s="665" t="s">
        <v>3757</v>
      </c>
      <c r="J604" s="666"/>
      <c r="K604" s="2410"/>
      <c r="L604" s="665">
        <v>116</v>
      </c>
      <c r="M604" s="663">
        <f t="shared" si="32"/>
        <v>48</v>
      </c>
      <c r="N604" s="667">
        <v>6</v>
      </c>
      <c r="O604" s="1856" t="s">
        <v>3758</v>
      </c>
      <c r="P604" s="2403" t="s">
        <v>3772</v>
      </c>
      <c r="Q604" s="1856" t="s">
        <v>3759</v>
      </c>
      <c r="R604" s="297"/>
      <c r="S604" s="297"/>
      <c r="T604" s="297"/>
      <c r="U604" s="297"/>
      <c r="W604" s="2826"/>
      <c r="X604" s="2826"/>
    </row>
    <row r="605" spans="1:24" s="305" customFormat="1">
      <c r="A605" s="2409" t="s">
        <v>3756</v>
      </c>
      <c r="B605" s="1286" t="s">
        <v>240</v>
      </c>
      <c r="C605" s="1280" t="s">
        <v>597</v>
      </c>
      <c r="D605" s="1281"/>
      <c r="E605" s="1851">
        <v>84</v>
      </c>
      <c r="F605" s="663" t="s">
        <v>218</v>
      </c>
      <c r="G605" s="670" t="s">
        <v>3771</v>
      </c>
      <c r="H605" s="283"/>
      <c r="I605" s="665" t="s">
        <v>3757</v>
      </c>
      <c r="J605" s="666"/>
      <c r="K605" s="2410"/>
      <c r="L605" s="665">
        <v>148</v>
      </c>
      <c r="M605" s="663">
        <f t="shared" si="32"/>
        <v>64</v>
      </c>
      <c r="N605" s="667">
        <v>6</v>
      </c>
      <c r="O605" s="1856" t="s">
        <v>3758</v>
      </c>
      <c r="P605" s="2403" t="s">
        <v>3772</v>
      </c>
      <c r="Q605" s="1856" t="s">
        <v>3759</v>
      </c>
      <c r="R605" s="297"/>
      <c r="S605" s="297"/>
      <c r="T605" s="297"/>
      <c r="U605" s="297"/>
      <c r="W605" s="2826"/>
      <c r="X605" s="2826"/>
    </row>
    <row r="606" spans="1:24" s="305" customFormat="1">
      <c r="A606" s="2409" t="s">
        <v>3763</v>
      </c>
      <c r="B606" s="1286" t="s">
        <v>240</v>
      </c>
      <c r="C606" s="1280" t="s">
        <v>597</v>
      </c>
      <c r="D606" s="1281"/>
      <c r="E606" s="1851">
        <v>125</v>
      </c>
      <c r="F606" s="663" t="s">
        <v>3773</v>
      </c>
      <c r="G606" s="670" t="s">
        <v>3771</v>
      </c>
      <c r="H606" s="283"/>
      <c r="I606" s="665" t="s">
        <v>3757</v>
      </c>
      <c r="J606" s="666"/>
      <c r="K606" s="2410"/>
      <c r="L606" s="665">
        <v>230</v>
      </c>
      <c r="M606" s="663">
        <f t="shared" si="32"/>
        <v>105</v>
      </c>
      <c r="N606" s="667">
        <v>6</v>
      </c>
      <c r="O606" s="1856" t="s">
        <v>3758</v>
      </c>
      <c r="P606" s="2403" t="s">
        <v>3772</v>
      </c>
      <c r="Q606" s="1856" t="s">
        <v>3760</v>
      </c>
      <c r="R606" s="297"/>
      <c r="S606" s="297"/>
      <c r="T606" s="297"/>
      <c r="U606" s="297"/>
      <c r="W606" s="2826"/>
      <c r="X606" s="2826"/>
    </row>
    <row r="607" spans="1:24" s="305" customFormat="1">
      <c r="A607" s="2409" t="s">
        <v>2712</v>
      </c>
      <c r="B607" s="1286" t="s">
        <v>240</v>
      </c>
      <c r="C607" s="1280" t="s">
        <v>597</v>
      </c>
      <c r="D607" s="1281"/>
      <c r="E607" s="1300"/>
      <c r="F607" s="663" t="s">
        <v>2713</v>
      </c>
      <c r="G607" s="288" t="s">
        <v>135</v>
      </c>
      <c r="H607" s="283"/>
      <c r="I607" s="289"/>
      <c r="J607" s="292"/>
      <c r="K607" s="290"/>
      <c r="L607" s="289"/>
      <c r="M607" s="288"/>
      <c r="N607" s="634"/>
      <c r="O607" s="648"/>
      <c r="P607" s="302"/>
      <c r="Q607" s="297"/>
      <c r="R607" s="297"/>
      <c r="S607" s="297"/>
      <c r="T607" s="297"/>
      <c r="U607" s="297"/>
      <c r="W607" s="2826"/>
      <c r="X607" s="2826"/>
    </row>
    <row r="608" spans="1:24" s="305" customFormat="1">
      <c r="A608" s="2408" t="s">
        <v>3754</v>
      </c>
      <c r="B608" s="1286" t="s">
        <v>240</v>
      </c>
      <c r="C608" s="1280" t="s">
        <v>598</v>
      </c>
      <c r="D608" s="1281"/>
      <c r="E608" s="1851">
        <v>34.5</v>
      </c>
      <c r="F608" s="663" t="s">
        <v>218</v>
      </c>
      <c r="G608" s="663" t="s">
        <v>3764</v>
      </c>
      <c r="H608" s="283"/>
      <c r="I608" s="289"/>
      <c r="J608" s="292"/>
      <c r="K608" s="290"/>
      <c r="L608" s="665">
        <v>65</v>
      </c>
      <c r="M608" s="663">
        <f>L608-E608</f>
        <v>30.5</v>
      </c>
      <c r="N608" s="667">
        <v>6</v>
      </c>
      <c r="O608" s="1856" t="s">
        <v>3769</v>
      </c>
      <c r="P608" s="1856" t="s">
        <v>3770</v>
      </c>
      <c r="Q608" s="2403" t="s">
        <v>3765</v>
      </c>
      <c r="R608" s="297"/>
      <c r="S608" s="297"/>
      <c r="T608" s="297"/>
      <c r="U608" s="297" t="s">
        <v>2714</v>
      </c>
      <c r="W608" s="2826"/>
      <c r="X608" s="2826"/>
    </row>
    <row r="609" spans="1:24" s="305" customFormat="1">
      <c r="A609" s="2409" t="s">
        <v>3761</v>
      </c>
      <c r="B609" s="1286" t="s">
        <v>240</v>
      </c>
      <c r="C609" s="1280" t="s">
        <v>598</v>
      </c>
      <c r="D609" s="1281"/>
      <c r="E609" s="1851">
        <v>39.5</v>
      </c>
      <c r="F609" s="663" t="s">
        <v>218</v>
      </c>
      <c r="G609" s="663" t="s">
        <v>3764</v>
      </c>
      <c r="H609" s="283"/>
      <c r="I609" s="289"/>
      <c r="J609" s="292"/>
      <c r="K609" s="290"/>
      <c r="L609" s="665">
        <v>75</v>
      </c>
      <c r="M609" s="663">
        <f>L609-E609</f>
        <v>35.5</v>
      </c>
      <c r="N609" s="667">
        <v>6</v>
      </c>
      <c r="O609" s="1856" t="s">
        <v>3769</v>
      </c>
      <c r="P609" s="1856" t="s">
        <v>3770</v>
      </c>
      <c r="Q609" s="2403" t="s">
        <v>3765</v>
      </c>
      <c r="R609" s="297"/>
      <c r="S609" s="297"/>
      <c r="T609" s="297"/>
      <c r="U609" s="297" t="s">
        <v>2714</v>
      </c>
      <c r="W609" s="2826"/>
      <c r="X609" s="2826"/>
    </row>
    <row r="610" spans="1:24" s="305" customFormat="1">
      <c r="A610" s="2409" t="s">
        <v>3762</v>
      </c>
      <c r="B610" s="1286" t="s">
        <v>240</v>
      </c>
      <c r="C610" s="1280" t="s">
        <v>598</v>
      </c>
      <c r="D610" s="1281"/>
      <c r="E610" s="1851">
        <v>59.5</v>
      </c>
      <c r="F610" s="663" t="s">
        <v>3767</v>
      </c>
      <c r="G610" s="663" t="s">
        <v>3764</v>
      </c>
      <c r="H610" s="283"/>
      <c r="I610" s="289"/>
      <c r="J610" s="292"/>
      <c r="K610" s="290"/>
      <c r="L610" s="665">
        <v>115</v>
      </c>
      <c r="M610" s="663">
        <f>L610-E610</f>
        <v>55.5</v>
      </c>
      <c r="N610" s="667">
        <v>6</v>
      </c>
      <c r="O610" s="1856" t="s">
        <v>3769</v>
      </c>
      <c r="P610" s="1856" t="s">
        <v>3770</v>
      </c>
      <c r="Q610" s="2403" t="s">
        <v>3765</v>
      </c>
      <c r="R610" s="297"/>
      <c r="S610" s="297"/>
      <c r="T610" s="297"/>
      <c r="U610" s="297" t="s">
        <v>2714</v>
      </c>
      <c r="W610" s="2826"/>
      <c r="X610" s="2826"/>
    </row>
    <row r="611" spans="1:24" s="305" customFormat="1">
      <c r="A611" s="2409" t="s">
        <v>3763</v>
      </c>
      <c r="B611" s="1286" t="s">
        <v>240</v>
      </c>
      <c r="C611" s="1280" t="s">
        <v>598</v>
      </c>
      <c r="D611" s="1281"/>
      <c r="E611" s="1851">
        <v>94.5</v>
      </c>
      <c r="F611" s="663" t="s">
        <v>3768</v>
      </c>
      <c r="G611" s="663" t="s">
        <v>3764</v>
      </c>
      <c r="H611" s="283"/>
      <c r="I611" s="289"/>
      <c r="J611" s="292"/>
      <c r="K611" s="290"/>
      <c r="L611" s="665">
        <v>185</v>
      </c>
      <c r="M611" s="663">
        <f>L611-E611</f>
        <v>90.5</v>
      </c>
      <c r="N611" s="667">
        <v>6</v>
      </c>
      <c r="O611" s="1856" t="s">
        <v>3769</v>
      </c>
      <c r="P611" s="1856" t="s">
        <v>3770</v>
      </c>
      <c r="Q611" s="2403" t="s">
        <v>3766</v>
      </c>
      <c r="R611" s="297"/>
      <c r="S611" s="297"/>
      <c r="T611" s="297"/>
      <c r="U611" s="297"/>
      <c r="W611" s="2826"/>
      <c r="X611" s="2826"/>
    </row>
    <row r="612" spans="1:24" s="305" customFormat="1">
      <c r="A612" s="2409" t="s">
        <v>2712</v>
      </c>
      <c r="B612" s="1286" t="s">
        <v>240</v>
      </c>
      <c r="C612" s="1280" t="s">
        <v>598</v>
      </c>
      <c r="D612" s="1281"/>
      <c r="E612" s="1300"/>
      <c r="F612" s="663" t="s">
        <v>2713</v>
      </c>
      <c r="G612" s="288" t="s">
        <v>135</v>
      </c>
      <c r="H612" s="283"/>
      <c r="I612" s="289"/>
      <c r="J612" s="292"/>
      <c r="K612" s="290"/>
      <c r="L612" s="289"/>
      <c r="M612" s="288"/>
      <c r="N612" s="634"/>
      <c r="O612" s="648"/>
      <c r="P612" s="302"/>
      <c r="Q612" s="297"/>
      <c r="R612" s="297"/>
      <c r="S612" s="297"/>
      <c r="T612" s="297"/>
      <c r="U612" s="297" t="s">
        <v>2714</v>
      </c>
      <c r="W612" s="2826"/>
      <c r="X612" s="2826"/>
    </row>
    <row r="613" spans="1:24" s="791" customFormat="1">
      <c r="A613" s="1241" t="s">
        <v>2322</v>
      </c>
      <c r="B613" s="1275" t="s">
        <v>240</v>
      </c>
      <c r="C613" s="1276" t="s">
        <v>0</v>
      </c>
      <c r="D613" s="1277"/>
      <c r="E613" s="1278">
        <v>23</v>
      </c>
      <c r="F613" s="785" t="s">
        <v>218</v>
      </c>
      <c r="G613" s="785" t="s">
        <v>135</v>
      </c>
      <c r="H613" s="786"/>
      <c r="I613" s="787"/>
      <c r="J613" s="788"/>
      <c r="K613" s="794"/>
      <c r="L613" s="787">
        <v>46</v>
      </c>
      <c r="M613" s="785">
        <f>L613-E613</f>
        <v>23</v>
      </c>
      <c r="N613" s="797">
        <v>4</v>
      </c>
      <c r="O613" s="793"/>
      <c r="P613" s="808"/>
      <c r="Q613" s="798"/>
      <c r="R613" s="798"/>
      <c r="S613" s="798"/>
      <c r="T613" s="798"/>
      <c r="U613" s="798"/>
    </row>
    <row r="614" spans="1:24" s="791" customFormat="1">
      <c r="A614" s="1242" t="s">
        <v>2323</v>
      </c>
      <c r="B614" s="1275" t="s">
        <v>240</v>
      </c>
      <c r="C614" s="1276" t="s">
        <v>0</v>
      </c>
      <c r="D614" s="1277"/>
      <c r="E614" s="1278">
        <v>37</v>
      </c>
      <c r="F614" s="785" t="s">
        <v>218</v>
      </c>
      <c r="G614" s="785"/>
      <c r="H614" s="786"/>
      <c r="I614" s="787"/>
      <c r="J614" s="788"/>
      <c r="K614" s="794"/>
      <c r="L614" s="787">
        <v>61</v>
      </c>
      <c r="M614" s="785">
        <f>L614-E614</f>
        <v>24</v>
      </c>
      <c r="N614" s="797">
        <v>4</v>
      </c>
      <c r="O614" s="793"/>
      <c r="P614" s="808"/>
      <c r="Q614" s="798"/>
      <c r="R614" s="798"/>
      <c r="S614" s="798"/>
      <c r="T614" s="798"/>
      <c r="U614" s="798"/>
    </row>
    <row r="615" spans="1:24" s="688" customFormat="1">
      <c r="A615" s="2477" t="s">
        <v>4288</v>
      </c>
      <c r="B615" s="1876" t="s">
        <v>240</v>
      </c>
      <c r="C615" s="1880" t="s">
        <v>167</v>
      </c>
      <c r="D615" s="1274"/>
      <c r="E615" s="1877">
        <v>29</v>
      </c>
      <c r="F615" s="681"/>
      <c r="G615" s="681"/>
      <c r="H615" s="683"/>
      <c r="I615" s="689"/>
      <c r="J615" s="685"/>
      <c r="K615" s="697"/>
      <c r="L615" s="373">
        <v>48</v>
      </c>
      <c r="M615" s="275">
        <f>L615-E615</f>
        <v>19</v>
      </c>
      <c r="N615" s="632">
        <v>4</v>
      </c>
      <c r="O615" s="646" t="s">
        <v>3880</v>
      </c>
      <c r="P615" s="750"/>
      <c r="Q615" s="696"/>
      <c r="R615" s="696"/>
      <c r="S615" s="696"/>
      <c r="T615" s="696"/>
      <c r="U615" s="696"/>
    </row>
    <row r="616" spans="1:24" s="688" customFormat="1">
      <c r="A616" s="2476" t="s">
        <v>4287</v>
      </c>
      <c r="B616" s="1876" t="s">
        <v>240</v>
      </c>
      <c r="C616" s="1880" t="s">
        <v>167</v>
      </c>
      <c r="D616" s="1274"/>
      <c r="E616" s="1877">
        <v>41</v>
      </c>
      <c r="F616" s="681"/>
      <c r="G616" s="681"/>
      <c r="H616" s="683"/>
      <c r="I616" s="689"/>
      <c r="J616" s="685"/>
      <c r="K616" s="697"/>
      <c r="L616" s="373">
        <v>62</v>
      </c>
      <c r="M616" s="275">
        <f>L616-E616</f>
        <v>21</v>
      </c>
      <c r="N616" s="632">
        <v>4</v>
      </c>
      <c r="O616" s="646" t="s">
        <v>3880</v>
      </c>
      <c r="P616" s="750"/>
      <c r="Q616" s="696"/>
      <c r="R616" s="696"/>
      <c r="S616" s="696"/>
      <c r="T616" s="696"/>
      <c r="U616" s="696"/>
    </row>
    <row r="617" spans="1:24" s="305" customFormat="1">
      <c r="A617" s="2471" t="s">
        <v>1576</v>
      </c>
      <c r="B617" s="1286" t="s">
        <v>240</v>
      </c>
      <c r="C617" s="1280" t="s">
        <v>45</v>
      </c>
      <c r="D617" s="1281"/>
      <c r="E617" s="1851">
        <v>47.5</v>
      </c>
      <c r="F617" s="663" t="s">
        <v>1733</v>
      </c>
      <c r="G617" s="288"/>
      <c r="H617" s="283"/>
      <c r="I617" s="289"/>
      <c r="J617" s="292"/>
      <c r="K617" s="290"/>
      <c r="L617" s="665">
        <v>85</v>
      </c>
      <c r="M617" s="663">
        <f t="shared" ref="M617:M627" si="33">L617-E617</f>
        <v>37.5</v>
      </c>
      <c r="N617" s="667"/>
      <c r="O617" s="1856" t="s">
        <v>3880</v>
      </c>
      <c r="P617" s="2403" t="s">
        <v>4202</v>
      </c>
      <c r="Q617" s="2403" t="s">
        <v>3817</v>
      </c>
      <c r="R617" s="297"/>
      <c r="S617" s="297"/>
      <c r="T617" s="297"/>
      <c r="U617" s="297"/>
      <c r="V617" s="297"/>
    </row>
    <row r="618" spans="1:24" s="305" customFormat="1">
      <c r="A618" s="2471" t="s">
        <v>4199</v>
      </c>
      <c r="B618" s="1286" t="s">
        <v>240</v>
      </c>
      <c r="C618" s="1280" t="s">
        <v>45</v>
      </c>
      <c r="D618" s="1281"/>
      <c r="E618" s="1851">
        <v>27.5</v>
      </c>
      <c r="F618" s="663" t="s">
        <v>1733</v>
      </c>
      <c r="G618" s="288"/>
      <c r="H618" s="283"/>
      <c r="I618" s="289"/>
      <c r="J618" s="292"/>
      <c r="K618" s="290"/>
      <c r="L618" s="665">
        <v>50</v>
      </c>
      <c r="M618" s="663">
        <f t="shared" si="33"/>
        <v>22.5</v>
      </c>
      <c r="N618" s="667"/>
      <c r="O618" s="1856" t="s">
        <v>3880</v>
      </c>
      <c r="P618" s="2403" t="s">
        <v>4202</v>
      </c>
      <c r="Q618" s="2403" t="s">
        <v>3817</v>
      </c>
      <c r="R618" s="297"/>
      <c r="S618" s="297"/>
      <c r="T618" s="297"/>
      <c r="U618" s="297"/>
      <c r="V618" s="297"/>
    </row>
    <row r="619" spans="1:24" s="688" customFormat="1">
      <c r="A619" s="2471" t="s">
        <v>4200</v>
      </c>
      <c r="B619" s="1286" t="s">
        <v>240</v>
      </c>
      <c r="C619" s="1280" t="s">
        <v>45</v>
      </c>
      <c r="D619" s="1281"/>
      <c r="E619" s="1851">
        <v>47.5</v>
      </c>
      <c r="F619" s="663" t="s">
        <v>1733</v>
      </c>
      <c r="G619" s="288"/>
      <c r="H619" s="283"/>
      <c r="I619" s="289"/>
      <c r="J619" s="292"/>
      <c r="K619" s="290"/>
      <c r="L619" s="665">
        <v>85</v>
      </c>
      <c r="M619" s="663">
        <f t="shared" si="33"/>
        <v>37.5</v>
      </c>
      <c r="N619" s="667"/>
      <c r="O619" s="1856" t="s">
        <v>3880</v>
      </c>
      <c r="P619" s="2403" t="s">
        <v>4202</v>
      </c>
      <c r="Q619" s="2403" t="s">
        <v>3817</v>
      </c>
      <c r="R619" s="696"/>
      <c r="S619" s="696"/>
      <c r="T619" s="696"/>
      <c r="U619" s="696"/>
      <c r="V619" s="297"/>
    </row>
    <row r="620" spans="1:24" s="688" customFormat="1">
      <c r="A620" s="2471" t="s">
        <v>4201</v>
      </c>
      <c r="B620" s="1286" t="s">
        <v>240</v>
      </c>
      <c r="C620" s="1280" t="s">
        <v>45</v>
      </c>
      <c r="D620" s="1281"/>
      <c r="E620" s="1851">
        <v>27.5</v>
      </c>
      <c r="F620" s="663" t="s">
        <v>1733</v>
      </c>
      <c r="G620" s="288"/>
      <c r="H620" s="283"/>
      <c r="I620" s="289"/>
      <c r="J620" s="292"/>
      <c r="K620" s="290"/>
      <c r="L620" s="665">
        <v>50</v>
      </c>
      <c r="M620" s="663">
        <f t="shared" si="33"/>
        <v>22.5</v>
      </c>
      <c r="N620" s="667"/>
      <c r="O620" s="1856" t="s">
        <v>3880</v>
      </c>
      <c r="P620" s="2403" t="s">
        <v>4202</v>
      </c>
      <c r="Q620" s="2403" t="s">
        <v>3817</v>
      </c>
      <c r="R620" s="696"/>
      <c r="S620" s="696"/>
      <c r="T620" s="696"/>
      <c r="U620" s="696"/>
      <c r="V620" s="297"/>
    </row>
    <row r="621" spans="1:24" s="305" customFormat="1">
      <c r="A621" s="2471" t="s">
        <v>4624</v>
      </c>
      <c r="B621" s="1286" t="s">
        <v>240</v>
      </c>
      <c r="C621" s="1280" t="s">
        <v>217</v>
      </c>
      <c r="D621" s="1312"/>
      <c r="E621" s="1851">
        <v>27</v>
      </c>
      <c r="F621" s="288"/>
      <c r="G621" s="663" t="s">
        <v>4629</v>
      </c>
      <c r="H621" s="283"/>
      <c r="I621" s="289"/>
      <c r="J621" s="292"/>
      <c r="K621" s="290"/>
      <c r="L621" s="665">
        <v>39</v>
      </c>
      <c r="M621" s="663">
        <f t="shared" si="33"/>
        <v>12</v>
      </c>
      <c r="N621" s="2403" t="s">
        <v>4627</v>
      </c>
      <c r="O621" s="1856" t="s">
        <v>3880</v>
      </c>
      <c r="P621" s="2403" t="s">
        <v>4628</v>
      </c>
      <c r="Q621" s="2403" t="s">
        <v>3786</v>
      </c>
      <c r="R621" s="297"/>
      <c r="S621" s="297"/>
      <c r="T621" s="297"/>
      <c r="U621" s="297"/>
    </row>
    <row r="622" spans="1:24" s="305" customFormat="1">
      <c r="A622" s="2508" t="s">
        <v>4623</v>
      </c>
      <c r="B622" s="1286" t="s">
        <v>240</v>
      </c>
      <c r="C622" s="1280" t="s">
        <v>217</v>
      </c>
      <c r="D622" s="1312"/>
      <c r="E622" s="1851">
        <v>49</v>
      </c>
      <c r="F622" s="288"/>
      <c r="G622" s="663" t="s">
        <v>4629</v>
      </c>
      <c r="H622" s="283"/>
      <c r="I622" s="289"/>
      <c r="J622" s="292"/>
      <c r="K622" s="290"/>
      <c r="L622" s="665">
        <v>59</v>
      </c>
      <c r="M622" s="663">
        <f t="shared" si="33"/>
        <v>10</v>
      </c>
      <c r="N622" s="2403" t="s">
        <v>4627</v>
      </c>
      <c r="O622" s="1856" t="s">
        <v>3880</v>
      </c>
      <c r="P622" s="2403" t="s">
        <v>4628</v>
      </c>
      <c r="Q622" s="2403" t="s">
        <v>3786</v>
      </c>
      <c r="R622" s="297"/>
      <c r="S622" s="297"/>
      <c r="T622" s="297"/>
      <c r="U622" s="297"/>
    </row>
    <row r="623" spans="1:24" s="305" customFormat="1">
      <c r="A623" s="2508" t="s">
        <v>4625</v>
      </c>
      <c r="B623" s="1286" t="s">
        <v>240</v>
      </c>
      <c r="C623" s="1280" t="s">
        <v>217</v>
      </c>
      <c r="D623" s="1312"/>
      <c r="E623" s="1851">
        <v>47</v>
      </c>
      <c r="F623" s="1855" t="s">
        <v>4630</v>
      </c>
      <c r="G623" s="1852">
        <v>14</v>
      </c>
      <c r="H623" s="276" t="s">
        <v>4642</v>
      </c>
      <c r="I623" s="289"/>
      <c r="J623" s="292"/>
      <c r="K623" s="290"/>
      <c r="L623" s="665">
        <v>57</v>
      </c>
      <c r="M623" s="663">
        <f t="shared" si="33"/>
        <v>10</v>
      </c>
      <c r="N623" s="2403" t="s">
        <v>4627</v>
      </c>
      <c r="O623" s="1856" t="s">
        <v>3880</v>
      </c>
      <c r="P623" s="2403" t="s">
        <v>4628</v>
      </c>
      <c r="Q623" s="2403" t="s">
        <v>3786</v>
      </c>
      <c r="R623" s="297"/>
      <c r="S623" s="302" t="s">
        <v>4626</v>
      </c>
      <c r="T623" s="297"/>
      <c r="U623" s="297"/>
    </row>
    <row r="624" spans="1:24" s="305" customFormat="1">
      <c r="A624" s="1425" t="s">
        <v>3060</v>
      </c>
      <c r="B624" s="1314" t="s">
        <v>241</v>
      </c>
      <c r="C624" s="1586" t="s">
        <v>3059</v>
      </c>
      <c r="D624" s="1314"/>
      <c r="E624" s="1587">
        <v>50.6</v>
      </c>
      <c r="F624" s="288"/>
      <c r="G624" s="1320"/>
      <c r="H624" s="283"/>
      <c r="I624" s="1581"/>
      <c r="J624" s="292"/>
      <c r="K624" s="290"/>
      <c r="L624" s="1591">
        <v>80.599999999999994</v>
      </c>
      <c r="M624" s="288">
        <f t="shared" si="33"/>
        <v>29.999999999999993</v>
      </c>
      <c r="N624" s="634">
        <v>3</v>
      </c>
      <c r="O624" s="302"/>
      <c r="P624" s="302"/>
      <c r="Q624" s="297"/>
      <c r="R624" s="297"/>
      <c r="S624" s="302"/>
      <c r="T624" s="297"/>
      <c r="U624" s="297"/>
    </row>
    <row r="625" spans="1:24" s="305" customFormat="1">
      <c r="A625" s="1425" t="s">
        <v>3062</v>
      </c>
      <c r="B625" s="1314" t="s">
        <v>241</v>
      </c>
      <c r="C625" s="1586" t="s">
        <v>3104</v>
      </c>
      <c r="D625" s="1314"/>
      <c r="E625" s="1587">
        <v>63.6</v>
      </c>
      <c r="F625" s="288" t="s">
        <v>3102</v>
      </c>
      <c r="G625" s="1320"/>
      <c r="H625" s="283"/>
      <c r="I625" s="1581"/>
      <c r="J625" s="292"/>
      <c r="K625" s="290"/>
      <c r="L625" s="1591">
        <v>100.6</v>
      </c>
      <c r="M625" s="288">
        <f t="shared" si="33"/>
        <v>36.999999999999993</v>
      </c>
      <c r="N625" s="634">
        <v>3</v>
      </c>
      <c r="O625" s="302"/>
      <c r="P625" s="302"/>
      <c r="Q625" s="297"/>
      <c r="R625" s="297"/>
      <c r="S625" s="302"/>
      <c r="T625" s="297"/>
      <c r="U625" s="297"/>
    </row>
    <row r="626" spans="1:24" s="305" customFormat="1">
      <c r="A626" s="1425" t="s">
        <v>3063</v>
      </c>
      <c r="B626" s="1314" t="s">
        <v>241</v>
      </c>
      <c r="C626" s="1586" t="s">
        <v>3104</v>
      </c>
      <c r="D626" s="1314"/>
      <c r="E626" s="1587">
        <v>53.6</v>
      </c>
      <c r="F626" s="288" t="s">
        <v>3102</v>
      </c>
      <c r="G626" s="1320"/>
      <c r="H626" s="283"/>
      <c r="I626" s="1581"/>
      <c r="J626" s="292"/>
      <c r="K626" s="290"/>
      <c r="L626" s="1591">
        <v>82.6</v>
      </c>
      <c r="M626" s="288">
        <f t="shared" si="33"/>
        <v>28.999999999999993</v>
      </c>
      <c r="N626" s="634">
        <v>3</v>
      </c>
      <c r="O626" s="302"/>
      <c r="P626" s="302"/>
      <c r="Q626" s="297"/>
      <c r="R626" s="297"/>
      <c r="S626" s="302"/>
      <c r="T626" s="297"/>
      <c r="U626" s="297"/>
    </row>
    <row r="627" spans="1:24" s="305" customFormat="1">
      <c r="A627" s="1425" t="s">
        <v>3062</v>
      </c>
      <c r="B627" s="1314" t="s">
        <v>241</v>
      </c>
      <c r="C627" s="1586" t="s">
        <v>3105</v>
      </c>
      <c r="D627" s="1314"/>
      <c r="E627" s="1587">
        <v>74.099999999999994</v>
      </c>
      <c r="F627" s="288" t="s">
        <v>3103</v>
      </c>
      <c r="G627" s="288" t="s">
        <v>105</v>
      </c>
      <c r="H627" s="283"/>
      <c r="I627" s="648" t="s">
        <v>1730</v>
      </c>
      <c r="J627" s="292"/>
      <c r="K627" s="290"/>
      <c r="L627" s="1591">
        <v>125.6</v>
      </c>
      <c r="M627" s="288">
        <f t="shared" si="33"/>
        <v>51.5</v>
      </c>
      <c r="N627" s="634">
        <v>3</v>
      </c>
      <c r="O627" s="297" t="s">
        <v>2940</v>
      </c>
      <c r="P627" s="297"/>
      <c r="Q627" s="297"/>
      <c r="R627" s="297"/>
      <c r="S627" s="297"/>
      <c r="T627" s="297"/>
      <c r="U627" s="297"/>
    </row>
    <row r="628" spans="1:24" s="305" customFormat="1">
      <c r="A628" s="1425" t="s">
        <v>3063</v>
      </c>
      <c r="B628" s="1314" t="s">
        <v>241</v>
      </c>
      <c r="C628" s="1586" t="s">
        <v>3105</v>
      </c>
      <c r="D628" s="1314"/>
      <c r="E628" s="1587">
        <v>62.1</v>
      </c>
      <c r="F628" s="288" t="s">
        <v>3103</v>
      </c>
      <c r="G628" s="288" t="s">
        <v>105</v>
      </c>
      <c r="H628" s="283"/>
      <c r="I628" s="648" t="s">
        <v>1731</v>
      </c>
      <c r="J628" s="292"/>
      <c r="K628" s="290"/>
      <c r="L628" s="1591">
        <v>103.6</v>
      </c>
      <c r="M628" s="288">
        <f>L628-E628</f>
        <v>41.499999999999993</v>
      </c>
      <c r="N628" s="634">
        <v>3</v>
      </c>
      <c r="O628" s="297" t="s">
        <v>2940</v>
      </c>
      <c r="P628" s="297"/>
      <c r="Q628" s="297"/>
      <c r="R628" s="297"/>
      <c r="S628" s="297"/>
      <c r="T628" s="297"/>
      <c r="U628" s="297"/>
    </row>
    <row r="629" spans="1:24" s="305" customFormat="1">
      <c r="A629" s="1582" t="s">
        <v>3065</v>
      </c>
      <c r="B629" s="1314" t="s">
        <v>241</v>
      </c>
      <c r="C629" s="1586" t="s">
        <v>3059</v>
      </c>
      <c r="D629" s="1314"/>
      <c r="E629" s="1588" t="s">
        <v>696</v>
      </c>
      <c r="F629" s="288" t="s">
        <v>218</v>
      </c>
      <c r="G629" s="288" t="s">
        <v>105</v>
      </c>
      <c r="H629" s="283"/>
      <c r="I629" s="292"/>
      <c r="J629" s="292"/>
      <c r="K629" s="290"/>
      <c r="L629" s="1592" t="s">
        <v>696</v>
      </c>
      <c r="M629" s="288"/>
      <c r="N629" s="634">
        <v>3</v>
      </c>
      <c r="O629" s="297" t="s">
        <v>2940</v>
      </c>
      <c r="P629" s="297"/>
      <c r="Q629" s="297"/>
      <c r="R629" s="297"/>
      <c r="S629" s="297"/>
      <c r="T629" s="297"/>
      <c r="U629" s="297"/>
    </row>
    <row r="630" spans="1:24" s="305" customFormat="1">
      <c r="A630" s="1424" t="s">
        <v>3161</v>
      </c>
      <c r="B630" s="1314" t="s">
        <v>241</v>
      </c>
      <c r="C630" s="1314" t="s">
        <v>1727</v>
      </c>
      <c r="D630" s="1314"/>
      <c r="E630" s="1300">
        <v>28.6</v>
      </c>
      <c r="F630" s="1635" t="s">
        <v>218</v>
      </c>
      <c r="G630" s="288"/>
      <c r="H630" s="283"/>
      <c r="I630" s="289"/>
      <c r="J630" s="292"/>
      <c r="K630" s="290"/>
      <c r="L630" s="1321">
        <v>38.6</v>
      </c>
      <c r="M630" s="288">
        <f>L630-E630</f>
        <v>10</v>
      </c>
      <c r="N630" s="634">
        <v>3</v>
      </c>
      <c r="O630" s="648"/>
      <c r="P630" s="297"/>
      <c r="Q630" s="297"/>
      <c r="R630" s="297"/>
      <c r="S630" s="297"/>
      <c r="T630" s="297"/>
      <c r="U630" s="297"/>
    </row>
    <row r="631" spans="1:24" s="305" customFormat="1">
      <c r="A631" s="1425" t="s">
        <v>3068</v>
      </c>
      <c r="B631" s="1314" t="s">
        <v>241</v>
      </c>
      <c r="C631" s="1314" t="s">
        <v>1727</v>
      </c>
      <c r="D631" s="1314"/>
      <c r="E631" s="1300">
        <v>31.6</v>
      </c>
      <c r="F631" s="1635" t="s">
        <v>218</v>
      </c>
      <c r="G631" s="288"/>
      <c r="H631" s="283"/>
      <c r="I631" s="289"/>
      <c r="J631" s="292"/>
      <c r="K631" s="290"/>
      <c r="L631" s="1321">
        <v>41.6</v>
      </c>
      <c r="M631" s="288">
        <f>L631-E631</f>
        <v>10</v>
      </c>
      <c r="N631" s="634">
        <v>3</v>
      </c>
      <c r="O631" s="648"/>
      <c r="P631" s="297"/>
      <c r="Q631" s="297"/>
      <c r="R631" s="297"/>
      <c r="S631" s="297"/>
      <c r="T631" s="297"/>
      <c r="U631" s="297"/>
    </row>
    <row r="632" spans="1:24" s="688" customFormat="1">
      <c r="A632" s="693" t="s">
        <v>1711</v>
      </c>
      <c r="B632" s="1272" t="s">
        <v>241</v>
      </c>
      <c r="C632" s="1272" t="s">
        <v>1732</v>
      </c>
      <c r="D632" s="1272"/>
      <c r="E632" s="1255">
        <v>89.5</v>
      </c>
      <c r="F632" s="681"/>
      <c r="G632" s="681"/>
      <c r="H632" s="683"/>
      <c r="I632" s="689"/>
      <c r="J632" s="685"/>
      <c r="K632" s="697"/>
      <c r="L632" s="714">
        <v>134</v>
      </c>
      <c r="M632" s="681"/>
      <c r="N632" s="706">
        <v>5</v>
      </c>
      <c r="O632" s="707"/>
      <c r="P632" s="696"/>
      <c r="Q632" s="696"/>
      <c r="R632" s="696"/>
      <c r="S632" s="696"/>
      <c r="T632" s="696"/>
      <c r="U632" s="696"/>
    </row>
    <row r="633" spans="1:24" s="688" customFormat="1">
      <c r="A633" s="693" t="s">
        <v>1712</v>
      </c>
      <c r="B633" s="1272" t="s">
        <v>241</v>
      </c>
      <c r="C633" s="1272" t="s">
        <v>1732</v>
      </c>
      <c r="D633" s="1272"/>
      <c r="E633" s="1255">
        <v>106</v>
      </c>
      <c r="F633" s="681"/>
      <c r="G633" s="681"/>
      <c r="H633" s="683"/>
      <c r="I633" s="689"/>
      <c r="J633" s="685"/>
      <c r="K633" s="697"/>
      <c r="L633" s="714">
        <v>157</v>
      </c>
      <c r="M633" s="681"/>
      <c r="N633" s="706">
        <v>5</v>
      </c>
      <c r="O633" s="707"/>
      <c r="P633" s="696"/>
      <c r="Q633" s="696"/>
      <c r="R633" s="696"/>
      <c r="S633" s="696"/>
      <c r="T633" s="696"/>
      <c r="U633" s="696"/>
      <c r="V633" s="696"/>
      <c r="W633" s="696"/>
      <c r="X633" s="696"/>
    </row>
    <row r="634" spans="1:24" s="305" customFormat="1" ht="15" customHeight="1">
      <c r="A634" s="1424" t="s">
        <v>3168</v>
      </c>
      <c r="B634" s="1314" t="s">
        <v>241</v>
      </c>
      <c r="C634" s="1314" t="s">
        <v>2371</v>
      </c>
      <c r="D634" s="1314"/>
      <c r="E634" s="1588">
        <v>94</v>
      </c>
      <c r="F634" s="288"/>
      <c r="G634" s="288"/>
      <c r="H634" s="283"/>
      <c r="I634" s="289"/>
      <c r="J634" s="292"/>
      <c r="K634" s="290"/>
      <c r="L634" s="1592">
        <v>104</v>
      </c>
      <c r="M634" s="288">
        <f>L634-E634</f>
        <v>10</v>
      </c>
      <c r="N634" s="634">
        <v>3</v>
      </c>
      <c r="O634" s="648"/>
      <c r="P634" s="297"/>
      <c r="Q634" s="1595"/>
      <c r="R634" s="1638"/>
      <c r="S634" s="1596"/>
      <c r="T634" s="1596"/>
      <c r="U634" s="1596"/>
      <c r="V634" s="1596"/>
      <c r="W634" s="1638"/>
      <c r="X634" s="297"/>
    </row>
    <row r="635" spans="1:24" s="305" customFormat="1">
      <c r="A635" s="1425" t="s">
        <v>3169</v>
      </c>
      <c r="B635" s="1314" t="s">
        <v>241</v>
      </c>
      <c r="C635" s="1314" t="s">
        <v>2371</v>
      </c>
      <c r="D635" s="1314"/>
      <c r="E635" s="1588">
        <v>75</v>
      </c>
      <c r="F635" s="288"/>
      <c r="G635" s="288"/>
      <c r="H635" s="283"/>
      <c r="I635" s="289"/>
      <c r="J635" s="292"/>
      <c r="K635" s="290"/>
      <c r="L635" s="1592">
        <v>85</v>
      </c>
      <c r="M635" s="288">
        <f>L635-E635</f>
        <v>10</v>
      </c>
      <c r="N635" s="634">
        <v>3</v>
      </c>
      <c r="O635" s="648"/>
      <c r="P635" s="297"/>
      <c r="Q635" s="1595"/>
      <c r="R635" s="1595"/>
      <c r="S635" s="1596"/>
      <c r="T635" s="1596"/>
      <c r="U635" s="1596"/>
      <c r="V635" s="1596"/>
      <c r="W635" s="1638"/>
      <c r="X635" s="297"/>
    </row>
    <row r="636" spans="1:24" s="305" customFormat="1">
      <c r="A636" s="1425" t="s">
        <v>3170</v>
      </c>
      <c r="B636" s="1314" t="s">
        <v>241</v>
      </c>
      <c r="C636" s="1314" t="s">
        <v>2371</v>
      </c>
      <c r="D636" s="1314"/>
      <c r="E636" s="1588">
        <v>94</v>
      </c>
      <c r="F636" s="288"/>
      <c r="G636" s="288"/>
      <c r="H636" s="283"/>
      <c r="I636" s="289"/>
      <c r="J636" s="292"/>
      <c r="K636" s="290"/>
      <c r="L636" s="1592">
        <v>104</v>
      </c>
      <c r="M636" s="288"/>
      <c r="N636" s="634"/>
      <c r="O636" s="648"/>
      <c r="P636" s="297"/>
      <c r="Q636" s="1595"/>
      <c r="R636" s="1595"/>
      <c r="S636" s="1596"/>
      <c r="T636" s="1596"/>
      <c r="U636" s="1596"/>
      <c r="V636" s="1596"/>
      <c r="W636" s="1638"/>
      <c r="X636" s="297"/>
    </row>
    <row r="637" spans="1:24" s="305" customFormat="1">
      <c r="A637" s="1425" t="s">
        <v>3171</v>
      </c>
      <c r="B637" s="1314" t="s">
        <v>241</v>
      </c>
      <c r="C637" s="1314" t="s">
        <v>2371</v>
      </c>
      <c r="D637" s="1314"/>
      <c r="E637" s="1588">
        <v>75</v>
      </c>
      <c r="F637" s="288"/>
      <c r="G637" s="288"/>
      <c r="H637" s="283"/>
      <c r="I637" s="289"/>
      <c r="J637" s="292"/>
      <c r="K637" s="290"/>
      <c r="L637" s="1592">
        <v>85</v>
      </c>
      <c r="M637" s="288">
        <f>L637-E637</f>
        <v>10</v>
      </c>
      <c r="N637" s="634">
        <v>3</v>
      </c>
      <c r="O637" s="648"/>
      <c r="P637" s="297"/>
      <c r="Q637" s="1595"/>
      <c r="R637" s="1595"/>
      <c r="S637" s="1596"/>
      <c r="T637" s="1596"/>
      <c r="U637" s="1596"/>
      <c r="V637" s="1596"/>
      <c r="W637" s="1595"/>
      <c r="X637" s="297"/>
    </row>
    <row r="638" spans="1:24" s="305" customFormat="1">
      <c r="A638" s="1418" t="s">
        <v>3101</v>
      </c>
      <c r="B638" s="1314" t="s">
        <v>241</v>
      </c>
      <c r="C638" s="1314" t="s">
        <v>3099</v>
      </c>
      <c r="D638" s="1314"/>
      <c r="E638" s="1300">
        <v>30</v>
      </c>
      <c r="F638" s="288"/>
      <c r="G638" s="288"/>
      <c r="H638" s="283"/>
      <c r="I638" s="289"/>
      <c r="J638" s="292"/>
      <c r="K638" s="290"/>
      <c r="L638" s="1321">
        <v>43</v>
      </c>
      <c r="M638" s="288">
        <f>L638-E638</f>
        <v>13</v>
      </c>
      <c r="N638" s="634"/>
      <c r="O638" s="648"/>
      <c r="P638" s="297"/>
      <c r="Q638" s="1595"/>
      <c r="R638" s="1595"/>
      <c r="S638" s="1596"/>
      <c r="T638" s="1596"/>
      <c r="U638" s="1596"/>
      <c r="V638" s="1596"/>
      <c r="W638" s="1595"/>
      <c r="X638" s="297"/>
    </row>
    <row r="639" spans="1:24" s="305" customFormat="1">
      <c r="A639" s="1420" t="s">
        <v>3100</v>
      </c>
      <c r="B639" s="1314" t="s">
        <v>241</v>
      </c>
      <c r="C639" s="1314" t="s">
        <v>3099</v>
      </c>
      <c r="D639" s="1314"/>
      <c r="E639" s="1300">
        <v>35</v>
      </c>
      <c r="F639" s="288"/>
      <c r="G639" s="288"/>
      <c r="H639" s="283"/>
      <c r="I639" s="289"/>
      <c r="J639" s="292"/>
      <c r="K639" s="290"/>
      <c r="L639" s="1321">
        <v>45</v>
      </c>
      <c r="M639" s="288">
        <f>L639-E639</f>
        <v>10</v>
      </c>
      <c r="N639" s="634"/>
      <c r="O639" s="648"/>
      <c r="P639" s="297"/>
      <c r="Q639" s="1595"/>
      <c r="R639" s="1595"/>
      <c r="S639" s="1596"/>
      <c r="T639" s="1596"/>
      <c r="U639" s="1596"/>
      <c r="V639" s="1596"/>
      <c r="W639" s="1595"/>
      <c r="X639" s="297"/>
    </row>
    <row r="640" spans="1:24" s="688" customFormat="1">
      <c r="A640" s="693" t="s">
        <v>1709</v>
      </c>
      <c r="B640" s="1272" t="s">
        <v>241</v>
      </c>
      <c r="C640" s="1272" t="s">
        <v>1729</v>
      </c>
      <c r="D640" s="1272"/>
      <c r="E640" s="1255">
        <v>36</v>
      </c>
      <c r="F640" s="681"/>
      <c r="G640" s="681"/>
      <c r="H640" s="683"/>
      <c r="I640" s="689"/>
      <c r="J640" s="685"/>
      <c r="K640" s="697"/>
      <c r="L640" s="714">
        <v>48</v>
      </c>
      <c r="M640" s="681"/>
      <c r="N640" s="706">
        <v>3</v>
      </c>
      <c r="O640" s="707"/>
      <c r="P640" s="696"/>
      <c r="Q640" s="454"/>
      <c r="R640" s="1597"/>
      <c r="S640" s="1475"/>
      <c r="T640" s="1475"/>
      <c r="U640" s="1475"/>
      <c r="V640" s="1475"/>
      <c r="W640" s="1597"/>
      <c r="X640" s="696"/>
    </row>
    <row r="641" spans="1:24" s="688" customFormat="1">
      <c r="A641" s="693" t="s">
        <v>1710</v>
      </c>
      <c r="B641" s="1272" t="s">
        <v>241</v>
      </c>
      <c r="C641" s="1272" t="s">
        <v>1729</v>
      </c>
      <c r="D641" s="1272"/>
      <c r="E641" s="1255">
        <v>48.5</v>
      </c>
      <c r="F641" s="681"/>
      <c r="G641" s="681"/>
      <c r="H641" s="683"/>
      <c r="I641" s="689"/>
      <c r="J641" s="685"/>
      <c r="K641" s="697"/>
      <c r="L641" s="714">
        <v>61</v>
      </c>
      <c r="M641" s="681"/>
      <c r="N641" s="706">
        <v>3</v>
      </c>
      <c r="O641" s="707"/>
      <c r="P641" s="696"/>
      <c r="Q641" s="454"/>
      <c r="R641" s="1597"/>
      <c r="S641" s="1475"/>
      <c r="T641" s="1475"/>
      <c r="U641" s="1475"/>
      <c r="V641" s="1475"/>
      <c r="W641" s="1597"/>
      <c r="X641" s="696"/>
    </row>
    <row r="642" spans="1:24" s="305" customFormat="1">
      <c r="A642" s="1425" t="s">
        <v>3025</v>
      </c>
      <c r="B642" s="1314" t="s">
        <v>241</v>
      </c>
      <c r="C642" s="1314" t="s">
        <v>2370</v>
      </c>
      <c r="D642" s="1314"/>
      <c r="E642" s="1588">
        <v>30</v>
      </c>
      <c r="F642" s="288"/>
      <c r="G642" s="288"/>
      <c r="H642" s="283"/>
      <c r="I642" s="289"/>
      <c r="J642" s="292"/>
      <c r="K642" s="290"/>
      <c r="L642" s="1592">
        <v>50</v>
      </c>
      <c r="M642" s="288">
        <f t="shared" ref="M642:M650" si="34">L642-E642</f>
        <v>20</v>
      </c>
      <c r="N642" s="634"/>
      <c r="O642" s="648"/>
      <c r="P642" s="297"/>
      <c r="Q642" s="1598"/>
      <c r="R642" s="1599"/>
      <c r="S642" s="1596"/>
      <c r="T642" s="1596"/>
      <c r="U642" s="1596"/>
      <c r="V642" s="1596"/>
      <c r="W642" s="1599"/>
      <c r="X642" s="297"/>
    </row>
    <row r="643" spans="1:24" s="305" customFormat="1">
      <c r="A643" s="1425" t="s">
        <v>3068</v>
      </c>
      <c r="B643" s="1314" t="s">
        <v>241</v>
      </c>
      <c r="C643" s="1314" t="s">
        <v>2370</v>
      </c>
      <c r="D643" s="1314"/>
      <c r="E643" s="1588">
        <v>35</v>
      </c>
      <c r="F643" s="288"/>
      <c r="G643" s="288"/>
      <c r="H643" s="283"/>
      <c r="I643" s="289"/>
      <c r="J643" s="292"/>
      <c r="K643" s="290"/>
      <c r="L643" s="1592">
        <v>60</v>
      </c>
      <c r="M643" s="288">
        <f t="shared" si="34"/>
        <v>25</v>
      </c>
      <c r="N643" s="634"/>
      <c r="O643" s="648"/>
      <c r="P643" s="297"/>
      <c r="Q643" s="1598"/>
      <c r="R643" s="1599"/>
      <c r="S643" s="1596"/>
      <c r="T643" s="1596"/>
      <c r="U643" s="1596"/>
      <c r="V643" s="1596"/>
      <c r="W643" s="1599"/>
      <c r="X643" s="297"/>
    </row>
    <row r="644" spans="1:24" s="305" customFormat="1">
      <c r="A644" s="1425" t="s">
        <v>3070</v>
      </c>
      <c r="B644" s="1314" t="s">
        <v>241</v>
      </c>
      <c r="C644" s="1314" t="s">
        <v>2370</v>
      </c>
      <c r="D644" s="1314"/>
      <c r="E644" s="1588">
        <v>30</v>
      </c>
      <c r="F644" s="288"/>
      <c r="G644" s="288"/>
      <c r="H644" s="283"/>
      <c r="I644" s="289"/>
      <c r="J644" s="292"/>
      <c r="K644" s="290"/>
      <c r="L644" s="1592">
        <v>50</v>
      </c>
      <c r="M644" s="288">
        <f t="shared" si="34"/>
        <v>20</v>
      </c>
      <c r="N644" s="634"/>
      <c r="O644" s="648"/>
      <c r="P644" s="297"/>
      <c r="Q644" s="1598"/>
      <c r="R644" s="1598"/>
      <c r="S644" s="1596"/>
      <c r="T644" s="1596"/>
      <c r="U644" s="1596"/>
      <c r="V644" s="1596"/>
      <c r="W644" s="1599"/>
      <c r="X644" s="297"/>
    </row>
    <row r="645" spans="1:24" s="305" customFormat="1">
      <c r="A645" s="1424" t="s">
        <v>3162</v>
      </c>
      <c r="B645" s="1314" t="s">
        <v>241</v>
      </c>
      <c r="C645" s="1314" t="s">
        <v>1728</v>
      </c>
      <c r="D645" s="1314"/>
      <c r="E645" s="1587">
        <v>24</v>
      </c>
      <c r="F645" s="288"/>
      <c r="G645" s="288"/>
      <c r="H645" s="283"/>
      <c r="I645" s="289"/>
      <c r="J645" s="292"/>
      <c r="K645" s="290"/>
      <c r="L645" s="1591">
        <v>33</v>
      </c>
      <c r="M645" s="288">
        <f t="shared" si="34"/>
        <v>9</v>
      </c>
      <c r="N645" s="634"/>
      <c r="O645" s="648"/>
      <c r="P645" s="297"/>
      <c r="Q645" s="1598"/>
      <c r="R645" s="1598"/>
      <c r="S645" s="1596"/>
      <c r="T645" s="1596"/>
      <c r="U645" s="1596"/>
      <c r="V645" s="1596"/>
      <c r="W645" s="1599"/>
      <c r="X645" s="297"/>
    </row>
    <row r="646" spans="1:24" s="305" customFormat="1">
      <c r="A646" s="1425" t="s">
        <v>3163</v>
      </c>
      <c r="B646" s="1314" t="s">
        <v>241</v>
      </c>
      <c r="C646" s="1314" t="s">
        <v>1728</v>
      </c>
      <c r="D646" s="1314"/>
      <c r="E646" s="1587">
        <v>39</v>
      </c>
      <c r="F646" s="288"/>
      <c r="G646" s="288"/>
      <c r="H646" s="283"/>
      <c r="I646" s="289"/>
      <c r="J646" s="292"/>
      <c r="K646" s="290"/>
      <c r="L646" s="1591">
        <v>48</v>
      </c>
      <c r="M646" s="288">
        <f t="shared" si="34"/>
        <v>9</v>
      </c>
      <c r="N646" s="634"/>
      <c r="O646" s="648"/>
      <c r="P646" s="297"/>
      <c r="Q646" s="1598"/>
      <c r="R646" s="1599"/>
      <c r="S646" s="1596"/>
      <c r="T646" s="1596"/>
      <c r="U646" s="1596"/>
      <c r="V646" s="1596"/>
      <c r="W646" s="1599"/>
      <c r="X646" s="297"/>
    </row>
    <row r="647" spans="1:24" s="305" customFormat="1">
      <c r="A647" s="1425" t="s">
        <v>3164</v>
      </c>
      <c r="B647" s="1314" t="s">
        <v>241</v>
      </c>
      <c r="C647" s="1314" t="s">
        <v>1728</v>
      </c>
      <c r="D647" s="1314"/>
      <c r="E647" s="1587">
        <v>48</v>
      </c>
      <c r="F647" s="288"/>
      <c r="G647" s="288"/>
      <c r="H647" s="283"/>
      <c r="I647" s="289"/>
      <c r="J647" s="292"/>
      <c r="K647" s="290"/>
      <c r="L647" s="1591">
        <v>57</v>
      </c>
      <c r="M647" s="288">
        <f t="shared" si="34"/>
        <v>9</v>
      </c>
      <c r="N647" s="634"/>
      <c r="O647" s="648"/>
      <c r="P647" s="297"/>
      <c r="Q647" s="1598"/>
      <c r="R647" s="1598"/>
      <c r="S647" s="1596"/>
      <c r="T647" s="1596"/>
      <c r="U647" s="1596"/>
      <c r="V647" s="1596"/>
      <c r="W647" s="1599"/>
      <c r="X647" s="297"/>
    </row>
    <row r="648" spans="1:24" s="305" customFormat="1">
      <c r="A648" s="1425" t="s">
        <v>3165</v>
      </c>
      <c r="B648" s="1314" t="s">
        <v>241</v>
      </c>
      <c r="C648" s="1314" t="s">
        <v>1728</v>
      </c>
      <c r="D648" s="1314"/>
      <c r="E648" s="1587">
        <v>39</v>
      </c>
      <c r="F648" s="288"/>
      <c r="G648" s="288"/>
      <c r="H648" s="283"/>
      <c r="I648" s="289"/>
      <c r="J648" s="292"/>
      <c r="K648" s="290"/>
      <c r="L648" s="1591">
        <v>48</v>
      </c>
      <c r="M648" s="288">
        <f t="shared" si="34"/>
        <v>9</v>
      </c>
      <c r="N648" s="634"/>
      <c r="O648" s="648"/>
      <c r="P648" s="297"/>
      <c r="Q648" s="1598"/>
      <c r="R648" s="1598"/>
      <c r="S648" s="1596"/>
      <c r="T648" s="1596"/>
      <c r="U648" s="1596"/>
      <c r="V648" s="1596"/>
      <c r="W648" s="1599"/>
      <c r="X648" s="297"/>
    </row>
    <row r="649" spans="1:24" s="305" customFormat="1">
      <c r="A649" s="1425" t="s">
        <v>3166</v>
      </c>
      <c r="B649" s="1314" t="s">
        <v>241</v>
      </c>
      <c r="C649" s="1314" t="s">
        <v>1728</v>
      </c>
      <c r="D649" s="1314"/>
      <c r="E649" s="1587">
        <v>24</v>
      </c>
      <c r="F649" s="288"/>
      <c r="G649" s="288"/>
      <c r="H649" s="283"/>
      <c r="I649" s="289"/>
      <c r="J649" s="292"/>
      <c r="K649" s="290"/>
      <c r="L649" s="1591">
        <v>33</v>
      </c>
      <c r="M649" s="288">
        <f t="shared" si="34"/>
        <v>9</v>
      </c>
      <c r="N649" s="634"/>
      <c r="O649" s="648"/>
      <c r="P649" s="297"/>
      <c r="Q649" s="1598"/>
      <c r="R649" s="1599"/>
      <c r="S649" s="1596"/>
      <c r="T649" s="1596"/>
      <c r="U649" s="1596"/>
      <c r="V649" s="1596"/>
      <c r="W649" s="1599"/>
      <c r="X649" s="297"/>
    </row>
    <row r="650" spans="1:24" s="305" customFormat="1">
      <c r="A650" s="1582" t="s">
        <v>3167</v>
      </c>
      <c r="B650" s="1314" t="s">
        <v>241</v>
      </c>
      <c r="C650" s="1314" t="s">
        <v>1728</v>
      </c>
      <c r="D650" s="1314"/>
      <c r="E650" s="1587">
        <v>48</v>
      </c>
      <c r="F650" s="288"/>
      <c r="G650" s="288"/>
      <c r="H650" s="283"/>
      <c r="I650" s="289"/>
      <c r="J650" s="292"/>
      <c r="K650" s="290"/>
      <c r="L650" s="1591">
        <v>57</v>
      </c>
      <c r="M650" s="288">
        <f t="shared" si="34"/>
        <v>9</v>
      </c>
      <c r="N650" s="634"/>
      <c r="O650" s="648"/>
      <c r="P650" s="297"/>
      <c r="Q650" s="1598"/>
      <c r="R650" s="1598"/>
      <c r="S650" s="1596"/>
      <c r="T650" s="1596"/>
      <c r="U650" s="1596"/>
      <c r="V650" s="1596"/>
      <c r="W650" s="1599"/>
      <c r="X650" s="297"/>
    </row>
    <row r="651" spans="1:24" s="445" customFormat="1">
      <c r="A651" s="693"/>
      <c r="B651" s="1272" t="s">
        <v>241</v>
      </c>
      <c r="C651" s="1272" t="s">
        <v>2515</v>
      </c>
      <c r="D651" s="1272"/>
      <c r="E651" s="1255"/>
      <c r="F651" s="681" t="s">
        <v>1909</v>
      </c>
      <c r="G651" s="681"/>
      <c r="H651" s="683"/>
      <c r="I651" s="689"/>
      <c r="J651" s="685"/>
      <c r="K651" s="697"/>
      <c r="L651" s="714"/>
      <c r="M651" s="681"/>
      <c r="N651" s="706"/>
      <c r="O651" s="646"/>
      <c r="P651" s="487"/>
      <c r="Q651" s="454"/>
      <c r="R651" s="454"/>
      <c r="S651" s="1475"/>
      <c r="T651" s="1475"/>
      <c r="U651" s="1475"/>
      <c r="V651" s="1475"/>
      <c r="W651" s="1597"/>
      <c r="X651" s="487"/>
    </row>
    <row r="652" spans="1:24" s="305" customFormat="1">
      <c r="A652" s="1583" t="s">
        <v>3079</v>
      </c>
      <c r="B652" s="1314" t="s">
        <v>242</v>
      </c>
      <c r="C652" s="1314" t="s">
        <v>599</v>
      </c>
      <c r="D652" s="1314"/>
      <c r="E652" s="1589">
        <v>57</v>
      </c>
      <c r="F652" s="288"/>
      <c r="G652" s="288"/>
      <c r="H652" s="283"/>
      <c r="I652" s="289"/>
      <c r="J652" s="292"/>
      <c r="K652" s="290"/>
      <c r="L652" s="1591">
        <v>106</v>
      </c>
      <c r="M652" s="288">
        <f>L652-E652</f>
        <v>49</v>
      </c>
      <c r="N652" s="634">
        <v>5</v>
      </c>
      <c r="O652" s="648"/>
      <c r="P652" s="297"/>
      <c r="Q652" s="1598"/>
      <c r="R652" s="1598"/>
      <c r="S652" s="1596"/>
      <c r="T652" s="1596"/>
      <c r="U652" s="1596"/>
      <c r="V652" s="1596"/>
      <c r="W652" s="1599"/>
      <c r="X652" s="297"/>
    </row>
    <row r="653" spans="1:24" s="305" customFormat="1">
      <c r="A653" s="1584" t="s">
        <v>3080</v>
      </c>
      <c r="B653" s="1314" t="s">
        <v>242</v>
      </c>
      <c r="C653" s="1314" t="s">
        <v>599</v>
      </c>
      <c r="D653" s="1314"/>
      <c r="E653" s="1589">
        <v>52</v>
      </c>
      <c r="F653" s="288"/>
      <c r="G653" s="288"/>
      <c r="H653" s="283"/>
      <c r="I653" s="289"/>
      <c r="J653" s="292"/>
      <c r="K653" s="290"/>
      <c r="L653" s="1591">
        <v>96</v>
      </c>
      <c r="M653" s="288">
        <f>L653-E653</f>
        <v>44</v>
      </c>
      <c r="N653" s="634">
        <v>5</v>
      </c>
      <c r="O653" s="645"/>
      <c r="P653" s="297"/>
      <c r="Q653" s="1598"/>
      <c r="R653" s="1598"/>
      <c r="S653" s="1596"/>
      <c r="T653" s="1596"/>
      <c r="U653" s="1596"/>
      <c r="V653" s="1596"/>
      <c r="W653" s="1599"/>
      <c r="X653" s="297"/>
    </row>
    <row r="654" spans="1:24" s="305" customFormat="1">
      <c r="A654" s="1584" t="s">
        <v>3081</v>
      </c>
      <c r="B654" s="1314" t="s">
        <v>242</v>
      </c>
      <c r="C654" s="1314" t="s">
        <v>599</v>
      </c>
      <c r="D654" s="1314"/>
      <c r="E654" s="1590">
        <v>62</v>
      </c>
      <c r="F654" s="288"/>
      <c r="G654" s="288"/>
      <c r="H654" s="283"/>
      <c r="I654" s="289"/>
      <c r="J654" s="292"/>
      <c r="K654" s="290"/>
      <c r="L654" s="1591">
        <v>114</v>
      </c>
      <c r="M654" s="288">
        <f>L654-E654</f>
        <v>52</v>
      </c>
      <c r="N654" s="634">
        <v>5</v>
      </c>
      <c r="O654" s="648"/>
      <c r="P654" s="297"/>
      <c r="Q654" s="1598"/>
      <c r="R654" s="1599"/>
      <c r="S654" s="1596"/>
      <c r="T654" s="1596"/>
      <c r="U654" s="1596"/>
      <c r="V654" s="1596"/>
      <c r="W654" s="1598"/>
      <c r="X654" s="297"/>
    </row>
    <row r="655" spans="1:24" s="305" customFormat="1">
      <c r="A655" s="1584" t="s">
        <v>3076</v>
      </c>
      <c r="B655" s="1314" t="s">
        <v>242</v>
      </c>
      <c r="C655" s="1314" t="s">
        <v>599</v>
      </c>
      <c r="D655" s="1314"/>
      <c r="E655" s="1590">
        <v>57</v>
      </c>
      <c r="F655" s="288"/>
      <c r="G655" s="288"/>
      <c r="H655" s="283"/>
      <c r="I655" s="289"/>
      <c r="J655" s="292"/>
      <c r="K655" s="290"/>
      <c r="L655" s="1591">
        <v>106</v>
      </c>
      <c r="M655" s="288"/>
      <c r="N655" s="634"/>
      <c r="O655" s="648"/>
      <c r="P655" s="297"/>
      <c r="Q655" s="1598"/>
      <c r="R655" s="1599"/>
      <c r="S655" s="1596"/>
      <c r="T655" s="1596"/>
      <c r="U655" s="1596"/>
      <c r="V655" s="1596"/>
      <c r="W655" s="1598"/>
      <c r="X655" s="297"/>
    </row>
    <row r="656" spans="1:24" s="305" customFormat="1">
      <c r="A656" s="1585" t="s">
        <v>3077</v>
      </c>
      <c r="B656" s="1314" t="s">
        <v>242</v>
      </c>
      <c r="C656" s="1314" t="s">
        <v>599</v>
      </c>
      <c r="D656" s="1314"/>
      <c r="E656" s="1590">
        <v>62</v>
      </c>
      <c r="F656" s="288"/>
      <c r="G656" s="288"/>
      <c r="H656" s="283"/>
      <c r="I656" s="289"/>
      <c r="J656" s="292"/>
      <c r="K656" s="290"/>
      <c r="L656" s="1591">
        <v>114</v>
      </c>
      <c r="M656" s="288">
        <f>L656-E656</f>
        <v>52</v>
      </c>
      <c r="N656" s="634">
        <v>5</v>
      </c>
      <c r="O656" s="648"/>
      <c r="P656" s="297"/>
      <c r="Q656" s="1598"/>
      <c r="R656" s="1598"/>
      <c r="S656" s="1596"/>
      <c r="T656" s="1596"/>
      <c r="U656" s="1596"/>
      <c r="V656" s="1596"/>
      <c r="W656" s="1598"/>
      <c r="X656" s="297"/>
    </row>
    <row r="657" spans="1:24" s="305" customFormat="1">
      <c r="A657" s="1583" t="s">
        <v>3074</v>
      </c>
      <c r="B657" s="1314" t="s">
        <v>242</v>
      </c>
      <c r="C657" s="1314" t="s">
        <v>600</v>
      </c>
      <c r="D657" s="1314"/>
      <c r="E657" s="1589">
        <v>29</v>
      </c>
      <c r="F657" s="288"/>
      <c r="G657" s="288"/>
      <c r="H657" s="283"/>
      <c r="I657" s="289"/>
      <c r="J657" s="292"/>
      <c r="K657" s="290"/>
      <c r="L657" s="1591">
        <v>44</v>
      </c>
      <c r="M657" s="288">
        <f>L657-E657</f>
        <v>15</v>
      </c>
      <c r="N657" s="634">
        <v>4</v>
      </c>
      <c r="O657" s="648"/>
      <c r="P657" s="297"/>
      <c r="Q657" s="1599"/>
      <c r="R657" s="1599"/>
      <c r="S657" s="1596"/>
      <c r="T657" s="1596"/>
      <c r="U657" s="1596"/>
      <c r="V657" s="1596"/>
      <c r="W657" s="1599"/>
      <c r="X657" s="297"/>
    </row>
    <row r="658" spans="1:24" s="305" customFormat="1">
      <c r="A658" s="1584" t="s">
        <v>3075</v>
      </c>
      <c r="B658" s="1314" t="s">
        <v>242</v>
      </c>
      <c r="C658" s="1314" t="s">
        <v>600</v>
      </c>
      <c r="D658" s="1314"/>
      <c r="E658" s="1590">
        <v>38</v>
      </c>
      <c r="F658" s="288"/>
      <c r="G658" s="288"/>
      <c r="H658" s="283"/>
      <c r="I658" s="289"/>
      <c r="J658" s="292"/>
      <c r="K658" s="290"/>
      <c r="L658" s="1591">
        <v>59</v>
      </c>
      <c r="M658" s="288">
        <f>L658-E658</f>
        <v>21</v>
      </c>
      <c r="N658" s="634">
        <v>4</v>
      </c>
      <c r="O658" s="648"/>
      <c r="P658" s="297"/>
      <c r="Q658" s="1599"/>
      <c r="R658" s="1599"/>
      <c r="S658" s="1596"/>
      <c r="T658" s="1596"/>
      <c r="U658" s="1596"/>
      <c r="V658" s="1596"/>
      <c r="W658" s="1599"/>
      <c r="X658" s="297"/>
    </row>
    <row r="659" spans="1:24" s="305" customFormat="1">
      <c r="A659" s="1584" t="s">
        <v>3076</v>
      </c>
      <c r="B659" s="1314" t="s">
        <v>242</v>
      </c>
      <c r="C659" s="1314" t="s">
        <v>600</v>
      </c>
      <c r="D659" s="1314"/>
      <c r="E659" s="1590">
        <v>33</v>
      </c>
      <c r="F659" s="288"/>
      <c r="G659" s="288"/>
      <c r="H659" s="283"/>
      <c r="I659" s="289"/>
      <c r="J659" s="292"/>
      <c r="K659" s="290"/>
      <c r="L659" s="1591">
        <v>49</v>
      </c>
      <c r="M659" s="288">
        <f>L659-E659</f>
        <v>16</v>
      </c>
      <c r="N659" s="634">
        <v>4</v>
      </c>
      <c r="O659" s="648"/>
      <c r="P659" s="297"/>
      <c r="Q659" s="1599"/>
      <c r="R659" s="1598"/>
      <c r="S659" s="1596"/>
      <c r="T659" s="1596"/>
      <c r="U659" s="1596"/>
      <c r="V659" s="1596"/>
      <c r="W659" s="1599"/>
      <c r="X659" s="297"/>
    </row>
    <row r="660" spans="1:24" s="305" customFormat="1">
      <c r="A660" s="1584" t="s">
        <v>3077</v>
      </c>
      <c r="B660" s="1314" t="s">
        <v>242</v>
      </c>
      <c r="C660" s="1314" t="s">
        <v>600</v>
      </c>
      <c r="D660" s="1314"/>
      <c r="E660" s="1590">
        <v>38</v>
      </c>
      <c r="F660" s="288"/>
      <c r="G660" s="288"/>
      <c r="H660" s="283"/>
      <c r="I660" s="289"/>
      <c r="J660" s="292"/>
      <c r="K660" s="290"/>
      <c r="L660" s="1591">
        <v>59</v>
      </c>
      <c r="M660" s="288">
        <f>L660-E660</f>
        <v>21</v>
      </c>
      <c r="N660" s="634">
        <v>4</v>
      </c>
      <c r="O660" s="648"/>
      <c r="P660" s="297"/>
      <c r="Q660" s="1599"/>
      <c r="R660" s="1598"/>
      <c r="S660" s="1596"/>
      <c r="T660" s="1596"/>
      <c r="U660" s="1596"/>
      <c r="V660" s="1596"/>
      <c r="W660" s="1599"/>
      <c r="X660" s="297"/>
    </row>
    <row r="661" spans="1:24" s="445" customFormat="1">
      <c r="A661" s="693"/>
      <c r="B661" s="1272" t="s">
        <v>242</v>
      </c>
      <c r="C661" s="1272" t="s">
        <v>2033</v>
      </c>
      <c r="D661" s="1272"/>
      <c r="E661" s="1255"/>
      <c r="F661" s="681" t="s">
        <v>1909</v>
      </c>
      <c r="G661" s="681"/>
      <c r="H661" s="683"/>
      <c r="I661" s="689"/>
      <c r="J661" s="685"/>
      <c r="K661" s="697"/>
      <c r="L661" s="714"/>
      <c r="M661" s="681"/>
      <c r="N661" s="706"/>
      <c r="O661" s="647"/>
      <c r="P661" s="487"/>
      <c r="Q661" s="1597"/>
      <c r="R661" s="454"/>
      <c r="S661" s="1475"/>
      <c r="T661" s="1475"/>
      <c r="U661" s="1475"/>
      <c r="V661" s="1475"/>
      <c r="W661" s="1597"/>
      <c r="X661" s="487"/>
    </row>
    <row r="662" spans="1:24" s="445" customFormat="1">
      <c r="A662" s="693"/>
      <c r="B662" s="1272" t="s">
        <v>242</v>
      </c>
      <c r="C662" s="1273" t="s">
        <v>2034</v>
      </c>
      <c r="D662" s="1274"/>
      <c r="E662" s="1255"/>
      <c r="F662" s="681" t="s">
        <v>1909</v>
      </c>
      <c r="G662" s="681"/>
      <c r="H662" s="683"/>
      <c r="I662" s="689"/>
      <c r="J662" s="685"/>
      <c r="K662" s="697"/>
      <c r="L662" s="689"/>
      <c r="M662" s="681"/>
      <c r="N662" s="706"/>
      <c r="O662" s="646"/>
      <c r="P662" s="487"/>
      <c r="Q662" s="1597"/>
      <c r="R662" s="1597"/>
      <c r="S662" s="1600"/>
      <c r="T662" s="1600"/>
      <c r="U662" s="1475"/>
      <c r="V662" s="1475"/>
      <c r="W662" s="1597"/>
      <c r="X662" s="487"/>
    </row>
    <row r="663" spans="1:24" s="445" customFormat="1">
      <c r="A663" s="693"/>
      <c r="B663" s="1272" t="s">
        <v>242</v>
      </c>
      <c r="C663" s="1273" t="s">
        <v>2034</v>
      </c>
      <c r="D663" s="1274"/>
      <c r="E663" s="1255"/>
      <c r="F663" s="681" t="s">
        <v>1909</v>
      </c>
      <c r="G663" s="681"/>
      <c r="H663" s="683"/>
      <c r="I663" s="689"/>
      <c r="J663" s="685"/>
      <c r="K663" s="697"/>
      <c r="L663" s="689"/>
      <c r="M663" s="681"/>
      <c r="N663" s="706"/>
      <c r="O663" s="646"/>
      <c r="P663" s="487"/>
      <c r="Q663" s="1597"/>
      <c r="R663" s="1597"/>
      <c r="S663" s="1600"/>
      <c r="T663" s="1600"/>
      <c r="U663" s="1600"/>
      <c r="V663" s="1600"/>
      <c r="W663" s="1597"/>
      <c r="X663" s="487"/>
    </row>
    <row r="664" spans="1:24" s="445" customFormat="1">
      <c r="A664" s="719"/>
      <c r="B664" s="1272" t="s">
        <v>242</v>
      </c>
      <c r="C664" s="1273" t="s">
        <v>2035</v>
      </c>
      <c r="D664" s="1274"/>
      <c r="E664" s="1255"/>
      <c r="F664" s="681" t="s">
        <v>1909</v>
      </c>
      <c r="G664" s="681"/>
      <c r="H664" s="683"/>
      <c r="I664" s="689"/>
      <c r="J664" s="685"/>
      <c r="K664" s="697"/>
      <c r="L664" s="689"/>
      <c r="M664" s="681"/>
      <c r="N664" s="706"/>
      <c r="O664" s="646"/>
      <c r="P664" s="487"/>
      <c r="Q664" s="1597"/>
      <c r="R664" s="1597"/>
      <c r="S664" s="1600"/>
      <c r="T664" s="1600"/>
      <c r="U664" s="1600"/>
      <c r="V664" s="1600"/>
      <c r="W664" s="1597"/>
      <c r="X664" s="487"/>
    </row>
    <row r="665" spans="1:24" s="445" customFormat="1">
      <c r="A665" s="719"/>
      <c r="B665" s="1272" t="s">
        <v>242</v>
      </c>
      <c r="C665" s="1273" t="s">
        <v>2035</v>
      </c>
      <c r="D665" s="1274"/>
      <c r="E665" s="1255"/>
      <c r="F665" s="681" t="s">
        <v>1909</v>
      </c>
      <c r="G665" s="681"/>
      <c r="H665" s="683"/>
      <c r="I665" s="689"/>
      <c r="J665" s="685"/>
      <c r="K665" s="697"/>
      <c r="L665" s="689"/>
      <c r="M665" s="681"/>
      <c r="N665" s="706"/>
      <c r="O665" s="646"/>
      <c r="P665" s="487"/>
      <c r="Q665" s="1597"/>
      <c r="R665" s="1597"/>
      <c r="S665" s="1600"/>
      <c r="T665" s="1600"/>
      <c r="U665" s="1600"/>
      <c r="V665" s="1600"/>
      <c r="W665" s="1597"/>
      <c r="X665" s="487"/>
    </row>
    <row r="666" spans="1:24" s="445" customFormat="1">
      <c r="A666" s="719"/>
      <c r="B666" s="1272" t="s">
        <v>242</v>
      </c>
      <c r="C666" s="1273" t="s">
        <v>2036</v>
      </c>
      <c r="D666" s="1274"/>
      <c r="E666" s="1255"/>
      <c r="F666" s="681" t="s">
        <v>1909</v>
      </c>
      <c r="G666" s="681"/>
      <c r="H666" s="683"/>
      <c r="I666" s="689"/>
      <c r="J666" s="685"/>
      <c r="K666" s="697"/>
      <c r="L666" s="689"/>
      <c r="M666" s="681"/>
      <c r="N666" s="706"/>
      <c r="O666" s="646"/>
      <c r="P666" s="487"/>
      <c r="Q666" s="1597"/>
      <c r="R666" s="1597"/>
      <c r="S666" s="1600"/>
      <c r="T666" s="1600"/>
      <c r="U666" s="1600"/>
      <c r="V666" s="1600"/>
      <c r="W666" s="1597"/>
      <c r="X666" s="487"/>
    </row>
    <row r="667" spans="1:24" s="445" customFormat="1">
      <c r="A667" s="719"/>
      <c r="B667" s="1272" t="s">
        <v>242</v>
      </c>
      <c r="C667" s="1273" t="s">
        <v>2036</v>
      </c>
      <c r="D667" s="1274"/>
      <c r="E667" s="1255"/>
      <c r="F667" s="681" t="s">
        <v>1909</v>
      </c>
      <c r="G667" s="681"/>
      <c r="H667" s="683"/>
      <c r="I667" s="689"/>
      <c r="J667" s="685"/>
      <c r="K667" s="697"/>
      <c r="L667" s="689"/>
      <c r="M667" s="681"/>
      <c r="N667" s="706"/>
      <c r="O667" s="646"/>
      <c r="P667" s="487"/>
      <c r="Q667" s="1597"/>
      <c r="R667" s="1597"/>
      <c r="S667" s="1600"/>
      <c r="T667" s="1600"/>
      <c r="U667" s="1600"/>
      <c r="V667" s="1600"/>
      <c r="W667" s="1597"/>
      <c r="X667" s="487"/>
    </row>
    <row r="668" spans="1:24" s="445" customFormat="1">
      <c r="A668" s="719"/>
      <c r="B668" s="1272" t="s">
        <v>242</v>
      </c>
      <c r="C668" s="1273" t="s">
        <v>2037</v>
      </c>
      <c r="D668" s="1274"/>
      <c r="E668" s="1255"/>
      <c r="F668" s="681" t="s">
        <v>1909</v>
      </c>
      <c r="G668" s="681"/>
      <c r="H668" s="683"/>
      <c r="I668" s="689"/>
      <c r="J668" s="685"/>
      <c r="K668" s="697"/>
      <c r="L668" s="689"/>
      <c r="M668" s="681"/>
      <c r="N668" s="706"/>
      <c r="O668" s="646"/>
      <c r="P668" s="487"/>
      <c r="Q668" s="1597"/>
      <c r="R668" s="1597"/>
      <c r="S668" s="1600"/>
      <c r="T668" s="1600"/>
      <c r="U668" s="1600"/>
      <c r="V668" s="1600"/>
      <c r="W668" s="1597"/>
      <c r="X668" s="487"/>
    </row>
    <row r="669" spans="1:24" s="445" customFormat="1">
      <c r="A669" s="719"/>
      <c r="B669" s="1272" t="s">
        <v>2028</v>
      </c>
      <c r="C669" s="1273" t="s">
        <v>2029</v>
      </c>
      <c r="D669" s="1274"/>
      <c r="E669" s="1255">
        <v>23.5</v>
      </c>
      <c r="F669" s="681" t="s">
        <v>1992</v>
      </c>
      <c r="G669" s="681">
        <v>12</v>
      </c>
      <c r="H669" s="683" t="s">
        <v>2006</v>
      </c>
      <c r="I669" s="689"/>
      <c r="J669" s="685"/>
      <c r="K669" s="697"/>
      <c r="L669" s="689">
        <f>23.5+15.5</f>
        <v>39</v>
      </c>
      <c r="M669" s="681">
        <v>15.5</v>
      </c>
      <c r="N669" s="706"/>
      <c r="O669" s="646"/>
      <c r="P669" s="487"/>
      <c r="Q669" s="1597"/>
      <c r="R669" s="1597"/>
      <c r="S669" s="1600"/>
      <c r="T669" s="1600"/>
      <c r="U669" s="1600"/>
      <c r="V669" s="1600"/>
      <c r="W669" s="1597"/>
      <c r="X669" s="487"/>
    </row>
    <row r="670" spans="1:24" s="445" customFormat="1">
      <c r="A670" s="719" t="s">
        <v>2032</v>
      </c>
      <c r="B670" s="1272" t="s">
        <v>2030</v>
      </c>
      <c r="C670" s="1273" t="s">
        <v>2031</v>
      </c>
      <c r="D670" s="1274"/>
      <c r="E670" s="1255">
        <v>25</v>
      </c>
      <c r="F670" s="681"/>
      <c r="G670" s="681"/>
      <c r="H670" s="683"/>
      <c r="I670" s="689"/>
      <c r="J670" s="685"/>
      <c r="K670" s="697"/>
      <c r="L670" s="689">
        <v>35</v>
      </c>
      <c r="M670" s="681">
        <v>10</v>
      </c>
      <c r="N670" s="706"/>
      <c r="O670" s="646"/>
      <c r="P670" s="487"/>
      <c r="Q670" s="1597"/>
      <c r="R670" s="1597"/>
      <c r="S670" s="1600"/>
      <c r="T670" s="1600"/>
      <c r="U670" s="1600"/>
      <c r="V670" s="1600"/>
      <c r="W670" s="1597"/>
      <c r="X670" s="487"/>
    </row>
    <row r="671" spans="1:24" s="445" customFormat="1">
      <c r="A671" s="867" t="s">
        <v>2038</v>
      </c>
      <c r="B671" s="1272" t="s">
        <v>2030</v>
      </c>
      <c r="C671" s="1273" t="s">
        <v>2031</v>
      </c>
      <c r="D671" s="1274"/>
      <c r="E671" s="1255">
        <v>30</v>
      </c>
      <c r="F671" s="681"/>
      <c r="G671" s="681"/>
      <c r="H671" s="683"/>
      <c r="I671" s="689"/>
      <c r="J671" s="685"/>
      <c r="K671" s="697"/>
      <c r="L671" s="689">
        <v>43</v>
      </c>
      <c r="M671" s="681">
        <v>13</v>
      </c>
      <c r="N671" s="706"/>
      <c r="O671" s="646"/>
      <c r="P671" s="487"/>
      <c r="Q671" s="1597"/>
      <c r="R671" s="1597"/>
      <c r="S671" s="1600"/>
      <c r="T671" s="1600"/>
      <c r="U671" s="1600"/>
      <c r="V671" s="1600"/>
      <c r="W671" s="1597"/>
      <c r="X671" s="487"/>
    </row>
    <row r="672" spans="1:24" s="445" customFormat="1">
      <c r="A672" s="867"/>
      <c r="B672" s="1272" t="s">
        <v>2039</v>
      </c>
      <c r="C672" s="1273" t="s">
        <v>666</v>
      </c>
      <c r="D672" s="1274"/>
      <c r="E672" s="1255">
        <v>32.5</v>
      </c>
      <c r="F672" s="681"/>
      <c r="G672" s="663"/>
      <c r="H672" s="683"/>
      <c r="I672" s="689"/>
      <c r="J672" s="685"/>
      <c r="K672" s="697"/>
      <c r="L672" s="689">
        <f>32.5+17.5</f>
        <v>50</v>
      </c>
      <c r="M672" s="681">
        <v>17.5</v>
      </c>
      <c r="N672" s="706"/>
      <c r="O672" s="646"/>
      <c r="P672" s="487"/>
      <c r="Q672" s="454"/>
      <c r="R672" s="454"/>
      <c r="S672" s="1601"/>
      <c r="T672" s="1475"/>
      <c r="U672" s="1475"/>
      <c r="V672" s="1475"/>
      <c r="W672" s="1602"/>
      <c r="X672" s="487"/>
    </row>
    <row r="673" spans="1:24" s="305" customFormat="1">
      <c r="A673" s="1858" t="s">
        <v>4557</v>
      </c>
      <c r="B673" s="1286" t="s">
        <v>2040</v>
      </c>
      <c r="C673" s="1280" t="s">
        <v>666</v>
      </c>
      <c r="D673" s="1281"/>
      <c r="E673" s="1851">
        <v>26</v>
      </c>
      <c r="F673" s="663" t="s">
        <v>4559</v>
      </c>
      <c r="G673" s="663" t="s">
        <v>4561</v>
      </c>
      <c r="H673" s="283"/>
      <c r="I673" s="289"/>
      <c r="J673" s="292"/>
      <c r="K673" s="290"/>
      <c r="L673" s="665">
        <v>42</v>
      </c>
      <c r="M673" s="663">
        <f>L673-E673</f>
        <v>16</v>
      </c>
      <c r="N673" s="634"/>
      <c r="O673" s="1856" t="s">
        <v>3880</v>
      </c>
      <c r="P673" s="297"/>
      <c r="Q673" s="2496" t="s">
        <v>4208</v>
      </c>
      <c r="R673" s="2496" t="s">
        <v>4562</v>
      </c>
      <c r="S673" s="1603"/>
      <c r="T673" s="1475"/>
      <c r="U673" s="1475"/>
      <c r="V673" s="1475"/>
      <c r="W673" s="1602"/>
      <c r="X673" s="297"/>
    </row>
    <row r="674" spans="1:24" s="305" customFormat="1">
      <c r="A674" s="1858" t="s">
        <v>4558</v>
      </c>
      <c r="B674" s="1286" t="s">
        <v>2040</v>
      </c>
      <c r="C674" s="1280" t="s">
        <v>666</v>
      </c>
      <c r="D674" s="1281"/>
      <c r="E674" s="1851">
        <v>25</v>
      </c>
      <c r="F674" s="663" t="s">
        <v>4559</v>
      </c>
      <c r="G674" s="663" t="s">
        <v>4561</v>
      </c>
      <c r="H674" s="283"/>
      <c r="I674" s="289"/>
      <c r="J674" s="292"/>
      <c r="K674" s="290"/>
      <c r="L674" s="665">
        <v>40</v>
      </c>
      <c r="M674" s="663">
        <f>L674-E674</f>
        <v>15</v>
      </c>
      <c r="N674" s="634"/>
      <c r="O674" s="1856" t="s">
        <v>3880</v>
      </c>
      <c r="P674" s="297"/>
      <c r="Q674" s="2496" t="s">
        <v>4208</v>
      </c>
      <c r="R674" s="2496" t="s">
        <v>4562</v>
      </c>
      <c r="S674" s="1603"/>
      <c r="T674" s="1475"/>
      <c r="U674" s="1475"/>
      <c r="V674" s="1475"/>
      <c r="W674" s="1602"/>
      <c r="X674" s="297"/>
    </row>
    <row r="675" spans="1:24" s="305" customFormat="1">
      <c r="A675" s="1858" t="s">
        <v>4560</v>
      </c>
      <c r="B675" s="1286" t="s">
        <v>2040</v>
      </c>
      <c r="C675" s="1280" t="s">
        <v>666</v>
      </c>
      <c r="D675" s="1281"/>
      <c r="E675" s="1851">
        <v>33</v>
      </c>
      <c r="F675" s="663" t="s">
        <v>4559</v>
      </c>
      <c r="G675" s="663" t="s">
        <v>4561</v>
      </c>
      <c r="H675" s="283"/>
      <c r="I675" s="289"/>
      <c r="J675" s="292"/>
      <c r="K675" s="290"/>
      <c r="L675" s="665">
        <v>59</v>
      </c>
      <c r="M675" s="663">
        <f>L675-E675</f>
        <v>26</v>
      </c>
      <c r="N675" s="634"/>
      <c r="O675" s="1856" t="s">
        <v>3880</v>
      </c>
      <c r="P675" s="297"/>
      <c r="Q675" s="2496" t="s">
        <v>4208</v>
      </c>
      <c r="R675" s="2496" t="s">
        <v>4562</v>
      </c>
      <c r="S675" s="1603"/>
      <c r="T675" s="1475"/>
      <c r="U675" s="1475"/>
      <c r="V675" s="1475"/>
      <c r="W675" s="1602"/>
      <c r="X675" s="297"/>
    </row>
    <row r="676" spans="1:24" s="688" customFormat="1">
      <c r="A676" s="719" t="s">
        <v>1714</v>
      </c>
      <c r="B676" s="1272" t="s">
        <v>478</v>
      </c>
      <c r="C676" s="1273" t="s">
        <v>353</v>
      </c>
      <c r="D676" s="1274"/>
      <c r="E676" s="1255">
        <v>24.5</v>
      </c>
      <c r="F676" s="681"/>
      <c r="G676" s="681"/>
      <c r="H676" s="683"/>
      <c r="I676" s="689"/>
      <c r="J676" s="685"/>
      <c r="K676" s="697"/>
      <c r="L676" s="689">
        <v>48</v>
      </c>
      <c r="M676" s="681"/>
      <c r="N676" s="706">
        <v>4</v>
      </c>
      <c r="O676" s="707"/>
      <c r="P676" s="696"/>
      <c r="Q676" s="1593"/>
      <c r="R676" s="1593"/>
      <c r="S676" s="1475"/>
      <c r="T676" s="1475"/>
      <c r="U676" s="1475"/>
      <c r="V676" s="1475"/>
      <c r="W676" s="1594"/>
      <c r="X676" s="696"/>
    </row>
    <row r="677" spans="1:24" s="688" customFormat="1">
      <c r="A677" s="719" t="s">
        <v>1708</v>
      </c>
      <c r="B677" s="1272" t="s">
        <v>478</v>
      </c>
      <c r="C677" s="1273" t="s">
        <v>353</v>
      </c>
      <c r="D677" s="1274"/>
      <c r="E677" s="1255">
        <v>26.5</v>
      </c>
      <c r="F677" s="681"/>
      <c r="G677" s="681"/>
      <c r="H677" s="683"/>
      <c r="I677" s="689"/>
      <c r="J677" s="685"/>
      <c r="K677" s="697"/>
      <c r="L677" s="689">
        <v>54</v>
      </c>
      <c r="M677" s="681"/>
      <c r="N677" s="706">
        <v>4</v>
      </c>
      <c r="O677" s="707"/>
      <c r="P677" s="696"/>
      <c r="Q677" s="1593"/>
      <c r="R677" s="1593"/>
      <c r="S677" s="1475"/>
      <c r="T677" s="1475"/>
      <c r="U677" s="1475"/>
      <c r="V677" s="1475"/>
      <c r="W677" s="1594"/>
      <c r="X677" s="696"/>
    </row>
    <row r="678" spans="1:24" s="688" customFormat="1">
      <c r="A678" s="719" t="s">
        <v>1719</v>
      </c>
      <c r="B678" s="1272" t="s">
        <v>478</v>
      </c>
      <c r="C678" s="1273" t="s">
        <v>353</v>
      </c>
      <c r="D678" s="1274"/>
      <c r="E678" s="1255">
        <v>48</v>
      </c>
      <c r="F678" s="681" t="s">
        <v>1715</v>
      </c>
      <c r="G678" s="681"/>
      <c r="H678" s="683"/>
      <c r="I678" s="689"/>
      <c r="J678" s="685"/>
      <c r="K678" s="697"/>
      <c r="L678" s="689">
        <v>94</v>
      </c>
      <c r="M678" s="681"/>
      <c r="N678" s="706">
        <v>4</v>
      </c>
      <c r="O678" s="707"/>
      <c r="P678" s="696"/>
      <c r="Q678" s="1593"/>
      <c r="R678" s="1593"/>
      <c r="S678" s="1475"/>
      <c r="T678" s="1475"/>
      <c r="U678" s="1475"/>
      <c r="V678" s="1475"/>
      <c r="W678" s="1594"/>
      <c r="X678" s="696"/>
    </row>
    <row r="679" spans="1:24" s="305" customFormat="1">
      <c r="A679" s="1418" t="s">
        <v>1716</v>
      </c>
      <c r="B679" s="1314" t="s">
        <v>478</v>
      </c>
      <c r="C679" s="1316" t="s">
        <v>323</v>
      </c>
      <c r="D679" s="1312"/>
      <c r="E679" s="1300">
        <v>21</v>
      </c>
      <c r="F679" s="288"/>
      <c r="G679" s="288"/>
      <c r="H679" s="283"/>
      <c r="I679" s="289"/>
      <c r="J679" s="292"/>
      <c r="K679" s="290"/>
      <c r="L679" s="289">
        <v>42</v>
      </c>
      <c r="M679" s="288">
        <f t="shared" ref="M679:M684" si="35">L679-E679</f>
        <v>21</v>
      </c>
      <c r="N679" s="634">
        <v>4</v>
      </c>
      <c r="O679" s="648"/>
      <c r="P679" s="297"/>
      <c r="Q679" s="1593"/>
      <c r="R679" s="1593"/>
      <c r="S679" s="1475"/>
      <c r="T679" s="1475"/>
      <c r="U679" s="1475"/>
      <c r="V679" s="1475"/>
      <c r="W679" s="1593"/>
      <c r="X679" s="297"/>
    </row>
    <row r="680" spans="1:24" s="305" customFormat="1">
      <c r="A680" s="1419" t="s">
        <v>1703</v>
      </c>
      <c r="B680" s="1314" t="s">
        <v>478</v>
      </c>
      <c r="C680" s="1316" t="s">
        <v>323</v>
      </c>
      <c r="D680" s="1312"/>
      <c r="E680" s="1300">
        <v>25</v>
      </c>
      <c r="F680" s="288"/>
      <c r="G680" s="288"/>
      <c r="H680" s="283"/>
      <c r="I680" s="289"/>
      <c r="J680" s="292"/>
      <c r="K680" s="290"/>
      <c r="L680" s="289">
        <v>50</v>
      </c>
      <c r="M680" s="288">
        <f t="shared" si="35"/>
        <v>25</v>
      </c>
      <c r="N680" s="634">
        <v>4</v>
      </c>
      <c r="O680" s="648"/>
      <c r="P680" s="297"/>
      <c r="Q680" s="1593"/>
      <c r="R680" s="1593"/>
      <c r="S680" s="1475"/>
      <c r="T680" s="1475"/>
      <c r="U680" s="1475"/>
      <c r="V680" s="1475"/>
      <c r="W680" s="1593"/>
      <c r="X680" s="297"/>
    </row>
    <row r="681" spans="1:24" s="305" customFormat="1">
      <c r="A681" s="1419" t="s">
        <v>2325</v>
      </c>
      <c r="B681" s="1314" t="s">
        <v>478</v>
      </c>
      <c r="C681" s="1316" t="s">
        <v>323</v>
      </c>
      <c r="D681" s="1312"/>
      <c r="E681" s="1300">
        <v>27</v>
      </c>
      <c r="F681" s="288"/>
      <c r="G681" s="288"/>
      <c r="H681" s="283"/>
      <c r="I681" s="289"/>
      <c r="J681" s="292"/>
      <c r="K681" s="290"/>
      <c r="L681" s="289">
        <v>54</v>
      </c>
      <c r="M681" s="288">
        <f t="shared" si="35"/>
        <v>27</v>
      </c>
      <c r="N681" s="634">
        <v>4</v>
      </c>
      <c r="O681" s="648"/>
      <c r="P681" s="297"/>
      <c r="Q681" s="1594"/>
      <c r="R681" s="1593"/>
      <c r="S681" s="1475"/>
      <c r="T681" s="1475"/>
      <c r="U681" s="1475"/>
      <c r="V681" s="1475"/>
      <c r="W681" s="1594"/>
      <c r="X681" s="297"/>
    </row>
    <row r="682" spans="1:24" s="305" customFormat="1">
      <c r="A682" s="1420" t="s">
        <v>2326</v>
      </c>
      <c r="B682" s="1314" t="s">
        <v>478</v>
      </c>
      <c r="C682" s="1316" t="s">
        <v>323</v>
      </c>
      <c r="D682" s="1312"/>
      <c r="E682" s="1300">
        <v>25</v>
      </c>
      <c r="F682" s="288"/>
      <c r="G682" s="288"/>
      <c r="H682" s="283"/>
      <c r="I682" s="289"/>
      <c r="J682" s="292"/>
      <c r="K682" s="290"/>
      <c r="L682" s="289">
        <v>50</v>
      </c>
      <c r="M682" s="288">
        <f t="shared" si="35"/>
        <v>25</v>
      </c>
      <c r="N682" s="634">
        <v>4</v>
      </c>
      <c r="O682" s="648"/>
      <c r="P682" s="297"/>
      <c r="Q682" s="1593"/>
      <c r="R682" s="1593"/>
      <c r="S682" s="1475"/>
      <c r="T682" s="1475"/>
      <c r="U682" s="1475"/>
      <c r="V682" s="1475"/>
      <c r="W682" s="1594"/>
      <c r="X682" s="297"/>
    </row>
    <row r="683" spans="1:24" s="305" customFormat="1">
      <c r="A683" s="1420" t="s">
        <v>2328</v>
      </c>
      <c r="B683" s="1314" t="s">
        <v>478</v>
      </c>
      <c r="C683" s="1316" t="s">
        <v>323</v>
      </c>
      <c r="D683" s="1312"/>
      <c r="E683" s="1300">
        <v>22</v>
      </c>
      <c r="F683" s="288"/>
      <c r="G683" s="288"/>
      <c r="H683" s="283"/>
      <c r="I683" s="289"/>
      <c r="J683" s="292"/>
      <c r="K683" s="290"/>
      <c r="L683" s="289">
        <v>44</v>
      </c>
      <c r="M683" s="288">
        <f t="shared" si="35"/>
        <v>22</v>
      </c>
      <c r="N683" s="634">
        <v>4</v>
      </c>
      <c r="O683" s="648"/>
      <c r="P683" s="297"/>
      <c r="Q683" s="297"/>
      <c r="R683" s="297"/>
      <c r="S683" s="297"/>
      <c r="T683" s="297"/>
      <c r="U683" s="297"/>
      <c r="V683" s="297"/>
      <c r="W683" s="297"/>
      <c r="X683" s="297"/>
    </row>
    <row r="684" spans="1:24" s="305" customFormat="1">
      <c r="A684" s="1421" t="s">
        <v>2263</v>
      </c>
      <c r="B684" s="1314" t="s">
        <v>478</v>
      </c>
      <c r="C684" s="1316" t="s">
        <v>323</v>
      </c>
      <c r="D684" s="1312"/>
      <c r="E684" s="1300">
        <v>38.5</v>
      </c>
      <c r="F684" s="288"/>
      <c r="G684" s="288"/>
      <c r="H684" s="283"/>
      <c r="I684" s="289"/>
      <c r="J684" s="292"/>
      <c r="K684" s="290"/>
      <c r="L684" s="289">
        <v>77</v>
      </c>
      <c r="M684" s="288">
        <f t="shared" si="35"/>
        <v>38.5</v>
      </c>
      <c r="N684" s="634">
        <v>4</v>
      </c>
      <c r="O684" s="648" t="s">
        <v>2374</v>
      </c>
      <c r="P684" s="297"/>
      <c r="Q684" s="297"/>
      <c r="R684" s="297"/>
      <c r="S684" s="297"/>
      <c r="T684" s="297"/>
      <c r="U684" s="297"/>
      <c r="V684" s="297"/>
      <c r="W684" s="297"/>
      <c r="X684" s="297"/>
    </row>
    <row r="685" spans="1:24" s="445" customFormat="1" ht="16" thickBot="1">
      <c r="A685" s="2822" t="s">
        <v>1128</v>
      </c>
      <c r="B685" s="2823"/>
      <c r="C685" s="2823"/>
      <c r="D685" s="2823"/>
      <c r="E685" s="2823"/>
      <c r="F685" s="2823"/>
      <c r="G685" s="2823"/>
      <c r="H685" s="2823"/>
      <c r="I685" s="2823"/>
      <c r="J685" s="2823"/>
      <c r="K685" s="2823"/>
      <c r="L685" s="2823"/>
      <c r="M685" s="2823"/>
      <c r="N685" s="2824"/>
      <c r="O685" s="646"/>
      <c r="P685" s="487"/>
      <c r="Q685" s="487"/>
      <c r="R685" s="487"/>
      <c r="S685" s="487"/>
      <c r="T685" s="487"/>
      <c r="U685" s="487"/>
      <c r="V685" s="487"/>
      <c r="W685" s="487"/>
      <c r="X685" s="487"/>
    </row>
    <row r="686" spans="1:24" s="445" customFormat="1">
      <c r="A686" s="2502" t="s">
        <v>4580</v>
      </c>
      <c r="B686" s="1876" t="s">
        <v>479</v>
      </c>
      <c r="C686" s="2498" t="s">
        <v>4587</v>
      </c>
      <c r="D686" s="1876"/>
      <c r="E686" s="1876">
        <v>28</v>
      </c>
      <c r="F686" s="2494"/>
      <c r="G686" s="2494"/>
      <c r="H686" s="2494"/>
      <c r="I686" s="289"/>
      <c r="J686" s="292"/>
      <c r="K686" s="292"/>
      <c r="L686" s="1879">
        <v>52</v>
      </c>
      <c r="M686" s="2501">
        <f>L686-E686</f>
        <v>24</v>
      </c>
      <c r="N686" s="1575"/>
      <c r="O686" s="646" t="s">
        <v>3880</v>
      </c>
      <c r="P686" s="487"/>
      <c r="Q686" s="490" t="s">
        <v>4588</v>
      </c>
      <c r="R686" s="487"/>
      <c r="S686" s="487"/>
      <c r="T686" s="487"/>
      <c r="U686" s="487"/>
      <c r="V686" s="487"/>
      <c r="W686" s="487"/>
      <c r="X686" s="487"/>
    </row>
    <row r="687" spans="1:24" s="445" customFormat="1">
      <c r="A687" s="2502" t="s">
        <v>4581</v>
      </c>
      <c r="B687" s="1876" t="s">
        <v>479</v>
      </c>
      <c r="C687" s="2498" t="s">
        <v>4587</v>
      </c>
      <c r="D687" s="1876"/>
      <c r="E687" s="1876">
        <v>26.5</v>
      </c>
      <c r="F687" s="2494"/>
      <c r="G687" s="2494"/>
      <c r="H687" s="2494"/>
      <c r="I687" s="289"/>
      <c r="J687" s="292"/>
      <c r="K687" s="292"/>
      <c r="L687" s="1879">
        <v>50</v>
      </c>
      <c r="M687" s="2501">
        <f t="shared" ref="M687:M694" si="36">L687-E687</f>
        <v>23.5</v>
      </c>
      <c r="N687" s="1575"/>
      <c r="O687" s="646" t="s">
        <v>3880</v>
      </c>
      <c r="P687" s="487"/>
      <c r="Q687" s="490" t="s">
        <v>4588</v>
      </c>
      <c r="R687" s="487"/>
      <c r="S687" s="487"/>
      <c r="T687" s="487"/>
      <c r="U687" s="487"/>
      <c r="V687" s="487"/>
      <c r="W687" s="487"/>
      <c r="X687" s="487"/>
    </row>
    <row r="688" spans="1:24" s="445" customFormat="1">
      <c r="A688" s="2502" t="s">
        <v>4583</v>
      </c>
      <c r="B688" s="1876" t="s">
        <v>479</v>
      </c>
      <c r="C688" s="2498" t="s">
        <v>4587</v>
      </c>
      <c r="D688" s="1876"/>
      <c r="E688" s="1876">
        <v>25</v>
      </c>
      <c r="F688" s="2499" t="s">
        <v>2692</v>
      </c>
      <c r="G688" s="2494"/>
      <c r="H688" s="2494"/>
      <c r="I688" s="289"/>
      <c r="J688" s="292"/>
      <c r="K688" s="292"/>
      <c r="L688" s="1879">
        <v>47</v>
      </c>
      <c r="M688" s="2501">
        <f t="shared" si="36"/>
        <v>22</v>
      </c>
      <c r="N688" s="1575"/>
      <c r="O688" s="646" t="s">
        <v>3880</v>
      </c>
      <c r="P688" s="487"/>
      <c r="Q688" s="490" t="s">
        <v>4588</v>
      </c>
      <c r="R688" s="487"/>
      <c r="S688" s="487"/>
      <c r="T688" s="487"/>
      <c r="U688" s="487"/>
      <c r="V688" s="487"/>
      <c r="W688" s="487"/>
      <c r="X688" s="487"/>
    </row>
    <row r="689" spans="1:25" s="445" customFormat="1">
      <c r="A689" s="2502" t="s">
        <v>4582</v>
      </c>
      <c r="B689" s="1876" t="s">
        <v>479</v>
      </c>
      <c r="C689" s="2498" t="s">
        <v>4587</v>
      </c>
      <c r="D689" s="1876"/>
      <c r="E689" s="1876">
        <v>20</v>
      </c>
      <c r="F689" s="2500"/>
      <c r="G689" s="2494"/>
      <c r="H689" s="2494"/>
      <c r="I689" s="289"/>
      <c r="J689" s="292"/>
      <c r="K689" s="292"/>
      <c r="L689" s="1879">
        <v>35</v>
      </c>
      <c r="M689" s="2501">
        <f t="shared" si="36"/>
        <v>15</v>
      </c>
      <c r="N689" s="1575"/>
      <c r="O689" s="646" t="s">
        <v>3880</v>
      </c>
      <c r="P689" s="487"/>
      <c r="Q689" s="490" t="s">
        <v>4588</v>
      </c>
      <c r="R689" s="487"/>
      <c r="S689" s="487"/>
      <c r="T689" s="487"/>
      <c r="U689" s="487"/>
      <c r="V689" s="487"/>
      <c r="W689" s="487"/>
      <c r="X689" s="487"/>
    </row>
    <row r="690" spans="1:25" s="445" customFormat="1">
      <c r="A690" s="2502" t="s">
        <v>4582</v>
      </c>
      <c r="B690" s="1876" t="s">
        <v>479</v>
      </c>
      <c r="C690" s="2498" t="s">
        <v>4587</v>
      </c>
      <c r="D690" s="1876"/>
      <c r="E690" s="1876">
        <v>19</v>
      </c>
      <c r="F690" s="2499" t="s">
        <v>2692</v>
      </c>
      <c r="G690" s="2494"/>
      <c r="H690" s="2494"/>
      <c r="I690" s="787"/>
      <c r="J690" s="788"/>
      <c r="K690" s="788"/>
      <c r="L690" s="1879">
        <v>33</v>
      </c>
      <c r="M690" s="2501">
        <f t="shared" si="36"/>
        <v>14</v>
      </c>
      <c r="N690" s="1575"/>
      <c r="O690" s="646" t="s">
        <v>3880</v>
      </c>
      <c r="P690" s="487"/>
      <c r="Q690" s="490" t="s">
        <v>4588</v>
      </c>
      <c r="R690" s="487"/>
      <c r="S690" s="487"/>
      <c r="T690" s="487"/>
      <c r="U690" s="487"/>
      <c r="V690" s="487"/>
      <c r="W690" s="487"/>
      <c r="X690" s="487"/>
    </row>
    <row r="691" spans="1:25" s="445" customFormat="1">
      <c r="A691" s="2503" t="s">
        <v>4584</v>
      </c>
      <c r="B691" s="1876" t="s">
        <v>479</v>
      </c>
      <c r="C691" s="2498" t="s">
        <v>4587</v>
      </c>
      <c r="D691" s="1876"/>
      <c r="E691" s="1876">
        <v>42.5</v>
      </c>
      <c r="F691" s="2494"/>
      <c r="G691" s="2494"/>
      <c r="H691" s="2494"/>
      <c r="I691" s="787"/>
      <c r="J691" s="788"/>
      <c r="K691" s="788"/>
      <c r="L691" s="1879">
        <v>71</v>
      </c>
      <c r="M691" s="2501">
        <f t="shared" si="36"/>
        <v>28.5</v>
      </c>
      <c r="N691" s="1575"/>
      <c r="O691" s="646" t="s">
        <v>3880</v>
      </c>
      <c r="P691" s="487"/>
      <c r="Q691" s="490" t="s">
        <v>4588</v>
      </c>
      <c r="R691" s="487"/>
      <c r="S691" s="487"/>
      <c r="T691" s="487"/>
      <c r="U691" s="487"/>
      <c r="V691" s="487"/>
      <c r="W691" s="487"/>
      <c r="X691" s="487"/>
    </row>
    <row r="692" spans="1:25" s="445" customFormat="1">
      <c r="A692" s="2503" t="s">
        <v>4585</v>
      </c>
      <c r="B692" s="1876" t="s">
        <v>479</v>
      </c>
      <c r="C692" s="2498" t="s">
        <v>4587</v>
      </c>
      <c r="D692" s="1876"/>
      <c r="E692" s="1876">
        <v>40</v>
      </c>
      <c r="F692" s="2499" t="s">
        <v>2692</v>
      </c>
      <c r="G692" s="2494"/>
      <c r="H692" s="2494"/>
      <c r="I692" s="787"/>
      <c r="J692" s="788"/>
      <c r="K692" s="788"/>
      <c r="L692" s="1879">
        <v>67</v>
      </c>
      <c r="M692" s="2501">
        <f t="shared" si="36"/>
        <v>27</v>
      </c>
      <c r="N692" s="1575"/>
      <c r="O692" s="646" t="s">
        <v>3880</v>
      </c>
      <c r="P692" s="487"/>
      <c r="Q692" s="490" t="s">
        <v>4588</v>
      </c>
      <c r="R692" s="487"/>
      <c r="S692" s="487"/>
      <c r="T692" s="487"/>
      <c r="U692" s="487"/>
      <c r="V692" s="487"/>
      <c r="W692" s="487"/>
      <c r="X692" s="487"/>
    </row>
    <row r="693" spans="1:25" s="445" customFormat="1">
      <c r="A693" s="2502" t="s">
        <v>4586</v>
      </c>
      <c r="B693" s="1876" t="s">
        <v>479</v>
      </c>
      <c r="C693" s="2498" t="s">
        <v>4587</v>
      </c>
      <c r="D693" s="1876"/>
      <c r="E693" s="1876">
        <v>47.5</v>
      </c>
      <c r="F693" s="2501" t="s">
        <v>4570</v>
      </c>
      <c r="G693" s="2494"/>
      <c r="H693" s="2494"/>
      <c r="I693" s="787"/>
      <c r="J693" s="788"/>
      <c r="K693" s="788"/>
      <c r="L693" s="1879">
        <v>81</v>
      </c>
      <c r="M693" s="2501">
        <f t="shared" si="36"/>
        <v>33.5</v>
      </c>
      <c r="N693" s="1575"/>
      <c r="O693" s="646" t="s">
        <v>3880</v>
      </c>
      <c r="P693" s="487"/>
      <c r="Q693" s="490" t="s">
        <v>4588</v>
      </c>
      <c r="R693" s="487"/>
      <c r="S693" s="487"/>
      <c r="T693" s="487"/>
      <c r="U693" s="487"/>
      <c r="V693" s="487"/>
      <c r="W693" s="487"/>
      <c r="X693" s="487"/>
    </row>
    <row r="694" spans="1:25" s="445" customFormat="1">
      <c r="A694" s="2504" t="s">
        <v>4590</v>
      </c>
      <c r="B694" s="1876" t="s">
        <v>479</v>
      </c>
      <c r="C694" s="2498" t="s">
        <v>4589</v>
      </c>
      <c r="D694" s="1876"/>
      <c r="E694" s="1876">
        <v>37.5</v>
      </c>
      <c r="F694" s="2501"/>
      <c r="G694" s="2494"/>
      <c r="H694" s="2494"/>
      <c r="I694" s="787"/>
      <c r="J694" s="788"/>
      <c r="K694" s="788"/>
      <c r="L694" s="1879">
        <v>65</v>
      </c>
      <c r="M694" s="2501">
        <f t="shared" si="36"/>
        <v>27.5</v>
      </c>
      <c r="N694" s="1575"/>
      <c r="O694" s="646"/>
      <c r="P694" s="487"/>
      <c r="Q694" s="490" t="s">
        <v>4588</v>
      </c>
      <c r="R694" s="487"/>
      <c r="S694" s="487"/>
      <c r="T694" s="487"/>
      <c r="U694" s="487"/>
      <c r="V694" s="487"/>
      <c r="W694" s="487"/>
      <c r="X694" s="487"/>
    </row>
    <row r="695" spans="1:25" s="791" customFormat="1">
      <c r="A695" s="1398" t="s">
        <v>3003</v>
      </c>
      <c r="B695" s="1314" t="s">
        <v>479</v>
      </c>
      <c r="C695" s="1574" t="s">
        <v>1082</v>
      </c>
      <c r="D695" s="1314"/>
      <c r="E695" s="1575">
        <v>16</v>
      </c>
      <c r="F695" s="288" t="s">
        <v>3159</v>
      </c>
      <c r="G695" s="288"/>
      <c r="H695" s="283"/>
      <c r="I695" s="289"/>
      <c r="J695" s="292"/>
      <c r="K695" s="292"/>
      <c r="L695" s="1576">
        <v>28</v>
      </c>
      <c r="M695" s="288">
        <f t="shared" ref="M695:M703" si="37">L695-E695</f>
        <v>12</v>
      </c>
      <c r="N695" s="1575">
        <v>4</v>
      </c>
      <c r="O695" s="793"/>
      <c r="P695" s="798"/>
      <c r="Q695" s="798"/>
      <c r="R695" s="798"/>
      <c r="S695" s="798"/>
      <c r="T695" s="798"/>
      <c r="U695" s="798"/>
      <c r="V695" s="798"/>
      <c r="W695" s="798"/>
      <c r="X695" s="798"/>
    </row>
    <row r="696" spans="1:25" s="791" customFormat="1">
      <c r="A696" s="1398" t="s">
        <v>3004</v>
      </c>
      <c r="B696" s="1314" t="s">
        <v>479</v>
      </c>
      <c r="C696" s="1574" t="s">
        <v>1082</v>
      </c>
      <c r="D696" s="1314"/>
      <c r="E696" s="1575">
        <v>24.5</v>
      </c>
      <c r="F696" s="288" t="s">
        <v>3159</v>
      </c>
      <c r="G696" s="288"/>
      <c r="H696" s="283"/>
      <c r="I696" s="289"/>
      <c r="J696" s="292"/>
      <c r="K696" s="292"/>
      <c r="L696" s="1576">
        <v>45</v>
      </c>
      <c r="M696" s="288">
        <f t="shared" si="37"/>
        <v>20.5</v>
      </c>
      <c r="N696" s="1575">
        <v>4</v>
      </c>
      <c r="O696" s="793"/>
      <c r="P696" s="798"/>
      <c r="Q696" s="798"/>
      <c r="R696" s="798"/>
      <c r="S696" s="798"/>
      <c r="T696" s="798"/>
      <c r="U696" s="798"/>
      <c r="V696" s="798"/>
      <c r="W696" s="798"/>
      <c r="X696" s="798"/>
    </row>
    <row r="697" spans="1:25" s="791" customFormat="1">
      <c r="A697" s="1398" t="s">
        <v>3006</v>
      </c>
      <c r="B697" s="1314" t="s">
        <v>479</v>
      </c>
      <c r="C697" s="1574" t="s">
        <v>3098</v>
      </c>
      <c r="D697" s="1314"/>
      <c r="E697" s="1575">
        <v>29.5</v>
      </c>
      <c r="F697" s="288" t="s">
        <v>3159</v>
      </c>
      <c r="G697" s="288"/>
      <c r="H697" s="283"/>
      <c r="I697" s="289"/>
      <c r="J697" s="292"/>
      <c r="K697" s="292"/>
      <c r="L697" s="1576">
        <v>55</v>
      </c>
      <c r="M697" s="288">
        <f t="shared" si="37"/>
        <v>25.5</v>
      </c>
      <c r="N697" s="1575">
        <v>4</v>
      </c>
      <c r="O697" s="793"/>
      <c r="P697" s="808"/>
      <c r="Q697" s="798"/>
      <c r="R697" s="798"/>
      <c r="S697" s="798"/>
      <c r="T697" s="798"/>
      <c r="U697" s="798"/>
      <c r="V697" s="798"/>
      <c r="W697" s="798"/>
      <c r="X697" s="798"/>
    </row>
    <row r="698" spans="1:25" s="791" customFormat="1">
      <c r="A698" s="1567" t="s">
        <v>3007</v>
      </c>
      <c r="B698" s="1314" t="s">
        <v>479</v>
      </c>
      <c r="C698" s="1574" t="s">
        <v>1082</v>
      </c>
      <c r="D698" s="1314"/>
      <c r="E698" s="1575">
        <v>49.5</v>
      </c>
      <c r="F698" s="288" t="s">
        <v>3159</v>
      </c>
      <c r="G698" s="288"/>
      <c r="H698" s="283"/>
      <c r="I698" s="289"/>
      <c r="J698" s="292"/>
      <c r="K698" s="292"/>
      <c r="L698" s="1576">
        <v>95</v>
      </c>
      <c r="M698" s="288">
        <f t="shared" si="37"/>
        <v>45.5</v>
      </c>
      <c r="N698" s="1575">
        <v>4</v>
      </c>
      <c r="O698" s="793"/>
      <c r="P698" s="808"/>
      <c r="Q698" s="798"/>
      <c r="R698" s="798"/>
      <c r="S698" s="798"/>
      <c r="T698" s="798"/>
      <c r="U698" s="798"/>
      <c r="V698" s="798"/>
      <c r="W698" s="798"/>
      <c r="X698" s="798"/>
    </row>
    <row r="699" spans="1:25" s="791" customFormat="1">
      <c r="A699" s="1203" t="s">
        <v>2240</v>
      </c>
      <c r="B699" s="1275" t="s">
        <v>479</v>
      </c>
      <c r="C699" s="1275" t="s">
        <v>601</v>
      </c>
      <c r="D699" s="1275"/>
      <c r="E699" s="1278">
        <v>13.5</v>
      </c>
      <c r="F699" s="785"/>
      <c r="G699" s="785"/>
      <c r="H699" s="786"/>
      <c r="I699" s="787"/>
      <c r="J699" s="788"/>
      <c r="K699" s="788"/>
      <c r="L699" s="796">
        <v>27</v>
      </c>
      <c r="M699" s="785">
        <f t="shared" si="37"/>
        <v>13.5</v>
      </c>
      <c r="N699" s="1278">
        <v>3</v>
      </c>
      <c r="O699" s="793"/>
      <c r="P699" s="808"/>
      <c r="Q699" s="798"/>
      <c r="R699" s="798"/>
      <c r="S699" s="798"/>
      <c r="T699" s="798"/>
      <c r="U699" s="798"/>
      <c r="V699" s="798"/>
      <c r="W699" s="798"/>
      <c r="X699" s="798"/>
    </row>
    <row r="700" spans="1:25" s="791" customFormat="1">
      <c r="A700" s="1203" t="s">
        <v>2241</v>
      </c>
      <c r="B700" s="1275" t="s">
        <v>479</v>
      </c>
      <c r="C700" s="1275" t="s">
        <v>601</v>
      </c>
      <c r="D700" s="1275"/>
      <c r="E700" s="1278">
        <v>20.5</v>
      </c>
      <c r="F700" s="785"/>
      <c r="G700" s="785"/>
      <c r="H700" s="786"/>
      <c r="I700" s="787"/>
      <c r="J700" s="788"/>
      <c r="K700" s="788"/>
      <c r="L700" s="796">
        <v>37</v>
      </c>
      <c r="M700" s="785">
        <f t="shared" si="37"/>
        <v>16.5</v>
      </c>
      <c r="N700" s="1278">
        <v>3</v>
      </c>
      <c r="O700" s="793"/>
      <c r="P700" s="808"/>
      <c r="Q700" s="798"/>
      <c r="R700" s="798"/>
      <c r="S700" s="798"/>
      <c r="T700" s="798"/>
      <c r="U700" s="798"/>
      <c r="V700" s="798"/>
      <c r="W700" s="798"/>
      <c r="X700" s="798"/>
    </row>
    <row r="701" spans="1:25" s="791" customFormat="1">
      <c r="A701" s="1203" t="s">
        <v>2242</v>
      </c>
      <c r="B701" s="1275" t="s">
        <v>479</v>
      </c>
      <c r="C701" s="1275" t="s">
        <v>601</v>
      </c>
      <c r="D701" s="1275"/>
      <c r="E701" s="1278">
        <v>26</v>
      </c>
      <c r="F701" s="785"/>
      <c r="G701" s="785"/>
      <c r="H701" s="786"/>
      <c r="I701" s="787"/>
      <c r="J701" s="788"/>
      <c r="K701" s="788"/>
      <c r="L701" s="796">
        <v>48</v>
      </c>
      <c r="M701" s="785">
        <f t="shared" si="37"/>
        <v>22</v>
      </c>
      <c r="N701" s="1278">
        <v>3</v>
      </c>
      <c r="O701" s="793"/>
      <c r="P701" s="808"/>
      <c r="Q701" s="798"/>
      <c r="R701" s="798"/>
      <c r="S701" s="798"/>
      <c r="T701" s="798"/>
      <c r="U701" s="798"/>
      <c r="V701" s="798"/>
      <c r="W701" s="798"/>
      <c r="X701" s="798"/>
    </row>
    <row r="702" spans="1:25" s="791" customFormat="1">
      <c r="A702" s="1204" t="s">
        <v>2243</v>
      </c>
      <c r="B702" s="1275" t="s">
        <v>479</v>
      </c>
      <c r="C702" s="1275" t="s">
        <v>601</v>
      </c>
      <c r="D702" s="1275"/>
      <c r="E702" s="1278">
        <v>45</v>
      </c>
      <c r="F702" s="785"/>
      <c r="G702" s="785"/>
      <c r="H702" s="786"/>
      <c r="I702" s="787"/>
      <c r="J702" s="788"/>
      <c r="K702" s="788"/>
      <c r="L702" s="796">
        <v>86</v>
      </c>
      <c r="M702" s="785">
        <f t="shared" si="37"/>
        <v>41</v>
      </c>
      <c r="N702" s="1278">
        <v>3</v>
      </c>
      <c r="O702" s="793"/>
      <c r="P702" s="808"/>
      <c r="Q702" s="798"/>
      <c r="R702" s="798"/>
      <c r="S702" s="798"/>
      <c r="T702" s="798"/>
      <c r="U702" s="798"/>
      <c r="V702" s="798"/>
      <c r="W702" s="1474"/>
      <c r="X702" s="798"/>
      <c r="Y702" s="798"/>
    </row>
    <row r="703" spans="1:25" s="791" customFormat="1">
      <c r="A703" s="1399" t="s">
        <v>3041</v>
      </c>
      <c r="B703" s="1314" t="s">
        <v>479</v>
      </c>
      <c r="C703" s="1314" t="s">
        <v>603</v>
      </c>
      <c r="D703" s="1314"/>
      <c r="E703" s="1575">
        <v>28</v>
      </c>
      <c r="F703" s="288" t="s">
        <v>352</v>
      </c>
      <c r="G703" s="288" t="s">
        <v>3159</v>
      </c>
      <c r="H703" s="283"/>
      <c r="I703" s="289"/>
      <c r="J703" s="292"/>
      <c r="K703" s="292"/>
      <c r="L703" s="1576">
        <v>48</v>
      </c>
      <c r="M703" s="288">
        <f t="shared" si="37"/>
        <v>20</v>
      </c>
      <c r="N703" s="1300">
        <v>3</v>
      </c>
      <c r="O703" s="793"/>
      <c r="P703" s="808"/>
      <c r="Q703" s="798"/>
      <c r="R703" s="798"/>
      <c r="S703" s="798"/>
      <c r="T703" s="798"/>
      <c r="U703" s="798"/>
      <c r="V703" s="798"/>
      <c r="W703" s="1474"/>
      <c r="X703" s="798"/>
      <c r="Y703" s="798"/>
    </row>
    <row r="704" spans="1:25" s="791" customFormat="1">
      <c r="A704" s="1399" t="s">
        <v>3042</v>
      </c>
      <c r="B704" s="1314" t="s">
        <v>479</v>
      </c>
      <c r="C704" s="1314" t="s">
        <v>603</v>
      </c>
      <c r="D704" s="1314"/>
      <c r="E704" s="1575">
        <v>48</v>
      </c>
      <c r="F704" s="288" t="s">
        <v>352</v>
      </c>
      <c r="G704" s="288" t="s">
        <v>3159</v>
      </c>
      <c r="H704" s="283"/>
      <c r="I704" s="289"/>
      <c r="J704" s="292"/>
      <c r="K704" s="292"/>
      <c r="L704" s="1576">
        <v>25.5</v>
      </c>
      <c r="M704" s="288">
        <f t="shared" ref="M704:M710" si="38">L704-E704</f>
        <v>-22.5</v>
      </c>
      <c r="N704" s="1300">
        <v>3</v>
      </c>
      <c r="O704" s="793"/>
      <c r="P704" s="808"/>
      <c r="Q704" s="798"/>
      <c r="R704" s="798"/>
      <c r="S704" s="798"/>
      <c r="T704" s="798"/>
      <c r="U704" s="798"/>
      <c r="V704" s="798"/>
      <c r="W704" s="1474"/>
      <c r="X704" s="798"/>
      <c r="Y704" s="798"/>
    </row>
    <row r="705" spans="1:25" s="791" customFormat="1">
      <c r="A705" s="1399" t="s">
        <v>3043</v>
      </c>
      <c r="B705" s="1314" t="s">
        <v>479</v>
      </c>
      <c r="C705" s="1314" t="s">
        <v>603</v>
      </c>
      <c r="D705" s="1314"/>
      <c r="E705" s="1575">
        <v>33</v>
      </c>
      <c r="F705" s="288" t="s">
        <v>352</v>
      </c>
      <c r="G705" s="288" t="s">
        <v>3159</v>
      </c>
      <c r="H705" s="283"/>
      <c r="I705" s="289"/>
      <c r="J705" s="292"/>
      <c r="K705" s="292"/>
      <c r="L705" s="1576">
        <v>56</v>
      </c>
      <c r="M705" s="288">
        <f t="shared" si="38"/>
        <v>23</v>
      </c>
      <c r="N705" s="1300">
        <v>3</v>
      </c>
      <c r="O705" s="793"/>
      <c r="P705" s="808"/>
      <c r="Q705" s="798"/>
      <c r="R705" s="798"/>
      <c r="S705" s="798"/>
      <c r="T705" s="798"/>
      <c r="U705" s="798"/>
      <c r="V705" s="798"/>
      <c r="W705" s="1474"/>
      <c r="X705" s="798"/>
      <c r="Y705" s="798"/>
    </row>
    <row r="706" spans="1:25" s="791" customFormat="1">
      <c r="A706" s="1399" t="s">
        <v>3044</v>
      </c>
      <c r="B706" s="1314" t="s">
        <v>479</v>
      </c>
      <c r="C706" s="1314" t="s">
        <v>603</v>
      </c>
      <c r="D706" s="1314"/>
      <c r="E706" s="1575">
        <v>28</v>
      </c>
      <c r="F706" s="288" t="s">
        <v>352</v>
      </c>
      <c r="G706" s="288" t="s">
        <v>3159</v>
      </c>
      <c r="H706" s="283"/>
      <c r="I706" s="289"/>
      <c r="J706" s="292"/>
      <c r="K706" s="292"/>
      <c r="L706" s="1576">
        <v>48</v>
      </c>
      <c r="M706" s="288">
        <f t="shared" si="38"/>
        <v>20</v>
      </c>
      <c r="N706" s="1300">
        <v>3</v>
      </c>
      <c r="O706" s="793"/>
      <c r="P706" s="808"/>
      <c r="Q706" s="798"/>
      <c r="R706" s="798"/>
      <c r="S706" s="798"/>
      <c r="T706" s="798"/>
      <c r="U706" s="798"/>
      <c r="V706" s="798"/>
      <c r="W706" s="1474"/>
      <c r="X706" s="798"/>
      <c r="Y706" s="798"/>
    </row>
    <row r="707" spans="1:25" s="791" customFormat="1">
      <c r="A707" s="1398" t="s">
        <v>3046</v>
      </c>
      <c r="B707" s="1314" t="s">
        <v>479</v>
      </c>
      <c r="C707" s="1314" t="s">
        <v>603</v>
      </c>
      <c r="D707" s="1314"/>
      <c r="E707" s="1575">
        <v>33</v>
      </c>
      <c r="F707" s="288" t="s">
        <v>352</v>
      </c>
      <c r="G707" s="288" t="s">
        <v>3159</v>
      </c>
      <c r="H707" s="283"/>
      <c r="I707" s="289"/>
      <c r="J707" s="292"/>
      <c r="K707" s="292"/>
      <c r="L707" s="1576">
        <v>56</v>
      </c>
      <c r="M707" s="288">
        <f t="shared" si="38"/>
        <v>23</v>
      </c>
      <c r="N707" s="1300">
        <v>3</v>
      </c>
      <c r="O707" s="793"/>
      <c r="P707" s="808"/>
      <c r="Q707" s="798"/>
      <c r="R707" s="798"/>
      <c r="S707" s="798"/>
      <c r="T707" s="798"/>
      <c r="U707" s="798"/>
      <c r="V707" s="798"/>
      <c r="W707" s="1474"/>
      <c r="X707" s="798"/>
      <c r="Y707" s="798"/>
    </row>
    <row r="708" spans="1:25" s="791" customFormat="1">
      <c r="A708" s="1399" t="s">
        <v>3047</v>
      </c>
      <c r="B708" s="1314" t="s">
        <v>479</v>
      </c>
      <c r="C708" s="1314" t="s">
        <v>603</v>
      </c>
      <c r="D708" s="1314"/>
      <c r="E708" s="1575">
        <v>25</v>
      </c>
      <c r="F708" s="288"/>
      <c r="G708" s="288" t="s">
        <v>3159</v>
      </c>
      <c r="H708" s="283"/>
      <c r="I708" s="289"/>
      <c r="J708" s="292"/>
      <c r="K708" s="292"/>
      <c r="L708" s="1576">
        <v>44</v>
      </c>
      <c r="M708" s="288">
        <f t="shared" si="38"/>
        <v>19</v>
      </c>
      <c r="N708" s="1300">
        <v>3</v>
      </c>
      <c r="O708" s="793"/>
      <c r="P708" s="808"/>
      <c r="Q708" s="798"/>
      <c r="R708" s="798"/>
      <c r="S708" s="798"/>
      <c r="T708" s="798"/>
      <c r="U708" s="798"/>
      <c r="V708" s="798"/>
      <c r="W708" s="1474"/>
      <c r="X708" s="798"/>
      <c r="Y708" s="798"/>
    </row>
    <row r="709" spans="1:25" s="791" customFormat="1">
      <c r="A709" s="1568" t="s">
        <v>3049</v>
      </c>
      <c r="B709" s="1314" t="s">
        <v>479</v>
      </c>
      <c r="C709" s="1314" t="s">
        <v>603</v>
      </c>
      <c r="D709" s="1314"/>
      <c r="E709" s="1575">
        <v>41</v>
      </c>
      <c r="F709" s="288"/>
      <c r="G709" s="288" t="s">
        <v>3159</v>
      </c>
      <c r="H709" s="283"/>
      <c r="I709" s="289"/>
      <c r="J709" s="292"/>
      <c r="K709" s="292"/>
      <c r="L709" s="1576">
        <v>72</v>
      </c>
      <c r="M709" s="288">
        <f t="shared" si="38"/>
        <v>31</v>
      </c>
      <c r="N709" s="1300">
        <v>3</v>
      </c>
      <c r="O709" s="793"/>
      <c r="P709" s="808"/>
      <c r="Q709" s="798"/>
      <c r="R709" s="798"/>
      <c r="S709" s="798"/>
      <c r="T709" s="798"/>
      <c r="U709" s="798"/>
      <c r="V709" s="798"/>
      <c r="W709" s="1474"/>
      <c r="X709" s="798"/>
      <c r="Y709" s="798"/>
    </row>
    <row r="710" spans="1:25" s="791" customFormat="1">
      <c r="A710" s="1422" t="s">
        <v>3050</v>
      </c>
      <c r="B710" s="1314" t="s">
        <v>479</v>
      </c>
      <c r="C710" s="1314" t="s">
        <v>603</v>
      </c>
      <c r="D710" s="1314"/>
      <c r="E710" s="1575">
        <v>41</v>
      </c>
      <c r="F710" s="288"/>
      <c r="G710" s="288" t="s">
        <v>3159</v>
      </c>
      <c r="H710" s="283"/>
      <c r="I710" s="289"/>
      <c r="J710" s="292"/>
      <c r="K710" s="292"/>
      <c r="L710" s="1576">
        <v>72</v>
      </c>
      <c r="M710" s="288">
        <f t="shared" si="38"/>
        <v>31</v>
      </c>
      <c r="N710" s="1300">
        <v>3</v>
      </c>
      <c r="O710" s="793"/>
      <c r="P710" s="808"/>
      <c r="Q710" s="798"/>
      <c r="R710" s="798"/>
      <c r="S710" s="798"/>
      <c r="T710" s="798"/>
      <c r="U710" s="798"/>
      <c r="V710" s="798"/>
      <c r="W710" s="1474"/>
      <c r="X710" s="798"/>
      <c r="Y710" s="798"/>
    </row>
    <row r="711" spans="1:25" s="791" customFormat="1">
      <c r="A711" s="1878" t="s">
        <v>4573</v>
      </c>
      <c r="B711" s="1876" t="s">
        <v>479</v>
      </c>
      <c r="C711" s="1876" t="s">
        <v>605</v>
      </c>
      <c r="D711" s="1275"/>
      <c r="E711" s="1877">
        <v>32.5</v>
      </c>
      <c r="F711" s="785"/>
      <c r="G711" s="785"/>
      <c r="H711" s="786"/>
      <c r="I711" s="787"/>
      <c r="J711" s="788"/>
      <c r="K711" s="788"/>
      <c r="L711" s="1879">
        <v>59</v>
      </c>
      <c r="M711" s="275">
        <f>L711-E711</f>
        <v>26.5</v>
      </c>
      <c r="N711" s="1278">
        <v>4</v>
      </c>
      <c r="O711" s="646" t="s">
        <v>3880</v>
      </c>
      <c r="P711" s="798"/>
      <c r="Q711" s="490" t="s">
        <v>4575</v>
      </c>
      <c r="R711" s="798"/>
      <c r="S711" s="798"/>
      <c r="T711" s="798"/>
      <c r="U711" s="798"/>
      <c r="V711" s="798"/>
      <c r="W711" s="1474"/>
      <c r="X711" s="798"/>
      <c r="Y711" s="798"/>
    </row>
    <row r="712" spans="1:25" s="791" customFormat="1">
      <c r="A712" s="1878" t="s">
        <v>4572</v>
      </c>
      <c r="B712" s="1876" t="s">
        <v>479</v>
      </c>
      <c r="C712" s="1876" t="s">
        <v>605</v>
      </c>
      <c r="D712" s="1275"/>
      <c r="E712" s="1877">
        <v>29.5</v>
      </c>
      <c r="F712" s="785"/>
      <c r="G712" s="785"/>
      <c r="H712" s="786"/>
      <c r="I712" s="787"/>
      <c r="J712" s="788"/>
      <c r="K712" s="788"/>
      <c r="L712" s="1879">
        <v>55</v>
      </c>
      <c r="M712" s="275">
        <f>L712-E713</f>
        <v>32.5</v>
      </c>
      <c r="N712" s="1278">
        <v>4</v>
      </c>
      <c r="O712" s="646" t="s">
        <v>3880</v>
      </c>
      <c r="P712" s="798"/>
      <c r="Q712" s="490" t="s">
        <v>4575</v>
      </c>
      <c r="R712" s="798"/>
      <c r="S712" s="798"/>
      <c r="T712" s="798"/>
      <c r="U712" s="798"/>
      <c r="V712" s="798"/>
      <c r="W712" s="798"/>
      <c r="X712" s="798"/>
      <c r="Y712" s="798"/>
    </row>
    <row r="713" spans="1:25" s="791" customFormat="1">
      <c r="A713" s="2497" t="s">
        <v>4571</v>
      </c>
      <c r="B713" s="1876" t="s">
        <v>479</v>
      </c>
      <c r="C713" s="1876" t="s">
        <v>605</v>
      </c>
      <c r="D713" s="1275"/>
      <c r="E713" s="1877">
        <v>22.5</v>
      </c>
      <c r="F713" s="785"/>
      <c r="G713" s="785"/>
      <c r="H713" s="786"/>
      <c r="I713" s="787"/>
      <c r="J713" s="788"/>
      <c r="K713" s="788"/>
      <c r="L713" s="1879">
        <v>40</v>
      </c>
      <c r="M713" s="275">
        <f>L713-E713</f>
        <v>17.5</v>
      </c>
      <c r="N713" s="1278">
        <v>4</v>
      </c>
      <c r="O713" s="646" t="s">
        <v>3880</v>
      </c>
      <c r="P713" s="798"/>
      <c r="Q713" s="490" t="s">
        <v>4575</v>
      </c>
      <c r="R713" s="798"/>
      <c r="S713" s="798"/>
      <c r="T713" s="798"/>
      <c r="U713" s="798"/>
      <c r="V713" s="798"/>
      <c r="W713" s="798"/>
      <c r="X713" s="798"/>
      <c r="Y713" s="798"/>
    </row>
    <row r="714" spans="1:25" s="791" customFormat="1">
      <c r="A714" s="1878" t="s">
        <v>4574</v>
      </c>
      <c r="B714" s="1876" t="s">
        <v>479</v>
      </c>
      <c r="C714" s="1876" t="s">
        <v>605</v>
      </c>
      <c r="D714" s="1275"/>
      <c r="E714" s="1877">
        <v>55</v>
      </c>
      <c r="F714" s="275" t="s">
        <v>4570</v>
      </c>
      <c r="G714" s="785"/>
      <c r="H714" s="786"/>
      <c r="I714" s="787"/>
      <c r="J714" s="788"/>
      <c r="K714" s="788"/>
      <c r="L714" s="1879">
        <v>105</v>
      </c>
      <c r="M714" s="275">
        <f>L714-E714</f>
        <v>50</v>
      </c>
      <c r="N714" s="1278">
        <v>4</v>
      </c>
      <c r="O714" s="646" t="s">
        <v>3880</v>
      </c>
      <c r="P714" s="798"/>
      <c r="Q714" s="490" t="s">
        <v>4575</v>
      </c>
      <c r="R714" s="798"/>
      <c r="S714" s="798"/>
      <c r="T714" s="798"/>
      <c r="U714" s="798"/>
      <c r="V714" s="798"/>
      <c r="W714" s="798"/>
      <c r="X714" s="798"/>
      <c r="Y714" s="798"/>
    </row>
    <row r="715" spans="1:25" s="791" customFormat="1">
      <c r="A715" s="1878" t="s">
        <v>4576</v>
      </c>
      <c r="B715" s="1876" t="s">
        <v>479</v>
      </c>
      <c r="C715" s="1876" t="s">
        <v>3417</v>
      </c>
      <c r="D715" s="1275"/>
      <c r="E715" s="1877">
        <v>20</v>
      </c>
      <c r="F715" s="275"/>
      <c r="G715" s="275" t="s">
        <v>3857</v>
      </c>
      <c r="H715" s="276"/>
      <c r="I715" s="787"/>
      <c r="J715" s="788"/>
      <c r="K715" s="788"/>
      <c r="L715" s="1879">
        <v>36</v>
      </c>
      <c r="M715" s="275">
        <f t="shared" ref="M715:M718" si="39">L715-E715</f>
        <v>16</v>
      </c>
      <c r="N715" s="1877">
        <v>4</v>
      </c>
      <c r="O715" s="644"/>
      <c r="P715" s="798"/>
      <c r="Q715" s="490" t="s">
        <v>4575</v>
      </c>
      <c r="R715" s="798"/>
      <c r="S715" s="798"/>
      <c r="T715" s="798"/>
      <c r="U715" s="798"/>
      <c r="V715" s="798"/>
      <c r="W715" s="798"/>
      <c r="X715" s="798"/>
      <c r="Y715" s="798"/>
    </row>
    <row r="716" spans="1:25" s="791" customFormat="1">
      <c r="A716" s="1878" t="s">
        <v>3807</v>
      </c>
      <c r="B716" s="1876" t="s">
        <v>479</v>
      </c>
      <c r="C716" s="1876" t="s">
        <v>3417</v>
      </c>
      <c r="D716" s="1275"/>
      <c r="E716" s="1877">
        <v>27</v>
      </c>
      <c r="F716" s="275"/>
      <c r="G716" s="275" t="s">
        <v>3857</v>
      </c>
      <c r="H716" s="276"/>
      <c r="I716" s="787"/>
      <c r="J716" s="788"/>
      <c r="K716" s="788"/>
      <c r="L716" s="1879">
        <v>49</v>
      </c>
      <c r="M716" s="275">
        <f t="shared" si="39"/>
        <v>22</v>
      </c>
      <c r="N716" s="1877">
        <v>4</v>
      </c>
      <c r="O716" s="644"/>
      <c r="P716" s="798"/>
      <c r="Q716" s="490" t="s">
        <v>4575</v>
      </c>
      <c r="R716" s="798"/>
      <c r="S716" s="798"/>
      <c r="T716" s="798"/>
      <c r="U716" s="798"/>
      <c r="V716" s="798"/>
      <c r="W716" s="798"/>
      <c r="X716" s="798"/>
      <c r="Y716" s="798"/>
    </row>
    <row r="717" spans="1:25" s="791" customFormat="1">
      <c r="A717" s="1878" t="s">
        <v>3809</v>
      </c>
      <c r="B717" s="1876" t="s">
        <v>479</v>
      </c>
      <c r="C717" s="1876" t="s">
        <v>3417</v>
      </c>
      <c r="D717" s="1275"/>
      <c r="E717" s="1877">
        <v>34</v>
      </c>
      <c r="F717" s="275"/>
      <c r="G717" s="275" t="s">
        <v>3857</v>
      </c>
      <c r="H717" s="276"/>
      <c r="I717" s="787"/>
      <c r="J717" s="788"/>
      <c r="K717" s="788"/>
      <c r="L717" s="1879">
        <v>62</v>
      </c>
      <c r="M717" s="275">
        <f t="shared" si="39"/>
        <v>28</v>
      </c>
      <c r="N717" s="1877">
        <v>4</v>
      </c>
      <c r="O717" s="644"/>
      <c r="P717" s="798"/>
      <c r="Q717" s="490" t="s">
        <v>4575</v>
      </c>
      <c r="R717" s="798"/>
      <c r="S717" s="798"/>
      <c r="T717" s="798"/>
      <c r="U717" s="798"/>
      <c r="V717" s="798"/>
      <c r="W717" s="798"/>
      <c r="X717" s="798"/>
      <c r="Y717" s="798"/>
    </row>
    <row r="718" spans="1:25" s="791" customFormat="1">
      <c r="A718" s="1878" t="s">
        <v>3808</v>
      </c>
      <c r="B718" s="1876" t="s">
        <v>479</v>
      </c>
      <c r="C718" s="1876" t="s">
        <v>3417</v>
      </c>
      <c r="D718" s="1275"/>
      <c r="E718" s="1877">
        <v>28.5</v>
      </c>
      <c r="F718" s="275"/>
      <c r="G718" s="275" t="s">
        <v>3857</v>
      </c>
      <c r="H718" s="276"/>
      <c r="I718" s="787"/>
      <c r="J718" s="788"/>
      <c r="K718" s="788"/>
      <c r="L718" s="1879">
        <v>52</v>
      </c>
      <c r="M718" s="275">
        <f t="shared" si="39"/>
        <v>23.5</v>
      </c>
      <c r="N718" s="1877">
        <v>4</v>
      </c>
      <c r="O718" s="644"/>
      <c r="P718" s="798"/>
      <c r="Q718" s="490" t="s">
        <v>4575</v>
      </c>
      <c r="R718" s="798"/>
      <c r="S718" s="798"/>
      <c r="T718" s="798"/>
      <c r="U718" s="798"/>
      <c r="V718" s="798"/>
      <c r="W718" s="798"/>
      <c r="X718" s="798"/>
      <c r="Y718" s="798"/>
    </row>
    <row r="719" spans="1:25" s="305" customFormat="1" ht="14.25" customHeight="1">
      <c r="A719" s="2427" t="s">
        <v>3930</v>
      </c>
      <c r="B719" s="1286" t="s">
        <v>479</v>
      </c>
      <c r="C719" s="1286" t="s">
        <v>606</v>
      </c>
      <c r="D719" s="1314"/>
      <c r="E719" s="1851">
        <v>20.5</v>
      </c>
      <c r="F719" s="288"/>
      <c r="G719" s="288"/>
      <c r="H719" s="283"/>
      <c r="I719" s="289"/>
      <c r="J719" s="292"/>
      <c r="K719" s="292"/>
      <c r="L719" s="1853">
        <v>39</v>
      </c>
      <c r="M719" s="663">
        <f>L719-E719</f>
        <v>18.5</v>
      </c>
      <c r="N719" s="1851">
        <v>3</v>
      </c>
      <c r="O719" s="646" t="s">
        <v>3880</v>
      </c>
      <c r="P719" s="2403" t="s">
        <v>3938</v>
      </c>
      <c r="Q719" s="490" t="s">
        <v>4575</v>
      </c>
      <c r="R719" s="490" t="s">
        <v>4445</v>
      </c>
      <c r="S719" s="297"/>
      <c r="T719" s="297"/>
      <c r="U719" s="297"/>
      <c r="V719" s="297"/>
      <c r="W719" s="297"/>
      <c r="X719" s="297"/>
      <c r="Y719" s="297"/>
    </row>
    <row r="720" spans="1:25" s="305" customFormat="1">
      <c r="A720" s="2428" t="s">
        <v>3931</v>
      </c>
      <c r="B720" s="1286" t="s">
        <v>479</v>
      </c>
      <c r="C720" s="1286" t="s">
        <v>606</v>
      </c>
      <c r="D720" s="1314"/>
      <c r="E720" s="1851">
        <v>38</v>
      </c>
      <c r="F720" s="288"/>
      <c r="G720" s="288"/>
      <c r="H720" s="283"/>
      <c r="I720" s="289"/>
      <c r="J720" s="292"/>
      <c r="K720" s="292"/>
      <c r="L720" s="1853">
        <v>73</v>
      </c>
      <c r="M720" s="663">
        <f t="shared" ref="M720:M725" si="40">L720-E720</f>
        <v>35</v>
      </c>
      <c r="N720" s="1851">
        <v>3</v>
      </c>
      <c r="O720" s="646" t="s">
        <v>3880</v>
      </c>
      <c r="P720" s="2403" t="s">
        <v>3938</v>
      </c>
      <c r="Q720" s="490" t="s">
        <v>4575</v>
      </c>
      <c r="R720" s="490" t="s">
        <v>4445</v>
      </c>
      <c r="S720" s="297"/>
      <c r="T720" s="297"/>
      <c r="U720" s="297"/>
      <c r="V720" s="297"/>
      <c r="W720" s="297"/>
      <c r="X720" s="297"/>
      <c r="Y720" s="297"/>
    </row>
    <row r="721" spans="1:25" s="305" customFormat="1">
      <c r="A721" s="2427" t="s">
        <v>3932</v>
      </c>
      <c r="B721" s="1286" t="s">
        <v>479</v>
      </c>
      <c r="C721" s="1286" t="s">
        <v>606</v>
      </c>
      <c r="D721" s="1314"/>
      <c r="E721" s="1851">
        <v>29</v>
      </c>
      <c r="F721" s="288"/>
      <c r="G721" s="288"/>
      <c r="H721" s="283"/>
      <c r="I721" s="289"/>
      <c r="J721" s="292"/>
      <c r="K721" s="292"/>
      <c r="L721" s="1853">
        <v>56</v>
      </c>
      <c r="M721" s="663">
        <f t="shared" si="40"/>
        <v>27</v>
      </c>
      <c r="N721" s="1851">
        <v>3</v>
      </c>
      <c r="O721" s="646" t="s">
        <v>3880</v>
      </c>
      <c r="P721" s="2403" t="s">
        <v>3938</v>
      </c>
      <c r="Q721" s="490" t="s">
        <v>4575</v>
      </c>
      <c r="R721" s="490" t="s">
        <v>4445</v>
      </c>
      <c r="S721" s="297"/>
      <c r="T721" s="297"/>
      <c r="U721" s="297"/>
      <c r="V721" s="297"/>
      <c r="W721" s="297"/>
      <c r="X721" s="297"/>
      <c r="Y721" s="297"/>
    </row>
    <row r="722" spans="1:25" s="305" customFormat="1" ht="14.25" customHeight="1">
      <c r="A722" s="2429" t="s">
        <v>3933</v>
      </c>
      <c r="B722" s="1286" t="s">
        <v>479</v>
      </c>
      <c r="C722" s="1286" t="s">
        <v>606</v>
      </c>
      <c r="D722" s="1314"/>
      <c r="E722" s="1851">
        <v>21.5</v>
      </c>
      <c r="F722" s="288"/>
      <c r="G722" s="288"/>
      <c r="H722" s="283"/>
      <c r="I722" s="289"/>
      <c r="J722" s="292"/>
      <c r="K722" s="292"/>
      <c r="L722" s="1853">
        <v>41</v>
      </c>
      <c r="M722" s="663">
        <f t="shared" si="40"/>
        <v>19.5</v>
      </c>
      <c r="N722" s="1851">
        <v>3</v>
      </c>
      <c r="O722" s="646" t="s">
        <v>3880</v>
      </c>
      <c r="P722" s="2403" t="s">
        <v>3938</v>
      </c>
      <c r="Q722" s="490" t="s">
        <v>4575</v>
      </c>
      <c r="R722" s="490" t="s">
        <v>4445</v>
      </c>
      <c r="S722" s="297"/>
      <c r="T722" s="297"/>
      <c r="U722" s="297"/>
      <c r="V722" s="297"/>
      <c r="W722" s="297"/>
      <c r="X722" s="297"/>
      <c r="Y722" s="297"/>
    </row>
    <row r="723" spans="1:25" s="305" customFormat="1">
      <c r="A723" s="2429" t="s">
        <v>3934</v>
      </c>
      <c r="B723" s="1286" t="s">
        <v>479</v>
      </c>
      <c r="C723" s="1286" t="s">
        <v>606</v>
      </c>
      <c r="D723" s="1314"/>
      <c r="E723" s="1851">
        <v>28.5</v>
      </c>
      <c r="F723" s="288"/>
      <c r="G723" s="1852" t="s">
        <v>4182</v>
      </c>
      <c r="H723" s="283"/>
      <c r="I723" s="665"/>
      <c r="J723" s="666"/>
      <c r="K723" s="292"/>
      <c r="L723" s="1853">
        <v>55</v>
      </c>
      <c r="M723" s="663">
        <f t="shared" si="40"/>
        <v>26.5</v>
      </c>
      <c r="N723" s="1851">
        <v>3</v>
      </c>
      <c r="O723" s="646" t="s">
        <v>3880</v>
      </c>
      <c r="P723" s="2403" t="s">
        <v>3938</v>
      </c>
      <c r="Q723" s="490" t="s">
        <v>4575</v>
      </c>
      <c r="R723" s="490" t="s">
        <v>4445</v>
      </c>
      <c r="S723" s="297"/>
      <c r="T723" s="297"/>
      <c r="U723" s="297"/>
      <c r="V723" s="297"/>
      <c r="W723" s="297"/>
      <c r="X723" s="297"/>
      <c r="Y723" s="297"/>
    </row>
    <row r="724" spans="1:25" s="305" customFormat="1">
      <c r="A724" s="2429" t="s">
        <v>3936</v>
      </c>
      <c r="B724" s="1286" t="s">
        <v>479</v>
      </c>
      <c r="C724" s="1286" t="s">
        <v>606</v>
      </c>
      <c r="D724" s="1314"/>
      <c r="E724" s="1851">
        <v>62.5</v>
      </c>
      <c r="F724" s="288"/>
      <c r="G724" s="1852" t="s">
        <v>3937</v>
      </c>
      <c r="H724" s="283"/>
      <c r="I724" s="665"/>
      <c r="J724" s="666"/>
      <c r="K724" s="292"/>
      <c r="L724" s="1853">
        <v>115</v>
      </c>
      <c r="M724" s="663">
        <f t="shared" si="40"/>
        <v>52.5</v>
      </c>
      <c r="N724" s="1851">
        <v>3</v>
      </c>
      <c r="O724" s="646" t="s">
        <v>3880</v>
      </c>
      <c r="P724" s="2403" t="s">
        <v>3938</v>
      </c>
      <c r="Q724" s="490" t="s">
        <v>4575</v>
      </c>
      <c r="R724" s="490" t="s">
        <v>4445</v>
      </c>
      <c r="S724" s="297"/>
      <c r="T724" s="297"/>
      <c r="U724" s="297"/>
      <c r="V724" s="297"/>
      <c r="W724" s="297"/>
      <c r="X724" s="297"/>
      <c r="Y724" s="297"/>
    </row>
    <row r="725" spans="1:25" s="305" customFormat="1">
      <c r="A725" s="2429" t="s">
        <v>3935</v>
      </c>
      <c r="B725" s="1286" t="s">
        <v>479</v>
      </c>
      <c r="C725" s="1286" t="s">
        <v>606</v>
      </c>
      <c r="D725" s="1314"/>
      <c r="E725" s="1851">
        <v>48.5</v>
      </c>
      <c r="F725" s="288"/>
      <c r="G725" s="288"/>
      <c r="H725" s="283"/>
      <c r="J725" s="666"/>
      <c r="K725" s="292"/>
      <c r="L725" s="1853">
        <v>93</v>
      </c>
      <c r="M725" s="663">
        <f t="shared" si="40"/>
        <v>44.5</v>
      </c>
      <c r="N725" s="1851">
        <v>3</v>
      </c>
      <c r="O725" s="646" t="s">
        <v>3880</v>
      </c>
      <c r="P725" s="2403" t="s">
        <v>3938</v>
      </c>
      <c r="Q725" s="490" t="s">
        <v>4575</v>
      </c>
      <c r="R725" s="490" t="s">
        <v>4445</v>
      </c>
      <c r="S725" s="297"/>
      <c r="T725" s="297"/>
      <c r="U725" s="297"/>
      <c r="V725" s="297"/>
      <c r="W725" s="297"/>
      <c r="X725" s="297"/>
      <c r="Y725" s="297"/>
    </row>
    <row r="726" spans="1:25" s="791" customFormat="1">
      <c r="A726" s="1203" t="s">
        <v>2251</v>
      </c>
      <c r="B726" s="1876" t="s">
        <v>479</v>
      </c>
      <c r="C726" s="1876" t="s">
        <v>857</v>
      </c>
      <c r="D726" s="1876"/>
      <c r="E726" s="1278">
        <v>19</v>
      </c>
      <c r="F726" s="275" t="s">
        <v>48</v>
      </c>
      <c r="G726" s="785"/>
      <c r="H726" s="786"/>
      <c r="I726" s="787"/>
      <c r="J726" s="788"/>
      <c r="K726" s="788"/>
      <c r="L726" s="796">
        <v>37</v>
      </c>
      <c r="M726" s="785">
        <f>L726-E726</f>
        <v>18</v>
      </c>
      <c r="N726" s="1278">
        <v>4</v>
      </c>
      <c r="O726" s="646" t="s">
        <v>3880</v>
      </c>
      <c r="P726" s="798"/>
      <c r="Q726" s="798"/>
      <c r="R726" s="798"/>
      <c r="S726" s="798"/>
      <c r="T726" s="798"/>
      <c r="U726" s="798"/>
      <c r="V726" s="798"/>
      <c r="W726" s="798"/>
      <c r="X726" s="798"/>
      <c r="Y726" s="798"/>
    </row>
    <row r="727" spans="1:25" s="791" customFormat="1">
      <c r="A727" s="1203" t="s">
        <v>2253</v>
      </c>
      <c r="B727" s="1876" t="s">
        <v>479</v>
      </c>
      <c r="C727" s="1876" t="s">
        <v>857</v>
      </c>
      <c r="D727" s="1876"/>
      <c r="E727" s="1278">
        <v>32</v>
      </c>
      <c r="F727" s="275" t="s">
        <v>48</v>
      </c>
      <c r="G727" s="785"/>
      <c r="H727" s="786"/>
      <c r="I727" s="787"/>
      <c r="J727" s="788"/>
      <c r="K727" s="788"/>
      <c r="L727" s="796">
        <v>63</v>
      </c>
      <c r="M727" s="785">
        <f>L727-E727</f>
        <v>31</v>
      </c>
      <c r="N727" s="1278">
        <v>4</v>
      </c>
      <c r="O727" s="646" t="s">
        <v>3880</v>
      </c>
      <c r="P727" s="798"/>
      <c r="Q727" s="798"/>
      <c r="R727" s="798"/>
      <c r="S727" s="798"/>
      <c r="T727" s="798"/>
      <c r="U727" s="798"/>
      <c r="V727" s="798"/>
      <c r="W727" s="798"/>
      <c r="X727" s="798"/>
      <c r="Y727" s="798"/>
    </row>
    <row r="728" spans="1:25" s="791" customFormat="1">
      <c r="A728" s="1203" t="s">
        <v>2254</v>
      </c>
      <c r="B728" s="1876" t="s">
        <v>479</v>
      </c>
      <c r="C728" s="1876" t="s">
        <v>857</v>
      </c>
      <c r="D728" s="1876"/>
      <c r="E728" s="1278">
        <v>26</v>
      </c>
      <c r="F728" s="275" t="s">
        <v>48</v>
      </c>
      <c r="G728" s="785"/>
      <c r="H728" s="786"/>
      <c r="I728" s="787"/>
      <c r="J728" s="788"/>
      <c r="K728" s="788"/>
      <c r="L728" s="796">
        <v>51</v>
      </c>
      <c r="M728" s="785">
        <f>L728-E728</f>
        <v>25</v>
      </c>
      <c r="N728" s="1278">
        <v>4</v>
      </c>
      <c r="O728" s="646" t="s">
        <v>3880</v>
      </c>
      <c r="P728" s="798"/>
      <c r="Q728" s="798"/>
      <c r="R728" s="798"/>
      <c r="S728" s="798"/>
      <c r="T728" s="798"/>
      <c r="U728" s="798"/>
      <c r="V728" s="798"/>
      <c r="W728" s="798"/>
      <c r="X728" s="798"/>
      <c r="Y728" s="798"/>
    </row>
    <row r="729" spans="1:25" s="791" customFormat="1">
      <c r="A729" s="1203"/>
      <c r="B729" s="1876"/>
      <c r="C729" s="1876"/>
      <c r="D729" s="1876"/>
      <c r="E729" s="1278"/>
      <c r="F729" s="275"/>
      <c r="G729" s="785"/>
      <c r="H729" s="786"/>
      <c r="I729" s="787"/>
      <c r="J729" s="788"/>
      <c r="K729" s="788"/>
      <c r="L729" s="796"/>
      <c r="M729" s="785"/>
      <c r="N729" s="1278"/>
      <c r="O729" s="646"/>
      <c r="P729" s="798"/>
      <c r="Q729" s="798"/>
      <c r="R729" s="798"/>
      <c r="S729" s="798"/>
      <c r="T729" s="798"/>
      <c r="U729" s="798"/>
      <c r="V729" s="798"/>
      <c r="W729" s="798"/>
      <c r="X729" s="798"/>
      <c r="Y729" s="798"/>
    </row>
    <row r="730" spans="1:25" s="791" customFormat="1">
      <c r="A730" s="1203"/>
      <c r="B730" s="1876"/>
      <c r="C730" s="1876"/>
      <c r="D730" s="1876"/>
      <c r="E730" s="1278"/>
      <c r="F730" s="275"/>
      <c r="G730" s="785"/>
      <c r="H730" s="786"/>
      <c r="I730" s="787"/>
      <c r="J730" s="788"/>
      <c r="K730" s="788"/>
      <c r="L730" s="796"/>
      <c r="M730" s="785"/>
      <c r="N730" s="1278"/>
      <c r="O730" s="646"/>
      <c r="P730" s="798"/>
      <c r="Q730" s="798"/>
      <c r="R730" s="798"/>
      <c r="S730" s="798"/>
      <c r="T730" s="798"/>
      <c r="U730" s="798"/>
      <c r="V730" s="798"/>
      <c r="W730" s="798"/>
      <c r="X730" s="798"/>
      <c r="Y730" s="798"/>
    </row>
    <row r="731" spans="1:25" s="791" customFormat="1">
      <c r="A731" s="1203"/>
      <c r="B731" s="1876"/>
      <c r="C731" s="1876"/>
      <c r="D731" s="1876"/>
      <c r="E731" s="1278"/>
      <c r="F731" s="275"/>
      <c r="G731" s="785"/>
      <c r="H731" s="786"/>
      <c r="I731" s="787"/>
      <c r="J731" s="788"/>
      <c r="K731" s="788"/>
      <c r="L731" s="796"/>
      <c r="M731" s="785"/>
      <c r="N731" s="1278"/>
      <c r="O731" s="646"/>
      <c r="P731" s="798"/>
      <c r="Q731" s="798"/>
      <c r="R731" s="798"/>
      <c r="S731" s="798"/>
      <c r="T731" s="798"/>
      <c r="U731" s="798"/>
      <c r="V731" s="798"/>
      <c r="W731" s="798"/>
      <c r="X731" s="798"/>
      <c r="Y731" s="798"/>
    </row>
    <row r="732" spans="1:25" s="791" customFormat="1">
      <c r="A732" s="1398" t="s">
        <v>2941</v>
      </c>
      <c r="B732" s="1314" t="s">
        <v>479</v>
      </c>
      <c r="C732" s="1314" t="s">
        <v>692</v>
      </c>
      <c r="D732" s="1314"/>
      <c r="E732" s="1575">
        <v>21</v>
      </c>
      <c r="F732" s="288" t="s">
        <v>2530</v>
      </c>
      <c r="G732" s="288"/>
      <c r="H732" s="283"/>
      <c r="I732" s="288" t="s">
        <v>3159</v>
      </c>
      <c r="J732" s="292"/>
      <c r="K732" s="292"/>
      <c r="L732" s="1576">
        <v>21</v>
      </c>
      <c r="M732" s="288">
        <f>L732-E732</f>
        <v>0</v>
      </c>
      <c r="N732" s="1300">
        <v>4</v>
      </c>
      <c r="O732" s="793"/>
      <c r="P732" s="808"/>
      <c r="Q732" s="798"/>
      <c r="R732" s="798"/>
      <c r="S732" s="798"/>
      <c r="T732" s="798"/>
      <c r="U732" s="798"/>
      <c r="V732" s="798"/>
      <c r="W732" s="798"/>
      <c r="X732" s="798"/>
      <c r="Y732" s="798"/>
    </row>
    <row r="733" spans="1:25" s="791" customFormat="1">
      <c r="A733" s="1398" t="s">
        <v>3011</v>
      </c>
      <c r="B733" s="1314" t="s">
        <v>479</v>
      </c>
      <c r="C733" s="1314" t="s">
        <v>692</v>
      </c>
      <c r="D733" s="1314"/>
      <c r="E733" s="1575">
        <v>45</v>
      </c>
      <c r="F733" s="288" t="s">
        <v>2530</v>
      </c>
      <c r="G733" s="288"/>
      <c r="H733" s="283"/>
      <c r="I733" s="288" t="s">
        <v>3159</v>
      </c>
      <c r="J733" s="292"/>
      <c r="K733" s="292"/>
      <c r="L733" s="1576">
        <v>45</v>
      </c>
      <c r="M733" s="288">
        <f>L733-E733</f>
        <v>0</v>
      </c>
      <c r="N733" s="1300">
        <v>4</v>
      </c>
      <c r="O733" s="793"/>
      <c r="P733" s="808"/>
      <c r="Q733" s="798"/>
      <c r="R733" s="798"/>
      <c r="S733" s="798"/>
      <c r="T733" s="798"/>
      <c r="U733" s="798"/>
      <c r="V733" s="798"/>
      <c r="W733" s="798"/>
      <c r="X733" s="798"/>
      <c r="Y733" s="798"/>
    </row>
    <row r="734" spans="1:25" s="791" customFormat="1">
      <c r="A734" s="1398" t="s">
        <v>3012</v>
      </c>
      <c r="B734" s="1314" t="s">
        <v>479</v>
      </c>
      <c r="C734" s="1314" t="s">
        <v>692</v>
      </c>
      <c r="D734" s="1314"/>
      <c r="E734" s="1575">
        <v>32</v>
      </c>
      <c r="F734" s="288"/>
      <c r="G734" s="288"/>
      <c r="H734" s="283"/>
      <c r="I734" s="288" t="s">
        <v>3159</v>
      </c>
      <c r="J734" s="292"/>
      <c r="K734" s="292"/>
      <c r="L734" s="1576">
        <v>32</v>
      </c>
      <c r="M734" s="288"/>
      <c r="N734" s="1300">
        <v>4</v>
      </c>
      <c r="O734" s="793"/>
      <c r="P734" s="808"/>
      <c r="Q734" s="798"/>
      <c r="R734" s="798"/>
      <c r="S734" s="798"/>
      <c r="T734" s="798"/>
      <c r="U734" s="798"/>
      <c r="V734" s="798"/>
      <c r="W734" s="798"/>
      <c r="X734" s="798"/>
      <c r="Y734" s="798"/>
    </row>
    <row r="735" spans="1:25" s="791" customFormat="1">
      <c r="A735" s="1568" t="s">
        <v>3097</v>
      </c>
      <c r="B735" s="1314" t="s">
        <v>479</v>
      </c>
      <c r="C735" s="1314" t="s">
        <v>692</v>
      </c>
      <c r="D735" s="1314"/>
      <c r="E735" s="1577">
        <v>22</v>
      </c>
      <c r="F735" s="288"/>
      <c r="G735" s="288"/>
      <c r="H735" s="283"/>
      <c r="I735" s="288" t="s">
        <v>3159</v>
      </c>
      <c r="J735" s="292"/>
      <c r="K735" s="292"/>
      <c r="L735" s="1578">
        <v>22</v>
      </c>
      <c r="M735" s="288"/>
      <c r="N735" s="1300">
        <v>4</v>
      </c>
      <c r="O735" s="793"/>
      <c r="P735" s="808"/>
      <c r="Q735" s="798"/>
      <c r="R735" s="798"/>
      <c r="S735" s="798"/>
      <c r="T735" s="798"/>
      <c r="U735" s="798"/>
      <c r="V735" s="798"/>
      <c r="W735" s="798"/>
      <c r="X735" s="798"/>
      <c r="Y735" s="798"/>
    </row>
    <row r="736" spans="1:25" s="791" customFormat="1" ht="16.5" customHeight="1">
      <c r="A736" s="1398" t="s">
        <v>3015</v>
      </c>
      <c r="B736" s="1314" t="s">
        <v>479</v>
      </c>
      <c r="C736" s="1314" t="s">
        <v>692</v>
      </c>
      <c r="D736" s="1314"/>
      <c r="E736" s="1575">
        <v>25</v>
      </c>
      <c r="F736" s="288" t="s">
        <v>2530</v>
      </c>
      <c r="G736" s="288"/>
      <c r="H736" s="283"/>
      <c r="I736" s="288" t="s">
        <v>3159</v>
      </c>
      <c r="J736" s="292"/>
      <c r="K736" s="292"/>
      <c r="L736" s="1576">
        <v>25</v>
      </c>
      <c r="M736" s="288">
        <f t="shared" ref="M736:M746" si="41">L736-E736</f>
        <v>0</v>
      </c>
      <c r="N736" s="1300">
        <v>4</v>
      </c>
      <c r="O736" s="793"/>
      <c r="P736" s="808"/>
      <c r="Q736" s="798"/>
      <c r="R736" s="1483"/>
      <c r="S736" s="1479"/>
      <c r="T736" s="1474"/>
      <c r="U736" s="1474"/>
      <c r="V736" s="1474"/>
      <c r="W736" s="1474"/>
      <c r="X736" s="1479"/>
      <c r="Y736" s="798"/>
    </row>
    <row r="737" spans="1:25" s="791" customFormat="1" ht="16.5" customHeight="1">
      <c r="A737" s="1567" t="s">
        <v>3016</v>
      </c>
      <c r="B737" s="1314" t="s">
        <v>479</v>
      </c>
      <c r="C737" s="1314" t="s">
        <v>692</v>
      </c>
      <c r="D737" s="1314"/>
      <c r="E737" s="1575">
        <v>65</v>
      </c>
      <c r="F737" s="288" t="s">
        <v>2530</v>
      </c>
      <c r="G737" s="288"/>
      <c r="H737" s="283"/>
      <c r="I737" s="288" t="s">
        <v>3159</v>
      </c>
      <c r="J737" s="292"/>
      <c r="K737" s="292"/>
      <c r="L737" s="1576">
        <v>65</v>
      </c>
      <c r="M737" s="288">
        <f t="shared" si="41"/>
        <v>0</v>
      </c>
      <c r="N737" s="1300">
        <v>4</v>
      </c>
      <c r="O737" s="793"/>
      <c r="P737" s="808"/>
      <c r="Q737" s="798"/>
      <c r="R737" s="1483"/>
      <c r="S737" s="1479"/>
      <c r="T737" s="1474"/>
      <c r="U737" s="1474"/>
      <c r="V737" s="1474"/>
      <c r="W737" s="1474"/>
      <c r="X737" s="1479"/>
      <c r="Y737" s="798"/>
    </row>
    <row r="738" spans="1:25" s="305" customFormat="1">
      <c r="A738" s="1399" t="s">
        <v>2950</v>
      </c>
      <c r="B738" s="1314" t="s">
        <v>479</v>
      </c>
      <c r="C738" s="1314" t="s">
        <v>1722</v>
      </c>
      <c r="D738" s="1314"/>
      <c r="E738" s="1575">
        <v>22</v>
      </c>
      <c r="F738" s="288"/>
      <c r="G738" s="288"/>
      <c r="H738" s="283"/>
      <c r="I738" s="289"/>
      <c r="J738" s="292"/>
      <c r="K738" s="292"/>
      <c r="L738" s="1576">
        <v>44</v>
      </c>
      <c r="M738" s="288">
        <f t="shared" si="41"/>
        <v>22</v>
      </c>
      <c r="N738" s="1300">
        <v>4</v>
      </c>
      <c r="O738" s="648"/>
      <c r="P738" s="302"/>
      <c r="Q738" s="297"/>
      <c r="R738" s="1483"/>
      <c r="S738" s="1479"/>
      <c r="T738" s="1474"/>
      <c r="U738" s="1474"/>
      <c r="V738" s="1474"/>
      <c r="W738" s="1474"/>
      <c r="X738" s="1479"/>
      <c r="Y738" s="297"/>
    </row>
    <row r="739" spans="1:25" s="305" customFormat="1" ht="16.5" customHeight="1">
      <c r="A739" s="1399" t="s">
        <v>2977</v>
      </c>
      <c r="B739" s="1314" t="s">
        <v>479</v>
      </c>
      <c r="C739" s="1314" t="s">
        <v>1722</v>
      </c>
      <c r="D739" s="1314"/>
      <c r="E739" s="1575">
        <v>47.5</v>
      </c>
      <c r="F739" s="288"/>
      <c r="G739" s="288"/>
      <c r="H739" s="283"/>
      <c r="I739" s="289"/>
      <c r="J739" s="292"/>
      <c r="K739" s="292"/>
      <c r="L739" s="1576">
        <v>95</v>
      </c>
      <c r="M739" s="288">
        <f t="shared" si="41"/>
        <v>47.5</v>
      </c>
      <c r="N739" s="1300">
        <v>4</v>
      </c>
      <c r="O739" s="648"/>
      <c r="P739" s="302"/>
      <c r="Q739" s="297"/>
      <c r="R739" s="1483"/>
      <c r="S739" s="1479"/>
      <c r="T739" s="1474"/>
      <c r="U739" s="1474"/>
      <c r="V739" s="1474"/>
      <c r="W739" s="1474"/>
      <c r="X739" s="1479"/>
      <c r="Y739" s="297"/>
    </row>
    <row r="740" spans="1:25" s="305" customFormat="1">
      <c r="A740" s="1399" t="s">
        <v>2978</v>
      </c>
      <c r="B740" s="1314" t="s">
        <v>479</v>
      </c>
      <c r="C740" s="1314" t="s">
        <v>1722</v>
      </c>
      <c r="D740" s="1314"/>
      <c r="E740" s="1575">
        <v>30</v>
      </c>
      <c r="F740" s="288"/>
      <c r="G740" s="288"/>
      <c r="H740" s="283"/>
      <c r="I740" s="289"/>
      <c r="J740" s="292"/>
      <c r="K740" s="292"/>
      <c r="L740" s="1576">
        <v>60</v>
      </c>
      <c r="M740" s="288">
        <f t="shared" si="41"/>
        <v>30</v>
      </c>
      <c r="N740" s="1300">
        <v>4</v>
      </c>
      <c r="O740" s="648"/>
      <c r="P740" s="302"/>
      <c r="Q740" s="297"/>
      <c r="R740" s="1483"/>
      <c r="S740" s="1479"/>
      <c r="T740" s="1474"/>
      <c r="U740" s="1474"/>
      <c r="V740" s="1474"/>
      <c r="W740" s="1474"/>
      <c r="X740" s="1479"/>
      <c r="Y740" s="297"/>
    </row>
    <row r="741" spans="1:25" s="305" customFormat="1">
      <c r="A741" s="1399" t="s">
        <v>2979</v>
      </c>
      <c r="B741" s="1314" t="s">
        <v>479</v>
      </c>
      <c r="C741" s="1314" t="s">
        <v>1722</v>
      </c>
      <c r="D741" s="1314"/>
      <c r="E741" s="1575">
        <v>24</v>
      </c>
      <c r="F741" s="288"/>
      <c r="G741" s="288"/>
      <c r="H741" s="283"/>
      <c r="I741" s="289"/>
      <c r="J741" s="292"/>
      <c r="K741" s="292"/>
      <c r="L741" s="1576">
        <v>48</v>
      </c>
      <c r="M741" s="288">
        <f t="shared" si="41"/>
        <v>24</v>
      </c>
      <c r="N741" s="1300">
        <v>4</v>
      </c>
      <c r="O741" s="648"/>
      <c r="P741" s="302"/>
      <c r="Q741" s="297"/>
      <c r="R741" s="1483"/>
      <c r="S741" s="1471"/>
      <c r="T741" s="1474"/>
      <c r="U741" s="1474"/>
      <c r="V741" s="1474"/>
      <c r="W741" s="1474"/>
      <c r="X741" s="1471"/>
      <c r="Y741" s="297"/>
    </row>
    <row r="742" spans="1:25" s="305" customFormat="1">
      <c r="A742" s="1399" t="s">
        <v>2980</v>
      </c>
      <c r="B742" s="1314" t="s">
        <v>479</v>
      </c>
      <c r="C742" s="1314" t="s">
        <v>1722</v>
      </c>
      <c r="D742" s="1314"/>
      <c r="E742" s="1575">
        <v>95</v>
      </c>
      <c r="F742" s="288"/>
      <c r="G742" s="288"/>
      <c r="H742" s="283"/>
      <c r="I742" s="289"/>
      <c r="J742" s="292"/>
      <c r="K742" s="292"/>
      <c r="L742" s="1576">
        <v>190</v>
      </c>
      <c r="M742" s="288">
        <f t="shared" si="41"/>
        <v>95</v>
      </c>
      <c r="N742" s="1300">
        <v>4</v>
      </c>
      <c r="O742" s="648"/>
      <c r="P742" s="302"/>
      <c r="Q742" s="297"/>
      <c r="R742" s="1483"/>
      <c r="S742" s="1471"/>
      <c r="T742" s="1474"/>
      <c r="U742" s="1474"/>
      <c r="V742" s="1474"/>
      <c r="W742" s="1474"/>
      <c r="X742" s="1471"/>
      <c r="Y742" s="297"/>
    </row>
    <row r="743" spans="1:25" s="791" customFormat="1">
      <c r="A743" s="1199" t="s">
        <v>2228</v>
      </c>
      <c r="B743" s="1275" t="s">
        <v>479</v>
      </c>
      <c r="C743" s="1275" t="s">
        <v>858</v>
      </c>
      <c r="D743" s="1275"/>
      <c r="E743" s="1278">
        <v>22</v>
      </c>
      <c r="F743" s="785"/>
      <c r="G743" s="785"/>
      <c r="H743" s="786"/>
      <c r="I743" s="787"/>
      <c r="J743" s="788"/>
      <c r="K743" s="788"/>
      <c r="L743" s="796">
        <v>44</v>
      </c>
      <c r="M743" s="785">
        <f t="shared" si="41"/>
        <v>22</v>
      </c>
      <c r="N743" s="1278">
        <v>4</v>
      </c>
      <c r="O743" s="793"/>
      <c r="P743" s="808"/>
      <c r="Q743" s="798"/>
      <c r="R743" s="1483"/>
      <c r="S743" s="1471"/>
      <c r="T743" s="1474"/>
      <c r="U743" s="1474"/>
      <c r="V743" s="1474"/>
      <c r="W743" s="1474"/>
      <c r="X743" s="1471"/>
      <c r="Y743" s="798"/>
    </row>
    <row r="744" spans="1:25" s="791" customFormat="1">
      <c r="A744" s="1199" t="s">
        <v>2229</v>
      </c>
      <c r="B744" s="1275" t="s">
        <v>479</v>
      </c>
      <c r="C744" s="1275" t="s">
        <v>858</v>
      </c>
      <c r="D744" s="1275"/>
      <c r="E744" s="1278">
        <v>27.5</v>
      </c>
      <c r="F744" s="785"/>
      <c r="G744" s="785"/>
      <c r="H744" s="786"/>
      <c r="I744" s="787"/>
      <c r="J744" s="788"/>
      <c r="K744" s="788"/>
      <c r="L744" s="796">
        <v>55</v>
      </c>
      <c r="M744" s="785">
        <f t="shared" si="41"/>
        <v>27.5</v>
      </c>
      <c r="N744" s="1278">
        <v>4</v>
      </c>
      <c r="O744" s="793"/>
      <c r="P744" s="808"/>
      <c r="Q744" s="798"/>
      <c r="R744" s="1483"/>
      <c r="S744" s="1484"/>
      <c r="T744" s="1485"/>
      <c r="U744" s="1485"/>
      <c r="V744" s="1485"/>
      <c r="W744" s="1485"/>
      <c r="X744" s="1487"/>
      <c r="Y744" s="798"/>
    </row>
    <row r="745" spans="1:25" s="791" customFormat="1">
      <c r="A745" s="1199" t="s">
        <v>2230</v>
      </c>
      <c r="B745" s="1275" t="s">
        <v>479</v>
      </c>
      <c r="C745" s="1275" t="s">
        <v>858</v>
      </c>
      <c r="D745" s="1275"/>
      <c r="E745" s="1278">
        <v>32.5</v>
      </c>
      <c r="F745" s="785"/>
      <c r="G745" s="785"/>
      <c r="H745" s="786"/>
      <c r="I745" s="787"/>
      <c r="J745" s="788"/>
      <c r="K745" s="788"/>
      <c r="L745" s="796">
        <v>65</v>
      </c>
      <c r="M745" s="785">
        <f t="shared" si="41"/>
        <v>32.5</v>
      </c>
      <c r="N745" s="1278">
        <v>4</v>
      </c>
      <c r="O745" s="793"/>
      <c r="P745" s="808"/>
      <c r="Q745" s="798"/>
      <c r="R745" s="1483"/>
      <c r="S745" s="1471"/>
      <c r="T745" s="1474"/>
      <c r="U745" s="1474"/>
      <c r="V745" s="1474"/>
      <c r="W745" s="1474"/>
      <c r="X745" s="1471"/>
      <c r="Y745" s="798"/>
    </row>
    <row r="746" spans="1:25" s="791" customFormat="1">
      <c r="A746" s="1200" t="s">
        <v>2231</v>
      </c>
      <c r="B746" s="1275" t="s">
        <v>479</v>
      </c>
      <c r="C746" s="1275" t="s">
        <v>858</v>
      </c>
      <c r="D746" s="1275"/>
      <c r="E746" s="1278">
        <v>38.5</v>
      </c>
      <c r="F746" s="785"/>
      <c r="G746" s="785"/>
      <c r="H746" s="786"/>
      <c r="I746" s="787"/>
      <c r="J746" s="788"/>
      <c r="K746" s="788"/>
      <c r="L746" s="796">
        <v>77</v>
      </c>
      <c r="M746" s="785">
        <f t="shared" si="41"/>
        <v>38.5</v>
      </c>
      <c r="N746" s="1278">
        <v>4</v>
      </c>
      <c r="O746" s="793"/>
      <c r="P746" s="808"/>
      <c r="Q746" s="798"/>
      <c r="R746" s="1483"/>
      <c r="S746" s="1471"/>
      <c r="T746" s="1474"/>
      <c r="U746" s="1474"/>
      <c r="V746" s="1474"/>
      <c r="W746" s="1474"/>
      <c r="X746" s="1471"/>
      <c r="Y746" s="798"/>
    </row>
    <row r="747" spans="1:25" s="688" customFormat="1">
      <c r="A747" s="693" t="s">
        <v>1717</v>
      </c>
      <c r="B747" s="1272" t="s">
        <v>479</v>
      </c>
      <c r="C747" s="1272" t="s">
        <v>607</v>
      </c>
      <c r="D747" s="1272"/>
      <c r="E747" s="1255">
        <v>27</v>
      </c>
      <c r="F747" s="681"/>
      <c r="G747" s="681"/>
      <c r="H747" s="786" t="s">
        <v>2330</v>
      </c>
      <c r="I747" s="689"/>
      <c r="J747" s="685"/>
      <c r="K747" s="685"/>
      <c r="L747" s="714">
        <v>49</v>
      </c>
      <c r="M747" s="681"/>
      <c r="N747" s="1255">
        <v>4</v>
      </c>
      <c r="O747" s="707"/>
      <c r="P747" s="750"/>
      <c r="Q747" s="696"/>
      <c r="R747" s="1483"/>
      <c r="S747" s="1471"/>
      <c r="T747" s="1474"/>
      <c r="U747" s="1474"/>
      <c r="V747" s="1474"/>
      <c r="W747" s="1474"/>
      <c r="X747" s="1471"/>
      <c r="Y747" s="696"/>
    </row>
    <row r="748" spans="1:25" s="688" customFormat="1">
      <c r="A748" s="693" t="s">
        <v>6</v>
      </c>
      <c r="B748" s="1272" t="s">
        <v>479</v>
      </c>
      <c r="C748" s="1272" t="s">
        <v>607</v>
      </c>
      <c r="D748" s="1272"/>
      <c r="E748" s="1255">
        <v>36</v>
      </c>
      <c r="F748" s="681"/>
      <c r="G748" s="681"/>
      <c r="H748" s="786" t="s">
        <v>2330</v>
      </c>
      <c r="I748" s="689"/>
      <c r="J748" s="685"/>
      <c r="K748" s="685"/>
      <c r="L748" s="714">
        <v>67</v>
      </c>
      <c r="M748" s="681"/>
      <c r="N748" s="1255">
        <v>4</v>
      </c>
      <c r="O748" s="707"/>
      <c r="P748" s="750"/>
      <c r="Q748" s="696"/>
      <c r="R748" s="1483"/>
      <c r="S748" s="1471"/>
      <c r="T748" s="1474"/>
      <c r="U748" s="1474"/>
      <c r="V748" s="1474"/>
      <c r="W748" s="1474"/>
      <c r="X748" s="1487"/>
      <c r="Y748" s="696"/>
    </row>
    <row r="749" spans="1:25" s="688" customFormat="1">
      <c r="A749" s="693" t="s">
        <v>1718</v>
      </c>
      <c r="B749" s="1272" t="s">
        <v>479</v>
      </c>
      <c r="C749" s="1272" t="s">
        <v>607</v>
      </c>
      <c r="D749" s="1272"/>
      <c r="E749" s="1255">
        <v>50</v>
      </c>
      <c r="F749" s="681"/>
      <c r="G749" s="681"/>
      <c r="H749" s="786" t="s">
        <v>2330</v>
      </c>
      <c r="I749" s="689"/>
      <c r="J749" s="685"/>
      <c r="K749" s="685"/>
      <c r="L749" s="714">
        <v>95</v>
      </c>
      <c r="M749" s="681"/>
      <c r="N749" s="1255">
        <v>4</v>
      </c>
      <c r="O749" s="707"/>
      <c r="P749" s="750"/>
      <c r="Q749" s="696"/>
      <c r="R749" s="1483"/>
      <c r="S749" s="1471"/>
      <c r="T749" s="1474"/>
      <c r="U749" s="1474"/>
      <c r="V749" s="1474"/>
      <c r="W749" s="1474"/>
      <c r="X749" s="1487"/>
      <c r="Y749" s="696"/>
    </row>
    <row r="750" spans="1:25" s="688" customFormat="1">
      <c r="A750" s="693" t="s">
        <v>1719</v>
      </c>
      <c r="B750" s="1272" t="s">
        <v>479</v>
      </c>
      <c r="C750" s="1272" t="s">
        <v>607</v>
      </c>
      <c r="D750" s="1272"/>
      <c r="E750" s="1255">
        <v>70</v>
      </c>
      <c r="F750" s="681" t="s">
        <v>1686</v>
      </c>
      <c r="G750" s="681"/>
      <c r="H750" s="786" t="s">
        <v>2330</v>
      </c>
      <c r="I750" s="689"/>
      <c r="J750" s="685"/>
      <c r="K750" s="685"/>
      <c r="L750" s="714">
        <v>136</v>
      </c>
      <c r="M750" s="681"/>
      <c r="N750" s="1255">
        <v>4</v>
      </c>
      <c r="O750" s="707"/>
      <c r="P750" s="750"/>
      <c r="Q750" s="696"/>
      <c r="R750" s="1483"/>
      <c r="S750" s="1471"/>
      <c r="T750" s="1474"/>
      <c r="U750" s="1474"/>
      <c r="V750" s="1474"/>
      <c r="W750" s="1474"/>
      <c r="X750" s="1487"/>
      <c r="Y750" s="696"/>
    </row>
    <row r="751" spans="1:25" s="791" customFormat="1" ht="26">
      <c r="A751" s="1569" t="s">
        <v>2941</v>
      </c>
      <c r="B751" s="1314" t="s">
        <v>479</v>
      </c>
      <c r="C751" s="1574" t="s">
        <v>2221</v>
      </c>
      <c r="D751" s="1314"/>
      <c r="E751" s="1575">
        <v>28.5</v>
      </c>
      <c r="F751" s="288" t="s">
        <v>2329</v>
      </c>
      <c r="G751" s="288"/>
      <c r="H751" s="288" t="s">
        <v>3159</v>
      </c>
      <c r="I751" s="289"/>
      <c r="J751" s="292"/>
      <c r="K751" s="292"/>
      <c r="L751" s="1576">
        <v>52</v>
      </c>
      <c r="M751" s="288">
        <f t="shared" ref="M751:M757" si="42">L751-E751</f>
        <v>23.5</v>
      </c>
      <c r="N751" s="1300">
        <v>3</v>
      </c>
      <c r="O751" s="2827" t="s">
        <v>2217</v>
      </c>
      <c r="P751" s="808"/>
      <c r="Q751" s="798"/>
      <c r="R751" s="1483"/>
      <c r="S751" s="1471"/>
      <c r="T751" s="1474"/>
      <c r="U751" s="1474"/>
      <c r="V751" s="1474"/>
      <c r="W751" s="1474"/>
      <c r="X751" s="1487"/>
      <c r="Y751" s="798"/>
    </row>
    <row r="752" spans="1:25" s="791" customFormat="1">
      <c r="A752" s="1399" t="s">
        <v>2941</v>
      </c>
      <c r="B752" s="1314" t="s">
        <v>479</v>
      </c>
      <c r="C752" s="1574" t="s">
        <v>2942</v>
      </c>
      <c r="D752" s="1314"/>
      <c r="E752" s="1575">
        <v>26</v>
      </c>
      <c r="F752" s="288" t="s">
        <v>3093</v>
      </c>
      <c r="G752" s="288"/>
      <c r="H752" s="288" t="s">
        <v>3159</v>
      </c>
      <c r="I752" s="289"/>
      <c r="J752" s="292"/>
      <c r="K752" s="292"/>
      <c r="L752" s="1576">
        <v>47</v>
      </c>
      <c r="M752" s="288">
        <f t="shared" si="42"/>
        <v>21</v>
      </c>
      <c r="N752" s="1300">
        <v>3</v>
      </c>
      <c r="O752" s="2827"/>
      <c r="P752" s="808"/>
      <c r="Q752" s="798"/>
      <c r="R752" s="1483"/>
      <c r="S752" s="1471"/>
      <c r="T752" s="1474"/>
      <c r="U752" s="1474"/>
      <c r="V752" s="1474"/>
      <c r="W752" s="1474"/>
      <c r="X752" s="1487"/>
      <c r="Y752" s="798"/>
    </row>
    <row r="753" spans="1:25" s="791" customFormat="1">
      <c r="A753" s="1399" t="s">
        <v>2943</v>
      </c>
      <c r="B753" s="1314" t="s">
        <v>479</v>
      </c>
      <c r="C753" s="1574" t="s">
        <v>2218</v>
      </c>
      <c r="D753" s="1314"/>
      <c r="E753" s="1575">
        <v>53.5</v>
      </c>
      <c r="F753" s="288" t="s">
        <v>2329</v>
      </c>
      <c r="G753" s="288"/>
      <c r="H753" s="288" t="s">
        <v>3159</v>
      </c>
      <c r="I753" s="289"/>
      <c r="J753" s="292"/>
      <c r="K753" s="292"/>
      <c r="L753" s="1576">
        <v>97</v>
      </c>
      <c r="M753" s="288">
        <f t="shared" si="42"/>
        <v>43.5</v>
      </c>
      <c r="N753" s="1300">
        <v>3</v>
      </c>
      <c r="O753" s="2827"/>
      <c r="P753" s="808"/>
      <c r="Q753" s="798"/>
      <c r="R753" s="1483"/>
      <c r="S753" s="1471"/>
      <c r="T753" s="1474"/>
      <c r="U753" s="1474"/>
      <c r="V753" s="1474"/>
      <c r="W753" s="1474"/>
      <c r="X753" s="1487"/>
      <c r="Y753" s="798"/>
    </row>
    <row r="754" spans="1:25" s="791" customFormat="1">
      <c r="A754" s="1399" t="s">
        <v>2944</v>
      </c>
      <c r="B754" s="1314" t="s">
        <v>479</v>
      </c>
      <c r="C754" s="1574" t="s">
        <v>2942</v>
      </c>
      <c r="D754" s="1314"/>
      <c r="E754" s="1575">
        <v>51</v>
      </c>
      <c r="F754" s="288" t="s">
        <v>3093</v>
      </c>
      <c r="G754" s="288"/>
      <c r="H754" s="288" t="s">
        <v>3159</v>
      </c>
      <c r="I754" s="289"/>
      <c r="J754" s="292"/>
      <c r="K754" s="292"/>
      <c r="L754" s="1576">
        <v>92</v>
      </c>
      <c r="M754" s="288">
        <f t="shared" si="42"/>
        <v>41</v>
      </c>
      <c r="N754" s="1300">
        <v>3</v>
      </c>
      <c r="O754" s="2827"/>
      <c r="P754" s="808"/>
      <c r="Q754" s="798"/>
      <c r="R754" s="1483"/>
      <c r="S754" s="1484"/>
      <c r="T754" s="1474"/>
      <c r="U754" s="1474"/>
      <c r="V754" s="1474"/>
      <c r="W754" s="1474"/>
      <c r="X754" s="1471"/>
      <c r="Y754" s="798"/>
    </row>
    <row r="755" spans="1:25" s="791" customFormat="1">
      <c r="A755" s="1399" t="s">
        <v>2945</v>
      </c>
      <c r="B755" s="1314" t="s">
        <v>479</v>
      </c>
      <c r="C755" s="1574" t="s">
        <v>2218</v>
      </c>
      <c r="D755" s="1314"/>
      <c r="E755" s="1575">
        <v>39.5</v>
      </c>
      <c r="F755" s="288" t="s">
        <v>2329</v>
      </c>
      <c r="G755" s="288"/>
      <c r="H755" s="288" t="s">
        <v>3159</v>
      </c>
      <c r="I755" s="289"/>
      <c r="J755" s="292"/>
      <c r="K755" s="292"/>
      <c r="L755" s="1576">
        <v>69</v>
      </c>
      <c r="M755" s="288">
        <f t="shared" si="42"/>
        <v>29.5</v>
      </c>
      <c r="N755" s="1300">
        <v>3</v>
      </c>
      <c r="O755" s="2827"/>
      <c r="P755" s="808"/>
      <c r="Q755" s="798"/>
      <c r="R755" s="1483"/>
      <c r="S755" s="1484"/>
      <c r="T755" s="1474"/>
      <c r="U755" s="1474"/>
      <c r="V755" s="1474"/>
      <c r="W755" s="1474"/>
      <c r="X755" s="1471"/>
      <c r="Y755" s="798"/>
    </row>
    <row r="756" spans="1:25" s="791" customFormat="1">
      <c r="A756" s="1399" t="s">
        <v>2945</v>
      </c>
      <c r="B756" s="1314" t="s">
        <v>479</v>
      </c>
      <c r="C756" s="1574" t="s">
        <v>2942</v>
      </c>
      <c r="D756" s="1314"/>
      <c r="E756" s="1575">
        <v>37</v>
      </c>
      <c r="F756" s="288" t="s">
        <v>3093</v>
      </c>
      <c r="G756" s="288"/>
      <c r="H756" s="288" t="s">
        <v>3159</v>
      </c>
      <c r="I756" s="289"/>
      <c r="J756" s="292"/>
      <c r="K756" s="292"/>
      <c r="L756" s="1576">
        <v>64</v>
      </c>
      <c r="M756" s="288">
        <f t="shared" si="42"/>
        <v>27</v>
      </c>
      <c r="N756" s="1300">
        <v>3</v>
      </c>
      <c r="O756" s="2827"/>
      <c r="P756" s="808"/>
      <c r="Q756" s="798"/>
      <c r="R756" s="1483"/>
      <c r="S756" s="1484"/>
      <c r="T756" s="1474"/>
      <c r="U756" s="1474"/>
      <c r="V756" s="1474"/>
      <c r="W756" s="1474"/>
      <c r="X756" s="1471"/>
      <c r="Y756" s="798"/>
    </row>
    <row r="757" spans="1:25" s="791" customFormat="1">
      <c r="A757" s="1399" t="s">
        <v>2947</v>
      </c>
      <c r="B757" s="1314" t="s">
        <v>479</v>
      </c>
      <c r="C757" s="1574" t="s">
        <v>2221</v>
      </c>
      <c r="D757" s="1314"/>
      <c r="E757" s="1575">
        <v>28.5</v>
      </c>
      <c r="F757" s="288" t="s">
        <v>2329</v>
      </c>
      <c r="G757" s="288"/>
      <c r="H757" s="288" t="s">
        <v>3159</v>
      </c>
      <c r="I757" s="289"/>
      <c r="J757" s="292"/>
      <c r="K757" s="292"/>
      <c r="L757" s="1576">
        <v>52</v>
      </c>
      <c r="M757" s="288">
        <f t="shared" si="42"/>
        <v>23.5</v>
      </c>
      <c r="N757" s="1300">
        <v>3</v>
      </c>
      <c r="O757" s="2827"/>
      <c r="P757" s="808"/>
      <c r="Q757" s="798"/>
      <c r="R757" s="1483"/>
      <c r="S757" s="1484"/>
      <c r="T757" s="1474"/>
      <c r="U757" s="1474"/>
      <c r="V757" s="1474"/>
      <c r="W757" s="1474"/>
      <c r="X757" s="1471"/>
      <c r="Y757" s="798"/>
    </row>
    <row r="758" spans="1:25" s="791" customFormat="1">
      <c r="A758" s="1399" t="s">
        <v>2948</v>
      </c>
      <c r="B758" s="1314" t="s">
        <v>479</v>
      </c>
      <c r="C758" s="1574" t="s">
        <v>2942</v>
      </c>
      <c r="D758" s="1314"/>
      <c r="E758" s="1575">
        <v>26</v>
      </c>
      <c r="F758" s="288" t="s">
        <v>3093</v>
      </c>
      <c r="G758" s="288"/>
      <c r="H758" s="288" t="s">
        <v>3159</v>
      </c>
      <c r="I758" s="289"/>
      <c r="J758" s="292"/>
      <c r="K758" s="292"/>
      <c r="L758" s="1576">
        <v>47</v>
      </c>
      <c r="M758" s="288">
        <f>L758-E758</f>
        <v>21</v>
      </c>
      <c r="N758" s="1300">
        <v>3</v>
      </c>
      <c r="O758" s="2827"/>
      <c r="P758" s="808"/>
      <c r="Q758" s="798"/>
      <c r="R758" s="1483"/>
      <c r="S758" s="1484"/>
      <c r="T758" s="1474"/>
      <c r="U758" s="1474"/>
      <c r="V758" s="1474"/>
      <c r="W758" s="1474"/>
      <c r="X758" s="1471"/>
      <c r="Y758" s="798"/>
    </row>
    <row r="759" spans="1:25" s="791" customFormat="1">
      <c r="A759" s="1422" t="s">
        <v>2949</v>
      </c>
      <c r="B759" s="1314" t="s">
        <v>479</v>
      </c>
      <c r="C759" s="1574" t="s">
        <v>1085</v>
      </c>
      <c r="D759" s="1314"/>
      <c r="E759" s="1575">
        <v>68.5</v>
      </c>
      <c r="F759" s="288"/>
      <c r="G759" s="288"/>
      <c r="H759" s="288" t="s">
        <v>3159</v>
      </c>
      <c r="I759" s="289"/>
      <c r="J759" s="292"/>
      <c r="K759" s="292"/>
      <c r="L759" s="1576">
        <v>127</v>
      </c>
      <c r="M759" s="288">
        <f t="shared" ref="M759:M775" si="43">L759-E759</f>
        <v>58.5</v>
      </c>
      <c r="N759" s="1300">
        <v>3</v>
      </c>
      <c r="O759" s="793"/>
      <c r="P759" s="808"/>
      <c r="Q759" s="798"/>
      <c r="R759" s="1483"/>
      <c r="S759" s="1484"/>
      <c r="T759" s="1474"/>
      <c r="U759" s="1474"/>
      <c r="V759" s="1474"/>
      <c r="W759" s="1474"/>
      <c r="X759" s="1471"/>
      <c r="Y759" s="798"/>
    </row>
    <row r="760" spans="1:25" s="791" customFormat="1">
      <c r="A760" s="1570" t="s">
        <v>2950</v>
      </c>
      <c r="B760" s="1314" t="s">
        <v>479</v>
      </c>
      <c r="C760" s="1579" t="s">
        <v>2222</v>
      </c>
      <c r="D760" s="1314"/>
      <c r="E760" s="1575">
        <v>43</v>
      </c>
      <c r="F760" s="288"/>
      <c r="G760" s="288"/>
      <c r="H760" s="283"/>
      <c r="I760" s="289"/>
      <c r="J760" s="292"/>
      <c r="K760" s="292"/>
      <c r="L760" s="1576">
        <v>44</v>
      </c>
      <c r="M760" s="288">
        <f t="shared" si="43"/>
        <v>1</v>
      </c>
      <c r="N760" s="1300"/>
      <c r="O760" s="793"/>
      <c r="P760" s="808"/>
      <c r="Q760" s="798"/>
      <c r="R760" s="1483"/>
      <c r="S760" s="1484"/>
      <c r="T760" s="1474"/>
      <c r="U760" s="1474"/>
      <c r="V760" s="1474"/>
      <c r="W760" s="1474"/>
      <c r="X760" s="1471"/>
      <c r="Y760" s="798"/>
    </row>
    <row r="761" spans="1:25" s="791" customFormat="1">
      <c r="A761" s="1399" t="s">
        <v>2951</v>
      </c>
      <c r="B761" s="1314" t="s">
        <v>479</v>
      </c>
      <c r="C761" s="1579" t="s">
        <v>2222</v>
      </c>
      <c r="D761" s="1314"/>
      <c r="E761" s="1575">
        <v>45</v>
      </c>
      <c r="F761" s="288"/>
      <c r="G761" s="288"/>
      <c r="H761" s="283"/>
      <c r="I761" s="289"/>
      <c r="J761" s="292"/>
      <c r="K761" s="292"/>
      <c r="L761" s="1576">
        <v>85</v>
      </c>
      <c r="M761" s="288">
        <f t="shared" si="43"/>
        <v>40</v>
      </c>
      <c r="N761" s="1300"/>
      <c r="O761" s="793"/>
      <c r="P761" s="808"/>
      <c r="Q761" s="798"/>
      <c r="R761" s="1483"/>
      <c r="S761" s="1484"/>
      <c r="T761" s="1474"/>
      <c r="U761" s="1474"/>
      <c r="V761" s="1474"/>
      <c r="W761" s="1474"/>
      <c r="X761" s="1471"/>
      <c r="Y761" s="798"/>
    </row>
    <row r="762" spans="1:25" s="791" customFormat="1">
      <c r="A762" s="1399" t="s">
        <v>2952</v>
      </c>
      <c r="B762" s="1314" t="s">
        <v>479</v>
      </c>
      <c r="C762" s="1579" t="s">
        <v>2222</v>
      </c>
      <c r="D762" s="1314"/>
      <c r="E762" s="1575">
        <v>39</v>
      </c>
      <c r="F762" s="288"/>
      <c r="G762" s="288"/>
      <c r="H762" s="283"/>
      <c r="I762" s="289"/>
      <c r="J762" s="292"/>
      <c r="K762" s="292"/>
      <c r="L762" s="1576">
        <v>75</v>
      </c>
      <c r="M762" s="288">
        <f t="shared" si="43"/>
        <v>36</v>
      </c>
      <c r="N762" s="1300"/>
      <c r="O762" s="793"/>
      <c r="P762" s="808"/>
      <c r="Q762" s="798"/>
      <c r="R762" s="1483"/>
      <c r="S762" s="1484"/>
      <c r="T762" s="1474"/>
      <c r="U762" s="1474"/>
      <c r="V762" s="1474"/>
      <c r="W762" s="1474"/>
      <c r="X762" s="1471"/>
      <c r="Y762" s="798"/>
    </row>
    <row r="763" spans="1:25" s="791" customFormat="1">
      <c r="A763" s="1399" t="s">
        <v>2954</v>
      </c>
      <c r="B763" s="1314" t="s">
        <v>479</v>
      </c>
      <c r="C763" s="1579" t="s">
        <v>2222</v>
      </c>
      <c r="D763" s="1314"/>
      <c r="E763" s="1575">
        <v>32.5</v>
      </c>
      <c r="F763" s="288"/>
      <c r="G763" s="288"/>
      <c r="H763" s="283"/>
      <c r="I763" s="289"/>
      <c r="J763" s="292"/>
      <c r="K763" s="292"/>
      <c r="L763" s="1576">
        <v>62</v>
      </c>
      <c r="M763" s="288">
        <f t="shared" si="43"/>
        <v>29.5</v>
      </c>
      <c r="N763" s="1300"/>
      <c r="O763" s="793"/>
      <c r="P763" s="808"/>
      <c r="Q763" s="798"/>
      <c r="R763" s="1483"/>
      <c r="S763" s="1479"/>
      <c r="T763" s="1474"/>
      <c r="U763" s="1474"/>
      <c r="V763" s="1474"/>
      <c r="W763" s="1474"/>
      <c r="X763" s="1479"/>
      <c r="Y763" s="798"/>
    </row>
    <row r="764" spans="1:25" s="791" customFormat="1">
      <c r="A764" s="1399" t="s">
        <v>2956</v>
      </c>
      <c r="B764" s="1314" t="s">
        <v>479</v>
      </c>
      <c r="C764" s="1579" t="s">
        <v>2222</v>
      </c>
      <c r="D764" s="1314"/>
      <c r="E764" s="1575">
        <v>37.5</v>
      </c>
      <c r="F764" s="288"/>
      <c r="G764" s="288"/>
      <c r="H764" s="283"/>
      <c r="I764" s="289"/>
      <c r="J764" s="292"/>
      <c r="K764" s="292"/>
      <c r="L764" s="1576">
        <v>72</v>
      </c>
      <c r="M764" s="288">
        <f t="shared" si="43"/>
        <v>34.5</v>
      </c>
      <c r="N764" s="1300"/>
      <c r="O764" s="793"/>
      <c r="P764" s="808"/>
      <c r="Q764" s="798"/>
      <c r="R764" s="1483"/>
      <c r="S764" s="1479"/>
      <c r="T764" s="1474"/>
      <c r="U764" s="1474"/>
      <c r="V764" s="1474"/>
      <c r="W764" s="1474"/>
      <c r="X764" s="1479"/>
      <c r="Y764" s="798"/>
    </row>
    <row r="765" spans="1:25" s="791" customFormat="1">
      <c r="A765" s="1399" t="s">
        <v>2958</v>
      </c>
      <c r="B765" s="1314" t="s">
        <v>479</v>
      </c>
      <c r="C765" s="1579" t="s">
        <v>2222</v>
      </c>
      <c r="D765" s="1314"/>
      <c r="E765" s="1575">
        <v>55</v>
      </c>
      <c r="F765" s="288"/>
      <c r="G765" s="288"/>
      <c r="H765" s="283"/>
      <c r="I765" s="289"/>
      <c r="J765" s="292"/>
      <c r="K765" s="292"/>
      <c r="L765" s="1576">
        <v>105</v>
      </c>
      <c r="M765" s="288">
        <f t="shared" si="43"/>
        <v>50</v>
      </c>
      <c r="N765" s="1300"/>
      <c r="O765" s="793"/>
      <c r="P765" s="808"/>
      <c r="Q765" s="798"/>
      <c r="R765" s="1483"/>
      <c r="S765" s="1479"/>
      <c r="T765" s="1474"/>
      <c r="U765" s="1474"/>
      <c r="V765" s="1474"/>
      <c r="W765" s="1474"/>
      <c r="X765" s="1479"/>
      <c r="Y765" s="798"/>
    </row>
    <row r="766" spans="1:25" s="791" customFormat="1">
      <c r="A766" s="1399" t="s">
        <v>2960</v>
      </c>
      <c r="B766" s="1314" t="s">
        <v>479</v>
      </c>
      <c r="C766" s="1579" t="s">
        <v>2222</v>
      </c>
      <c r="D766" s="1314"/>
      <c r="E766" s="1575">
        <v>52.5</v>
      </c>
      <c r="F766" s="288"/>
      <c r="G766" s="288"/>
      <c r="H766" s="283"/>
      <c r="I766" s="289"/>
      <c r="J766" s="292"/>
      <c r="K766" s="292"/>
      <c r="L766" s="1576">
        <v>100</v>
      </c>
      <c r="M766" s="288">
        <f t="shared" si="43"/>
        <v>47.5</v>
      </c>
      <c r="N766" s="1300"/>
      <c r="O766" s="793"/>
      <c r="P766" s="808"/>
      <c r="Q766" s="798"/>
      <c r="R766" s="1483"/>
      <c r="S766" s="1479"/>
      <c r="T766" s="1474"/>
      <c r="U766" s="1474"/>
      <c r="V766" s="1474"/>
      <c r="W766" s="1474"/>
      <c r="X766" s="1479"/>
      <c r="Y766" s="798"/>
    </row>
    <row r="767" spans="1:25" s="791" customFormat="1">
      <c r="A767" s="1399" t="s">
        <v>2961</v>
      </c>
      <c r="B767" s="1314" t="s">
        <v>479</v>
      </c>
      <c r="C767" s="1580" t="s">
        <v>2222</v>
      </c>
      <c r="D767" s="1314"/>
      <c r="E767" s="1577">
        <v>65</v>
      </c>
      <c r="F767" s="288"/>
      <c r="G767" s="288"/>
      <c r="H767" s="283"/>
      <c r="I767" s="289"/>
      <c r="J767" s="292"/>
      <c r="K767" s="292"/>
      <c r="L767" s="1578">
        <v>125</v>
      </c>
      <c r="M767" s="288">
        <f t="shared" si="43"/>
        <v>60</v>
      </c>
      <c r="N767" s="1300"/>
      <c r="O767" s="793"/>
      <c r="P767" s="808"/>
      <c r="Q767" s="798"/>
      <c r="R767" s="1483"/>
      <c r="S767" s="1479"/>
      <c r="T767" s="1474"/>
      <c r="U767" s="1474"/>
      <c r="V767" s="1474"/>
      <c r="W767" s="1474"/>
      <c r="X767" s="1479"/>
      <c r="Y767" s="798"/>
    </row>
    <row r="768" spans="1:25" s="791" customFormat="1">
      <c r="A768" s="1570" t="s">
        <v>2950</v>
      </c>
      <c r="B768" s="1314" t="s">
        <v>479</v>
      </c>
      <c r="C768" s="1579" t="s">
        <v>2223</v>
      </c>
      <c r="D768" s="1314"/>
      <c r="E768" s="1575">
        <v>29.5</v>
      </c>
      <c r="F768" s="288"/>
      <c r="G768" s="288"/>
      <c r="H768" s="283"/>
      <c r="I768" s="289"/>
      <c r="J768" s="292"/>
      <c r="K768" s="292"/>
      <c r="L768" s="1576">
        <v>56</v>
      </c>
      <c r="M768" s="288">
        <f t="shared" si="43"/>
        <v>26.5</v>
      </c>
      <c r="N768" s="1300"/>
      <c r="O768" s="793"/>
      <c r="P768" s="808"/>
      <c r="Q768" s="798"/>
      <c r="R768" s="1483"/>
      <c r="S768" s="1479"/>
      <c r="T768" s="1474"/>
      <c r="U768" s="1474"/>
      <c r="V768" s="1474"/>
      <c r="W768" s="1474"/>
      <c r="X768" s="1479"/>
      <c r="Y768" s="798"/>
    </row>
    <row r="769" spans="1:25" s="791" customFormat="1">
      <c r="A769" s="1399" t="s">
        <v>2962</v>
      </c>
      <c r="B769" s="1314" t="s">
        <v>479</v>
      </c>
      <c r="C769" s="1579" t="s">
        <v>2223</v>
      </c>
      <c r="D769" s="1314"/>
      <c r="E769" s="1575">
        <v>45</v>
      </c>
      <c r="F769" s="288"/>
      <c r="G769" s="288"/>
      <c r="H769" s="283"/>
      <c r="I769" s="289"/>
      <c r="J769" s="292"/>
      <c r="K769" s="292"/>
      <c r="L769" s="1576">
        <v>87</v>
      </c>
      <c r="M769" s="288">
        <f t="shared" si="43"/>
        <v>42</v>
      </c>
      <c r="N769" s="1300"/>
      <c r="O769" s="793"/>
      <c r="P769" s="808"/>
      <c r="Q769" s="798"/>
      <c r="R769" s="1483"/>
      <c r="S769" s="1479"/>
      <c r="T769" s="1474"/>
      <c r="U769" s="1474"/>
      <c r="V769" s="1474"/>
      <c r="W769" s="1474"/>
      <c r="X769" s="1479"/>
      <c r="Y769" s="798"/>
    </row>
    <row r="770" spans="1:25" s="791" customFormat="1">
      <c r="A770" s="1399" t="s">
        <v>2954</v>
      </c>
      <c r="B770" s="1314" t="s">
        <v>479</v>
      </c>
      <c r="C770" s="1579" t="s">
        <v>2223</v>
      </c>
      <c r="D770" s="1314"/>
      <c r="E770" s="1575">
        <v>39</v>
      </c>
      <c r="F770" s="288"/>
      <c r="G770" s="288"/>
      <c r="H770" s="283"/>
      <c r="I770" s="289"/>
      <c r="J770" s="292"/>
      <c r="K770" s="292"/>
      <c r="L770" s="1576">
        <v>75</v>
      </c>
      <c r="M770" s="288">
        <f t="shared" si="43"/>
        <v>36</v>
      </c>
      <c r="N770" s="1300"/>
      <c r="O770" s="793"/>
      <c r="P770" s="808"/>
      <c r="Q770" s="798"/>
      <c r="R770" s="1483"/>
      <c r="S770" s="1483"/>
      <c r="T770" s="1474"/>
      <c r="U770" s="1474"/>
      <c r="V770" s="1474"/>
      <c r="W770" s="1474"/>
      <c r="X770" s="1471"/>
      <c r="Y770" s="798"/>
    </row>
    <row r="771" spans="1:25" s="791" customFormat="1">
      <c r="A771" s="1399" t="s">
        <v>2956</v>
      </c>
      <c r="B771" s="1314" t="s">
        <v>479</v>
      </c>
      <c r="C771" s="1579" t="s">
        <v>2223</v>
      </c>
      <c r="D771" s="1314"/>
      <c r="E771" s="1575">
        <v>41.5</v>
      </c>
      <c r="F771" s="288"/>
      <c r="G771" s="288"/>
      <c r="H771" s="283"/>
      <c r="I771" s="289"/>
      <c r="J771" s="292"/>
      <c r="K771" s="292"/>
      <c r="L771" s="1576">
        <v>80</v>
      </c>
      <c r="M771" s="288">
        <f t="shared" si="43"/>
        <v>38.5</v>
      </c>
      <c r="N771" s="1300"/>
      <c r="O771" s="793"/>
      <c r="P771" s="808"/>
      <c r="Q771" s="798"/>
      <c r="R771" s="1483"/>
      <c r="S771" s="1483"/>
      <c r="T771" s="1474"/>
      <c r="U771" s="1474"/>
      <c r="V771" s="1474"/>
      <c r="W771" s="1474"/>
      <c r="X771" s="1479"/>
      <c r="Y771" s="798"/>
    </row>
    <row r="772" spans="1:25" s="791" customFormat="1">
      <c r="A772" s="1399" t="s">
        <v>2963</v>
      </c>
      <c r="B772" s="1314" t="s">
        <v>479</v>
      </c>
      <c r="C772" s="1579" t="s">
        <v>2223</v>
      </c>
      <c r="D772" s="1314"/>
      <c r="E772" s="1575">
        <v>62.5</v>
      </c>
      <c r="F772" s="288"/>
      <c r="G772" s="288"/>
      <c r="H772" s="283"/>
      <c r="I772" s="289"/>
      <c r="J772" s="292"/>
      <c r="K772" s="292"/>
      <c r="L772" s="1576">
        <v>120</v>
      </c>
      <c r="M772" s="288">
        <f t="shared" si="43"/>
        <v>57.5</v>
      </c>
      <c r="N772" s="1300"/>
      <c r="O772" s="793"/>
      <c r="P772" s="808"/>
      <c r="Q772" s="798"/>
      <c r="R772" s="1483"/>
      <c r="S772" s="1488"/>
      <c r="T772" s="1474"/>
      <c r="U772" s="1474"/>
      <c r="V772" s="1474"/>
      <c r="W772" s="1485"/>
      <c r="X772" s="1487"/>
      <c r="Y772" s="798"/>
    </row>
    <row r="773" spans="1:25" s="791" customFormat="1">
      <c r="A773" s="1399" t="s">
        <v>2961</v>
      </c>
      <c r="B773" s="1314" t="s">
        <v>479</v>
      </c>
      <c r="C773" s="1579" t="s">
        <v>2223</v>
      </c>
      <c r="D773" s="1314"/>
      <c r="E773" s="1575" t="s">
        <v>696</v>
      </c>
      <c r="F773" s="288"/>
      <c r="G773" s="288"/>
      <c r="H773" s="283"/>
      <c r="I773" s="289"/>
      <c r="J773" s="292"/>
      <c r="K773" s="292"/>
      <c r="L773" s="1576" t="s">
        <v>696</v>
      </c>
      <c r="M773" s="288"/>
      <c r="N773" s="1300"/>
      <c r="O773" s="793"/>
      <c r="P773" s="808"/>
      <c r="Q773" s="798"/>
      <c r="R773" s="1483"/>
      <c r="S773" s="1483"/>
      <c r="T773" s="1474"/>
      <c r="U773" s="1474"/>
      <c r="V773" s="1474"/>
      <c r="W773" s="1474"/>
      <c r="X773" s="1479"/>
      <c r="Y773" s="798"/>
    </row>
    <row r="774" spans="1:25" s="791" customFormat="1">
      <c r="A774" s="1199" t="s">
        <v>2236</v>
      </c>
      <c r="B774" s="1275" t="s">
        <v>479</v>
      </c>
      <c r="C774" s="1275" t="s">
        <v>2331</v>
      </c>
      <c r="D774" s="1275"/>
      <c r="E774" s="1278">
        <v>25</v>
      </c>
      <c r="F774" s="785"/>
      <c r="G774" s="785"/>
      <c r="H774" s="786"/>
      <c r="I774" s="787"/>
      <c r="J774" s="788"/>
      <c r="K774" s="788"/>
      <c r="L774" s="796">
        <v>41</v>
      </c>
      <c r="M774" s="785">
        <f t="shared" si="43"/>
        <v>16</v>
      </c>
      <c r="N774" s="1278">
        <v>3</v>
      </c>
      <c r="O774" s="793"/>
      <c r="P774" s="808"/>
      <c r="Q774" s="798"/>
      <c r="R774" s="1483"/>
      <c r="S774" s="1483"/>
      <c r="T774" s="1474"/>
      <c r="U774" s="1474"/>
      <c r="V774" s="1474"/>
      <c r="W774" s="1474"/>
      <c r="X774" s="1487"/>
      <c r="Y774" s="798"/>
    </row>
    <row r="775" spans="1:25" s="791" customFormat="1">
      <c r="A775" s="1199" t="s">
        <v>2237</v>
      </c>
      <c r="B775" s="1275" t="s">
        <v>479</v>
      </c>
      <c r="C775" s="1275" t="s">
        <v>2331</v>
      </c>
      <c r="D775" s="1275"/>
      <c r="E775" s="1278">
        <v>35</v>
      </c>
      <c r="F775" s="785"/>
      <c r="G775" s="785"/>
      <c r="H775" s="786"/>
      <c r="I775" s="787"/>
      <c r="J775" s="788"/>
      <c r="K775" s="788"/>
      <c r="L775" s="796">
        <v>61</v>
      </c>
      <c r="M775" s="785">
        <f t="shared" si="43"/>
        <v>26</v>
      </c>
      <c r="N775" s="1278">
        <v>3</v>
      </c>
      <c r="O775" s="793"/>
      <c r="P775" s="808"/>
      <c r="Q775" s="798"/>
      <c r="R775" s="1483"/>
      <c r="S775" s="1483"/>
      <c r="T775" s="1474"/>
      <c r="U775" s="1474"/>
      <c r="V775" s="1474"/>
      <c r="W775" s="1474"/>
      <c r="X775" s="1487"/>
      <c r="Y775" s="798"/>
    </row>
    <row r="776" spans="1:25" s="791" customFormat="1">
      <c r="A776" s="1199" t="s">
        <v>2238</v>
      </c>
      <c r="B776" s="1275" t="s">
        <v>479</v>
      </c>
      <c r="C776" s="1275" t="s">
        <v>2331</v>
      </c>
      <c r="D776" s="1275"/>
      <c r="E776" s="1278">
        <v>47.5</v>
      </c>
      <c r="F776" s="785"/>
      <c r="G776" s="785"/>
      <c r="H776" s="786"/>
      <c r="I776" s="787"/>
      <c r="J776" s="788"/>
      <c r="K776" s="788"/>
      <c r="L776" s="796">
        <v>95</v>
      </c>
      <c r="M776" s="785">
        <f>L776-E776</f>
        <v>47.5</v>
      </c>
      <c r="N776" s="1278">
        <v>3</v>
      </c>
      <c r="O776" s="793"/>
      <c r="P776" s="808"/>
      <c r="Q776" s="798"/>
      <c r="R776" s="1483"/>
      <c r="S776" s="1483"/>
      <c r="T776" s="1474"/>
      <c r="U776" s="1474"/>
      <c r="V776" s="1474"/>
      <c r="W776" s="1474"/>
      <c r="X776" s="1487"/>
      <c r="Y776" s="798"/>
    </row>
    <row r="777" spans="1:25" s="791" customFormat="1">
      <c r="A777" s="1200" t="s">
        <v>2239</v>
      </c>
      <c r="B777" s="1275" t="s">
        <v>479</v>
      </c>
      <c r="C777" s="1275" t="s">
        <v>2331</v>
      </c>
      <c r="D777" s="1275"/>
      <c r="E777" s="1278" t="s">
        <v>2332</v>
      </c>
      <c r="F777" s="785"/>
      <c r="G777" s="785"/>
      <c r="H777" s="786"/>
      <c r="I777" s="787"/>
      <c r="J777" s="788"/>
      <c r="K777" s="788"/>
      <c r="L777" s="796"/>
      <c r="M777" s="785"/>
      <c r="N777" s="1278">
        <v>3</v>
      </c>
      <c r="O777" s="793"/>
      <c r="P777" s="808"/>
      <c r="Q777" s="798"/>
      <c r="R777" s="1483"/>
      <c r="S777" s="1483"/>
      <c r="T777" s="1474"/>
      <c r="U777" s="1474"/>
      <c r="V777" s="1474"/>
      <c r="W777" s="1474"/>
      <c r="X777" s="1487"/>
      <c r="Y777" s="798"/>
    </row>
    <row r="778" spans="1:25" s="791" customFormat="1">
      <c r="A778" s="1199" t="s">
        <v>2264</v>
      </c>
      <c r="B778" s="1275" t="s">
        <v>479</v>
      </c>
      <c r="C778" s="1275" t="s">
        <v>1428</v>
      </c>
      <c r="D778" s="1275"/>
      <c r="E778" s="1278">
        <v>24.5</v>
      </c>
      <c r="F778" s="785"/>
      <c r="G778" s="785"/>
      <c r="H778" s="786"/>
      <c r="I778" s="787"/>
      <c r="J778" s="788"/>
      <c r="K778" s="788"/>
      <c r="L778" s="796">
        <v>49</v>
      </c>
      <c r="M778" s="785">
        <f>L778-E778</f>
        <v>24.5</v>
      </c>
      <c r="N778" s="1278">
        <v>4</v>
      </c>
      <c r="O778" s="793"/>
      <c r="P778" s="808"/>
      <c r="Q778" s="798"/>
      <c r="R778" s="1483"/>
      <c r="S778" s="1483"/>
      <c r="T778" s="1474"/>
      <c r="U778" s="1474"/>
      <c r="V778" s="1474"/>
      <c r="W778" s="1474"/>
      <c r="X778" s="1487"/>
      <c r="Y778" s="798"/>
    </row>
    <row r="779" spans="1:25" s="791" customFormat="1">
      <c r="A779" s="1199" t="s">
        <v>2265</v>
      </c>
      <c r="B779" s="1275" t="s">
        <v>479</v>
      </c>
      <c r="C779" s="1275" t="s">
        <v>1428</v>
      </c>
      <c r="D779" s="1275"/>
      <c r="E779" s="1278">
        <v>34.5</v>
      </c>
      <c r="F779" s="785"/>
      <c r="G779" s="785"/>
      <c r="H779" s="786"/>
      <c r="I779" s="787"/>
      <c r="J779" s="788"/>
      <c r="K779" s="788"/>
      <c r="L779" s="796">
        <v>69</v>
      </c>
      <c r="M779" s="785">
        <f>L779-E779</f>
        <v>34.5</v>
      </c>
      <c r="N779" s="1278">
        <v>4</v>
      </c>
      <c r="O779" s="793"/>
      <c r="P779" s="808"/>
      <c r="Q779" s="798"/>
      <c r="R779" s="1483"/>
      <c r="S779" s="1471"/>
      <c r="T779" s="1474"/>
      <c r="U779" s="1474"/>
      <c r="V779" s="1474"/>
      <c r="W779" s="1474"/>
      <c r="X779" s="1487"/>
      <c r="Y779" s="798"/>
    </row>
    <row r="780" spans="1:25" s="791" customFormat="1">
      <c r="A780" s="1200" t="s">
        <v>2267</v>
      </c>
      <c r="B780" s="1275" t="s">
        <v>479</v>
      </c>
      <c r="C780" s="1275" t="s">
        <v>1428</v>
      </c>
      <c r="D780" s="1275"/>
      <c r="E780" s="1278">
        <v>44.5</v>
      </c>
      <c r="F780" s="785"/>
      <c r="G780" s="785"/>
      <c r="H780" s="786"/>
      <c r="I780" s="787"/>
      <c r="J780" s="788"/>
      <c r="K780" s="788"/>
      <c r="L780" s="796">
        <v>89</v>
      </c>
      <c r="M780" s="785">
        <f>L780-E780</f>
        <v>44.5</v>
      </c>
      <c r="N780" s="1278">
        <v>4</v>
      </c>
      <c r="O780" s="793"/>
      <c r="P780" s="808"/>
      <c r="Q780" s="798"/>
      <c r="R780" s="1483"/>
      <c r="S780" s="1471"/>
      <c r="T780" s="1474"/>
      <c r="U780" s="1474"/>
      <c r="V780" s="1474"/>
      <c r="W780" s="1474"/>
      <c r="X780" s="1487"/>
      <c r="Y780" s="798"/>
    </row>
    <row r="781" spans="1:25" s="791" customFormat="1" ht="15.75" customHeight="1">
      <c r="A781" s="1571" t="s">
        <v>2941</v>
      </c>
      <c r="B781" s="1314" t="s">
        <v>479</v>
      </c>
      <c r="C781" s="1574" t="s">
        <v>3096</v>
      </c>
      <c r="D781" s="1314"/>
      <c r="E781" s="1575">
        <v>24</v>
      </c>
      <c r="F781" s="288" t="s">
        <v>3160</v>
      </c>
      <c r="G781" s="288"/>
      <c r="H781" s="283"/>
      <c r="I781" s="289"/>
      <c r="J781" s="292"/>
      <c r="K781" s="292"/>
      <c r="L781" s="1576">
        <v>47</v>
      </c>
      <c r="M781" s="288">
        <f>L781-E781</f>
        <v>23</v>
      </c>
      <c r="N781" s="1300">
        <v>5</v>
      </c>
      <c r="O781" s="793"/>
      <c r="P781" s="808"/>
      <c r="Q781" s="798"/>
      <c r="R781" s="1483"/>
      <c r="S781" s="1471"/>
      <c r="T781" s="1474"/>
      <c r="U781" s="1474"/>
      <c r="V781" s="1474"/>
      <c r="W781" s="1474"/>
      <c r="X781" s="1487"/>
      <c r="Y781" s="798"/>
    </row>
    <row r="782" spans="1:25" s="791" customFormat="1" ht="15.75" customHeight="1">
      <c r="A782" s="1569" t="s">
        <v>2965</v>
      </c>
      <c r="B782" s="1314" t="s">
        <v>479</v>
      </c>
      <c r="C782" s="1574" t="s">
        <v>3096</v>
      </c>
      <c r="D782" s="1314"/>
      <c r="E782" s="1575">
        <v>38.5</v>
      </c>
      <c r="F782" s="288" t="s">
        <v>3160</v>
      </c>
      <c r="G782" s="288"/>
      <c r="H782" s="283"/>
      <c r="I782" s="289"/>
      <c r="J782" s="292"/>
      <c r="K782" s="292"/>
      <c r="L782" s="1576">
        <v>71</v>
      </c>
      <c r="M782" s="288">
        <f t="shared" ref="M782:M790" si="44">L782-E782</f>
        <v>32.5</v>
      </c>
      <c r="N782" s="1300">
        <v>5</v>
      </c>
      <c r="O782" s="793"/>
      <c r="P782" s="808"/>
      <c r="Q782" s="798"/>
      <c r="R782" s="1483"/>
      <c r="S782" s="1471"/>
      <c r="T782" s="1474"/>
      <c r="U782" s="1474"/>
      <c r="V782" s="1474"/>
      <c r="W782" s="1474"/>
      <c r="X782" s="1487"/>
      <c r="Y782" s="798"/>
    </row>
    <row r="783" spans="1:25" s="791" customFormat="1" ht="15.75" customHeight="1">
      <c r="A783" s="1569" t="s">
        <v>2945</v>
      </c>
      <c r="B783" s="1314" t="s">
        <v>479</v>
      </c>
      <c r="C783" s="1574" t="s">
        <v>3096</v>
      </c>
      <c r="D783" s="1314"/>
      <c r="E783" s="1575">
        <v>33.5</v>
      </c>
      <c r="F783" s="288" t="s">
        <v>3160</v>
      </c>
      <c r="G783" s="288"/>
      <c r="H783" s="283"/>
      <c r="I783" s="289"/>
      <c r="J783" s="292"/>
      <c r="K783" s="292"/>
      <c r="L783" s="1576">
        <v>61</v>
      </c>
      <c r="M783" s="288">
        <f t="shared" si="44"/>
        <v>27.5</v>
      </c>
      <c r="N783" s="1300">
        <v>5</v>
      </c>
      <c r="O783" s="793"/>
      <c r="P783" s="808"/>
      <c r="Q783" s="798"/>
      <c r="R783" s="1483"/>
      <c r="S783" s="1471"/>
      <c r="T783" s="1474"/>
      <c r="U783" s="1474"/>
      <c r="V783" s="1474"/>
      <c r="W783" s="1474"/>
      <c r="X783" s="1487"/>
      <c r="Y783" s="798"/>
    </row>
    <row r="784" spans="1:25" s="791" customFormat="1" ht="15.75" customHeight="1">
      <c r="A784" s="1569" t="s">
        <v>2966</v>
      </c>
      <c r="B784" s="1314" t="s">
        <v>479</v>
      </c>
      <c r="C784" s="1574" t="s">
        <v>3096</v>
      </c>
      <c r="D784" s="1314"/>
      <c r="E784" s="1575">
        <v>25.5</v>
      </c>
      <c r="F784" s="288" t="s">
        <v>3160</v>
      </c>
      <c r="G784" s="288"/>
      <c r="H784" s="283"/>
      <c r="I784" s="289"/>
      <c r="J784" s="292"/>
      <c r="K784" s="292"/>
      <c r="L784" s="1576">
        <v>45</v>
      </c>
      <c r="M784" s="288">
        <f t="shared" si="44"/>
        <v>19.5</v>
      </c>
      <c r="N784" s="1300">
        <v>5</v>
      </c>
      <c r="O784" s="793"/>
      <c r="P784" s="808"/>
      <c r="Q784" s="798"/>
      <c r="R784" s="1483"/>
      <c r="S784" s="1471"/>
      <c r="T784" s="1474"/>
      <c r="U784" s="1474"/>
      <c r="V784" s="1474"/>
      <c r="W784" s="1474"/>
      <c r="X784" s="1487"/>
      <c r="Y784" s="798"/>
    </row>
    <row r="785" spans="1:25" s="791" customFormat="1" ht="15.75" customHeight="1">
      <c r="A785" s="1569" t="s">
        <v>2967</v>
      </c>
      <c r="B785" s="1314" t="s">
        <v>479</v>
      </c>
      <c r="C785" s="1574" t="s">
        <v>3096</v>
      </c>
      <c r="D785" s="1314"/>
      <c r="E785" s="1575">
        <v>58.5</v>
      </c>
      <c r="F785" s="288" t="s">
        <v>3160</v>
      </c>
      <c r="G785" s="288"/>
      <c r="H785" s="283"/>
      <c r="I785" s="289"/>
      <c r="J785" s="292"/>
      <c r="K785" s="292"/>
      <c r="L785" s="1576">
        <v>116</v>
      </c>
      <c r="M785" s="288">
        <f t="shared" si="44"/>
        <v>57.5</v>
      </c>
      <c r="N785" s="1300">
        <v>5</v>
      </c>
      <c r="O785" s="793"/>
      <c r="P785" s="808"/>
      <c r="Q785" s="798"/>
      <c r="R785" s="1483"/>
      <c r="S785" s="1471"/>
      <c r="T785" s="1474"/>
      <c r="U785" s="1474"/>
      <c r="V785" s="1474"/>
      <c r="W785" s="1474"/>
      <c r="X785" s="1487"/>
      <c r="Y785" s="798"/>
    </row>
    <row r="786" spans="1:25" s="791" customFormat="1" ht="15.75" customHeight="1">
      <c r="A786" s="1572" t="s">
        <v>2968</v>
      </c>
      <c r="B786" s="1314" t="s">
        <v>479</v>
      </c>
      <c r="C786" s="1574" t="s">
        <v>3096</v>
      </c>
      <c r="D786" s="1314"/>
      <c r="E786" s="1575">
        <v>26</v>
      </c>
      <c r="F786" s="288" t="s">
        <v>3160</v>
      </c>
      <c r="G786" s="288"/>
      <c r="H786" s="283"/>
      <c r="I786" s="289"/>
      <c r="J786" s="292"/>
      <c r="K786" s="292"/>
      <c r="L786" s="1576">
        <v>46</v>
      </c>
      <c r="M786" s="288">
        <f t="shared" si="44"/>
        <v>20</v>
      </c>
      <c r="N786" s="1300">
        <v>5</v>
      </c>
      <c r="O786" s="793"/>
      <c r="P786" s="808"/>
      <c r="Q786" s="798"/>
      <c r="R786" s="1483"/>
      <c r="S786" s="1484"/>
      <c r="T786" s="1485"/>
      <c r="U786" s="1485"/>
      <c r="V786" s="1485"/>
      <c r="W786" s="1474"/>
      <c r="X786" s="1487"/>
      <c r="Y786" s="798"/>
    </row>
    <row r="787" spans="1:25" s="791" customFormat="1" ht="15.75" customHeight="1">
      <c r="A787" s="1569" t="s">
        <v>2971</v>
      </c>
      <c r="B787" s="1314"/>
      <c r="C787" s="1574" t="s">
        <v>3095</v>
      </c>
      <c r="D787" s="1314"/>
      <c r="E787" s="1575">
        <v>23</v>
      </c>
      <c r="F787" s="288" t="s">
        <v>3094</v>
      </c>
      <c r="G787" s="288"/>
      <c r="H787" s="283"/>
      <c r="I787" s="289"/>
      <c r="J787" s="292"/>
      <c r="K787" s="292"/>
      <c r="L787" s="1576">
        <v>45</v>
      </c>
      <c r="M787" s="288">
        <f>L787-E787</f>
        <v>22</v>
      </c>
      <c r="N787" s="1300">
        <v>5</v>
      </c>
      <c r="O787" s="793"/>
      <c r="P787" s="808"/>
      <c r="Q787" s="798"/>
      <c r="R787" s="1483"/>
      <c r="S787" s="1484"/>
      <c r="T787" s="1485"/>
      <c r="U787" s="1485"/>
      <c r="V787" s="1485"/>
      <c r="W787" s="1474"/>
      <c r="X787" s="1487"/>
      <c r="Y787" s="798"/>
    </row>
    <row r="788" spans="1:25" s="791" customFormat="1" ht="15.75" customHeight="1">
      <c r="A788" s="1569" t="s">
        <v>2972</v>
      </c>
      <c r="B788" s="1314"/>
      <c r="C788" s="1574" t="s">
        <v>3095</v>
      </c>
      <c r="D788" s="1314"/>
      <c r="E788" s="1575">
        <v>36.5</v>
      </c>
      <c r="F788" s="288" t="s">
        <v>3094</v>
      </c>
      <c r="G788" s="288"/>
      <c r="H788" s="283"/>
      <c r="I788" s="289"/>
      <c r="J788" s="292"/>
      <c r="K788" s="292"/>
      <c r="L788" s="1576">
        <v>67</v>
      </c>
      <c r="M788" s="288">
        <f t="shared" si="44"/>
        <v>30.5</v>
      </c>
      <c r="N788" s="1300">
        <v>5</v>
      </c>
      <c r="O788" s="793"/>
      <c r="P788" s="808"/>
      <c r="Q788" s="798"/>
      <c r="R788" s="1483"/>
      <c r="S788" s="1484"/>
      <c r="T788" s="1485"/>
      <c r="U788" s="1485"/>
      <c r="V788" s="1485"/>
      <c r="W788" s="1474"/>
      <c r="X788" s="1487"/>
      <c r="Y788" s="798"/>
    </row>
    <row r="789" spans="1:25" s="791" customFormat="1" ht="15.75" customHeight="1">
      <c r="A789" s="1569" t="s">
        <v>2945</v>
      </c>
      <c r="B789" s="1314"/>
      <c r="C789" s="1574" t="s">
        <v>3095</v>
      </c>
      <c r="D789" s="1314"/>
      <c r="E789" s="1575">
        <v>31</v>
      </c>
      <c r="F789" s="288" t="s">
        <v>3094</v>
      </c>
      <c r="G789" s="288"/>
      <c r="H789" s="283"/>
      <c r="I789" s="289"/>
      <c r="J789" s="292"/>
      <c r="K789" s="292"/>
      <c r="L789" s="1576">
        <v>56</v>
      </c>
      <c r="M789" s="288">
        <f t="shared" si="44"/>
        <v>25</v>
      </c>
      <c r="N789" s="1300">
        <v>5</v>
      </c>
      <c r="O789" s="793"/>
      <c r="P789" s="808"/>
      <c r="Q789" s="798"/>
      <c r="R789" s="1483"/>
      <c r="S789" s="1484"/>
      <c r="T789" s="1485"/>
      <c r="U789" s="1485"/>
      <c r="V789" s="1485"/>
      <c r="W789" s="1474"/>
      <c r="X789" s="1487"/>
      <c r="Y789" s="798"/>
    </row>
    <row r="790" spans="1:25" s="791" customFormat="1" ht="15.75" customHeight="1">
      <c r="A790" s="1569" t="s">
        <v>2974</v>
      </c>
      <c r="B790" s="1314"/>
      <c r="C790" s="1574" t="s">
        <v>3095</v>
      </c>
      <c r="D790" s="1314"/>
      <c r="E790" s="1575">
        <v>25.5</v>
      </c>
      <c r="F790" s="288" t="s">
        <v>3094</v>
      </c>
      <c r="G790" s="288"/>
      <c r="H790" s="283"/>
      <c r="I790" s="289"/>
      <c r="J790" s="292"/>
      <c r="K790" s="292"/>
      <c r="L790" s="1576">
        <v>45</v>
      </c>
      <c r="M790" s="288">
        <f t="shared" si="44"/>
        <v>19.5</v>
      </c>
      <c r="N790" s="1300">
        <v>5</v>
      </c>
      <c r="O790" s="793"/>
      <c r="P790" s="808"/>
      <c r="Q790" s="798"/>
      <c r="R790" s="1483"/>
      <c r="S790" s="1484"/>
      <c r="T790" s="1485"/>
      <c r="U790" s="1485"/>
      <c r="V790" s="1485"/>
      <c r="W790" s="1474"/>
      <c r="X790" s="1487"/>
      <c r="Y790" s="798"/>
    </row>
    <row r="791" spans="1:25" s="791" customFormat="1" ht="15.75" customHeight="1">
      <c r="A791" s="1572" t="s">
        <v>2975</v>
      </c>
      <c r="B791" s="1314"/>
      <c r="C791" s="1574" t="s">
        <v>3095</v>
      </c>
      <c r="D791" s="1314"/>
      <c r="E791" s="1575" t="s">
        <v>696</v>
      </c>
      <c r="F791" s="288" t="s">
        <v>3094</v>
      </c>
      <c r="G791" s="288"/>
      <c r="H791" s="283"/>
      <c r="I791" s="289"/>
      <c r="J791" s="292"/>
      <c r="K791" s="292"/>
      <c r="L791" s="1576" t="s">
        <v>696</v>
      </c>
      <c r="M791" s="288"/>
      <c r="N791" s="1300">
        <v>5</v>
      </c>
      <c r="O791" s="793"/>
      <c r="P791" s="808"/>
      <c r="Q791" s="798"/>
      <c r="R791" s="1483"/>
      <c r="S791" s="1484"/>
      <c r="T791" s="1485"/>
      <c r="U791" s="1485"/>
      <c r="V791" s="1485"/>
      <c r="W791" s="1474"/>
      <c r="X791" s="1487"/>
      <c r="Y791" s="798"/>
    </row>
    <row r="792" spans="1:25" s="688" customFormat="1">
      <c r="A792" s="693" t="s">
        <v>1720</v>
      </c>
      <c r="B792" s="1272" t="s">
        <v>479</v>
      </c>
      <c r="C792" s="1272" t="s">
        <v>1081</v>
      </c>
      <c r="D792" s="1272"/>
      <c r="E792" s="1255">
        <v>26.5</v>
      </c>
      <c r="F792" s="681"/>
      <c r="G792" s="681"/>
      <c r="H792" s="786" t="s">
        <v>2330</v>
      </c>
      <c r="I792" s="689"/>
      <c r="J792" s="685"/>
      <c r="K792" s="685"/>
      <c r="L792" s="714">
        <v>53</v>
      </c>
      <c r="M792" s="785"/>
      <c r="N792" s="1278"/>
      <c r="O792" s="707"/>
      <c r="P792" s="750"/>
      <c r="Q792" s="696"/>
      <c r="R792" s="1483"/>
      <c r="S792" s="1565"/>
      <c r="T792" s="1566"/>
      <c r="U792" s="1566"/>
      <c r="V792" s="1566"/>
      <c r="W792" s="1474"/>
      <c r="X792" s="1487"/>
      <c r="Y792" s="696"/>
    </row>
    <row r="793" spans="1:25" s="688" customFormat="1">
      <c r="A793" s="693" t="s">
        <v>1721</v>
      </c>
      <c r="B793" s="1272" t="s">
        <v>479</v>
      </c>
      <c r="C793" s="1272" t="s">
        <v>1081</v>
      </c>
      <c r="D793" s="1272"/>
      <c r="E793" s="1255">
        <v>55.5</v>
      </c>
      <c r="F793" s="681"/>
      <c r="G793" s="681"/>
      <c r="H793" s="786" t="s">
        <v>2330</v>
      </c>
      <c r="I793" s="689"/>
      <c r="J793" s="685"/>
      <c r="K793" s="685"/>
      <c r="L793" s="714">
        <v>89</v>
      </c>
      <c r="M793" s="681"/>
      <c r="N793" s="1255"/>
      <c r="O793" s="707"/>
      <c r="P793" s="750"/>
      <c r="Q793" s="696"/>
      <c r="R793" s="1483"/>
      <c r="S793" s="1479"/>
      <c r="T793" s="1474"/>
      <c r="U793" s="1474"/>
      <c r="V793" s="1474"/>
      <c r="W793" s="1474"/>
      <c r="X793" s="1479"/>
      <c r="Y793" s="696"/>
    </row>
    <row r="794" spans="1:25" s="688" customFormat="1">
      <c r="A794" s="693" t="s">
        <v>1688</v>
      </c>
      <c r="B794" s="1272" t="s">
        <v>479</v>
      </c>
      <c r="C794" s="1272" t="s">
        <v>1081</v>
      </c>
      <c r="D794" s="1272"/>
      <c r="E794" s="1255">
        <v>44.5</v>
      </c>
      <c r="F794" s="681"/>
      <c r="G794" s="681"/>
      <c r="H794" s="786" t="s">
        <v>2330</v>
      </c>
      <c r="I794" s="689"/>
      <c r="J794" s="685"/>
      <c r="K794" s="685"/>
      <c r="L794" s="714">
        <v>75</v>
      </c>
      <c r="M794" s="681"/>
      <c r="N794" s="1255"/>
      <c r="O794" s="707"/>
      <c r="P794" s="750"/>
      <c r="Q794" s="696"/>
      <c r="R794" s="1483"/>
      <c r="S794" s="1479"/>
      <c r="T794" s="1474"/>
      <c r="U794" s="1474"/>
      <c r="V794" s="1474"/>
      <c r="W794" s="1474"/>
      <c r="X794" s="1479"/>
      <c r="Y794" s="696"/>
    </row>
    <row r="795" spans="1:25" s="688" customFormat="1">
      <c r="A795" s="693" t="s">
        <v>1719</v>
      </c>
      <c r="B795" s="1272" t="s">
        <v>479</v>
      </c>
      <c r="C795" s="1272" t="s">
        <v>1081</v>
      </c>
      <c r="D795" s="1272"/>
      <c r="E795" s="1255">
        <v>81.5</v>
      </c>
      <c r="F795" s="681" t="s">
        <v>1689</v>
      </c>
      <c r="G795" s="681"/>
      <c r="H795" s="786" t="s">
        <v>2330</v>
      </c>
      <c r="I795" s="689"/>
      <c r="J795" s="685"/>
      <c r="K795" s="685"/>
      <c r="L795" s="714">
        <v>138</v>
      </c>
      <c r="M795" s="681"/>
      <c r="N795" s="1255"/>
      <c r="O795" s="707"/>
      <c r="P795" s="750"/>
      <c r="Q795" s="696"/>
      <c r="R795" s="1483"/>
      <c r="S795" s="1479"/>
      <c r="T795" s="1474"/>
      <c r="U795" s="1474"/>
      <c r="V795" s="1474"/>
      <c r="W795" s="1474"/>
      <c r="X795" s="1479"/>
      <c r="Y795" s="696"/>
    </row>
    <row r="796" spans="1:25" s="688" customFormat="1">
      <c r="A796" s="693" t="s">
        <v>1699</v>
      </c>
      <c r="B796" s="1272" t="s">
        <v>479</v>
      </c>
      <c r="C796" s="1272" t="s">
        <v>501</v>
      </c>
      <c r="D796" s="1272"/>
      <c r="E796" s="1255">
        <v>25.5</v>
      </c>
      <c r="F796" s="681" t="s">
        <v>859</v>
      </c>
      <c r="G796" s="681"/>
      <c r="H796" s="683"/>
      <c r="I796" s="689"/>
      <c r="J796" s="685"/>
      <c r="K796" s="685"/>
      <c r="L796" s="714">
        <v>51</v>
      </c>
      <c r="M796" s="681"/>
      <c r="N796" s="1255">
        <v>4</v>
      </c>
      <c r="O796" s="707"/>
      <c r="P796" s="750"/>
      <c r="Q796" s="696"/>
      <c r="R796" s="1483"/>
      <c r="S796" s="1479"/>
      <c r="T796" s="1474"/>
      <c r="U796" s="1474"/>
      <c r="V796" s="1474"/>
      <c r="W796" s="1474"/>
      <c r="X796" s="1479"/>
      <c r="Y796" s="696"/>
    </row>
    <row r="797" spans="1:25" s="688" customFormat="1">
      <c r="A797" s="693" t="s">
        <v>1700</v>
      </c>
      <c r="B797" s="1272" t="s">
        <v>479</v>
      </c>
      <c r="C797" s="1272" t="s">
        <v>501</v>
      </c>
      <c r="D797" s="1272"/>
      <c r="E797" s="1255">
        <v>28.5</v>
      </c>
      <c r="F797" s="681" t="s">
        <v>859</v>
      </c>
      <c r="G797" s="681"/>
      <c r="H797" s="683"/>
      <c r="I797" s="689"/>
      <c r="J797" s="685"/>
      <c r="K797" s="685"/>
      <c r="L797" s="714">
        <v>57</v>
      </c>
      <c r="M797" s="681"/>
      <c r="N797" s="1255">
        <v>4</v>
      </c>
      <c r="O797" s="707"/>
      <c r="P797" s="750"/>
      <c r="Q797" s="696"/>
      <c r="R797" s="1483"/>
      <c r="S797" s="1479"/>
      <c r="T797" s="1474"/>
      <c r="U797" s="1474"/>
      <c r="V797" s="1474"/>
      <c r="W797" s="1474"/>
      <c r="X797" s="1479"/>
      <c r="Y797" s="696"/>
    </row>
    <row r="798" spans="1:25" s="688" customFormat="1">
      <c r="A798" s="693" t="s">
        <v>1697</v>
      </c>
      <c r="B798" s="1272" t="s">
        <v>479</v>
      </c>
      <c r="C798" s="1272" t="s">
        <v>501</v>
      </c>
      <c r="D798" s="1272"/>
      <c r="E798" s="1255">
        <v>56.5</v>
      </c>
      <c r="F798" s="681" t="s">
        <v>859</v>
      </c>
      <c r="G798" s="681"/>
      <c r="H798" s="683"/>
      <c r="I798" s="689"/>
      <c r="J798" s="685"/>
      <c r="K798" s="685"/>
      <c r="L798" s="714">
        <v>113</v>
      </c>
      <c r="M798" s="681"/>
      <c r="N798" s="1255">
        <v>4</v>
      </c>
      <c r="O798" s="707"/>
      <c r="P798" s="750"/>
      <c r="Q798" s="696"/>
      <c r="R798" s="1483"/>
      <c r="S798" s="1479"/>
      <c r="T798" s="1474"/>
      <c r="U798" s="1474"/>
      <c r="V798" s="1474"/>
      <c r="W798" s="1474"/>
      <c r="X798" s="1479"/>
      <c r="Y798" s="696"/>
    </row>
    <row r="799" spans="1:25" s="688" customFormat="1">
      <c r="A799" s="693" t="s">
        <v>1693</v>
      </c>
      <c r="B799" s="1272" t="s">
        <v>479</v>
      </c>
      <c r="C799" s="1273" t="s">
        <v>501</v>
      </c>
      <c r="D799" s="1274"/>
      <c r="E799" s="1255">
        <v>48.5</v>
      </c>
      <c r="F799" s="681" t="s">
        <v>859</v>
      </c>
      <c r="G799" s="681"/>
      <c r="H799" s="683"/>
      <c r="I799" s="689"/>
      <c r="J799" s="685"/>
      <c r="K799" s="697"/>
      <c r="L799" s="689">
        <v>97</v>
      </c>
      <c r="M799" s="681"/>
      <c r="N799" s="723">
        <v>4</v>
      </c>
      <c r="O799" s="707"/>
      <c r="P799" s="750"/>
      <c r="Q799" s="696"/>
      <c r="R799" s="696"/>
      <c r="S799" s="696"/>
      <c r="T799" s="696"/>
      <c r="U799" s="696"/>
      <c r="V799" s="696"/>
      <c r="W799" s="696"/>
      <c r="X799" s="696"/>
      <c r="Y799" s="696"/>
    </row>
    <row r="800" spans="1:25" s="688" customFormat="1">
      <c r="A800" s="751" t="s">
        <v>1695</v>
      </c>
      <c r="B800" s="1272" t="s">
        <v>479</v>
      </c>
      <c r="C800" s="1273" t="s">
        <v>1427</v>
      </c>
      <c r="D800" s="1274"/>
      <c r="E800" s="1255">
        <v>25.5</v>
      </c>
      <c r="F800" s="681"/>
      <c r="G800" s="681"/>
      <c r="H800" s="683"/>
      <c r="I800" s="689"/>
      <c r="J800" s="685"/>
      <c r="K800" s="697"/>
      <c r="L800" s="689">
        <v>48</v>
      </c>
      <c r="M800" s="681"/>
      <c r="N800" s="723"/>
      <c r="O800" s="707"/>
      <c r="P800" s="750"/>
      <c r="Q800" s="696"/>
      <c r="R800" s="696"/>
      <c r="S800" s="696"/>
      <c r="T800" s="696"/>
      <c r="U800" s="696"/>
      <c r="V800" s="696"/>
      <c r="W800" s="696"/>
      <c r="X800" s="696"/>
      <c r="Y800" s="696"/>
    </row>
    <row r="801" spans="1:25" s="688" customFormat="1">
      <c r="A801" s="752" t="s">
        <v>1696</v>
      </c>
      <c r="B801" s="1272" t="s">
        <v>479</v>
      </c>
      <c r="C801" s="1273" t="s">
        <v>1427</v>
      </c>
      <c r="D801" s="1274"/>
      <c r="E801" s="1255">
        <v>37.5</v>
      </c>
      <c r="F801" s="681"/>
      <c r="G801" s="681"/>
      <c r="H801" s="683"/>
      <c r="I801" s="689"/>
      <c r="J801" s="685"/>
      <c r="K801" s="697"/>
      <c r="L801" s="689">
        <v>71</v>
      </c>
      <c r="M801" s="681"/>
      <c r="N801" s="723"/>
      <c r="O801" s="707"/>
      <c r="P801" s="750"/>
      <c r="Q801" s="696"/>
      <c r="R801" s="696"/>
      <c r="S801" s="696"/>
      <c r="T801" s="696"/>
      <c r="U801" s="696"/>
      <c r="V801" s="696"/>
      <c r="W801" s="696"/>
      <c r="X801" s="696"/>
      <c r="Y801" s="696"/>
    </row>
    <row r="802" spans="1:25" s="688" customFormat="1">
      <c r="A802" s="751" t="s">
        <v>1697</v>
      </c>
      <c r="B802" s="1272" t="s">
        <v>479</v>
      </c>
      <c r="C802" s="1273" t="s">
        <v>1427</v>
      </c>
      <c r="D802" s="1274"/>
      <c r="E802" s="1255">
        <v>47.5</v>
      </c>
      <c r="F802" s="681"/>
      <c r="G802" s="681"/>
      <c r="H802" s="683"/>
      <c r="I802" s="689"/>
      <c r="J802" s="685"/>
      <c r="K802" s="697"/>
      <c r="L802" s="689">
        <v>93</v>
      </c>
      <c r="M802" s="681"/>
      <c r="N802" s="723"/>
      <c r="O802" s="707"/>
      <c r="P802" s="750"/>
      <c r="Q802" s="696"/>
      <c r="R802" s="696"/>
      <c r="S802" s="696"/>
      <c r="T802" s="696"/>
      <c r="U802" s="696"/>
      <c r="V802" s="696"/>
      <c r="W802" s="696"/>
      <c r="X802" s="696"/>
      <c r="Y802" s="696"/>
    </row>
    <row r="803" spans="1:25" s="688" customFormat="1">
      <c r="A803" s="752" t="s">
        <v>1698</v>
      </c>
      <c r="B803" s="1272" t="s">
        <v>479</v>
      </c>
      <c r="C803" s="1273" t="s">
        <v>1427</v>
      </c>
      <c r="D803" s="1274"/>
      <c r="E803" s="1255">
        <v>54</v>
      </c>
      <c r="F803" s="681"/>
      <c r="G803" s="681"/>
      <c r="H803" s="683"/>
      <c r="I803" s="689"/>
      <c r="J803" s="685"/>
      <c r="K803" s="697"/>
      <c r="L803" s="689">
        <v>104</v>
      </c>
      <c r="M803" s="681"/>
      <c r="N803" s="723"/>
      <c r="O803" s="707"/>
      <c r="P803" s="750"/>
      <c r="Q803" s="696"/>
      <c r="R803" s="696"/>
      <c r="S803" s="696"/>
      <c r="T803" s="696"/>
      <c r="U803" s="696"/>
      <c r="V803" s="696"/>
      <c r="W803" s="696"/>
      <c r="X803" s="696"/>
      <c r="Y803" s="696"/>
    </row>
    <row r="804" spans="1:25" s="445" customFormat="1">
      <c r="A804" s="693" t="s">
        <v>2526</v>
      </c>
      <c r="B804" s="1272" t="s">
        <v>479</v>
      </c>
      <c r="C804" s="1273" t="s">
        <v>726</v>
      </c>
      <c r="D804" s="1274"/>
      <c r="E804" s="1255">
        <v>27.5</v>
      </c>
      <c r="F804" s="681" t="s">
        <v>859</v>
      </c>
      <c r="G804" s="681"/>
      <c r="H804" s="683"/>
      <c r="I804" s="689"/>
      <c r="J804" s="685" t="s">
        <v>2525</v>
      </c>
      <c r="K804" s="697"/>
      <c r="L804" s="689">
        <v>54</v>
      </c>
      <c r="M804" s="681">
        <f>L804-27.5</f>
        <v>26.5</v>
      </c>
      <c r="N804" s="723">
        <v>5</v>
      </c>
      <c r="O804" s="646"/>
      <c r="P804" s="490"/>
      <c r="Q804" s="487"/>
      <c r="R804" s="487"/>
      <c r="S804" s="487"/>
      <c r="T804" s="487"/>
      <c r="U804" s="487"/>
      <c r="V804" s="487"/>
      <c r="W804" s="487"/>
      <c r="X804" s="487"/>
      <c r="Y804" s="487"/>
    </row>
    <row r="805" spans="1:25" s="688" customFormat="1">
      <c r="A805" s="693" t="s">
        <v>38</v>
      </c>
      <c r="B805" s="1272" t="s">
        <v>479</v>
      </c>
      <c r="C805" s="1273" t="s">
        <v>694</v>
      </c>
      <c r="D805" s="1274"/>
      <c r="E805" s="1255">
        <v>27.5</v>
      </c>
      <c r="F805" s="681" t="s">
        <v>859</v>
      </c>
      <c r="G805" s="681"/>
      <c r="H805" s="683"/>
      <c r="I805" s="689"/>
      <c r="J805" s="685"/>
      <c r="K805" s="697"/>
      <c r="L805" s="689">
        <v>54</v>
      </c>
      <c r="M805" s="681"/>
      <c r="N805" s="723">
        <v>5</v>
      </c>
      <c r="O805" s="707"/>
      <c r="P805" s="750"/>
      <c r="Q805" s="696"/>
      <c r="R805" s="696"/>
      <c r="S805" s="696"/>
      <c r="T805" s="696"/>
      <c r="U805" s="696"/>
      <c r="V805" s="696"/>
      <c r="W805" s="696"/>
      <c r="X805" s="696"/>
      <c r="Y805" s="696"/>
    </row>
    <row r="806" spans="1:25" s="688" customFormat="1">
      <c r="A806" s="693" t="s">
        <v>1694</v>
      </c>
      <c r="B806" s="1272" t="s">
        <v>479</v>
      </c>
      <c r="C806" s="1273" t="s">
        <v>694</v>
      </c>
      <c r="D806" s="1274"/>
      <c r="E806" s="1255">
        <v>54</v>
      </c>
      <c r="F806" s="681" t="s">
        <v>859</v>
      </c>
      <c r="G806" s="681"/>
      <c r="H806" s="683"/>
      <c r="I806" s="689"/>
      <c r="J806" s="685"/>
      <c r="K806" s="697"/>
      <c r="L806" s="689">
        <v>108</v>
      </c>
      <c r="M806" s="681"/>
      <c r="N806" s="723">
        <v>5</v>
      </c>
      <c r="O806" s="707"/>
      <c r="P806" s="750"/>
      <c r="Q806" s="696"/>
      <c r="R806" s="696"/>
      <c r="S806" s="696"/>
      <c r="T806" s="696"/>
      <c r="U806" s="696"/>
      <c r="V806" s="696"/>
      <c r="W806" s="696"/>
      <c r="X806" s="696"/>
      <c r="Y806" s="696"/>
    </row>
    <row r="807" spans="1:25" s="688" customFormat="1">
      <c r="A807" s="693" t="s">
        <v>212</v>
      </c>
      <c r="B807" s="1272" t="s">
        <v>479</v>
      </c>
      <c r="C807" s="1273" t="s">
        <v>694</v>
      </c>
      <c r="D807" s="1274"/>
      <c r="E807" s="1255">
        <v>42.5</v>
      </c>
      <c r="F807" s="681" t="s">
        <v>859</v>
      </c>
      <c r="G807" s="681"/>
      <c r="H807" s="683"/>
      <c r="I807" s="689"/>
      <c r="J807" s="685"/>
      <c r="K807" s="697"/>
      <c r="L807" s="689">
        <v>85</v>
      </c>
      <c r="M807" s="681"/>
      <c r="N807" s="723">
        <v>5</v>
      </c>
      <c r="O807" s="707"/>
      <c r="P807" s="750"/>
      <c r="Q807" s="696"/>
      <c r="R807" s="696"/>
      <c r="S807" s="696"/>
      <c r="T807" s="696"/>
      <c r="U807" s="696"/>
      <c r="V807" s="696"/>
      <c r="W807" s="696"/>
      <c r="X807" s="696"/>
      <c r="Y807" s="696"/>
    </row>
    <row r="808" spans="1:25" s="791" customFormat="1">
      <c r="A808" s="1199" t="s">
        <v>2284</v>
      </c>
      <c r="B808" s="1275" t="s">
        <v>479</v>
      </c>
      <c r="C808" s="1276" t="s">
        <v>727</v>
      </c>
      <c r="D808" s="1277"/>
      <c r="E808" s="1278"/>
      <c r="F808" s="785" t="s">
        <v>2334</v>
      </c>
      <c r="G808" s="785"/>
      <c r="H808" s="786"/>
      <c r="I808" s="787"/>
      <c r="J808" s="788"/>
      <c r="K808" s="794"/>
      <c r="L808" s="787"/>
      <c r="M808" s="785"/>
      <c r="N808" s="816"/>
      <c r="O808" s="793"/>
      <c r="P808" s="808"/>
      <c r="Q808" s="798"/>
      <c r="R808" s="798"/>
      <c r="S808" s="798"/>
      <c r="T808" s="798"/>
      <c r="U808" s="798"/>
      <c r="V808" s="798"/>
      <c r="W808" s="798"/>
      <c r="X808" s="798"/>
      <c r="Y808" s="798"/>
    </row>
    <row r="809" spans="1:25" s="791" customFormat="1">
      <c r="A809" s="1199" t="s">
        <v>2285</v>
      </c>
      <c r="B809" s="1275" t="s">
        <v>479</v>
      </c>
      <c r="C809" s="1276" t="s">
        <v>727</v>
      </c>
      <c r="D809" s="1277"/>
      <c r="E809" s="1278">
        <v>45</v>
      </c>
      <c r="F809" s="785"/>
      <c r="G809" s="785"/>
      <c r="H809" s="786"/>
      <c r="I809" s="787"/>
      <c r="J809" s="788"/>
      <c r="K809" s="794"/>
      <c r="L809" s="787">
        <v>80</v>
      </c>
      <c r="M809" s="785">
        <f t="shared" ref="M809:M815" si="45">L809-E809</f>
        <v>35</v>
      </c>
      <c r="N809" s="797">
        <v>5</v>
      </c>
      <c r="O809" s="793"/>
      <c r="P809" s="808"/>
      <c r="Q809" s="798"/>
      <c r="R809" s="798"/>
      <c r="S809" s="798"/>
      <c r="T809" s="798"/>
      <c r="U809" s="798"/>
      <c r="V809" s="798"/>
      <c r="W809" s="798"/>
      <c r="X809" s="798"/>
      <c r="Y809" s="798"/>
    </row>
    <row r="810" spans="1:25" s="791" customFormat="1">
      <c r="A810" s="1199" t="s">
        <v>2286</v>
      </c>
      <c r="B810" s="1275" t="s">
        <v>479</v>
      </c>
      <c r="C810" s="1276" t="s">
        <v>727</v>
      </c>
      <c r="D810" s="1277"/>
      <c r="E810" s="1278">
        <v>72.5</v>
      </c>
      <c r="F810" s="785"/>
      <c r="G810" s="785"/>
      <c r="H810" s="786"/>
      <c r="I810" s="787"/>
      <c r="J810" s="788"/>
      <c r="K810" s="794"/>
      <c r="L810" s="787">
        <v>135</v>
      </c>
      <c r="M810" s="785">
        <f t="shared" si="45"/>
        <v>62.5</v>
      </c>
      <c r="N810" s="797">
        <v>5</v>
      </c>
      <c r="O810" s="793"/>
      <c r="P810" s="808"/>
      <c r="Q810" s="798"/>
      <c r="R810" s="798"/>
      <c r="S810" s="798"/>
      <c r="T810" s="798"/>
      <c r="U810" s="798"/>
      <c r="V810" s="798"/>
      <c r="W810" s="798"/>
      <c r="X810" s="798"/>
      <c r="Y810" s="798"/>
    </row>
    <row r="811" spans="1:25" s="791" customFormat="1">
      <c r="A811" s="1199" t="s">
        <v>2287</v>
      </c>
      <c r="B811" s="1275" t="s">
        <v>479</v>
      </c>
      <c r="C811" s="1276" t="s">
        <v>727</v>
      </c>
      <c r="D811" s="1277"/>
      <c r="E811" s="1278">
        <v>57.5</v>
      </c>
      <c r="F811" s="785"/>
      <c r="G811" s="785"/>
      <c r="H811" s="786"/>
      <c r="I811" s="787"/>
      <c r="J811" s="788"/>
      <c r="K811" s="794"/>
      <c r="L811" s="787">
        <v>115</v>
      </c>
      <c r="M811" s="785">
        <f t="shared" si="45"/>
        <v>57.5</v>
      </c>
      <c r="N811" s="797">
        <v>5</v>
      </c>
      <c r="O811" s="793"/>
      <c r="P811" s="808"/>
      <c r="Q811" s="798"/>
      <c r="R811" s="798"/>
      <c r="S811" s="798"/>
      <c r="T811" s="798"/>
      <c r="U811" s="798"/>
      <c r="V811" s="798"/>
      <c r="W811" s="798"/>
      <c r="X811" s="798"/>
      <c r="Y811" s="798"/>
    </row>
    <row r="812" spans="1:25" s="791" customFormat="1">
      <c r="A812" s="1199" t="s">
        <v>2288</v>
      </c>
      <c r="B812" s="1275" t="s">
        <v>479</v>
      </c>
      <c r="C812" s="1276" t="s">
        <v>727</v>
      </c>
      <c r="D812" s="1277"/>
      <c r="E812" s="1278">
        <v>45</v>
      </c>
      <c r="F812" s="785"/>
      <c r="G812" s="785"/>
      <c r="H812" s="786"/>
      <c r="I812" s="787"/>
      <c r="J812" s="788"/>
      <c r="K812" s="794"/>
      <c r="L812" s="787">
        <v>80</v>
      </c>
      <c r="M812" s="785">
        <f t="shared" si="45"/>
        <v>35</v>
      </c>
      <c r="N812" s="797">
        <v>5</v>
      </c>
      <c r="O812" s="793"/>
      <c r="P812" s="808"/>
      <c r="Q812" s="798"/>
      <c r="R812" s="798"/>
      <c r="S812" s="798"/>
      <c r="T812" s="798"/>
      <c r="U812" s="798"/>
      <c r="V812" s="798"/>
      <c r="W812" s="798"/>
      <c r="X812" s="798"/>
      <c r="Y812" s="798"/>
    </row>
    <row r="813" spans="1:25" s="791" customFormat="1">
      <c r="A813" s="1200" t="s">
        <v>2289</v>
      </c>
      <c r="B813" s="1275" t="s">
        <v>479</v>
      </c>
      <c r="C813" s="1276" t="s">
        <v>727</v>
      </c>
      <c r="D813" s="1277"/>
      <c r="E813" s="1278">
        <v>100</v>
      </c>
      <c r="F813" s="785"/>
      <c r="G813" s="785"/>
      <c r="H813" s="786"/>
      <c r="I813" s="787"/>
      <c r="J813" s="788"/>
      <c r="K813" s="794"/>
      <c r="L813" s="787">
        <v>200</v>
      </c>
      <c r="M813" s="785">
        <f t="shared" si="45"/>
        <v>100</v>
      </c>
      <c r="N813" s="797">
        <v>5</v>
      </c>
      <c r="O813" s="793"/>
      <c r="P813" s="808"/>
      <c r="Q813" s="798"/>
      <c r="R813" s="798"/>
      <c r="S813" s="798"/>
      <c r="T813" s="798"/>
      <c r="U813" s="798"/>
      <c r="V813" s="798"/>
      <c r="W813" s="798"/>
      <c r="X813" s="798"/>
      <c r="Y813" s="798"/>
    </row>
    <row r="814" spans="1:25" s="305" customFormat="1">
      <c r="A814" s="2425" t="s">
        <v>3924</v>
      </c>
      <c r="B814" s="1286" t="s">
        <v>479</v>
      </c>
      <c r="C814" s="1280" t="s">
        <v>608</v>
      </c>
      <c r="D814" s="1281"/>
      <c r="E814" s="1851">
        <v>37.5</v>
      </c>
      <c r="F814" s="663" t="s">
        <v>3928</v>
      </c>
      <c r="G814" s="288"/>
      <c r="H814" s="283"/>
      <c r="I814" s="289"/>
      <c r="J814" s="292"/>
      <c r="K814" s="290"/>
      <c r="L814" s="665">
        <v>73</v>
      </c>
      <c r="M814" s="663">
        <f t="shared" si="45"/>
        <v>35.5</v>
      </c>
      <c r="N814" s="667">
        <v>4</v>
      </c>
      <c r="O814" s="648"/>
      <c r="P814" s="2403" t="s">
        <v>3929</v>
      </c>
      <c r="Q814" s="2403" t="s">
        <v>3927</v>
      </c>
      <c r="R814" s="297"/>
      <c r="S814" s="297"/>
      <c r="T814" s="297"/>
      <c r="U814" s="297"/>
      <c r="V814" s="297"/>
      <c r="W814" s="297"/>
      <c r="X814" s="297"/>
      <c r="Y814" s="297"/>
    </row>
    <row r="815" spans="1:25" s="305" customFormat="1">
      <c r="A815" s="2426" t="s">
        <v>3925</v>
      </c>
      <c r="B815" s="1286" t="s">
        <v>479</v>
      </c>
      <c r="C815" s="1280" t="s">
        <v>608</v>
      </c>
      <c r="D815" s="1281"/>
      <c r="E815" s="1851">
        <v>39</v>
      </c>
      <c r="F815" s="663" t="s">
        <v>3926</v>
      </c>
      <c r="G815" s="288"/>
      <c r="H815" s="283"/>
      <c r="I815" s="289"/>
      <c r="J815" s="292"/>
      <c r="K815" s="290"/>
      <c r="L815" s="665">
        <v>76</v>
      </c>
      <c r="M815" s="663">
        <f t="shared" si="45"/>
        <v>37</v>
      </c>
      <c r="N815" s="667">
        <v>4</v>
      </c>
      <c r="O815" s="648"/>
      <c r="P815" s="2403" t="s">
        <v>3929</v>
      </c>
      <c r="Q815" s="2403" t="s">
        <v>3927</v>
      </c>
      <c r="R815" s="297"/>
      <c r="S815" s="297"/>
      <c r="T815" s="297"/>
      <c r="U815" s="297"/>
      <c r="V815" s="297"/>
      <c r="W815" s="297"/>
      <c r="X815" s="297"/>
      <c r="Y815" s="297"/>
    </row>
    <row r="816" spans="1:25" s="688" customFormat="1">
      <c r="A816" s="693" t="s">
        <v>1705</v>
      </c>
      <c r="B816" s="1272" t="s">
        <v>479</v>
      </c>
      <c r="C816" s="1273" t="s">
        <v>609</v>
      </c>
      <c r="D816" s="1274"/>
      <c r="E816" s="1255">
        <v>39.5</v>
      </c>
      <c r="F816" s="681" t="s">
        <v>1724</v>
      </c>
      <c r="G816" s="681"/>
      <c r="H816" s="683"/>
      <c r="I816" s="689"/>
      <c r="J816" s="685"/>
      <c r="K816" s="697"/>
      <c r="L816" s="689">
        <v>79</v>
      </c>
      <c r="M816" s="681"/>
      <c r="N816" s="706">
        <v>4</v>
      </c>
      <c r="O816" s="707"/>
      <c r="P816" s="750"/>
      <c r="Q816" s="696"/>
      <c r="R816" s="696"/>
      <c r="S816" s="696"/>
      <c r="T816" s="696"/>
      <c r="U816" s="696"/>
      <c r="V816" s="696"/>
      <c r="W816" s="696"/>
      <c r="X816" s="696"/>
      <c r="Y816" s="696"/>
    </row>
    <row r="817" spans="1:25" s="688" customFormat="1">
      <c r="A817" s="693" t="s">
        <v>1706</v>
      </c>
      <c r="B817" s="1272" t="s">
        <v>479</v>
      </c>
      <c r="C817" s="1273" t="s">
        <v>609</v>
      </c>
      <c r="D817" s="1274"/>
      <c r="E817" s="1255">
        <v>45</v>
      </c>
      <c r="F817" s="681" t="s">
        <v>1723</v>
      </c>
      <c r="G817" s="681"/>
      <c r="H817" s="683"/>
      <c r="I817" s="689"/>
      <c r="J817" s="685"/>
      <c r="K817" s="697"/>
      <c r="L817" s="689">
        <v>90</v>
      </c>
      <c r="M817" s="681"/>
      <c r="N817" s="706">
        <v>4</v>
      </c>
      <c r="O817" s="707"/>
      <c r="P817" s="750"/>
      <c r="Q817" s="696"/>
      <c r="R817" s="696"/>
      <c r="S817" s="696"/>
      <c r="T817" s="696"/>
      <c r="U817" s="696"/>
      <c r="V817" s="696"/>
      <c r="W817" s="696"/>
      <c r="X817" s="696"/>
      <c r="Y817" s="696"/>
    </row>
    <row r="818" spans="1:25" s="688" customFormat="1">
      <c r="A818" s="693" t="s">
        <v>1725</v>
      </c>
      <c r="B818" s="1272" t="s">
        <v>479</v>
      </c>
      <c r="C818" s="1273" t="s">
        <v>609</v>
      </c>
      <c r="D818" s="1274"/>
      <c r="E818" s="1255">
        <v>62</v>
      </c>
      <c r="F818" s="681" t="s">
        <v>1724</v>
      </c>
      <c r="G818" s="681"/>
      <c r="H818" s="683"/>
      <c r="I818" s="689"/>
      <c r="J818" s="685"/>
      <c r="K818" s="697"/>
      <c r="L818" s="689">
        <v>124</v>
      </c>
      <c r="M818" s="681"/>
      <c r="N818" s="706">
        <v>4</v>
      </c>
      <c r="O818" s="707"/>
      <c r="P818" s="750"/>
      <c r="Q818" s="696"/>
      <c r="R818" s="696"/>
      <c r="S818" s="696"/>
      <c r="T818" s="696"/>
      <c r="U818" s="696"/>
      <c r="V818" s="696"/>
      <c r="W818" s="696"/>
      <c r="X818" s="696"/>
      <c r="Y818" s="696"/>
    </row>
    <row r="819" spans="1:25" s="688" customFormat="1">
      <c r="A819" s="693" t="s">
        <v>1725</v>
      </c>
      <c r="B819" s="1272" t="s">
        <v>479</v>
      </c>
      <c r="C819" s="1273" t="s">
        <v>609</v>
      </c>
      <c r="D819" s="1274"/>
      <c r="E819" s="1255">
        <v>67.5</v>
      </c>
      <c r="F819" s="681" t="s">
        <v>1723</v>
      </c>
      <c r="G819" s="681"/>
      <c r="H819" s="683"/>
      <c r="I819" s="689"/>
      <c r="J819" s="685"/>
      <c r="K819" s="697"/>
      <c r="L819" s="689">
        <v>135</v>
      </c>
      <c r="M819" s="681"/>
      <c r="N819" s="706">
        <v>4</v>
      </c>
      <c r="O819" s="707"/>
      <c r="P819" s="750"/>
      <c r="Q819" s="696"/>
      <c r="R819" s="696"/>
      <c r="S819" s="696"/>
      <c r="T819" s="696"/>
      <c r="U819" s="696"/>
      <c r="V819" s="696"/>
      <c r="W819" s="696"/>
      <c r="X819" s="696"/>
      <c r="Y819" s="696"/>
    </row>
    <row r="820" spans="1:25" s="688" customFormat="1">
      <c r="A820" s="693" t="s">
        <v>1726</v>
      </c>
      <c r="B820" s="1272" t="s">
        <v>479</v>
      </c>
      <c r="C820" s="1273" t="s">
        <v>609</v>
      </c>
      <c r="D820" s="1274"/>
      <c r="E820" s="1255">
        <v>76</v>
      </c>
      <c r="F820" s="681" t="s">
        <v>1724</v>
      </c>
      <c r="G820" s="681"/>
      <c r="H820" s="683"/>
      <c r="I820" s="689"/>
      <c r="J820" s="685"/>
      <c r="K820" s="697"/>
      <c r="L820" s="689">
        <v>152</v>
      </c>
      <c r="M820" s="681"/>
      <c r="N820" s="706">
        <v>4</v>
      </c>
      <c r="O820" s="707"/>
      <c r="P820" s="750"/>
      <c r="Q820" s="696"/>
      <c r="R820" s="696"/>
      <c r="S820" s="696"/>
      <c r="T820" s="696"/>
      <c r="U820" s="696"/>
      <c r="V820" s="696"/>
      <c r="W820" s="696"/>
      <c r="X820" s="696"/>
      <c r="Y820" s="696"/>
    </row>
    <row r="821" spans="1:25" s="688" customFormat="1">
      <c r="A821" s="693" t="s">
        <v>1726</v>
      </c>
      <c r="B821" s="1272" t="s">
        <v>479</v>
      </c>
      <c r="C821" s="1273" t="s">
        <v>609</v>
      </c>
      <c r="D821" s="1274"/>
      <c r="E821" s="1255">
        <v>81.5</v>
      </c>
      <c r="F821" s="681" t="s">
        <v>1723</v>
      </c>
      <c r="G821" s="681"/>
      <c r="H821" s="683"/>
      <c r="I821" s="689"/>
      <c r="J821" s="685"/>
      <c r="K821" s="697"/>
      <c r="L821" s="689">
        <v>163</v>
      </c>
      <c r="M821" s="681"/>
      <c r="N821" s="706">
        <v>4</v>
      </c>
      <c r="O821" s="707"/>
      <c r="P821" s="750"/>
      <c r="Q821" s="696"/>
      <c r="R821" s="696"/>
      <c r="S821" s="696"/>
      <c r="T821" s="696"/>
      <c r="U821" s="696"/>
      <c r="V821" s="696"/>
      <c r="W821" s="696"/>
      <c r="X821" s="696"/>
      <c r="Y821" s="696"/>
    </row>
    <row r="822" spans="1:25" s="791" customFormat="1">
      <c r="A822" s="1201" t="s">
        <v>2290</v>
      </c>
      <c r="B822" s="1275" t="s">
        <v>479</v>
      </c>
      <c r="C822" s="1276" t="s">
        <v>610</v>
      </c>
      <c r="D822" s="1277"/>
      <c r="E822" s="1278">
        <v>46.5</v>
      </c>
      <c r="F822" s="785" t="s">
        <v>2335</v>
      </c>
      <c r="G822" s="785"/>
      <c r="H822" s="786"/>
      <c r="I822" s="787"/>
      <c r="J822" s="788"/>
      <c r="K822" s="794"/>
      <c r="L822" s="787">
        <v>81</v>
      </c>
      <c r="M822" s="785">
        <f>L822-E822</f>
        <v>34.5</v>
      </c>
      <c r="N822" s="797">
        <v>4</v>
      </c>
      <c r="O822" s="793"/>
      <c r="P822" s="808"/>
      <c r="Q822" s="798"/>
      <c r="R822" s="798"/>
      <c r="S822" s="798"/>
      <c r="T822" s="798"/>
      <c r="U822" s="798"/>
      <c r="V822" s="798"/>
      <c r="W822" s="798"/>
      <c r="X822" s="798"/>
      <c r="Y822" s="798"/>
    </row>
    <row r="823" spans="1:25" s="791" customFormat="1">
      <c r="A823" s="1201" t="s">
        <v>2290</v>
      </c>
      <c r="B823" s="1275" t="s">
        <v>479</v>
      </c>
      <c r="C823" s="1276" t="s">
        <v>610</v>
      </c>
      <c r="D823" s="1277"/>
      <c r="E823" s="1278">
        <v>48</v>
      </c>
      <c r="F823" s="785" t="s">
        <v>2336</v>
      </c>
      <c r="G823" s="785"/>
      <c r="H823" s="786"/>
      <c r="I823" s="787"/>
      <c r="J823" s="788"/>
      <c r="K823" s="794"/>
      <c r="L823" s="787">
        <v>84</v>
      </c>
      <c r="M823" s="785">
        <f t="shared" ref="M823:M831" si="46">L823-E823</f>
        <v>36</v>
      </c>
      <c r="N823" s="797">
        <v>4</v>
      </c>
      <c r="O823" s="793"/>
      <c r="P823" s="808"/>
      <c r="Q823" s="798"/>
      <c r="R823" s="798"/>
      <c r="S823" s="798"/>
      <c r="T823" s="798"/>
      <c r="U823" s="798"/>
      <c r="V823" s="798"/>
      <c r="W823" s="798"/>
      <c r="X823" s="798"/>
      <c r="Y823" s="798"/>
    </row>
    <row r="824" spans="1:25" s="791" customFormat="1">
      <c r="A824" s="1201" t="s">
        <v>2291</v>
      </c>
      <c r="B824" s="1275" t="s">
        <v>479</v>
      </c>
      <c r="C824" s="1276" t="s">
        <v>610</v>
      </c>
      <c r="D824" s="1277"/>
      <c r="E824" s="1278">
        <v>66.5</v>
      </c>
      <c r="F824" s="785" t="s">
        <v>2335</v>
      </c>
      <c r="G824" s="785"/>
      <c r="H824" s="786"/>
      <c r="I824" s="787"/>
      <c r="J824" s="788"/>
      <c r="K824" s="794"/>
      <c r="L824" s="787">
        <v>120</v>
      </c>
      <c r="M824" s="785">
        <f t="shared" si="46"/>
        <v>53.5</v>
      </c>
      <c r="N824" s="797">
        <v>4</v>
      </c>
      <c r="O824" s="793"/>
      <c r="P824" s="808"/>
      <c r="Q824" s="798"/>
      <c r="R824" s="798"/>
      <c r="S824" s="798"/>
      <c r="T824" s="798"/>
      <c r="U824" s="798"/>
      <c r="V824" s="798"/>
      <c r="W824" s="798"/>
      <c r="X824" s="798"/>
      <c r="Y824" s="798"/>
    </row>
    <row r="825" spans="1:25" s="791" customFormat="1">
      <c r="A825" s="1201" t="s">
        <v>2292</v>
      </c>
      <c r="B825" s="1275" t="s">
        <v>479</v>
      </c>
      <c r="C825" s="1276" t="s">
        <v>610</v>
      </c>
      <c r="D825" s="1277"/>
      <c r="E825" s="1278">
        <v>64</v>
      </c>
      <c r="F825" s="785" t="s">
        <v>2336</v>
      </c>
      <c r="G825" s="785"/>
      <c r="H825" s="786"/>
      <c r="I825" s="787"/>
      <c r="J825" s="788"/>
      <c r="K825" s="794"/>
      <c r="L825" s="787">
        <v>117</v>
      </c>
      <c r="M825" s="785">
        <f t="shared" si="46"/>
        <v>53</v>
      </c>
      <c r="N825" s="797">
        <v>4</v>
      </c>
      <c r="O825" s="793"/>
      <c r="P825" s="808"/>
      <c r="Q825" s="798"/>
      <c r="R825" s="798"/>
      <c r="S825" s="798"/>
      <c r="T825" s="798"/>
      <c r="U825" s="798"/>
      <c r="V825" s="798"/>
      <c r="W825" s="798"/>
      <c r="X825" s="798"/>
      <c r="Y825" s="798"/>
    </row>
    <row r="826" spans="1:25" s="791" customFormat="1">
      <c r="A826" s="1201" t="s">
        <v>2293</v>
      </c>
      <c r="B826" s="1275" t="s">
        <v>479</v>
      </c>
      <c r="C826" s="1276" t="s">
        <v>610</v>
      </c>
      <c r="D826" s="1277"/>
      <c r="E826" s="1278">
        <v>61</v>
      </c>
      <c r="F826" s="785" t="s">
        <v>2335</v>
      </c>
      <c r="G826" s="785"/>
      <c r="H826" s="786"/>
      <c r="I826" s="787"/>
      <c r="J826" s="788"/>
      <c r="K826" s="794"/>
      <c r="L826" s="787">
        <v>110</v>
      </c>
      <c r="M826" s="785">
        <f t="shared" si="46"/>
        <v>49</v>
      </c>
      <c r="N826" s="797">
        <v>4</v>
      </c>
      <c r="O826" s="793"/>
      <c r="P826" s="808"/>
      <c r="Q826" s="798"/>
      <c r="R826" s="798"/>
      <c r="S826" s="798"/>
      <c r="T826" s="798"/>
      <c r="U826" s="798"/>
      <c r="V826" s="798"/>
      <c r="W826" s="798"/>
      <c r="X826" s="798"/>
    </row>
    <row r="827" spans="1:25" s="791" customFormat="1">
      <c r="A827" s="1201" t="s">
        <v>2294</v>
      </c>
      <c r="B827" s="1275" t="s">
        <v>479</v>
      </c>
      <c r="C827" s="1276" t="s">
        <v>610</v>
      </c>
      <c r="D827" s="1277"/>
      <c r="E827" s="1278">
        <v>59</v>
      </c>
      <c r="F827" s="785" t="s">
        <v>2336</v>
      </c>
      <c r="G827" s="785"/>
      <c r="H827" s="786"/>
      <c r="I827" s="787"/>
      <c r="J827" s="788"/>
      <c r="K827" s="794"/>
      <c r="L827" s="787">
        <v>107</v>
      </c>
      <c r="M827" s="785">
        <f t="shared" si="46"/>
        <v>48</v>
      </c>
      <c r="N827" s="797">
        <v>4</v>
      </c>
      <c r="O827" s="793"/>
      <c r="P827" s="808"/>
      <c r="Q827" s="798"/>
      <c r="R827" s="798"/>
      <c r="S827" s="798"/>
      <c r="T827" s="798"/>
      <c r="U827" s="798"/>
      <c r="V827" s="798"/>
      <c r="W827" s="798"/>
      <c r="X827" s="798"/>
    </row>
    <row r="828" spans="1:25" s="791" customFormat="1">
      <c r="A828" s="1201" t="s">
        <v>2295</v>
      </c>
      <c r="B828" s="1275" t="s">
        <v>479</v>
      </c>
      <c r="C828" s="1276" t="s">
        <v>610</v>
      </c>
      <c r="D828" s="1277"/>
      <c r="E828" s="1278">
        <v>90.5</v>
      </c>
      <c r="F828" s="785" t="s">
        <v>2335</v>
      </c>
      <c r="G828" s="785"/>
      <c r="H828" s="786"/>
      <c r="I828" s="787"/>
      <c r="J828" s="788"/>
      <c r="K828" s="794"/>
      <c r="L828" s="787">
        <v>169</v>
      </c>
      <c r="M828" s="785">
        <f t="shared" si="46"/>
        <v>78.5</v>
      </c>
      <c r="N828" s="797">
        <v>4</v>
      </c>
      <c r="O828" s="793"/>
      <c r="P828" s="808"/>
      <c r="Q828" s="798"/>
      <c r="R828" s="798"/>
      <c r="S828" s="798"/>
      <c r="T828" s="798"/>
      <c r="U828" s="798"/>
      <c r="V828" s="798"/>
      <c r="W828" s="798"/>
      <c r="X828" s="798"/>
    </row>
    <row r="829" spans="1:25" s="791" customFormat="1">
      <c r="A829" s="1201" t="s">
        <v>2295</v>
      </c>
      <c r="B829" s="1275" t="s">
        <v>479</v>
      </c>
      <c r="C829" s="1276" t="s">
        <v>610</v>
      </c>
      <c r="D829" s="1277"/>
      <c r="E829" s="1278">
        <v>88</v>
      </c>
      <c r="F829" s="785" t="s">
        <v>2336</v>
      </c>
      <c r="G829" s="785"/>
      <c r="H829" s="786"/>
      <c r="I829" s="787"/>
      <c r="J829" s="788"/>
      <c r="K829" s="794"/>
      <c r="L829" s="787">
        <v>165</v>
      </c>
      <c r="M829" s="785">
        <f t="shared" si="46"/>
        <v>77</v>
      </c>
      <c r="N829" s="797">
        <v>4</v>
      </c>
      <c r="O829" s="793"/>
      <c r="P829" s="808"/>
      <c r="Q829" s="798"/>
      <c r="R829" s="798"/>
      <c r="S829" s="798"/>
      <c r="T829" s="798"/>
      <c r="U829" s="798"/>
      <c r="V829" s="798"/>
      <c r="W829" s="798"/>
      <c r="X829" s="798"/>
    </row>
    <row r="830" spans="1:25" s="791" customFormat="1">
      <c r="A830" s="1201" t="s">
        <v>2296</v>
      </c>
      <c r="B830" s="1275" t="s">
        <v>479</v>
      </c>
      <c r="C830" s="1276" t="s">
        <v>610</v>
      </c>
      <c r="D830" s="1277"/>
      <c r="E830" s="1278">
        <v>53</v>
      </c>
      <c r="F830" s="785" t="s">
        <v>2337</v>
      </c>
      <c r="G830" s="785"/>
      <c r="H830" s="786"/>
      <c r="I830" s="787"/>
      <c r="J830" s="788"/>
      <c r="K830" s="794"/>
      <c r="L830" s="787">
        <v>94</v>
      </c>
      <c r="M830" s="785">
        <f t="shared" si="46"/>
        <v>41</v>
      </c>
      <c r="N830" s="797">
        <v>4</v>
      </c>
      <c r="O830" s="793"/>
      <c r="P830" s="808"/>
      <c r="Q830" s="798"/>
      <c r="R830" s="798"/>
      <c r="S830" s="798"/>
      <c r="T830" s="798"/>
      <c r="U830" s="798"/>
      <c r="V830" s="798"/>
      <c r="W830" s="798"/>
      <c r="X830" s="798"/>
    </row>
    <row r="831" spans="1:25" s="791" customFormat="1">
      <c r="A831" s="1202" t="s">
        <v>2297</v>
      </c>
      <c r="B831" s="1275" t="s">
        <v>479</v>
      </c>
      <c r="C831" s="1276" t="s">
        <v>610</v>
      </c>
      <c r="D831" s="1277"/>
      <c r="E831" s="1278">
        <v>124</v>
      </c>
      <c r="F831" s="785" t="s">
        <v>2337</v>
      </c>
      <c r="G831" s="785"/>
      <c r="H831" s="786"/>
      <c r="I831" s="787"/>
      <c r="J831" s="788"/>
      <c r="K831" s="794"/>
      <c r="L831" s="787">
        <v>236</v>
      </c>
      <c r="M831" s="785">
        <f t="shared" si="46"/>
        <v>112</v>
      </c>
      <c r="N831" s="797">
        <v>4</v>
      </c>
      <c r="O831" s="793"/>
      <c r="P831" s="808"/>
      <c r="Q831" s="798"/>
      <c r="R831" s="798"/>
      <c r="S831" s="798"/>
      <c r="T831" s="798"/>
      <c r="U831" s="798"/>
      <c r="V831" s="798"/>
      <c r="W831" s="798"/>
      <c r="X831" s="798"/>
    </row>
    <row r="832" spans="1:25" s="791" customFormat="1">
      <c r="A832" s="1199" t="s">
        <v>2269</v>
      </c>
      <c r="B832" s="1275" t="s">
        <v>479</v>
      </c>
      <c r="C832" s="1276" t="s">
        <v>2333</v>
      </c>
      <c r="D832" s="1277"/>
      <c r="E832" s="1278">
        <v>44</v>
      </c>
      <c r="F832" s="785"/>
      <c r="G832" s="785"/>
      <c r="H832" s="786"/>
      <c r="I832" s="787"/>
      <c r="J832" s="788"/>
      <c r="K832" s="794"/>
      <c r="L832" s="787">
        <v>78</v>
      </c>
      <c r="M832" s="785"/>
      <c r="N832" s="797">
        <v>4</v>
      </c>
      <c r="O832" s="793"/>
      <c r="P832" s="808"/>
      <c r="Q832" s="798"/>
      <c r="R832" s="798"/>
      <c r="S832" s="798"/>
      <c r="T832" s="798"/>
      <c r="U832" s="798"/>
      <c r="V832" s="798"/>
      <c r="W832" s="798"/>
      <c r="X832" s="798"/>
    </row>
    <row r="833" spans="1:24" s="791" customFormat="1">
      <c r="A833" s="1199" t="s">
        <v>2270</v>
      </c>
      <c r="B833" s="1275" t="s">
        <v>479</v>
      </c>
      <c r="C833" s="1276" t="s">
        <v>2333</v>
      </c>
      <c r="D833" s="1277"/>
      <c r="E833" s="1278">
        <v>62.5</v>
      </c>
      <c r="F833" s="785"/>
      <c r="G833" s="785"/>
      <c r="H833" s="786"/>
      <c r="I833" s="787"/>
      <c r="J833" s="788"/>
      <c r="K833" s="794"/>
      <c r="L833" s="787">
        <v>115</v>
      </c>
      <c r="M833" s="785"/>
      <c r="N833" s="797">
        <v>4</v>
      </c>
      <c r="O833" s="793"/>
      <c r="P833" s="808"/>
      <c r="Q833" s="798"/>
      <c r="R833" s="798"/>
      <c r="S833" s="798"/>
      <c r="T833" s="798"/>
      <c r="U833" s="798"/>
      <c r="V833" s="798"/>
      <c r="W833" s="798"/>
      <c r="X833" s="798"/>
    </row>
    <row r="834" spans="1:24" s="791" customFormat="1">
      <c r="A834" s="1199" t="s">
        <v>2271</v>
      </c>
      <c r="B834" s="1275" t="s">
        <v>479</v>
      </c>
      <c r="C834" s="1276" t="s">
        <v>2333</v>
      </c>
      <c r="D834" s="1277"/>
      <c r="E834" s="1278">
        <v>48.5</v>
      </c>
      <c r="F834" s="785"/>
      <c r="G834" s="785"/>
      <c r="H834" s="786"/>
      <c r="I834" s="787"/>
      <c r="J834" s="788"/>
      <c r="K834" s="794"/>
      <c r="L834" s="787">
        <v>87</v>
      </c>
      <c r="M834" s="785"/>
      <c r="N834" s="797">
        <v>4</v>
      </c>
      <c r="O834" s="793"/>
      <c r="P834" s="808"/>
      <c r="Q834" s="798"/>
      <c r="R834" s="798"/>
      <c r="S834" s="798"/>
      <c r="T834" s="798"/>
      <c r="U834" s="798"/>
      <c r="V834" s="798"/>
      <c r="W834" s="798"/>
      <c r="X834" s="798"/>
    </row>
    <row r="835" spans="1:24" s="791" customFormat="1">
      <c r="A835" s="1200" t="s">
        <v>2272</v>
      </c>
      <c r="B835" s="1275" t="s">
        <v>479</v>
      </c>
      <c r="C835" s="1276" t="s">
        <v>2333</v>
      </c>
      <c r="D835" s="1277"/>
      <c r="E835" s="1278">
        <v>93</v>
      </c>
      <c r="F835" s="785"/>
      <c r="G835" s="785"/>
      <c r="H835" s="786"/>
      <c r="I835" s="787"/>
      <c r="J835" s="788"/>
      <c r="K835" s="794"/>
      <c r="L835" s="787">
        <v>174</v>
      </c>
      <c r="M835" s="785"/>
      <c r="N835" s="797">
        <v>4</v>
      </c>
      <c r="O835" s="793"/>
      <c r="P835" s="808"/>
      <c r="Q835" s="798"/>
      <c r="R835" s="798"/>
      <c r="S835" s="798"/>
      <c r="T835" s="798"/>
      <c r="U835" s="798"/>
      <c r="V835" s="798"/>
      <c r="W835" s="798"/>
      <c r="X835" s="798"/>
    </row>
    <row r="836" spans="1:24" s="791" customFormat="1">
      <c r="A836" s="1199" t="s">
        <v>2298</v>
      </c>
      <c r="B836" s="1275" t="s">
        <v>479</v>
      </c>
      <c r="C836" s="1276" t="s">
        <v>693</v>
      </c>
      <c r="D836" s="1277"/>
      <c r="E836" s="1278">
        <v>52.5</v>
      </c>
      <c r="F836" s="785"/>
      <c r="G836" s="785"/>
      <c r="H836" s="786"/>
      <c r="I836" s="787"/>
      <c r="J836" s="788"/>
      <c r="K836" s="794"/>
      <c r="L836" s="787">
        <v>105</v>
      </c>
      <c r="M836" s="785"/>
      <c r="N836" s="797">
        <v>6</v>
      </c>
      <c r="O836" s="793"/>
      <c r="P836" s="808"/>
      <c r="Q836" s="798"/>
      <c r="R836" s="798"/>
      <c r="S836" s="798"/>
      <c r="T836" s="798"/>
      <c r="U836" s="798"/>
      <c r="V836" s="798"/>
      <c r="W836" s="798"/>
      <c r="X836" s="798"/>
    </row>
    <row r="837" spans="1:24" s="791" customFormat="1">
      <c r="A837" s="1199" t="s">
        <v>2300</v>
      </c>
      <c r="B837" s="1275" t="s">
        <v>479</v>
      </c>
      <c r="C837" s="1276" t="s">
        <v>693</v>
      </c>
      <c r="D837" s="1277"/>
      <c r="E837" s="1278">
        <v>99.5</v>
      </c>
      <c r="F837" s="785"/>
      <c r="G837" s="785"/>
      <c r="H837" s="786"/>
      <c r="I837" s="787"/>
      <c r="J837" s="788"/>
      <c r="K837" s="794"/>
      <c r="L837" s="787">
        <v>199</v>
      </c>
      <c r="M837" s="785"/>
      <c r="N837" s="797">
        <v>6</v>
      </c>
      <c r="O837" s="793"/>
      <c r="P837" s="808"/>
      <c r="Q837" s="798"/>
      <c r="R837" s="798"/>
      <c r="S837" s="798"/>
      <c r="T837" s="798"/>
      <c r="U837" s="798"/>
      <c r="V837" s="798"/>
      <c r="W837" s="798"/>
      <c r="X837" s="798"/>
    </row>
    <row r="838" spans="1:24" s="791" customFormat="1">
      <c r="A838" s="1199" t="s">
        <v>2301</v>
      </c>
      <c r="B838" s="1275" t="s">
        <v>479</v>
      </c>
      <c r="C838" s="1276" t="s">
        <v>693</v>
      </c>
      <c r="D838" s="1277"/>
      <c r="E838" s="1278">
        <v>79</v>
      </c>
      <c r="F838" s="785"/>
      <c r="G838" s="785"/>
      <c r="H838" s="786"/>
      <c r="I838" s="787"/>
      <c r="J838" s="788"/>
      <c r="K838" s="794"/>
      <c r="L838" s="787">
        <v>158</v>
      </c>
      <c r="M838" s="785"/>
      <c r="N838" s="797">
        <v>6</v>
      </c>
      <c r="O838" s="793"/>
      <c r="P838" s="808"/>
      <c r="Q838" s="798"/>
      <c r="R838" s="798"/>
      <c r="S838" s="798"/>
      <c r="T838" s="798"/>
      <c r="U838" s="798"/>
      <c r="V838" s="798"/>
      <c r="W838" s="798"/>
      <c r="X838" s="798"/>
    </row>
    <row r="839" spans="1:24" s="791" customFormat="1">
      <c r="A839" s="1199" t="s">
        <v>2303</v>
      </c>
      <c r="B839" s="1275" t="s">
        <v>479</v>
      </c>
      <c r="C839" s="1276" t="s">
        <v>693</v>
      </c>
      <c r="D839" s="1277"/>
      <c r="E839" s="1278">
        <v>65.5</v>
      </c>
      <c r="F839" s="785"/>
      <c r="G839" s="785"/>
      <c r="H839" s="786"/>
      <c r="I839" s="787"/>
      <c r="J839" s="788"/>
      <c r="K839" s="794"/>
      <c r="L839" s="787">
        <v>131</v>
      </c>
      <c r="M839" s="785"/>
      <c r="N839" s="797">
        <v>6</v>
      </c>
      <c r="O839" s="793"/>
      <c r="P839" s="808"/>
      <c r="Q839" s="798"/>
      <c r="R839" s="798"/>
      <c r="S839" s="798"/>
      <c r="T839" s="798"/>
      <c r="U839" s="798"/>
      <c r="V839" s="798"/>
      <c r="W839" s="798"/>
      <c r="X839" s="798"/>
    </row>
    <row r="840" spans="1:24" s="791" customFormat="1">
      <c r="A840" s="1199" t="s">
        <v>2304</v>
      </c>
      <c r="B840" s="1275" t="s">
        <v>479</v>
      </c>
      <c r="C840" s="1276" t="s">
        <v>693</v>
      </c>
      <c r="D840" s="1277"/>
      <c r="E840" s="1278">
        <v>53.5</v>
      </c>
      <c r="F840" s="785"/>
      <c r="G840" s="785"/>
      <c r="H840" s="786"/>
      <c r="I840" s="787"/>
      <c r="J840" s="788"/>
      <c r="K840" s="794"/>
      <c r="L840" s="787">
        <v>107</v>
      </c>
      <c r="M840" s="785"/>
      <c r="N840" s="797">
        <v>6</v>
      </c>
      <c r="O840" s="793"/>
      <c r="P840" s="808"/>
      <c r="Q840" s="798"/>
      <c r="R840" s="798"/>
      <c r="S840" s="798"/>
      <c r="T840" s="798"/>
      <c r="U840" s="798"/>
      <c r="V840" s="798"/>
      <c r="W840" s="798"/>
      <c r="X840" s="798"/>
    </row>
    <row r="841" spans="1:24" s="791" customFormat="1">
      <c r="A841" s="1200" t="s">
        <v>2305</v>
      </c>
      <c r="B841" s="1275" t="s">
        <v>479</v>
      </c>
      <c r="C841" s="1276" t="s">
        <v>693</v>
      </c>
      <c r="D841" s="1277"/>
      <c r="E841" s="1278">
        <v>130</v>
      </c>
      <c r="F841" s="785"/>
      <c r="G841" s="785"/>
      <c r="H841" s="786"/>
      <c r="I841" s="787"/>
      <c r="J841" s="788"/>
      <c r="K841" s="794"/>
      <c r="L841" s="787">
        <v>260</v>
      </c>
      <c r="M841" s="785"/>
      <c r="N841" s="797">
        <v>6</v>
      </c>
      <c r="O841" s="793"/>
      <c r="P841" s="808"/>
      <c r="Q841" s="798"/>
      <c r="R841" s="798"/>
      <c r="S841" s="798"/>
      <c r="T841" s="798"/>
      <c r="U841" s="798"/>
      <c r="V841" s="798"/>
      <c r="W841" s="798"/>
      <c r="X841" s="798"/>
    </row>
    <row r="842" spans="1:24" s="688" customFormat="1">
      <c r="A842" s="693" t="s">
        <v>1702</v>
      </c>
      <c r="B842" s="1272" t="s">
        <v>479</v>
      </c>
      <c r="C842" s="1273" t="s">
        <v>612</v>
      </c>
      <c r="D842" s="1274"/>
      <c r="E842" s="1255">
        <v>58</v>
      </c>
      <c r="F842" s="681"/>
      <c r="G842" s="681"/>
      <c r="H842" s="683"/>
      <c r="I842" s="689"/>
      <c r="J842" s="685"/>
      <c r="K842" s="697"/>
      <c r="L842" s="689">
        <v>103</v>
      </c>
      <c r="M842" s="681"/>
      <c r="N842" s="706">
        <v>4</v>
      </c>
      <c r="O842" s="707"/>
      <c r="P842" s="750"/>
      <c r="Q842" s="696"/>
      <c r="R842" s="696"/>
      <c r="S842" s="696"/>
      <c r="T842" s="696"/>
      <c r="U842" s="696"/>
      <c r="V842" s="696"/>
      <c r="W842" s="696"/>
      <c r="X842" s="696"/>
    </row>
    <row r="843" spans="1:24" s="688" customFormat="1">
      <c r="A843" s="693" t="s">
        <v>1703</v>
      </c>
      <c r="B843" s="1272" t="s">
        <v>479</v>
      </c>
      <c r="C843" s="1273" t="s">
        <v>612</v>
      </c>
      <c r="D843" s="1274"/>
      <c r="E843" s="1255">
        <v>70.5</v>
      </c>
      <c r="F843" s="681"/>
      <c r="G843" s="681"/>
      <c r="H843" s="683"/>
      <c r="I843" s="689"/>
      <c r="J843" s="685"/>
      <c r="K843" s="697"/>
      <c r="L843" s="689">
        <v>128</v>
      </c>
      <c r="M843" s="681"/>
      <c r="N843" s="706">
        <v>4</v>
      </c>
      <c r="O843" s="707"/>
      <c r="P843" s="750"/>
      <c r="Q843" s="696"/>
      <c r="R843" s="696"/>
      <c r="S843" s="696"/>
      <c r="T843" s="696"/>
      <c r="U843" s="696"/>
      <c r="V843" s="696"/>
      <c r="W843" s="696"/>
      <c r="X843" s="696"/>
    </row>
    <row r="844" spans="1:24" s="688" customFormat="1">
      <c r="A844" s="693"/>
      <c r="B844" s="1272" t="s">
        <v>479</v>
      </c>
      <c r="C844" s="1273" t="s">
        <v>612</v>
      </c>
      <c r="D844" s="1274"/>
      <c r="E844" s="1255">
        <v>63</v>
      </c>
      <c r="F844" s="681"/>
      <c r="G844" s="681"/>
      <c r="H844" s="683"/>
      <c r="I844" s="689"/>
      <c r="J844" s="685"/>
      <c r="K844" s="697"/>
      <c r="L844" s="689">
        <v>112</v>
      </c>
      <c r="M844" s="681"/>
      <c r="N844" s="706">
        <v>4</v>
      </c>
      <c r="O844" s="707"/>
      <c r="P844" s="750"/>
      <c r="Q844" s="696"/>
      <c r="R844" s="696"/>
      <c r="S844" s="696"/>
      <c r="T844" s="696"/>
      <c r="U844" s="696"/>
      <c r="V844" s="696"/>
      <c r="W844" s="696"/>
      <c r="X844" s="696"/>
    </row>
    <row r="845" spans="1:24" s="688" customFormat="1">
      <c r="A845" s="693" t="s">
        <v>1704</v>
      </c>
      <c r="B845" s="1272" t="s">
        <v>479</v>
      </c>
      <c r="C845" s="1273" t="s">
        <v>612</v>
      </c>
      <c r="D845" s="1274"/>
      <c r="E845" s="1255">
        <v>84</v>
      </c>
      <c r="F845" s="681"/>
      <c r="G845" s="681"/>
      <c r="H845" s="683"/>
      <c r="I845" s="689"/>
      <c r="J845" s="685"/>
      <c r="K845" s="697"/>
      <c r="L845" s="689">
        <v>154</v>
      </c>
      <c r="M845" s="681"/>
      <c r="N845" s="706">
        <v>4</v>
      </c>
      <c r="O845" s="707"/>
      <c r="P845" s="750"/>
      <c r="Q845" s="696"/>
      <c r="R845" s="696"/>
      <c r="S845" s="696"/>
      <c r="T845" s="696"/>
      <c r="U845" s="696"/>
      <c r="V845" s="696"/>
      <c r="W845" s="696"/>
      <c r="X845" s="696"/>
    </row>
    <row r="846" spans="1:24" s="688" customFormat="1">
      <c r="A846" s="693" t="s">
        <v>964</v>
      </c>
      <c r="B846" s="1272" t="s">
        <v>479</v>
      </c>
      <c r="C846" s="1273" t="s">
        <v>612</v>
      </c>
      <c r="D846" s="1274"/>
      <c r="E846" s="1255">
        <v>106.5</v>
      </c>
      <c r="F846" s="681"/>
      <c r="G846" s="681"/>
      <c r="H846" s="683"/>
      <c r="I846" s="689"/>
      <c r="J846" s="685"/>
      <c r="K846" s="697"/>
      <c r="L846" s="689">
        <v>199</v>
      </c>
      <c r="M846" s="681"/>
      <c r="N846" s="706">
        <v>4</v>
      </c>
      <c r="O846" s="707"/>
      <c r="P846" s="750"/>
      <c r="Q846" s="696"/>
      <c r="R846" s="696"/>
      <c r="S846" s="696"/>
      <c r="T846" s="696"/>
      <c r="U846" s="696"/>
      <c r="V846" s="696"/>
      <c r="W846" s="696"/>
      <c r="X846" s="696"/>
    </row>
    <row r="847" spans="1:24" s="791" customFormat="1">
      <c r="A847" s="1199" t="s">
        <v>2273</v>
      </c>
      <c r="B847" s="1275" t="s">
        <v>479</v>
      </c>
      <c r="C847" s="1276" t="s">
        <v>861</v>
      </c>
      <c r="D847" s="1277"/>
      <c r="E847" s="1278">
        <v>60</v>
      </c>
      <c r="F847" s="785" t="s">
        <v>2339</v>
      </c>
      <c r="G847" s="785"/>
      <c r="H847" s="786"/>
      <c r="I847" s="787" t="s">
        <v>860</v>
      </c>
      <c r="J847" s="788"/>
      <c r="K847" s="794"/>
      <c r="L847" s="787">
        <v>120</v>
      </c>
      <c r="M847" s="785">
        <f>L847-E847</f>
        <v>60</v>
      </c>
      <c r="N847" s="797">
        <v>5</v>
      </c>
      <c r="O847" s="793"/>
      <c r="P847" s="808"/>
      <c r="Q847" s="798"/>
      <c r="R847" s="798"/>
      <c r="S847" s="798"/>
      <c r="T847" s="798"/>
      <c r="U847" s="798"/>
      <c r="V847" s="798"/>
      <c r="W847" s="798"/>
      <c r="X847" s="798"/>
    </row>
    <row r="848" spans="1:24" s="791" customFormat="1">
      <c r="A848" s="1199" t="s">
        <v>2274</v>
      </c>
      <c r="B848" s="1275" t="s">
        <v>479</v>
      </c>
      <c r="C848" s="1276" t="s">
        <v>861</v>
      </c>
      <c r="D848" s="1277"/>
      <c r="E848" s="1278">
        <v>65</v>
      </c>
      <c r="F848" s="785" t="s">
        <v>2340</v>
      </c>
      <c r="G848" s="785"/>
      <c r="H848" s="786"/>
      <c r="I848" s="787" t="s">
        <v>860</v>
      </c>
      <c r="J848" s="788"/>
      <c r="K848" s="794"/>
      <c r="L848" s="787">
        <v>130</v>
      </c>
      <c r="M848" s="785">
        <f t="shared" ref="M848:M862" si="47">L848-E848</f>
        <v>65</v>
      </c>
      <c r="N848" s="797">
        <v>5</v>
      </c>
      <c r="O848" s="793"/>
      <c r="P848" s="808"/>
      <c r="Q848" s="798"/>
      <c r="R848" s="798"/>
      <c r="S848" s="798"/>
      <c r="T848" s="798"/>
      <c r="U848" s="798"/>
      <c r="V848" s="798"/>
      <c r="W848" s="798"/>
      <c r="X848" s="798"/>
    </row>
    <row r="849" spans="1:24" s="791" customFormat="1">
      <c r="A849" s="1199" t="s">
        <v>2275</v>
      </c>
      <c r="B849" s="1275" t="s">
        <v>479</v>
      </c>
      <c r="C849" s="1276" t="s">
        <v>861</v>
      </c>
      <c r="D849" s="1277"/>
      <c r="E849" s="1278">
        <v>57.5</v>
      </c>
      <c r="F849" s="785" t="s">
        <v>2339</v>
      </c>
      <c r="G849" s="785"/>
      <c r="H849" s="786"/>
      <c r="I849" s="787" t="s">
        <v>860</v>
      </c>
      <c r="J849" s="788"/>
      <c r="K849" s="794"/>
      <c r="L849" s="787">
        <v>115</v>
      </c>
      <c r="M849" s="785">
        <f t="shared" si="47"/>
        <v>57.5</v>
      </c>
      <c r="N849" s="797">
        <v>5</v>
      </c>
      <c r="O849" s="793"/>
      <c r="P849" s="808"/>
      <c r="Q849" s="798"/>
      <c r="R849" s="798"/>
      <c r="S849" s="798"/>
      <c r="T849" s="798"/>
      <c r="U849" s="798"/>
      <c r="V849" s="798"/>
      <c r="W849" s="798"/>
      <c r="X849" s="798"/>
    </row>
    <row r="850" spans="1:24" s="791" customFormat="1">
      <c r="A850" s="1199" t="s">
        <v>2276</v>
      </c>
      <c r="B850" s="1275" t="s">
        <v>479</v>
      </c>
      <c r="C850" s="1276" t="s">
        <v>861</v>
      </c>
      <c r="D850" s="1277"/>
      <c r="E850" s="1278">
        <v>62.5</v>
      </c>
      <c r="F850" s="785" t="s">
        <v>2340</v>
      </c>
      <c r="G850" s="785"/>
      <c r="H850" s="786"/>
      <c r="I850" s="787" t="s">
        <v>860</v>
      </c>
      <c r="J850" s="788"/>
      <c r="K850" s="794"/>
      <c r="L850" s="787">
        <v>125</v>
      </c>
      <c r="M850" s="785">
        <f t="shared" si="47"/>
        <v>62.5</v>
      </c>
      <c r="N850" s="797">
        <v>5</v>
      </c>
      <c r="O850" s="793"/>
      <c r="P850" s="808"/>
      <c r="Q850" s="798"/>
      <c r="R850" s="798"/>
      <c r="S850" s="798"/>
      <c r="T850" s="798"/>
      <c r="U850" s="798"/>
      <c r="V850" s="798"/>
      <c r="W850" s="798"/>
      <c r="X850" s="798"/>
    </row>
    <row r="851" spans="1:24" s="791" customFormat="1">
      <c r="A851" s="1199" t="s">
        <v>2277</v>
      </c>
      <c r="B851" s="1275" t="s">
        <v>479</v>
      </c>
      <c r="C851" s="1276" t="s">
        <v>861</v>
      </c>
      <c r="D851" s="1277"/>
      <c r="E851" s="1278">
        <v>76</v>
      </c>
      <c r="F851" s="785" t="s">
        <v>2339</v>
      </c>
      <c r="G851" s="785"/>
      <c r="H851" s="786"/>
      <c r="I851" s="787" t="s">
        <v>860</v>
      </c>
      <c r="J851" s="788"/>
      <c r="K851" s="794"/>
      <c r="L851" s="787">
        <v>152</v>
      </c>
      <c r="M851" s="785">
        <f t="shared" si="47"/>
        <v>76</v>
      </c>
      <c r="N851" s="797">
        <v>5</v>
      </c>
      <c r="O851" s="793"/>
      <c r="P851" s="808"/>
      <c r="Q851" s="798"/>
      <c r="R851" s="798"/>
      <c r="S851" s="798"/>
      <c r="T851" s="798"/>
      <c r="U851" s="798"/>
      <c r="V851" s="798"/>
      <c r="W851" s="798"/>
      <c r="X851" s="798"/>
    </row>
    <row r="852" spans="1:24" s="791" customFormat="1">
      <c r="A852" s="1199" t="s">
        <v>2277</v>
      </c>
      <c r="B852" s="1275" t="s">
        <v>479</v>
      </c>
      <c r="C852" s="1276" t="s">
        <v>861</v>
      </c>
      <c r="D852" s="1277"/>
      <c r="E852" s="1278">
        <v>81</v>
      </c>
      <c r="F852" s="785" t="s">
        <v>2340</v>
      </c>
      <c r="G852" s="785"/>
      <c r="H852" s="786"/>
      <c r="I852" s="787" t="s">
        <v>860</v>
      </c>
      <c r="J852" s="788"/>
      <c r="K852" s="794"/>
      <c r="L852" s="787">
        <v>162</v>
      </c>
      <c r="M852" s="785">
        <f t="shared" si="47"/>
        <v>81</v>
      </c>
      <c r="N852" s="797">
        <v>5</v>
      </c>
      <c r="O852" s="793"/>
      <c r="P852" s="808"/>
      <c r="Q852" s="798"/>
      <c r="R852" s="798"/>
      <c r="S852" s="798"/>
      <c r="T852" s="798"/>
      <c r="U852" s="798"/>
      <c r="V852" s="798"/>
      <c r="W852" s="798"/>
      <c r="X852" s="798"/>
    </row>
    <row r="853" spans="1:24" s="791" customFormat="1">
      <c r="A853" s="1199" t="s">
        <v>2278</v>
      </c>
      <c r="B853" s="1275" t="s">
        <v>479</v>
      </c>
      <c r="C853" s="1276" t="s">
        <v>861</v>
      </c>
      <c r="D853" s="1277"/>
      <c r="E853" s="1278">
        <v>90</v>
      </c>
      <c r="F853" s="785" t="s">
        <v>2339</v>
      </c>
      <c r="G853" s="785"/>
      <c r="H853" s="786"/>
      <c r="I853" s="787" t="s">
        <v>860</v>
      </c>
      <c r="J853" s="788"/>
      <c r="K853" s="794"/>
      <c r="L853" s="787">
        <v>180</v>
      </c>
      <c r="M853" s="785">
        <f t="shared" si="47"/>
        <v>90</v>
      </c>
      <c r="N853" s="797">
        <v>5</v>
      </c>
      <c r="O853" s="793"/>
      <c r="P853" s="808"/>
      <c r="Q853" s="798"/>
      <c r="R853" s="798"/>
      <c r="S853" s="798"/>
      <c r="T853" s="798"/>
      <c r="U853" s="798"/>
      <c r="V853" s="798"/>
      <c r="W853" s="798"/>
      <c r="X853" s="798"/>
    </row>
    <row r="854" spans="1:24" s="791" customFormat="1">
      <c r="A854" s="1199" t="s">
        <v>2278</v>
      </c>
      <c r="B854" s="1275" t="s">
        <v>479</v>
      </c>
      <c r="C854" s="1276" t="s">
        <v>861</v>
      </c>
      <c r="D854" s="1277"/>
      <c r="E854" s="1278">
        <v>95</v>
      </c>
      <c r="F854" s="785" t="s">
        <v>2340</v>
      </c>
      <c r="G854" s="785"/>
      <c r="H854" s="786"/>
      <c r="I854" s="787" t="s">
        <v>860</v>
      </c>
      <c r="J854" s="788"/>
      <c r="K854" s="794"/>
      <c r="L854" s="787">
        <v>190</v>
      </c>
      <c r="M854" s="785">
        <f t="shared" si="47"/>
        <v>95</v>
      </c>
      <c r="N854" s="797">
        <v>5</v>
      </c>
      <c r="O854" s="793"/>
      <c r="P854" s="808"/>
      <c r="Q854" s="798"/>
      <c r="R854" s="798"/>
      <c r="S854" s="798"/>
      <c r="T854" s="798"/>
      <c r="U854" s="798"/>
      <c r="V854" s="798"/>
      <c r="W854" s="798"/>
      <c r="X854" s="798"/>
    </row>
    <row r="855" spans="1:24" s="791" customFormat="1">
      <c r="A855" s="1199" t="s">
        <v>2279</v>
      </c>
      <c r="B855" s="1275" t="s">
        <v>479</v>
      </c>
      <c r="C855" s="1276" t="s">
        <v>861</v>
      </c>
      <c r="D855" s="1277"/>
      <c r="E855" s="1278">
        <v>70</v>
      </c>
      <c r="F855" s="785" t="s">
        <v>2339</v>
      </c>
      <c r="G855" s="785"/>
      <c r="H855" s="786"/>
      <c r="I855" s="787" t="s">
        <v>860</v>
      </c>
      <c r="J855" s="788"/>
      <c r="K855" s="794"/>
      <c r="L855" s="787">
        <v>140</v>
      </c>
      <c r="M855" s="785">
        <f t="shared" si="47"/>
        <v>70</v>
      </c>
      <c r="N855" s="797">
        <v>5</v>
      </c>
      <c r="O855" s="793"/>
      <c r="P855" s="808"/>
      <c r="Q855" s="798"/>
      <c r="R855" s="798"/>
      <c r="S855" s="798"/>
      <c r="T855" s="798"/>
      <c r="U855" s="798"/>
      <c r="V855" s="798"/>
      <c r="W855" s="798"/>
      <c r="X855" s="798"/>
    </row>
    <row r="856" spans="1:24" s="791" customFormat="1">
      <c r="A856" s="1199" t="s">
        <v>2280</v>
      </c>
      <c r="B856" s="1275" t="s">
        <v>479</v>
      </c>
      <c r="C856" s="1276" t="s">
        <v>861</v>
      </c>
      <c r="D856" s="1277"/>
      <c r="E856" s="1278">
        <v>75</v>
      </c>
      <c r="F856" s="785" t="s">
        <v>2340</v>
      </c>
      <c r="G856" s="785"/>
      <c r="H856" s="786"/>
      <c r="I856" s="787" t="s">
        <v>860</v>
      </c>
      <c r="J856" s="788"/>
      <c r="K856" s="794"/>
      <c r="L856" s="787">
        <v>150</v>
      </c>
      <c r="M856" s="785">
        <f t="shared" si="47"/>
        <v>75</v>
      </c>
      <c r="N856" s="797">
        <v>5</v>
      </c>
      <c r="O856" s="793"/>
      <c r="P856" s="808"/>
      <c r="Q856" s="798"/>
      <c r="R856" s="798"/>
      <c r="S856" s="798"/>
      <c r="T856" s="798"/>
      <c r="U856" s="798"/>
      <c r="V856" s="798"/>
      <c r="W856" s="798"/>
      <c r="X856" s="798"/>
    </row>
    <row r="857" spans="1:24" s="791" customFormat="1">
      <c r="A857" s="1199" t="s">
        <v>2281</v>
      </c>
      <c r="B857" s="1275" t="s">
        <v>479</v>
      </c>
      <c r="C857" s="1276" t="s">
        <v>861</v>
      </c>
      <c r="D857" s="1277"/>
      <c r="E857" s="1278">
        <v>57.5</v>
      </c>
      <c r="F857" s="785" t="s">
        <v>2339</v>
      </c>
      <c r="G857" s="785"/>
      <c r="H857" s="786"/>
      <c r="I857" s="787" t="s">
        <v>860</v>
      </c>
      <c r="J857" s="788"/>
      <c r="K857" s="794"/>
      <c r="L857" s="787">
        <v>115</v>
      </c>
      <c r="M857" s="785">
        <f t="shared" si="47"/>
        <v>57.5</v>
      </c>
      <c r="N857" s="797">
        <v>5</v>
      </c>
      <c r="O857" s="793"/>
      <c r="P857" s="808"/>
      <c r="Q857" s="798"/>
      <c r="R857" s="798"/>
      <c r="S857" s="798"/>
      <c r="T857" s="798"/>
      <c r="U857" s="798"/>
      <c r="V857" s="798"/>
      <c r="W857" s="798"/>
      <c r="X857" s="798"/>
    </row>
    <row r="858" spans="1:24" s="791" customFormat="1">
      <c r="A858" s="1199" t="s">
        <v>2281</v>
      </c>
      <c r="B858" s="1275" t="s">
        <v>479</v>
      </c>
      <c r="C858" s="1276" t="s">
        <v>861</v>
      </c>
      <c r="D858" s="1277"/>
      <c r="E858" s="1278">
        <v>67.5</v>
      </c>
      <c r="F858" s="785" t="s">
        <v>2340</v>
      </c>
      <c r="G858" s="785"/>
      <c r="H858" s="786"/>
      <c r="I858" s="787" t="s">
        <v>860</v>
      </c>
      <c r="J858" s="788"/>
      <c r="K858" s="794"/>
      <c r="L858" s="787">
        <v>130</v>
      </c>
      <c r="M858" s="785">
        <f t="shared" si="47"/>
        <v>62.5</v>
      </c>
      <c r="N858" s="797">
        <v>5</v>
      </c>
      <c r="O858" s="793"/>
      <c r="P858" s="808"/>
      <c r="Q858" s="798"/>
      <c r="R858" s="798"/>
      <c r="S858" s="798"/>
      <c r="T858" s="798"/>
      <c r="U858" s="798"/>
      <c r="V858" s="798"/>
      <c r="W858" s="798"/>
      <c r="X858" s="798"/>
    </row>
    <row r="859" spans="1:24" s="791" customFormat="1">
      <c r="A859" s="1199" t="s">
        <v>2282</v>
      </c>
      <c r="B859" s="1275" t="s">
        <v>479</v>
      </c>
      <c r="C859" s="1276" t="s">
        <v>861</v>
      </c>
      <c r="D859" s="1277"/>
      <c r="E859" s="1278">
        <v>62.5</v>
      </c>
      <c r="F859" s="785" t="s">
        <v>2339</v>
      </c>
      <c r="G859" s="785"/>
      <c r="H859" s="786"/>
      <c r="I859" s="787" t="s">
        <v>860</v>
      </c>
      <c r="J859" s="788"/>
      <c r="K859" s="794"/>
      <c r="L859" s="787">
        <v>125</v>
      </c>
      <c r="M859" s="785">
        <f t="shared" si="47"/>
        <v>62.5</v>
      </c>
      <c r="N859" s="797">
        <v>5</v>
      </c>
      <c r="O859" s="793"/>
      <c r="P859" s="808"/>
      <c r="Q859" s="798"/>
      <c r="R859" s="798"/>
      <c r="S859" s="798"/>
      <c r="T859" s="798"/>
      <c r="U859" s="798"/>
      <c r="V859" s="798"/>
      <c r="W859" s="798"/>
      <c r="X859" s="798"/>
    </row>
    <row r="860" spans="1:24" s="791" customFormat="1">
      <c r="A860" s="1199" t="s">
        <v>2282</v>
      </c>
      <c r="B860" s="1275" t="s">
        <v>479</v>
      </c>
      <c r="C860" s="1276" t="s">
        <v>861</v>
      </c>
      <c r="D860" s="1277"/>
      <c r="E860" s="1278">
        <v>72.5</v>
      </c>
      <c r="F860" s="785" t="s">
        <v>2340</v>
      </c>
      <c r="G860" s="785"/>
      <c r="H860" s="786"/>
      <c r="I860" s="787" t="s">
        <v>860</v>
      </c>
      <c r="J860" s="788"/>
      <c r="K860" s="794"/>
      <c r="L860" s="787">
        <v>145</v>
      </c>
      <c r="M860" s="785">
        <f t="shared" si="47"/>
        <v>72.5</v>
      </c>
      <c r="N860" s="797">
        <v>5</v>
      </c>
      <c r="O860" s="793"/>
      <c r="P860" s="808"/>
      <c r="Q860" s="798"/>
      <c r="R860" s="798"/>
      <c r="S860" s="798"/>
      <c r="T860" s="798"/>
      <c r="U860" s="798"/>
      <c r="V860" s="798"/>
      <c r="W860" s="798"/>
      <c r="X860" s="798"/>
    </row>
    <row r="861" spans="1:24" s="791" customFormat="1">
      <c r="A861" s="1199" t="s">
        <v>2283</v>
      </c>
      <c r="B861" s="1275" t="s">
        <v>479</v>
      </c>
      <c r="C861" s="1276" t="s">
        <v>861</v>
      </c>
      <c r="D861" s="1277"/>
      <c r="E861" s="1278">
        <v>72.5</v>
      </c>
      <c r="F861" s="785"/>
      <c r="G861" s="785"/>
      <c r="H861" s="786"/>
      <c r="I861" s="787" t="s">
        <v>860</v>
      </c>
      <c r="J861" s="788"/>
      <c r="K861" s="794"/>
      <c r="L861" s="787">
        <v>145</v>
      </c>
      <c r="M861" s="785">
        <f t="shared" si="47"/>
        <v>72.5</v>
      </c>
      <c r="N861" s="797">
        <v>5</v>
      </c>
      <c r="O861" s="793"/>
      <c r="P861" s="808"/>
      <c r="Q861" s="798"/>
      <c r="R861" s="798"/>
      <c r="S861" s="798"/>
      <c r="T861" s="798"/>
      <c r="U861" s="798"/>
      <c r="V861" s="798"/>
      <c r="W861" s="798"/>
      <c r="X861" s="798"/>
    </row>
    <row r="862" spans="1:24" s="791" customFormat="1">
      <c r="A862" s="1200" t="s">
        <v>2250</v>
      </c>
      <c r="B862" s="1275" t="s">
        <v>479</v>
      </c>
      <c r="C862" s="1276" t="s">
        <v>861</v>
      </c>
      <c r="D862" s="1277"/>
      <c r="E862" s="1278">
        <v>112.5</v>
      </c>
      <c r="F862" s="785"/>
      <c r="G862" s="785"/>
      <c r="H862" s="786"/>
      <c r="I862" s="787" t="s">
        <v>860</v>
      </c>
      <c r="J862" s="788"/>
      <c r="K862" s="794"/>
      <c r="L862" s="787">
        <v>225</v>
      </c>
      <c r="M862" s="785">
        <f t="shared" si="47"/>
        <v>112.5</v>
      </c>
      <c r="N862" s="797">
        <v>5</v>
      </c>
      <c r="O862" s="793"/>
      <c r="P862" s="808"/>
      <c r="Q862" s="798"/>
      <c r="R862" s="798"/>
      <c r="S862" s="798"/>
      <c r="T862" s="798"/>
      <c r="U862" s="798"/>
      <c r="V862" s="798"/>
      <c r="W862" s="798"/>
      <c r="X862" s="798"/>
    </row>
    <row r="863" spans="1:24" s="791" customFormat="1">
      <c r="A863" s="1203" t="s">
        <v>2306</v>
      </c>
      <c r="B863" s="1275" t="s">
        <v>479</v>
      </c>
      <c r="C863" s="1276" t="s">
        <v>2338</v>
      </c>
      <c r="D863" s="1277"/>
      <c r="E863" s="1278">
        <v>60</v>
      </c>
      <c r="F863" s="785" t="s">
        <v>2339</v>
      </c>
      <c r="G863" s="785"/>
      <c r="H863" s="786"/>
      <c r="I863" s="787" t="s">
        <v>860</v>
      </c>
      <c r="J863" s="788"/>
      <c r="K863" s="794"/>
      <c r="L863" s="787">
        <v>120</v>
      </c>
      <c r="M863" s="785">
        <f>L863-E863</f>
        <v>60</v>
      </c>
      <c r="N863" s="797">
        <v>5</v>
      </c>
      <c r="O863" s="793"/>
      <c r="P863" s="808"/>
      <c r="Q863" s="798"/>
      <c r="R863" s="798"/>
      <c r="S863" s="798"/>
      <c r="T863" s="798"/>
      <c r="U863" s="798"/>
      <c r="V863" s="798"/>
      <c r="W863" s="798"/>
      <c r="X863" s="798"/>
    </row>
    <row r="864" spans="1:24" s="791" customFormat="1">
      <c r="A864" s="1203" t="s">
        <v>2307</v>
      </c>
      <c r="B864" s="1275" t="s">
        <v>479</v>
      </c>
      <c r="C864" s="1276" t="s">
        <v>2338</v>
      </c>
      <c r="D864" s="1277"/>
      <c r="E864" s="1278">
        <v>65</v>
      </c>
      <c r="F864" s="785" t="s">
        <v>2340</v>
      </c>
      <c r="G864" s="785"/>
      <c r="H864" s="786"/>
      <c r="I864" s="787" t="s">
        <v>860</v>
      </c>
      <c r="J864" s="788"/>
      <c r="K864" s="794"/>
      <c r="L864" s="787">
        <v>130</v>
      </c>
      <c r="M864" s="785">
        <f t="shared" ref="M864:M878" si="48">L864-E864</f>
        <v>65</v>
      </c>
      <c r="N864" s="797">
        <v>5</v>
      </c>
      <c r="O864" s="793"/>
      <c r="P864" s="808"/>
      <c r="Q864" s="798"/>
      <c r="R864" s="798"/>
      <c r="S864" s="798"/>
      <c r="T864" s="798"/>
      <c r="U864" s="798"/>
      <c r="V864" s="798"/>
      <c r="W864" s="798"/>
      <c r="X864" s="798"/>
    </row>
    <row r="865" spans="1:24" s="791" customFormat="1">
      <c r="A865" s="1203" t="s">
        <v>2275</v>
      </c>
      <c r="B865" s="1275" t="s">
        <v>479</v>
      </c>
      <c r="C865" s="1276" t="s">
        <v>2338</v>
      </c>
      <c r="D865" s="1277"/>
      <c r="E865" s="1278">
        <v>57.5</v>
      </c>
      <c r="F865" s="785" t="s">
        <v>2339</v>
      </c>
      <c r="G865" s="785"/>
      <c r="H865" s="786"/>
      <c r="I865" s="787" t="s">
        <v>860</v>
      </c>
      <c r="J865" s="788"/>
      <c r="K865" s="794"/>
      <c r="L865" s="787">
        <v>115</v>
      </c>
      <c r="M865" s="785">
        <f t="shared" si="48"/>
        <v>57.5</v>
      </c>
      <c r="N865" s="797">
        <v>5</v>
      </c>
      <c r="O865" s="793"/>
      <c r="P865" s="808"/>
      <c r="Q865" s="798"/>
      <c r="R865" s="798"/>
      <c r="S865" s="798"/>
      <c r="T865" s="798"/>
      <c r="U865" s="798"/>
      <c r="V865" s="798"/>
      <c r="W865" s="798"/>
      <c r="X865" s="798"/>
    </row>
    <row r="866" spans="1:24" s="791" customFormat="1">
      <c r="A866" s="1203" t="s">
        <v>2275</v>
      </c>
      <c r="B866" s="1275" t="s">
        <v>479</v>
      </c>
      <c r="C866" s="1276" t="s">
        <v>2338</v>
      </c>
      <c r="D866" s="1277"/>
      <c r="E866" s="1278">
        <v>62.5</v>
      </c>
      <c r="F866" s="785" t="s">
        <v>2340</v>
      </c>
      <c r="G866" s="785"/>
      <c r="H866" s="786"/>
      <c r="I866" s="787" t="s">
        <v>860</v>
      </c>
      <c r="J866" s="788"/>
      <c r="K866" s="794"/>
      <c r="L866" s="787">
        <v>125</v>
      </c>
      <c r="M866" s="785">
        <f t="shared" si="48"/>
        <v>62.5</v>
      </c>
      <c r="N866" s="797">
        <v>5</v>
      </c>
      <c r="O866" s="793"/>
      <c r="P866" s="808"/>
      <c r="Q866" s="798"/>
      <c r="R866" s="798"/>
      <c r="S866" s="798"/>
      <c r="T866" s="798"/>
      <c r="U866" s="798"/>
      <c r="V866" s="798"/>
      <c r="W866" s="798"/>
      <c r="X866" s="798"/>
    </row>
    <row r="867" spans="1:24" s="791" customFormat="1">
      <c r="A867" s="1203" t="s">
        <v>2277</v>
      </c>
      <c r="B867" s="1275" t="s">
        <v>479</v>
      </c>
      <c r="C867" s="1276" t="s">
        <v>2338</v>
      </c>
      <c r="D867" s="1277"/>
      <c r="E867" s="1278">
        <v>76</v>
      </c>
      <c r="F867" s="785" t="s">
        <v>2339</v>
      </c>
      <c r="G867" s="785"/>
      <c r="H867" s="786"/>
      <c r="I867" s="787" t="s">
        <v>860</v>
      </c>
      <c r="J867" s="788"/>
      <c r="K867" s="794"/>
      <c r="L867" s="787">
        <v>152</v>
      </c>
      <c r="M867" s="785">
        <f t="shared" si="48"/>
        <v>76</v>
      </c>
      <c r="N867" s="797">
        <v>5</v>
      </c>
      <c r="O867" s="793"/>
      <c r="P867" s="808"/>
      <c r="Q867" s="798"/>
      <c r="R867" s="798"/>
      <c r="S867" s="798"/>
      <c r="T867" s="798"/>
      <c r="U867" s="798"/>
      <c r="V867" s="798"/>
      <c r="W867" s="798"/>
      <c r="X867" s="798"/>
    </row>
    <row r="868" spans="1:24" s="791" customFormat="1">
      <c r="A868" s="1203" t="s">
        <v>2277</v>
      </c>
      <c r="B868" s="1275" t="s">
        <v>479</v>
      </c>
      <c r="C868" s="1276" t="s">
        <v>2338</v>
      </c>
      <c r="D868" s="1277"/>
      <c r="E868" s="1278">
        <v>81</v>
      </c>
      <c r="F868" s="785" t="s">
        <v>2340</v>
      </c>
      <c r="G868" s="785"/>
      <c r="H868" s="786"/>
      <c r="I868" s="787" t="s">
        <v>860</v>
      </c>
      <c r="J868" s="788"/>
      <c r="K868" s="794"/>
      <c r="L868" s="787">
        <v>162</v>
      </c>
      <c r="M868" s="785">
        <f t="shared" si="48"/>
        <v>81</v>
      </c>
      <c r="N868" s="797">
        <v>5</v>
      </c>
      <c r="O868" s="793"/>
      <c r="P868" s="808"/>
      <c r="Q868" s="798"/>
      <c r="R868" s="798"/>
      <c r="S868" s="798"/>
      <c r="T868" s="798"/>
      <c r="U868" s="798"/>
      <c r="V868" s="798"/>
      <c r="W868" s="798"/>
      <c r="X868" s="798"/>
    </row>
    <row r="869" spans="1:24" s="791" customFormat="1">
      <c r="A869" s="1203" t="s">
        <v>2308</v>
      </c>
      <c r="B869" s="1275" t="s">
        <v>479</v>
      </c>
      <c r="C869" s="1276" t="s">
        <v>2338</v>
      </c>
      <c r="D869" s="1277"/>
      <c r="E869" s="1278">
        <v>90</v>
      </c>
      <c r="F869" s="785" t="s">
        <v>2339</v>
      </c>
      <c r="G869" s="785"/>
      <c r="H869" s="786"/>
      <c r="I869" s="787" t="s">
        <v>860</v>
      </c>
      <c r="J869" s="788"/>
      <c r="K869" s="794"/>
      <c r="L869" s="787">
        <v>180</v>
      </c>
      <c r="M869" s="785">
        <f t="shared" si="48"/>
        <v>90</v>
      </c>
      <c r="N869" s="797">
        <v>5</v>
      </c>
      <c r="O869" s="793"/>
      <c r="P869" s="808"/>
      <c r="Q869" s="798"/>
      <c r="R869" s="798"/>
      <c r="S869" s="798"/>
      <c r="T869" s="798"/>
      <c r="U869" s="798"/>
      <c r="V869" s="798"/>
      <c r="W869" s="798"/>
      <c r="X869" s="798"/>
    </row>
    <row r="870" spans="1:24" s="791" customFormat="1">
      <c r="A870" s="1203" t="s">
        <v>2278</v>
      </c>
      <c r="B870" s="1275" t="s">
        <v>479</v>
      </c>
      <c r="C870" s="1276" t="s">
        <v>2338</v>
      </c>
      <c r="D870" s="1277"/>
      <c r="E870" s="1278">
        <v>95</v>
      </c>
      <c r="F870" s="785" t="s">
        <v>2340</v>
      </c>
      <c r="G870" s="785"/>
      <c r="H870" s="786"/>
      <c r="I870" s="787" t="s">
        <v>860</v>
      </c>
      <c r="J870" s="788"/>
      <c r="K870" s="794"/>
      <c r="L870" s="787">
        <v>190</v>
      </c>
      <c r="M870" s="785">
        <f t="shared" si="48"/>
        <v>95</v>
      </c>
      <c r="N870" s="797">
        <v>5</v>
      </c>
      <c r="O870" s="793"/>
      <c r="P870" s="808"/>
      <c r="Q870" s="798"/>
      <c r="R870" s="798"/>
      <c r="S870" s="798"/>
      <c r="T870" s="798"/>
      <c r="U870" s="798"/>
      <c r="V870" s="798"/>
      <c r="W870" s="798"/>
      <c r="X870" s="798"/>
    </row>
    <row r="871" spans="1:24" s="791" customFormat="1">
      <c r="A871" s="1203" t="s">
        <v>2309</v>
      </c>
      <c r="B871" s="1275" t="s">
        <v>479</v>
      </c>
      <c r="C871" s="1276" t="s">
        <v>2338</v>
      </c>
      <c r="D871" s="1277"/>
      <c r="E871" s="1278">
        <v>70</v>
      </c>
      <c r="F871" s="785" t="s">
        <v>2339</v>
      </c>
      <c r="G871" s="785"/>
      <c r="H871" s="786"/>
      <c r="I871" s="787" t="s">
        <v>860</v>
      </c>
      <c r="J871" s="788"/>
      <c r="K871" s="794"/>
      <c r="L871" s="787">
        <v>140</v>
      </c>
      <c r="M871" s="785">
        <f t="shared" si="48"/>
        <v>70</v>
      </c>
      <c r="N871" s="797">
        <v>5</v>
      </c>
      <c r="O871" s="793"/>
      <c r="P871" s="808"/>
      <c r="Q871" s="798"/>
      <c r="R871" s="798"/>
      <c r="S871" s="798"/>
      <c r="T871" s="798"/>
      <c r="U871" s="798"/>
      <c r="V871" s="798"/>
      <c r="W871" s="798"/>
      <c r="X871" s="798"/>
    </row>
    <row r="872" spans="1:24" s="791" customFormat="1">
      <c r="A872" s="1203" t="s">
        <v>2280</v>
      </c>
      <c r="B872" s="1275" t="s">
        <v>479</v>
      </c>
      <c r="C872" s="1276" t="s">
        <v>2338</v>
      </c>
      <c r="D872" s="1277"/>
      <c r="E872" s="1278">
        <v>75</v>
      </c>
      <c r="F872" s="785" t="s">
        <v>2340</v>
      </c>
      <c r="G872" s="785"/>
      <c r="H872" s="786"/>
      <c r="I872" s="787" t="s">
        <v>860</v>
      </c>
      <c r="J872" s="788"/>
      <c r="K872" s="794"/>
      <c r="L872" s="787">
        <v>150</v>
      </c>
      <c r="M872" s="785">
        <f t="shared" si="48"/>
        <v>75</v>
      </c>
      <c r="N872" s="797">
        <v>5</v>
      </c>
      <c r="O872" s="793"/>
      <c r="P872" s="808"/>
      <c r="Q872" s="798"/>
      <c r="R872" s="798"/>
      <c r="S872" s="798"/>
      <c r="T872" s="798"/>
      <c r="U872" s="798"/>
      <c r="V872" s="798"/>
      <c r="W872" s="798"/>
      <c r="X872" s="798"/>
    </row>
    <row r="873" spans="1:24" s="791" customFormat="1">
      <c r="A873" s="1203" t="s">
        <v>2281</v>
      </c>
      <c r="B873" s="1275" t="s">
        <v>479</v>
      </c>
      <c r="C873" s="1276" t="s">
        <v>2338</v>
      </c>
      <c r="D873" s="1277"/>
      <c r="E873" s="1278">
        <v>57.5</v>
      </c>
      <c r="F873" s="785" t="s">
        <v>2339</v>
      </c>
      <c r="G873" s="785"/>
      <c r="H873" s="786"/>
      <c r="I873" s="787" t="s">
        <v>860</v>
      </c>
      <c r="J873" s="788"/>
      <c r="K873" s="794"/>
      <c r="L873" s="787">
        <v>115</v>
      </c>
      <c r="M873" s="785">
        <f t="shared" si="48"/>
        <v>57.5</v>
      </c>
      <c r="N873" s="797">
        <v>5</v>
      </c>
      <c r="O873" s="793"/>
      <c r="P873" s="808"/>
      <c r="Q873" s="798"/>
      <c r="R873" s="798"/>
      <c r="S873" s="798"/>
      <c r="T873" s="798"/>
      <c r="U873" s="798"/>
      <c r="V873" s="798"/>
      <c r="W873" s="798"/>
      <c r="X873" s="798"/>
    </row>
    <row r="874" spans="1:24" s="791" customFormat="1">
      <c r="A874" s="1203" t="s">
        <v>2281</v>
      </c>
      <c r="B874" s="1275" t="s">
        <v>479</v>
      </c>
      <c r="C874" s="1276" t="s">
        <v>2338</v>
      </c>
      <c r="D874" s="1277"/>
      <c r="E874" s="1278">
        <v>67.5</v>
      </c>
      <c r="F874" s="785" t="s">
        <v>2340</v>
      </c>
      <c r="G874" s="785"/>
      <c r="H874" s="786"/>
      <c r="I874" s="787" t="s">
        <v>860</v>
      </c>
      <c r="J874" s="788"/>
      <c r="K874" s="794"/>
      <c r="L874" s="787">
        <v>130</v>
      </c>
      <c r="M874" s="785">
        <f t="shared" si="48"/>
        <v>62.5</v>
      </c>
      <c r="N874" s="797">
        <v>5</v>
      </c>
      <c r="O874" s="793"/>
      <c r="P874" s="808"/>
      <c r="Q874" s="798"/>
      <c r="R874" s="798"/>
      <c r="S874" s="798"/>
      <c r="T874" s="798"/>
      <c r="U874" s="798"/>
      <c r="V874" s="798"/>
      <c r="W874" s="798"/>
      <c r="X874" s="798"/>
    </row>
    <row r="875" spans="1:24" s="791" customFormat="1">
      <c r="A875" s="1203" t="s">
        <v>2282</v>
      </c>
      <c r="B875" s="1275" t="s">
        <v>479</v>
      </c>
      <c r="C875" s="1276" t="s">
        <v>2338</v>
      </c>
      <c r="D875" s="1277"/>
      <c r="E875" s="1278">
        <v>62.5</v>
      </c>
      <c r="F875" s="785" t="s">
        <v>2339</v>
      </c>
      <c r="G875" s="785"/>
      <c r="H875" s="786"/>
      <c r="I875" s="787" t="s">
        <v>860</v>
      </c>
      <c r="J875" s="788"/>
      <c r="K875" s="794"/>
      <c r="L875" s="787">
        <v>125</v>
      </c>
      <c r="M875" s="785">
        <f t="shared" si="48"/>
        <v>62.5</v>
      </c>
      <c r="N875" s="797">
        <v>5</v>
      </c>
      <c r="O875" s="793"/>
      <c r="P875" s="808"/>
      <c r="Q875" s="798"/>
      <c r="R875" s="798"/>
      <c r="S875" s="798"/>
      <c r="T875" s="798"/>
      <c r="U875" s="798"/>
    </row>
    <row r="876" spans="1:24" s="791" customFormat="1">
      <c r="A876" s="1203" t="s">
        <v>2282</v>
      </c>
      <c r="B876" s="1275" t="s">
        <v>479</v>
      </c>
      <c r="C876" s="1276" t="s">
        <v>2338</v>
      </c>
      <c r="D876" s="1277"/>
      <c r="E876" s="1278">
        <v>72.5</v>
      </c>
      <c r="F876" s="785" t="s">
        <v>2340</v>
      </c>
      <c r="G876" s="785"/>
      <c r="H876" s="786"/>
      <c r="I876" s="787" t="s">
        <v>860</v>
      </c>
      <c r="J876" s="788"/>
      <c r="K876" s="794"/>
      <c r="L876" s="787">
        <v>145</v>
      </c>
      <c r="M876" s="785">
        <f t="shared" si="48"/>
        <v>72.5</v>
      </c>
      <c r="N876" s="797">
        <v>5</v>
      </c>
      <c r="O876" s="793"/>
      <c r="P876" s="808"/>
      <c r="Q876" s="798"/>
      <c r="R876" s="798"/>
      <c r="S876" s="798"/>
      <c r="T876" s="798"/>
      <c r="U876" s="798"/>
    </row>
    <row r="877" spans="1:24" s="791" customFormat="1">
      <c r="A877" s="1203" t="s">
        <v>2283</v>
      </c>
      <c r="B877" s="1275" t="s">
        <v>479</v>
      </c>
      <c r="C877" s="1276" t="s">
        <v>2338</v>
      </c>
      <c r="D877" s="1277"/>
      <c r="E877" s="1278">
        <v>72.5</v>
      </c>
      <c r="F877" s="785"/>
      <c r="G877" s="785"/>
      <c r="H877" s="786"/>
      <c r="I877" s="787" t="s">
        <v>860</v>
      </c>
      <c r="J877" s="788"/>
      <c r="K877" s="794"/>
      <c r="L877" s="787">
        <v>145</v>
      </c>
      <c r="M877" s="785">
        <f t="shared" si="48"/>
        <v>72.5</v>
      </c>
      <c r="N877" s="797">
        <v>5</v>
      </c>
      <c r="O877" s="793"/>
      <c r="P877" s="808"/>
      <c r="Q877" s="798"/>
      <c r="R877" s="798"/>
      <c r="S877" s="798"/>
      <c r="T877" s="798"/>
      <c r="U877" s="798"/>
    </row>
    <row r="878" spans="1:24" s="791" customFormat="1">
      <c r="A878" s="1204" t="s">
        <v>2310</v>
      </c>
      <c r="B878" s="1275" t="s">
        <v>479</v>
      </c>
      <c r="C878" s="1276" t="s">
        <v>2338</v>
      </c>
      <c r="D878" s="1277"/>
      <c r="E878" s="1278">
        <v>112.5</v>
      </c>
      <c r="F878" s="785"/>
      <c r="G878" s="785"/>
      <c r="H878" s="786"/>
      <c r="I878" s="787" t="s">
        <v>860</v>
      </c>
      <c r="J878" s="788"/>
      <c r="K878" s="794"/>
      <c r="L878" s="787">
        <v>225</v>
      </c>
      <c r="M878" s="785">
        <f t="shared" si="48"/>
        <v>112.5</v>
      </c>
      <c r="N878" s="797">
        <v>5</v>
      </c>
      <c r="O878" s="793"/>
      <c r="P878" s="808"/>
      <c r="Q878" s="798"/>
      <c r="R878" s="798"/>
      <c r="S878" s="798"/>
      <c r="T878" s="798"/>
      <c r="U878" s="798"/>
    </row>
    <row r="879" spans="1:24" s="445" customFormat="1">
      <c r="A879" s="693" t="s">
        <v>2017</v>
      </c>
      <c r="B879" s="1272" t="s">
        <v>479</v>
      </c>
      <c r="C879" s="1273" t="s">
        <v>613</v>
      </c>
      <c r="D879" s="1274"/>
      <c r="E879" s="1255">
        <v>80</v>
      </c>
      <c r="F879" s="681" t="s">
        <v>1992</v>
      </c>
      <c r="G879" s="681"/>
      <c r="H879" s="683"/>
      <c r="I879" s="689"/>
      <c r="J879" s="685"/>
      <c r="K879" s="697"/>
      <c r="L879" s="689">
        <v>145</v>
      </c>
      <c r="M879" s="681">
        <v>65</v>
      </c>
      <c r="N879" s="706">
        <v>4</v>
      </c>
      <c r="O879" s="646"/>
      <c r="P879" s="490"/>
      <c r="Q879" s="487"/>
      <c r="R879" s="487"/>
      <c r="S879" s="487"/>
      <c r="T879" s="487"/>
      <c r="U879" s="487"/>
    </row>
    <row r="880" spans="1:24" s="305" customFormat="1">
      <c r="A880" s="693" t="s">
        <v>2526</v>
      </c>
      <c r="B880" s="1272" t="s">
        <v>479</v>
      </c>
      <c r="C880" s="1273" t="s">
        <v>862</v>
      </c>
      <c r="D880" s="1274"/>
      <c r="E880" s="1255">
        <v>38</v>
      </c>
      <c r="F880" s="681"/>
      <c r="G880" s="681"/>
      <c r="H880" s="683"/>
      <c r="I880" s="689"/>
      <c r="J880" s="685" t="s">
        <v>2525</v>
      </c>
      <c r="K880" s="697"/>
      <c r="L880" s="689">
        <v>70</v>
      </c>
      <c r="M880" s="681">
        <v>32</v>
      </c>
      <c r="N880" s="706">
        <v>4</v>
      </c>
      <c r="O880" s="646"/>
      <c r="P880" s="302"/>
      <c r="Q880" s="297"/>
      <c r="R880" s="297"/>
      <c r="S880" s="297"/>
      <c r="T880" s="297"/>
      <c r="U880" s="297"/>
    </row>
    <row r="881" spans="1:21" s="445" customFormat="1">
      <c r="A881" s="693" t="s">
        <v>2527</v>
      </c>
      <c r="B881" s="1272" t="s">
        <v>479</v>
      </c>
      <c r="C881" s="1273" t="s">
        <v>862</v>
      </c>
      <c r="D881" s="1274"/>
      <c r="E881" s="1255">
        <v>82.5</v>
      </c>
      <c r="F881" s="681" t="s">
        <v>2437</v>
      </c>
      <c r="G881" s="681"/>
      <c r="H881" s="683"/>
      <c r="I881" s="689"/>
      <c r="J881" s="685" t="s">
        <v>2525</v>
      </c>
      <c r="K881" s="697"/>
      <c r="L881" s="689">
        <v>163</v>
      </c>
      <c r="M881" s="681">
        <f>L881-82.5</f>
        <v>80.5</v>
      </c>
      <c r="N881" s="706">
        <v>4</v>
      </c>
      <c r="O881" s="646"/>
      <c r="P881" s="490"/>
      <c r="Q881" s="487"/>
      <c r="R881" s="487"/>
      <c r="S881" s="487"/>
      <c r="T881" s="487"/>
      <c r="U881" s="487"/>
    </row>
    <row r="882" spans="1:21" s="445" customFormat="1">
      <c r="A882" s="693" t="s">
        <v>2528</v>
      </c>
      <c r="B882" s="1272" t="s">
        <v>479</v>
      </c>
      <c r="C882" s="1273" t="s">
        <v>862</v>
      </c>
      <c r="D882" s="1274"/>
      <c r="E882" s="1255">
        <v>85</v>
      </c>
      <c r="F882" s="681" t="s">
        <v>2437</v>
      </c>
      <c r="G882" s="681"/>
      <c r="H882" s="683"/>
      <c r="I882" s="689"/>
      <c r="J882" s="685" t="s">
        <v>2525</v>
      </c>
      <c r="K882" s="697"/>
      <c r="L882" s="689">
        <v>170</v>
      </c>
      <c r="M882" s="681">
        <f>L882-85</f>
        <v>85</v>
      </c>
      <c r="N882" s="706">
        <v>4</v>
      </c>
      <c r="O882" s="646"/>
      <c r="P882" s="490"/>
      <c r="Q882" s="487"/>
      <c r="R882" s="487"/>
      <c r="S882" s="487"/>
      <c r="T882" s="487"/>
      <c r="U882" s="487"/>
    </row>
    <row r="883" spans="1:21" s="305" customFormat="1">
      <c r="A883" s="1604" t="s">
        <v>401</v>
      </c>
      <c r="B883" s="1314" t="s">
        <v>479</v>
      </c>
      <c r="C883" s="1316" t="s">
        <v>3106</v>
      </c>
      <c r="D883" s="1312"/>
      <c r="E883" s="1300">
        <v>57.5</v>
      </c>
      <c r="F883" s="288"/>
      <c r="G883" s="288"/>
      <c r="H883" s="283"/>
      <c r="I883" s="289"/>
      <c r="J883" s="292"/>
      <c r="K883" s="290"/>
      <c r="L883" s="289">
        <v>115</v>
      </c>
      <c r="M883" s="288">
        <f>L883-E883</f>
        <v>57.5</v>
      </c>
      <c r="N883" s="634">
        <v>6</v>
      </c>
      <c r="O883" s="648" t="s">
        <v>2311</v>
      </c>
      <c r="P883" s="302"/>
      <c r="Q883" s="297"/>
      <c r="R883" s="297"/>
      <c r="S883" s="297"/>
      <c r="T883" s="297"/>
      <c r="U883" s="297"/>
    </row>
    <row r="884" spans="1:21" s="305" customFormat="1">
      <c r="A884" s="1398" t="s">
        <v>3107</v>
      </c>
      <c r="B884" s="1314" t="s">
        <v>479</v>
      </c>
      <c r="C884" s="1316" t="s">
        <v>3106</v>
      </c>
      <c r="D884" s="1312"/>
      <c r="E884" s="1300">
        <v>74.5</v>
      </c>
      <c r="F884" s="288"/>
      <c r="G884" s="288"/>
      <c r="H884" s="283"/>
      <c r="I884" s="289"/>
      <c r="J884" s="292"/>
      <c r="K884" s="290"/>
      <c r="L884" s="289">
        <v>149</v>
      </c>
      <c r="M884" s="288">
        <f>L884-E884</f>
        <v>74.5</v>
      </c>
      <c r="N884" s="634">
        <v>6</v>
      </c>
      <c r="O884" s="648" t="s">
        <v>2311</v>
      </c>
      <c r="P884" s="302"/>
      <c r="Q884" s="297"/>
      <c r="R884" s="297"/>
      <c r="S884" s="297"/>
      <c r="T884" s="297"/>
      <c r="U884" s="297"/>
    </row>
    <row r="885" spans="1:21" s="305" customFormat="1">
      <c r="A885" s="1398" t="s">
        <v>3108</v>
      </c>
      <c r="B885" s="1314" t="s">
        <v>479</v>
      </c>
      <c r="C885" s="1316" t="s">
        <v>3106</v>
      </c>
      <c r="D885" s="1312"/>
      <c r="E885" s="1300">
        <v>100</v>
      </c>
      <c r="F885" s="288"/>
      <c r="G885" s="288"/>
      <c r="H885" s="283"/>
      <c r="I885" s="289"/>
      <c r="J885" s="292"/>
      <c r="K885" s="290"/>
      <c r="L885" s="289">
        <v>200</v>
      </c>
      <c r="M885" s="288">
        <f>L885-E885</f>
        <v>100</v>
      </c>
      <c r="N885" s="634">
        <v>6</v>
      </c>
      <c r="O885" s="648" t="s">
        <v>2311</v>
      </c>
      <c r="P885" s="302"/>
      <c r="Q885" s="297"/>
      <c r="R885" s="297"/>
      <c r="S885" s="297"/>
      <c r="T885" s="297"/>
      <c r="U885" s="297"/>
    </row>
    <row r="886" spans="1:21" s="305" customFormat="1">
      <c r="A886" s="2419" t="s">
        <v>4465</v>
      </c>
      <c r="B886" s="1286" t="s">
        <v>479</v>
      </c>
      <c r="C886" s="1280" t="s">
        <v>2715</v>
      </c>
      <c r="D886" s="1312"/>
      <c r="E886" s="1851">
        <v>70</v>
      </c>
      <c r="F886" s="288"/>
      <c r="G886" s="288"/>
      <c r="H886" s="283"/>
      <c r="I886" s="665" t="s">
        <v>2716</v>
      </c>
      <c r="J886" s="666"/>
      <c r="K886" s="290"/>
      <c r="L886" s="665">
        <v>125</v>
      </c>
      <c r="M886" s="663">
        <f>L886-E886</f>
        <v>55</v>
      </c>
      <c r="N886" s="667">
        <v>4</v>
      </c>
      <c r="O886" s="1856" t="s">
        <v>2717</v>
      </c>
      <c r="P886" s="302"/>
      <c r="Q886" s="2403" t="s">
        <v>4469</v>
      </c>
      <c r="R886" s="297"/>
      <c r="S886" s="297"/>
      <c r="T886" s="297"/>
      <c r="U886" s="297"/>
    </row>
    <row r="887" spans="1:21" s="305" customFormat="1">
      <c r="A887" s="2419" t="s">
        <v>4466</v>
      </c>
      <c r="B887" s="1286" t="s">
        <v>479</v>
      </c>
      <c r="C887" s="1280" t="s">
        <v>2715</v>
      </c>
      <c r="D887" s="1312"/>
      <c r="E887" s="1851">
        <v>62.5</v>
      </c>
      <c r="F887" s="288"/>
      <c r="G887" s="288"/>
      <c r="H887" s="283"/>
      <c r="I887" s="665" t="s">
        <v>2716</v>
      </c>
      <c r="J887" s="666"/>
      <c r="K887" s="290"/>
      <c r="L887" s="665">
        <v>110</v>
      </c>
      <c r="M887" s="663">
        <f t="shared" ref="M887:M889" si="49">L887-E887</f>
        <v>47.5</v>
      </c>
      <c r="N887" s="667">
        <v>4</v>
      </c>
      <c r="O887" s="1856" t="s">
        <v>2717</v>
      </c>
      <c r="P887" s="302"/>
      <c r="Q887" s="2403" t="s">
        <v>4469</v>
      </c>
      <c r="R887" s="297"/>
      <c r="S887" s="297"/>
      <c r="T887" s="297"/>
      <c r="U887" s="297"/>
    </row>
    <row r="888" spans="1:21" s="305" customFormat="1">
      <c r="A888" s="2419" t="s">
        <v>4467</v>
      </c>
      <c r="B888" s="1286" t="s">
        <v>479</v>
      </c>
      <c r="C888" s="1280" t="s">
        <v>2715</v>
      </c>
      <c r="D888" s="1312"/>
      <c r="E888" s="1851">
        <v>52.5</v>
      </c>
      <c r="F888" s="288"/>
      <c r="G888" s="288"/>
      <c r="H888" s="283"/>
      <c r="I888" s="665" t="s">
        <v>2716</v>
      </c>
      <c r="J888" s="666"/>
      <c r="K888" s="290"/>
      <c r="L888" s="665">
        <v>90</v>
      </c>
      <c r="M888" s="663">
        <f t="shared" si="49"/>
        <v>37.5</v>
      </c>
      <c r="N888" s="667">
        <v>4</v>
      </c>
      <c r="O888" s="1856" t="s">
        <v>2717</v>
      </c>
      <c r="P888" s="302"/>
      <c r="Q888" s="2403" t="s">
        <v>4469</v>
      </c>
      <c r="R888" s="297"/>
      <c r="S888" s="297"/>
      <c r="T888" s="297"/>
      <c r="U888" s="297"/>
    </row>
    <row r="889" spans="1:21" s="305" customFormat="1">
      <c r="A889" s="2419" t="s">
        <v>4468</v>
      </c>
      <c r="B889" s="1286" t="s">
        <v>479</v>
      </c>
      <c r="C889" s="1280" t="s">
        <v>2715</v>
      </c>
      <c r="D889" s="1312"/>
      <c r="E889" s="1851">
        <v>90</v>
      </c>
      <c r="F889" s="288"/>
      <c r="G889" s="288"/>
      <c r="H889" s="283"/>
      <c r="I889" s="665" t="s">
        <v>2716</v>
      </c>
      <c r="J889" s="666"/>
      <c r="K889" s="290"/>
      <c r="L889" s="665">
        <v>170</v>
      </c>
      <c r="M889" s="663">
        <f t="shared" si="49"/>
        <v>80</v>
      </c>
      <c r="N889" s="667">
        <v>4</v>
      </c>
      <c r="O889" s="1856" t="s">
        <v>2717</v>
      </c>
      <c r="P889" s="302"/>
      <c r="Q889" s="2403" t="s">
        <v>4469</v>
      </c>
      <c r="R889" s="297"/>
      <c r="S889" s="297"/>
      <c r="T889" s="297"/>
      <c r="U889" s="297"/>
    </row>
    <row r="890" spans="1:21" s="305" customFormat="1">
      <c r="A890" s="2419"/>
      <c r="B890" s="1286"/>
      <c r="C890" s="1280"/>
      <c r="D890" s="1312"/>
      <c r="E890" s="1851"/>
      <c r="F890" s="288"/>
      <c r="G890" s="288"/>
      <c r="H890" s="283"/>
      <c r="I890" s="665"/>
      <c r="J890" s="666"/>
      <c r="K890" s="290"/>
      <c r="L890" s="665"/>
      <c r="M890" s="663"/>
      <c r="N890" s="667"/>
      <c r="O890" s="1856"/>
      <c r="P890" s="302"/>
      <c r="Q890" s="2403"/>
      <c r="R890" s="297"/>
      <c r="S890" s="297"/>
      <c r="T890" s="297"/>
      <c r="U890" s="297"/>
    </row>
    <row r="891" spans="1:21" s="305" customFormat="1">
      <c r="A891" s="2419"/>
      <c r="B891" s="1286"/>
      <c r="C891" s="1280"/>
      <c r="D891" s="1312"/>
      <c r="E891" s="1851"/>
      <c r="F891" s="288"/>
      <c r="G891" s="288"/>
      <c r="H891" s="283"/>
      <c r="I891" s="665"/>
      <c r="J891" s="666"/>
      <c r="K891" s="290"/>
      <c r="L891" s="665"/>
      <c r="M891" s="663"/>
      <c r="N891" s="667"/>
      <c r="O891" s="1856"/>
      <c r="P891" s="302"/>
      <c r="Q891" s="2403"/>
      <c r="R891" s="297"/>
      <c r="S891" s="297"/>
      <c r="T891" s="297"/>
      <c r="U891" s="297"/>
    </row>
    <row r="892" spans="1:21" s="305" customFormat="1">
      <c r="A892" s="2419"/>
      <c r="B892" s="1286"/>
      <c r="C892" s="1280"/>
      <c r="D892" s="1312"/>
      <c r="E892" s="1851"/>
      <c r="F892" s="288"/>
      <c r="G892" s="288"/>
      <c r="H892" s="283"/>
      <c r="I892" s="665"/>
      <c r="J892" s="666"/>
      <c r="K892" s="290"/>
      <c r="L892" s="665"/>
      <c r="M892" s="663"/>
      <c r="N892" s="667"/>
      <c r="O892" s="1856"/>
      <c r="P892" s="302"/>
      <c r="Q892" s="2403"/>
      <c r="R892" s="297"/>
      <c r="S892" s="297"/>
      <c r="T892" s="297"/>
      <c r="U892" s="297"/>
    </row>
    <row r="893" spans="1:21" s="305" customFormat="1">
      <c r="A893" s="2419"/>
      <c r="B893" s="1286"/>
      <c r="C893" s="1280"/>
      <c r="D893" s="1312"/>
      <c r="E893" s="1851"/>
      <c r="F893" s="288"/>
      <c r="G893" s="288"/>
      <c r="H893" s="283"/>
      <c r="I893" s="665"/>
      <c r="J893" s="666"/>
      <c r="K893" s="290"/>
      <c r="L893" s="665"/>
      <c r="M893" s="663"/>
      <c r="N893" s="667"/>
      <c r="O893" s="1856"/>
      <c r="P893" s="302"/>
      <c r="Q893" s="2403"/>
      <c r="R893" s="297"/>
      <c r="S893" s="297"/>
      <c r="T893" s="297"/>
      <c r="U893" s="297"/>
    </row>
    <row r="894" spans="1:21" s="305" customFormat="1">
      <c r="A894" s="693" t="s">
        <v>2518</v>
      </c>
      <c r="B894" s="1272" t="s">
        <v>479</v>
      </c>
      <c r="C894" s="1273" t="s">
        <v>2516</v>
      </c>
      <c r="D894" s="1274"/>
      <c r="E894" s="1255">
        <v>41.5</v>
      </c>
      <c r="F894" s="681"/>
      <c r="G894" s="681"/>
      <c r="H894" s="683"/>
      <c r="I894" s="689"/>
      <c r="J894" s="685" t="s">
        <v>876</v>
      </c>
      <c r="K894" s="697"/>
      <c r="L894" s="689">
        <v>82</v>
      </c>
      <c r="M894" s="681">
        <f>L894-41.5</f>
        <v>40.5</v>
      </c>
      <c r="N894" s="706">
        <v>4</v>
      </c>
      <c r="O894" s="647"/>
      <c r="P894" s="302"/>
      <c r="Q894" s="297"/>
      <c r="R894" s="297"/>
      <c r="S894" s="297"/>
      <c r="T894" s="297"/>
      <c r="U894" s="297"/>
    </row>
    <row r="895" spans="1:21" s="305" customFormat="1">
      <c r="A895" s="693" t="s">
        <v>2519</v>
      </c>
      <c r="B895" s="1272" t="s">
        <v>479</v>
      </c>
      <c r="C895" s="1273" t="s">
        <v>2516</v>
      </c>
      <c r="D895" s="1274"/>
      <c r="E895" s="1255">
        <v>75</v>
      </c>
      <c r="F895" s="681"/>
      <c r="G895" s="681"/>
      <c r="H895" s="683"/>
      <c r="I895" s="689"/>
      <c r="J895" s="685" t="s">
        <v>876</v>
      </c>
      <c r="K895" s="697"/>
      <c r="L895" s="689">
        <v>150</v>
      </c>
      <c r="M895" s="681">
        <v>75</v>
      </c>
      <c r="N895" s="706">
        <v>4</v>
      </c>
      <c r="O895" s="647"/>
      <c r="P895" s="302"/>
      <c r="Q895" s="297"/>
      <c r="R895" s="297"/>
      <c r="S895" s="297"/>
      <c r="T895" s="297"/>
      <c r="U895" s="297"/>
    </row>
    <row r="896" spans="1:21" s="305" customFormat="1">
      <c r="A896" s="693" t="s">
        <v>2522</v>
      </c>
      <c r="B896" s="1272" t="s">
        <v>479</v>
      </c>
      <c r="C896" s="1273" t="s">
        <v>2516</v>
      </c>
      <c r="D896" s="1274"/>
      <c r="E896" s="1255">
        <v>80</v>
      </c>
      <c r="F896" s="681" t="s">
        <v>2520</v>
      </c>
      <c r="G896" s="681"/>
      <c r="H896" s="683"/>
      <c r="I896" s="689"/>
      <c r="J896" s="685" t="s">
        <v>876</v>
      </c>
      <c r="K896" s="697"/>
      <c r="L896" s="689">
        <v>160</v>
      </c>
      <c r="M896" s="681">
        <v>80</v>
      </c>
      <c r="N896" s="706">
        <v>4</v>
      </c>
      <c r="O896" s="647"/>
      <c r="P896" s="302"/>
      <c r="Q896" s="297"/>
      <c r="R896" s="297"/>
      <c r="S896" s="297"/>
      <c r="T896" s="297"/>
      <c r="U896" s="297"/>
    </row>
    <row r="897" spans="1:21" s="305" customFormat="1">
      <c r="A897" s="693" t="s">
        <v>2521</v>
      </c>
      <c r="B897" s="1272" t="s">
        <v>479</v>
      </c>
      <c r="C897" s="1273" t="s">
        <v>2516</v>
      </c>
      <c r="D897" s="1274"/>
      <c r="E897" s="1255">
        <v>70</v>
      </c>
      <c r="F897" s="681" t="s">
        <v>2520</v>
      </c>
      <c r="G897" s="681"/>
      <c r="H897" s="683"/>
      <c r="I897" s="689"/>
      <c r="J897" s="685" t="s">
        <v>876</v>
      </c>
      <c r="K897" s="697"/>
      <c r="L897" s="689">
        <v>140</v>
      </c>
      <c r="M897" s="681">
        <v>71</v>
      </c>
      <c r="N897" s="706">
        <v>4</v>
      </c>
      <c r="O897" s="647"/>
      <c r="P897" s="302"/>
      <c r="Q897" s="297"/>
      <c r="R897" s="297"/>
      <c r="S897" s="297"/>
      <c r="T897" s="297"/>
      <c r="U897" s="297"/>
    </row>
    <row r="898" spans="1:21" s="305" customFormat="1">
      <c r="A898" s="1573" t="s">
        <v>2018</v>
      </c>
      <c r="B898" s="1272" t="s">
        <v>479</v>
      </c>
      <c r="C898" s="1273" t="s">
        <v>782</v>
      </c>
      <c r="D898" s="1274"/>
      <c r="E898" s="1255">
        <v>94.5</v>
      </c>
      <c r="F898" s="681"/>
      <c r="G898" s="681"/>
      <c r="H898" s="683" t="s">
        <v>1992</v>
      </c>
      <c r="I898" s="689"/>
      <c r="J898" s="685"/>
      <c r="K898" s="697"/>
      <c r="L898" s="689">
        <f>94.5*2</f>
        <v>189</v>
      </c>
      <c r="M898" s="681">
        <v>94.5</v>
      </c>
      <c r="N898" s="706"/>
      <c r="O898" s="647"/>
      <c r="P898" s="302"/>
      <c r="Q898" s="297"/>
      <c r="R898" s="297"/>
      <c r="S898" s="297"/>
      <c r="T898" s="297"/>
      <c r="U898" s="297"/>
    </row>
    <row r="899" spans="1:21" s="305" customFormat="1">
      <c r="A899" s="693" t="s">
        <v>2529</v>
      </c>
      <c r="B899" s="1272" t="s">
        <v>479</v>
      </c>
      <c r="C899" s="1273" t="s">
        <v>2019</v>
      </c>
      <c r="D899" s="1274"/>
      <c r="E899" s="1255">
        <v>38</v>
      </c>
      <c r="F899" s="681"/>
      <c r="G899" s="681"/>
      <c r="H899" s="683"/>
      <c r="I899" s="689"/>
      <c r="J899" s="685" t="s">
        <v>876</v>
      </c>
      <c r="K899" s="697">
        <v>70</v>
      </c>
      <c r="L899" s="689">
        <f>70-38</f>
        <v>32</v>
      </c>
      <c r="M899" s="681"/>
      <c r="N899" s="706">
        <v>5</v>
      </c>
      <c r="O899" s="647"/>
      <c r="P899" s="302"/>
      <c r="Q899" s="297"/>
      <c r="R899" s="297"/>
      <c r="S899" s="297"/>
      <c r="T899" s="297"/>
      <c r="U899" s="297"/>
    </row>
    <row r="900" spans="1:21" s="305" customFormat="1">
      <c r="A900" s="693" t="s">
        <v>1919</v>
      </c>
      <c r="B900" s="1272" t="s">
        <v>479</v>
      </c>
      <c r="C900" s="1273" t="s">
        <v>2019</v>
      </c>
      <c r="D900" s="1274"/>
      <c r="E900" s="1255">
        <v>75</v>
      </c>
      <c r="F900" s="681" t="s">
        <v>2437</v>
      </c>
      <c r="G900" s="681"/>
      <c r="H900" s="683"/>
      <c r="I900" s="689"/>
      <c r="J900" s="685" t="s">
        <v>876</v>
      </c>
      <c r="K900" s="697">
        <v>147</v>
      </c>
      <c r="L900" s="689">
        <f>K900-75</f>
        <v>72</v>
      </c>
      <c r="M900" s="681"/>
      <c r="N900" s="706">
        <v>5</v>
      </c>
      <c r="O900" s="647"/>
      <c r="P900" s="302"/>
      <c r="Q900" s="297"/>
      <c r="R900" s="297"/>
      <c r="S900" s="297"/>
      <c r="T900" s="297"/>
      <c r="U900" s="297"/>
    </row>
    <row r="901" spans="1:21" s="305" customFormat="1">
      <c r="A901" s="693" t="s">
        <v>1926</v>
      </c>
      <c r="B901" s="1272" t="s">
        <v>479</v>
      </c>
      <c r="C901" s="1273" t="s">
        <v>2019</v>
      </c>
      <c r="D901" s="1274"/>
      <c r="E901" s="1255">
        <v>85</v>
      </c>
      <c r="F901" s="681" t="s">
        <v>2437</v>
      </c>
      <c r="G901" s="681"/>
      <c r="H901" s="683"/>
      <c r="I901" s="689"/>
      <c r="J901" s="685" t="s">
        <v>876</v>
      </c>
      <c r="K901" s="697">
        <v>170</v>
      </c>
      <c r="L901" s="689">
        <f>K901-85</f>
        <v>85</v>
      </c>
      <c r="M901" s="681"/>
      <c r="N901" s="706">
        <v>5</v>
      </c>
      <c r="O901" s="647"/>
      <c r="P901" s="302"/>
      <c r="Q901" s="297"/>
      <c r="R901" s="297"/>
      <c r="S901" s="297"/>
      <c r="T901" s="297"/>
      <c r="U901" s="297"/>
    </row>
    <row r="902" spans="1:21" s="305" customFormat="1">
      <c r="A902" s="693" t="s">
        <v>2070</v>
      </c>
      <c r="B902" s="1272" t="s">
        <v>479</v>
      </c>
      <c r="C902" s="1273" t="s">
        <v>2019</v>
      </c>
      <c r="D902" s="1273"/>
      <c r="E902" s="1255">
        <v>72.5</v>
      </c>
      <c r="F902" s="681" t="s">
        <v>2437</v>
      </c>
      <c r="G902" s="681"/>
      <c r="H902" s="683"/>
      <c r="I902" s="689"/>
      <c r="J902" s="685" t="s">
        <v>876</v>
      </c>
      <c r="K902" s="697">
        <v>135</v>
      </c>
      <c r="L902" s="689">
        <f>K902-72.5</f>
        <v>62.5</v>
      </c>
      <c r="M902" s="681"/>
      <c r="N902" s="706">
        <v>5</v>
      </c>
      <c r="O902" s="647"/>
      <c r="P902" s="302"/>
      <c r="Q902" s="297"/>
      <c r="R902" s="297"/>
      <c r="S902" s="297"/>
      <c r="T902" s="297"/>
      <c r="U902" s="297"/>
    </row>
    <row r="903" spans="1:21" s="456" customFormat="1">
      <c r="A903" s="693" t="s">
        <v>1921</v>
      </c>
      <c r="B903" s="1272" t="s">
        <v>479</v>
      </c>
      <c r="C903" s="1273" t="s">
        <v>2019</v>
      </c>
      <c r="D903" s="1274"/>
      <c r="E903" s="1255">
        <v>67</v>
      </c>
      <c r="F903" s="681" t="s">
        <v>2437</v>
      </c>
      <c r="G903" s="681"/>
      <c r="H903" s="683"/>
      <c r="I903" s="689"/>
      <c r="J903" s="685" t="s">
        <v>876</v>
      </c>
      <c r="K903" s="697">
        <v>132</v>
      </c>
      <c r="L903" s="689">
        <f>K903-67</f>
        <v>65</v>
      </c>
      <c r="M903" s="681"/>
      <c r="N903" s="706">
        <v>5</v>
      </c>
      <c r="O903" s="646"/>
      <c r="P903" s="482"/>
      <c r="Q903" s="479"/>
      <c r="R903" s="479"/>
      <c r="S903" s="479"/>
      <c r="T903" s="479"/>
      <c r="U903" s="479"/>
    </row>
    <row r="904" spans="1:21" s="456" customFormat="1">
      <c r="A904" s="693" t="s">
        <v>1928</v>
      </c>
      <c r="B904" s="1272" t="s">
        <v>479</v>
      </c>
      <c r="C904" s="1273" t="s">
        <v>2019</v>
      </c>
      <c r="D904" s="1274"/>
      <c r="E904" s="1255">
        <v>90</v>
      </c>
      <c r="F904" s="681"/>
      <c r="G904" s="681"/>
      <c r="H904" s="683"/>
      <c r="I904" s="689"/>
      <c r="J904" s="685" t="s">
        <v>876</v>
      </c>
      <c r="K904" s="697">
        <v>180</v>
      </c>
      <c r="L904" s="689">
        <v>90</v>
      </c>
      <c r="M904" s="681"/>
      <c r="N904" s="706">
        <v>5</v>
      </c>
      <c r="O904" s="646"/>
      <c r="P904" s="482"/>
      <c r="Q904" s="479"/>
      <c r="R904" s="479"/>
      <c r="S904" s="479"/>
      <c r="T904" s="479"/>
      <c r="U904" s="479"/>
    </row>
    <row r="905" spans="1:21" s="456" customFormat="1">
      <c r="A905" s="693" t="s">
        <v>1923</v>
      </c>
      <c r="B905" s="1272" t="s">
        <v>479</v>
      </c>
      <c r="C905" s="1273" t="s">
        <v>2019</v>
      </c>
      <c r="D905" s="1274"/>
      <c r="E905" s="1255">
        <v>89</v>
      </c>
      <c r="F905" s="681"/>
      <c r="G905" s="681"/>
      <c r="H905" s="683"/>
      <c r="I905" s="689"/>
      <c r="J905" s="685" t="s">
        <v>876</v>
      </c>
      <c r="K905" s="697">
        <v>175</v>
      </c>
      <c r="L905" s="689">
        <f>K905-89</f>
        <v>86</v>
      </c>
      <c r="M905" s="681"/>
      <c r="N905" s="706">
        <v>5</v>
      </c>
      <c r="O905" s="646"/>
      <c r="P905" s="482"/>
      <c r="Q905" s="479"/>
      <c r="R905" s="479"/>
      <c r="S905" s="479"/>
      <c r="T905" s="479"/>
      <c r="U905" s="479"/>
    </row>
    <row r="906" spans="1:21" s="456" customFormat="1">
      <c r="A906" s="693" t="s">
        <v>2523</v>
      </c>
      <c r="B906" s="1272" t="s">
        <v>479</v>
      </c>
      <c r="C906" s="1273" t="s">
        <v>2019</v>
      </c>
      <c r="D906" s="1274"/>
      <c r="E906" s="1255">
        <v>38</v>
      </c>
      <c r="F906" s="681"/>
      <c r="G906" s="681"/>
      <c r="H906" s="683"/>
      <c r="I906" s="689"/>
      <c r="J906" s="685" t="s">
        <v>876</v>
      </c>
      <c r="K906" s="697"/>
      <c r="L906" s="689">
        <v>70</v>
      </c>
      <c r="M906" s="681">
        <f>L906-38</f>
        <v>32</v>
      </c>
      <c r="N906" s="706">
        <v>5</v>
      </c>
      <c r="O906" s="646"/>
      <c r="P906" s="482"/>
      <c r="Q906" s="479"/>
      <c r="R906" s="479"/>
      <c r="S906" s="479"/>
      <c r="T906" s="479"/>
      <c r="U906" s="479"/>
    </row>
    <row r="907" spans="1:21" s="456" customFormat="1">
      <c r="A907" s="693" t="s">
        <v>1791</v>
      </c>
      <c r="B907" s="1272" t="s">
        <v>479</v>
      </c>
      <c r="C907" s="1273" t="s">
        <v>2019</v>
      </c>
      <c r="D907" s="1274"/>
      <c r="E907" s="1255">
        <v>75</v>
      </c>
      <c r="F907" s="681" t="s">
        <v>2524</v>
      </c>
      <c r="G907" s="681"/>
      <c r="H907" s="683"/>
      <c r="I907" s="689"/>
      <c r="J907" s="685" t="s">
        <v>876</v>
      </c>
      <c r="K907" s="697"/>
      <c r="L907" s="689">
        <v>147</v>
      </c>
      <c r="M907" s="681">
        <f>L907-75</f>
        <v>72</v>
      </c>
      <c r="N907" s="706">
        <v>5</v>
      </c>
      <c r="O907" s="646"/>
      <c r="P907" s="482"/>
      <c r="Q907" s="479"/>
      <c r="R907" s="479"/>
      <c r="S907" s="479"/>
      <c r="T907" s="479"/>
      <c r="U907" s="479"/>
    </row>
    <row r="908" spans="1:21" s="456" customFormat="1">
      <c r="A908" s="693" t="s">
        <v>1613</v>
      </c>
      <c r="B908" s="1272" t="s">
        <v>479</v>
      </c>
      <c r="C908" s="1273" t="s">
        <v>2019</v>
      </c>
      <c r="D908" s="1274"/>
      <c r="E908" s="1255">
        <v>82</v>
      </c>
      <c r="F908" s="681" t="s">
        <v>2524</v>
      </c>
      <c r="G908" s="681"/>
      <c r="H908" s="683"/>
      <c r="I908" s="689"/>
      <c r="J908" s="685" t="s">
        <v>876</v>
      </c>
      <c r="K908" s="697"/>
      <c r="L908" s="689">
        <v>163</v>
      </c>
      <c r="M908" s="681">
        <v>81</v>
      </c>
      <c r="N908" s="706">
        <v>5</v>
      </c>
      <c r="O908" s="646"/>
      <c r="P908" s="482"/>
      <c r="Q908" s="479"/>
      <c r="R908" s="479"/>
      <c r="S908" s="479"/>
      <c r="T908" s="479"/>
      <c r="U908" s="479"/>
    </row>
    <row r="909" spans="1:21" s="456" customFormat="1">
      <c r="A909" s="693" t="s">
        <v>2070</v>
      </c>
      <c r="B909" s="1272" t="s">
        <v>479</v>
      </c>
      <c r="C909" s="1273" t="s">
        <v>2019</v>
      </c>
      <c r="D909" s="1274"/>
      <c r="E909" s="1255">
        <v>72.5</v>
      </c>
      <c r="F909" s="681"/>
      <c r="G909" s="681"/>
      <c r="H909" s="683"/>
      <c r="I909" s="689"/>
      <c r="J909" s="685" t="s">
        <v>876</v>
      </c>
      <c r="K909" s="697"/>
      <c r="L909" s="689">
        <v>135</v>
      </c>
      <c r="M909" s="681">
        <f>L909-72.5</f>
        <v>62.5</v>
      </c>
      <c r="N909" s="706">
        <v>5</v>
      </c>
      <c r="O909" s="646"/>
      <c r="P909" s="482"/>
      <c r="Q909" s="479"/>
      <c r="R909" s="479"/>
      <c r="S909" s="479"/>
      <c r="T909" s="479"/>
      <c r="U909" s="479"/>
    </row>
    <row r="910" spans="1:21" s="456" customFormat="1">
      <c r="A910" s="679" t="s">
        <v>1921</v>
      </c>
      <c r="B910" s="1272" t="s">
        <v>479</v>
      </c>
      <c r="C910" s="1273" t="s">
        <v>2019</v>
      </c>
      <c r="D910" s="1274"/>
      <c r="E910" s="1255">
        <v>67</v>
      </c>
      <c r="F910" s="681"/>
      <c r="G910" s="681"/>
      <c r="H910" s="683"/>
      <c r="I910" s="689"/>
      <c r="J910" s="685" t="s">
        <v>876</v>
      </c>
      <c r="K910" s="697"/>
      <c r="L910" s="689">
        <v>132</v>
      </c>
      <c r="M910" s="681">
        <f>L910-67</f>
        <v>65</v>
      </c>
      <c r="N910" s="706">
        <v>5</v>
      </c>
      <c r="O910" s="646"/>
      <c r="P910" s="482"/>
      <c r="Q910" s="479"/>
      <c r="R910" s="479"/>
      <c r="S910" s="479"/>
      <c r="T910" s="479"/>
      <c r="U910" s="479"/>
    </row>
    <row r="911" spans="1:21" s="456" customFormat="1">
      <c r="A911" s="679" t="s">
        <v>1923</v>
      </c>
      <c r="B911" s="1272" t="s">
        <v>479</v>
      </c>
      <c r="C911" s="1273" t="s">
        <v>2019</v>
      </c>
      <c r="D911" s="1274"/>
      <c r="E911" s="1255">
        <v>89</v>
      </c>
      <c r="F911" s="681"/>
      <c r="G911" s="681"/>
      <c r="H911" s="683"/>
      <c r="I911" s="689"/>
      <c r="J911" s="685" t="s">
        <v>876</v>
      </c>
      <c r="K911" s="697"/>
      <c r="L911" s="689">
        <v>175</v>
      </c>
      <c r="M911" s="681">
        <f>L911-89</f>
        <v>86</v>
      </c>
      <c r="N911" s="706">
        <v>5</v>
      </c>
      <c r="O911" s="646"/>
      <c r="P911" s="482"/>
      <c r="Q911" s="479"/>
      <c r="R911" s="479"/>
      <c r="S911" s="479"/>
      <c r="T911" s="479"/>
      <c r="U911" s="479"/>
    </row>
    <row r="912" spans="1:21" s="445" customFormat="1">
      <c r="A912" s="679"/>
      <c r="B912" s="1272" t="s">
        <v>479</v>
      </c>
      <c r="C912" s="1273" t="s">
        <v>2517</v>
      </c>
      <c r="D912" s="1274"/>
      <c r="E912" s="1255"/>
      <c r="F912" s="681"/>
      <c r="G912" s="681" t="s">
        <v>1909</v>
      </c>
      <c r="H912" s="683"/>
      <c r="I912" s="689"/>
      <c r="J912" s="685"/>
      <c r="K912" s="697"/>
      <c r="L912" s="689"/>
      <c r="M912" s="681"/>
      <c r="N912" s="706"/>
      <c r="O912" s="646"/>
      <c r="P912" s="490"/>
      <c r="Q912" s="487"/>
      <c r="R912" s="487"/>
      <c r="S912" s="487"/>
      <c r="T912" s="487"/>
      <c r="U912" s="487"/>
    </row>
    <row r="913" spans="1:21" s="445" customFormat="1">
      <c r="A913" s="679"/>
      <c r="B913" s="1272" t="s">
        <v>479</v>
      </c>
      <c r="C913" s="1273" t="s">
        <v>2517</v>
      </c>
      <c r="D913" s="1274"/>
      <c r="E913" s="1255"/>
      <c r="F913" s="681"/>
      <c r="G913" s="681" t="s">
        <v>1909</v>
      </c>
      <c r="H913" s="683"/>
      <c r="I913" s="689"/>
      <c r="J913" s="685"/>
      <c r="K913" s="697"/>
      <c r="L913" s="689"/>
      <c r="M913" s="681"/>
      <c r="N913" s="706"/>
      <c r="O913" s="646"/>
      <c r="P913" s="490"/>
      <c r="Q913" s="487"/>
      <c r="R913" s="487"/>
      <c r="S913" s="487"/>
      <c r="T913" s="487"/>
      <c r="U913" s="487"/>
    </row>
    <row r="914" spans="1:21" s="456" customFormat="1" ht="16" thickBot="1">
      <c r="A914" s="2806" t="s">
        <v>399</v>
      </c>
      <c r="B914" s="2807"/>
      <c r="C914" s="2807"/>
      <c r="D914" s="2807"/>
      <c r="E914" s="2807"/>
      <c r="F914" s="2807"/>
      <c r="G914" s="2807"/>
      <c r="H914" s="2807"/>
      <c r="I914" s="2807"/>
      <c r="J914" s="2807"/>
      <c r="K914" s="2807"/>
      <c r="L914" s="2807"/>
      <c r="M914" s="2807"/>
      <c r="N914" s="2808"/>
      <c r="O914" s="646"/>
      <c r="P914" s="482"/>
      <c r="Q914" s="479"/>
      <c r="R914" s="479"/>
      <c r="S914" s="479"/>
      <c r="T914" s="479"/>
      <c r="U914" s="479"/>
    </row>
    <row r="915" spans="1:21" s="445" customFormat="1">
      <c r="A915" s="450" t="s">
        <v>465</v>
      </c>
      <c r="B915" s="300"/>
      <c r="C915" s="300"/>
      <c r="D915" s="450" t="s">
        <v>786</v>
      </c>
      <c r="E915" s="300"/>
      <c r="F915" s="300"/>
      <c r="G915" s="452" t="s">
        <v>787</v>
      </c>
      <c r="H915" s="300"/>
      <c r="I915" s="300"/>
      <c r="J915" s="300"/>
      <c r="K915" s="300"/>
      <c r="L915" s="300"/>
      <c r="M915" s="300"/>
      <c r="N915" s="635"/>
      <c r="O915" s="646" t="s">
        <v>2571</v>
      </c>
      <c r="P915" s="490"/>
      <c r="Q915" s="487"/>
      <c r="R915" s="487"/>
      <c r="S915" s="487"/>
      <c r="T915" s="487"/>
      <c r="U915" s="487"/>
    </row>
    <row r="916" spans="1:21" s="445" customFormat="1">
      <c r="A916" s="449" t="s">
        <v>788</v>
      </c>
      <c r="B916" s="300"/>
      <c r="C916" s="440">
        <v>80</v>
      </c>
      <c r="D916" s="449" t="s">
        <v>789</v>
      </c>
      <c r="E916" s="300"/>
      <c r="F916" s="440">
        <v>80</v>
      </c>
      <c r="G916" s="453" t="s">
        <v>790</v>
      </c>
      <c r="H916" s="300"/>
      <c r="I916" s="440">
        <v>90</v>
      </c>
      <c r="J916" s="300"/>
      <c r="K916" s="300"/>
      <c r="L916" s="300"/>
      <c r="M916" s="300"/>
      <c r="N916" s="635"/>
      <c r="O916" s="646"/>
      <c r="P916" s="490" t="s">
        <v>2572</v>
      </c>
      <c r="Q916" s="487"/>
      <c r="R916" s="487"/>
      <c r="S916" s="487"/>
      <c r="T916" s="487"/>
      <c r="U916" s="487"/>
    </row>
    <row r="917" spans="1:21" s="445" customFormat="1">
      <c r="A917" s="449" t="s">
        <v>791</v>
      </c>
      <c r="B917" s="300"/>
      <c r="C917" s="440">
        <v>3</v>
      </c>
      <c r="D917" s="449" t="s">
        <v>792</v>
      </c>
      <c r="E917" s="300"/>
      <c r="F917" s="440">
        <v>8.5</v>
      </c>
      <c r="G917" s="452" t="s">
        <v>793</v>
      </c>
      <c r="H917" s="300"/>
      <c r="I917" s="300"/>
      <c r="J917" s="300"/>
      <c r="K917" s="300"/>
      <c r="L917" s="300"/>
      <c r="M917" s="300"/>
      <c r="N917" s="635"/>
      <c r="O917" s="646"/>
      <c r="P917" s="490" t="s">
        <v>3368</v>
      </c>
      <c r="Q917" s="487"/>
      <c r="R917" s="487"/>
      <c r="S917" s="487"/>
      <c r="T917" s="487"/>
      <c r="U917" s="487"/>
    </row>
    <row r="918" spans="1:21" s="445" customFormat="1">
      <c r="A918" s="450" t="s">
        <v>794</v>
      </c>
      <c r="B918" s="300"/>
      <c r="C918" s="300"/>
      <c r="D918" s="450" t="s">
        <v>795</v>
      </c>
      <c r="E918" s="300"/>
      <c r="F918" s="300"/>
      <c r="G918" s="453" t="s">
        <v>796</v>
      </c>
      <c r="H918" s="300"/>
      <c r="I918" s="440">
        <v>100</v>
      </c>
      <c r="J918" s="449" t="s">
        <v>797</v>
      </c>
      <c r="K918" s="300"/>
      <c r="L918" s="440">
        <v>130</v>
      </c>
      <c r="M918" s="300"/>
      <c r="N918" s="635"/>
      <c r="O918" s="646"/>
      <c r="P918" s="490" t="s">
        <v>2574</v>
      </c>
      <c r="Q918" s="487"/>
      <c r="R918" s="487"/>
      <c r="S918" s="487"/>
      <c r="T918" s="487"/>
      <c r="U918" s="487"/>
    </row>
    <row r="919" spans="1:21" s="445" customFormat="1">
      <c r="A919" s="449" t="s">
        <v>798</v>
      </c>
      <c r="B919" s="300"/>
      <c r="C919" s="440">
        <v>19.5</v>
      </c>
      <c r="D919" s="449" t="s">
        <v>799</v>
      </c>
      <c r="E919" s="300"/>
      <c r="F919" s="440">
        <v>80</v>
      </c>
      <c r="G919" s="453" t="s">
        <v>800</v>
      </c>
      <c r="H919" s="300"/>
      <c r="I919" s="440">
        <v>170</v>
      </c>
      <c r="J919" s="449" t="s">
        <v>797</v>
      </c>
      <c r="K919" s="300"/>
      <c r="L919" s="440">
        <v>235</v>
      </c>
      <c r="M919" s="300"/>
      <c r="N919" s="635"/>
      <c r="O919" s="646" t="s">
        <v>2573</v>
      </c>
      <c r="P919" s="490"/>
      <c r="Q919" s="487"/>
      <c r="R919" s="487"/>
      <c r="S919" s="487"/>
      <c r="T919" s="487"/>
      <c r="U919" s="487"/>
    </row>
    <row r="920" spans="1:21" s="445" customFormat="1">
      <c r="A920" s="449"/>
      <c r="B920" s="300"/>
      <c r="C920" s="300"/>
      <c r="D920" s="449" t="s">
        <v>801</v>
      </c>
      <c r="E920" s="300"/>
      <c r="F920" s="440">
        <v>2</v>
      </c>
      <c r="G920" s="453" t="s">
        <v>802</v>
      </c>
      <c r="H920" s="300"/>
      <c r="I920" s="440">
        <v>6</v>
      </c>
      <c r="J920" s="449"/>
      <c r="K920" s="300"/>
      <c r="L920" s="300"/>
      <c r="M920" s="300"/>
      <c r="N920" s="635"/>
      <c r="O920" s="646"/>
      <c r="P920" s="490" t="s">
        <v>3369</v>
      </c>
      <c r="Q920" s="487"/>
      <c r="R920" s="487"/>
      <c r="S920" s="487"/>
      <c r="T920" s="487"/>
      <c r="U920" s="487"/>
    </row>
    <row r="921" spans="1:21" s="445" customFormat="1">
      <c r="A921" s="449" t="s">
        <v>803</v>
      </c>
      <c r="B921" s="300"/>
      <c r="C921" s="440">
        <v>11</v>
      </c>
      <c r="D921" s="449" t="s">
        <v>791</v>
      </c>
      <c r="E921" s="300"/>
      <c r="F921" s="440">
        <v>3</v>
      </c>
      <c r="G921" s="453" t="s">
        <v>804</v>
      </c>
      <c r="H921" s="300"/>
      <c r="I921" s="440">
        <v>7</v>
      </c>
      <c r="J921" s="449"/>
      <c r="K921" s="300"/>
      <c r="L921" s="300"/>
      <c r="M921" s="300"/>
      <c r="N921" s="635"/>
      <c r="O921" s="646"/>
      <c r="P921" s="490" t="s">
        <v>2574</v>
      </c>
      <c r="Q921" s="487"/>
      <c r="R921" s="487"/>
      <c r="S921" s="487"/>
      <c r="T921" s="487"/>
      <c r="U921" s="487"/>
    </row>
    <row r="922" spans="1:21" s="445" customFormat="1">
      <c r="A922" s="451" t="s">
        <v>805</v>
      </c>
      <c r="B922" s="300"/>
      <c r="C922" s="300"/>
      <c r="D922" s="300"/>
      <c r="E922" s="300"/>
      <c r="F922" s="300"/>
      <c r="G922" s="453" t="s">
        <v>1047</v>
      </c>
      <c r="H922" s="300"/>
      <c r="I922" s="440">
        <v>3</v>
      </c>
      <c r="J922" s="449"/>
      <c r="K922" s="300"/>
      <c r="L922" s="300"/>
      <c r="M922" s="300"/>
      <c r="N922" s="635"/>
      <c r="O922" s="646" t="s">
        <v>2575</v>
      </c>
      <c r="P922" s="490"/>
      <c r="Q922" s="487"/>
      <c r="R922" s="487"/>
      <c r="S922" s="487"/>
      <c r="T922" s="487"/>
      <c r="U922" s="487"/>
    </row>
    <row r="923" spans="1:21" s="445" customFormat="1">
      <c r="A923" s="449" t="s">
        <v>249</v>
      </c>
      <c r="B923" s="300"/>
      <c r="C923" s="301">
        <v>6.5</v>
      </c>
      <c r="D923" s="300"/>
      <c r="E923" s="449" t="s">
        <v>398</v>
      </c>
      <c r="F923" s="300"/>
      <c r="G923" s="301">
        <v>5</v>
      </c>
      <c r="H923" s="300"/>
      <c r="I923" s="449" t="s">
        <v>341</v>
      </c>
      <c r="J923" s="449"/>
      <c r="K923" s="440">
        <v>12</v>
      </c>
      <c r="L923" s="449" t="s">
        <v>402</v>
      </c>
      <c r="M923" s="440">
        <v>14</v>
      </c>
      <c r="N923" s="636" t="s">
        <v>1046</v>
      </c>
      <c r="O923" s="646"/>
      <c r="P923" s="490"/>
      <c r="Q923" s="487"/>
      <c r="R923" s="487"/>
      <c r="S923" s="487"/>
      <c r="T923" s="487"/>
      <c r="U923" s="487"/>
    </row>
    <row r="924" spans="1:21" s="445" customFormat="1">
      <c r="A924" s="449" t="s">
        <v>806</v>
      </c>
      <c r="B924" s="300"/>
      <c r="C924" s="300"/>
      <c r="D924" s="300"/>
      <c r="E924" s="300"/>
      <c r="F924" s="449" t="s">
        <v>807</v>
      </c>
      <c r="G924" s="300"/>
      <c r="H924" s="300"/>
      <c r="I924" s="300"/>
      <c r="J924" s="449" t="s">
        <v>808</v>
      </c>
      <c r="K924" s="300"/>
      <c r="L924" s="300"/>
      <c r="M924" s="300"/>
      <c r="N924" s="635"/>
      <c r="O924" s="648"/>
      <c r="P924" s="490"/>
      <c r="Q924" s="487"/>
      <c r="R924" s="487"/>
      <c r="S924" s="487"/>
      <c r="T924" s="487"/>
      <c r="U924" s="487"/>
    </row>
    <row r="925" spans="1:21" s="305" customFormat="1">
      <c r="A925" s="449" t="s">
        <v>809</v>
      </c>
      <c r="B925" s="440">
        <v>14</v>
      </c>
      <c r="C925" s="300"/>
      <c r="D925" s="300"/>
      <c r="E925" s="300"/>
      <c r="F925" s="449" t="s">
        <v>810</v>
      </c>
      <c r="G925" s="300"/>
      <c r="H925" s="300"/>
      <c r="I925" s="440">
        <v>24</v>
      </c>
      <c r="J925" s="449" t="s">
        <v>811</v>
      </c>
      <c r="K925" s="300"/>
      <c r="L925" s="440">
        <v>16</v>
      </c>
      <c r="M925" s="300"/>
      <c r="N925" s="635"/>
      <c r="O925" s="648"/>
      <c r="P925" s="302"/>
      <c r="Q925" s="297"/>
      <c r="R925" s="297"/>
      <c r="S925" s="297"/>
      <c r="T925" s="297"/>
      <c r="U925" s="297"/>
    </row>
    <row r="926" spans="1:21" s="305" customFormat="1">
      <c r="A926" s="449" t="s">
        <v>786</v>
      </c>
      <c r="B926" s="440">
        <v>14</v>
      </c>
      <c r="C926" s="300"/>
      <c r="D926" s="300"/>
      <c r="E926" s="300"/>
      <c r="F926" s="449" t="s">
        <v>812</v>
      </c>
      <c r="G926" s="300"/>
      <c r="H926" s="300"/>
      <c r="I926" s="440">
        <v>18</v>
      </c>
      <c r="J926" s="449" t="s">
        <v>813</v>
      </c>
      <c r="K926" s="300"/>
      <c r="L926" s="440">
        <v>16</v>
      </c>
      <c r="M926" s="300"/>
      <c r="N926" s="635"/>
      <c r="O926" s="647"/>
      <c r="P926" s="302"/>
      <c r="Q926" s="297"/>
      <c r="R926" s="297"/>
      <c r="S926" s="297"/>
      <c r="T926" s="297"/>
      <c r="U926" s="297"/>
    </row>
    <row r="927" spans="1:21" s="305" customFormat="1">
      <c r="A927" s="449" t="s">
        <v>795</v>
      </c>
      <c r="B927" s="440">
        <v>14</v>
      </c>
      <c r="C927" s="300"/>
      <c r="D927" s="300"/>
      <c r="E927" s="300"/>
      <c r="F927" s="449" t="s">
        <v>813</v>
      </c>
      <c r="G927" s="300"/>
      <c r="H927" s="300"/>
      <c r="I927" s="440">
        <v>18</v>
      </c>
      <c r="J927" s="449" t="s">
        <v>814</v>
      </c>
      <c r="K927" s="300"/>
      <c r="L927" s="440">
        <v>16</v>
      </c>
      <c r="M927" s="300"/>
      <c r="N927" s="635"/>
      <c r="O927" s="647"/>
      <c r="P927" s="302"/>
      <c r="Q927" s="297"/>
      <c r="R927" s="297"/>
      <c r="S927" s="297"/>
      <c r="T927" s="297"/>
      <c r="U927" s="297"/>
    </row>
    <row r="928" spans="1:21" s="456" customFormat="1">
      <c r="A928" s="449" t="s">
        <v>815</v>
      </c>
      <c r="B928" s="440">
        <v>13</v>
      </c>
      <c r="C928" s="300"/>
      <c r="D928" s="300"/>
      <c r="E928" s="300"/>
      <c r="F928" s="449" t="s">
        <v>816</v>
      </c>
      <c r="G928" s="300"/>
      <c r="H928" s="300"/>
      <c r="I928" s="440">
        <v>18</v>
      </c>
      <c r="J928" s="449" t="s">
        <v>817</v>
      </c>
      <c r="K928" s="300"/>
      <c r="L928" s="440">
        <v>16</v>
      </c>
      <c r="M928" s="300"/>
      <c r="N928" s="635"/>
      <c r="O928" s="647"/>
      <c r="P928" s="482"/>
      <c r="Q928" s="479"/>
      <c r="R928" s="479"/>
      <c r="S928" s="479"/>
      <c r="T928" s="479"/>
      <c r="U928" s="479"/>
    </row>
    <row r="929" spans="1:21" s="456" customFormat="1">
      <c r="A929" s="300"/>
      <c r="B929" s="300"/>
      <c r="C929" s="300"/>
      <c r="D929" s="300"/>
      <c r="E929" s="300"/>
      <c r="F929" s="449" t="s">
        <v>818</v>
      </c>
      <c r="G929" s="300"/>
      <c r="H929" s="300"/>
      <c r="I929" s="440">
        <v>18</v>
      </c>
      <c r="J929" s="449" t="s">
        <v>819</v>
      </c>
      <c r="K929" s="300"/>
      <c r="L929" s="440">
        <v>16</v>
      </c>
      <c r="M929" s="300"/>
      <c r="N929" s="635"/>
      <c r="O929" s="648"/>
      <c r="P929" s="482"/>
      <c r="Q929" s="479"/>
      <c r="R929" s="479"/>
      <c r="S929" s="479"/>
      <c r="T929" s="479"/>
      <c r="U929" s="479"/>
    </row>
    <row r="930" spans="1:21" s="456" customFormat="1">
      <c r="A930" s="300"/>
      <c r="B930" s="300"/>
      <c r="C930" s="300"/>
      <c r="D930" s="300"/>
      <c r="E930" s="300"/>
      <c r="F930" s="449" t="s">
        <v>819</v>
      </c>
      <c r="G930" s="300"/>
      <c r="H930" s="300"/>
      <c r="I930" s="440">
        <v>18</v>
      </c>
      <c r="J930" s="449" t="s">
        <v>809</v>
      </c>
      <c r="K930" s="300"/>
      <c r="L930" s="440">
        <v>12</v>
      </c>
      <c r="M930" s="300"/>
      <c r="N930" s="635"/>
      <c r="O930" s="648"/>
      <c r="P930" s="482"/>
      <c r="Q930" s="479"/>
      <c r="R930" s="479"/>
      <c r="S930" s="479"/>
      <c r="T930" s="479"/>
      <c r="U930" s="479"/>
    </row>
    <row r="931" spans="1:21" s="305" customFormat="1">
      <c r="A931" s="891"/>
      <c r="B931" s="891"/>
      <c r="C931" s="891"/>
      <c r="D931" s="891"/>
      <c r="E931" s="891"/>
      <c r="F931" s="891"/>
      <c r="G931" s="891"/>
      <c r="H931" s="891"/>
      <c r="I931" s="891"/>
      <c r="J931" s="892" t="s">
        <v>820</v>
      </c>
      <c r="K931" s="891"/>
      <c r="L931" s="893">
        <v>10</v>
      </c>
      <c r="M931" s="891"/>
      <c r="N931" s="894"/>
      <c r="O931" s="648"/>
      <c r="P931" s="302"/>
      <c r="Q931" s="297"/>
      <c r="R931" s="297"/>
      <c r="S931" s="297"/>
      <c r="T931" s="297"/>
      <c r="U931" s="297"/>
    </row>
    <row r="932" spans="1:21" s="305" customFormat="1">
      <c r="A932" s="297"/>
      <c r="B932" s="297"/>
      <c r="C932" s="297"/>
      <c r="D932" s="297"/>
      <c r="E932" s="297"/>
      <c r="F932" s="297" t="s">
        <v>2103</v>
      </c>
      <c r="G932" s="297"/>
      <c r="H932" s="297"/>
      <c r="I932" s="297"/>
      <c r="J932" s="487"/>
      <c r="K932" s="297"/>
      <c r="L932" s="895"/>
      <c r="M932" s="297"/>
      <c r="N932" s="297"/>
      <c r="O932" s="302"/>
      <c r="P932" s="302"/>
      <c r="Q932" s="297"/>
      <c r="R932" s="297"/>
      <c r="S932" s="297"/>
      <c r="T932" s="297"/>
      <c r="U932" s="297"/>
    </row>
    <row r="933" spans="1:21" s="660" customFormat="1">
      <c r="A933" s="755" t="s">
        <v>355</v>
      </c>
      <c r="B933" s="1296" t="s">
        <v>219</v>
      </c>
      <c r="C933" s="1297" t="s">
        <v>459</v>
      </c>
      <c r="D933" s="1298"/>
      <c r="E933" s="1296">
        <v>27.5</v>
      </c>
      <c r="F933" s="699" t="s">
        <v>1909</v>
      </c>
      <c r="G933" s="699"/>
      <c r="H933" s="700"/>
      <c r="I933" s="897"/>
      <c r="J933" s="897"/>
      <c r="K933" s="897"/>
      <c r="L933" s="701">
        <v>52</v>
      </c>
      <c r="M933" s="699">
        <v>24.5</v>
      </c>
      <c r="N933" s="753">
        <v>3</v>
      </c>
      <c r="O933" s="648"/>
      <c r="P933" s="658"/>
      <c r="Q933" s="659"/>
      <c r="R933" s="659"/>
      <c r="S933" s="659"/>
      <c r="T933" s="659"/>
      <c r="U933" s="659"/>
    </row>
    <row r="934" spans="1:21" s="660" customFormat="1">
      <c r="A934" s="698" t="s">
        <v>354</v>
      </c>
      <c r="B934" s="1255" t="s">
        <v>219</v>
      </c>
      <c r="C934" s="1273" t="s">
        <v>459</v>
      </c>
      <c r="D934" s="1274"/>
      <c r="E934" s="1255">
        <v>30.5</v>
      </c>
      <c r="F934" s="699" t="s">
        <v>1909</v>
      </c>
      <c r="G934" s="681"/>
      <c r="H934" s="683"/>
      <c r="I934" s="713"/>
      <c r="J934" s="713"/>
      <c r="K934" s="713"/>
      <c r="L934" s="689">
        <v>54</v>
      </c>
      <c r="M934" s="681">
        <v>23.5</v>
      </c>
      <c r="N934" s="706">
        <v>3</v>
      </c>
      <c r="O934" s="648"/>
      <c r="P934" s="658"/>
      <c r="Q934" s="659"/>
      <c r="R934" s="659"/>
      <c r="S934" s="659"/>
      <c r="T934" s="659"/>
      <c r="U934" s="659"/>
    </row>
    <row r="935" spans="1:21" s="660" customFormat="1">
      <c r="A935" s="698" t="s">
        <v>324</v>
      </c>
      <c r="B935" s="1255" t="s">
        <v>219</v>
      </c>
      <c r="C935" s="1273" t="s">
        <v>460</v>
      </c>
      <c r="D935" s="1274"/>
      <c r="E935" s="1255">
        <v>32.5</v>
      </c>
      <c r="F935" s="699" t="s">
        <v>1909</v>
      </c>
      <c r="G935" s="681"/>
      <c r="H935" s="683"/>
      <c r="I935" s="713"/>
      <c r="J935" s="713"/>
      <c r="K935" s="713"/>
      <c r="L935" s="689">
        <v>53</v>
      </c>
      <c r="M935" s="681">
        <v>20.5</v>
      </c>
      <c r="N935" s="706">
        <v>3</v>
      </c>
      <c r="O935" s="648"/>
      <c r="P935" s="658"/>
      <c r="Q935" s="659"/>
      <c r="R935" s="659"/>
      <c r="S935" s="659"/>
      <c r="T935" s="659"/>
      <c r="U935" s="659"/>
    </row>
    <row r="936" spans="1:21" s="305" customFormat="1">
      <c r="A936" s="698" t="s">
        <v>228</v>
      </c>
      <c r="B936" s="1255" t="s">
        <v>219</v>
      </c>
      <c r="C936" s="1273" t="s">
        <v>460</v>
      </c>
      <c r="D936" s="1274"/>
      <c r="E936" s="1255">
        <v>38.5</v>
      </c>
      <c r="F936" s="699" t="s">
        <v>1909</v>
      </c>
      <c r="G936" s="681"/>
      <c r="H936" s="683"/>
      <c r="I936" s="713"/>
      <c r="J936" s="713"/>
      <c r="K936" s="713"/>
      <c r="L936" s="689">
        <v>66</v>
      </c>
      <c r="M936" s="681">
        <v>27.5</v>
      </c>
      <c r="N936" s="706"/>
      <c r="O936" s="648"/>
      <c r="P936" s="302"/>
      <c r="Q936" s="297"/>
      <c r="R936" s="297"/>
      <c r="S936" s="297"/>
      <c r="T936" s="297"/>
      <c r="U936" s="297"/>
    </row>
    <row r="937" spans="1:21" s="305" customFormat="1">
      <c r="A937" s="698" t="s">
        <v>355</v>
      </c>
      <c r="B937" s="1255" t="s">
        <v>219</v>
      </c>
      <c r="C937" s="1273" t="s">
        <v>444</v>
      </c>
      <c r="D937" s="1274"/>
      <c r="E937" s="1255">
        <v>36.5</v>
      </c>
      <c r="F937" s="699" t="s">
        <v>1909</v>
      </c>
      <c r="G937" s="681"/>
      <c r="H937" s="683"/>
      <c r="I937" s="713"/>
      <c r="J937" s="713"/>
      <c r="K937" s="713"/>
      <c r="L937" s="689">
        <v>65</v>
      </c>
      <c r="M937" s="681">
        <v>28.5</v>
      </c>
      <c r="N937" s="706">
        <v>3</v>
      </c>
      <c r="O937" s="648"/>
      <c r="P937" s="302"/>
      <c r="Q937" s="297"/>
      <c r="R937" s="297"/>
      <c r="S937" s="297"/>
      <c r="T937" s="297"/>
      <c r="U937" s="297"/>
    </row>
    <row r="938" spans="1:21" s="305" customFormat="1">
      <c r="A938" s="698" t="s">
        <v>354</v>
      </c>
      <c r="B938" s="1255" t="s">
        <v>219</v>
      </c>
      <c r="C938" s="1273" t="s">
        <v>444</v>
      </c>
      <c r="D938" s="1274"/>
      <c r="E938" s="1255">
        <v>47.5</v>
      </c>
      <c r="F938" s="699" t="s">
        <v>1909</v>
      </c>
      <c r="G938" s="681"/>
      <c r="H938" s="683"/>
      <c r="I938" s="713"/>
      <c r="J938" s="713"/>
      <c r="K938" s="713"/>
      <c r="L938" s="689">
        <v>87</v>
      </c>
      <c r="M938" s="681">
        <v>39.5</v>
      </c>
      <c r="N938" s="706"/>
      <c r="O938" s="648"/>
      <c r="P938" s="302"/>
      <c r="Q938" s="297"/>
      <c r="R938" s="297"/>
      <c r="S938" s="297"/>
      <c r="T938" s="297"/>
      <c r="U938" s="297"/>
    </row>
    <row r="939" spans="1:21" s="305" customFormat="1">
      <c r="A939" s="698" t="s">
        <v>324</v>
      </c>
      <c r="B939" s="1255" t="s">
        <v>219</v>
      </c>
      <c r="C939" s="1273" t="s">
        <v>444</v>
      </c>
      <c r="D939" s="1274"/>
      <c r="E939" s="1255">
        <v>36.5</v>
      </c>
      <c r="F939" s="699" t="s">
        <v>1909</v>
      </c>
      <c r="G939" s="681"/>
      <c r="H939" s="683"/>
      <c r="I939" s="713"/>
      <c r="J939" s="713"/>
      <c r="K939" s="713"/>
      <c r="L939" s="689">
        <v>65</v>
      </c>
      <c r="M939" s="681">
        <v>28.5</v>
      </c>
      <c r="N939" s="706"/>
      <c r="O939" s="645"/>
      <c r="P939" s="302"/>
      <c r="Q939" s="297"/>
      <c r="R939" s="297"/>
      <c r="S939" s="297"/>
      <c r="T939" s="297"/>
      <c r="U939" s="297"/>
    </row>
    <row r="940" spans="1:21" s="305" customFormat="1">
      <c r="A940" s="698" t="s">
        <v>2111</v>
      </c>
      <c r="B940" s="1255" t="s">
        <v>219</v>
      </c>
      <c r="C940" s="1273" t="s">
        <v>2110</v>
      </c>
      <c r="D940" s="1274"/>
      <c r="E940" s="1255">
        <v>29</v>
      </c>
      <c r="F940" s="699" t="s">
        <v>2090</v>
      </c>
      <c r="G940" s="681"/>
      <c r="H940" s="683"/>
      <c r="I940" s="713"/>
      <c r="J940" s="713"/>
      <c r="K940" s="713"/>
      <c r="L940" s="689">
        <v>49</v>
      </c>
      <c r="M940" s="681">
        <v>20</v>
      </c>
      <c r="N940" s="706"/>
      <c r="O940" s="645"/>
      <c r="P940" s="302"/>
      <c r="Q940" s="297"/>
      <c r="R940" s="297"/>
      <c r="S940" s="297"/>
      <c r="T940" s="297"/>
      <c r="U940" s="297"/>
    </row>
    <row r="941" spans="1:21" s="305" customFormat="1">
      <c r="A941" s="698" t="s">
        <v>2112</v>
      </c>
      <c r="B941" s="1255" t="s">
        <v>219</v>
      </c>
      <c r="C941" s="1273" t="s">
        <v>2110</v>
      </c>
      <c r="D941" s="1274"/>
      <c r="E941" s="1255">
        <v>26</v>
      </c>
      <c r="F941" s="699" t="s">
        <v>2090</v>
      </c>
      <c r="G941" s="681"/>
      <c r="H941" s="683"/>
      <c r="I941" s="713"/>
      <c r="J941" s="713"/>
      <c r="K941" s="713"/>
      <c r="L941" s="689">
        <v>45</v>
      </c>
      <c r="M941" s="681">
        <v>19</v>
      </c>
      <c r="N941" s="706"/>
      <c r="O941" s="645"/>
      <c r="P941" s="302"/>
      <c r="Q941" s="297"/>
      <c r="R941" s="297"/>
      <c r="S941" s="297"/>
      <c r="T941" s="297"/>
      <c r="U941" s="297"/>
    </row>
    <row r="942" spans="1:21" s="305" customFormat="1">
      <c r="A942" s="698" t="s">
        <v>2113</v>
      </c>
      <c r="B942" s="1255" t="s">
        <v>219</v>
      </c>
      <c r="C942" s="1273" t="s">
        <v>2110</v>
      </c>
      <c r="D942" s="1274"/>
      <c r="E942" s="1255">
        <v>30</v>
      </c>
      <c r="F942" s="699" t="s">
        <v>2098</v>
      </c>
      <c r="G942" s="681"/>
      <c r="H942" s="683"/>
      <c r="I942" s="713"/>
      <c r="J942" s="713"/>
      <c r="K942" s="713"/>
      <c r="L942" s="689">
        <v>50</v>
      </c>
      <c r="M942" s="681">
        <v>20</v>
      </c>
      <c r="N942" s="706"/>
      <c r="O942" s="645"/>
      <c r="P942" s="302"/>
      <c r="Q942" s="297"/>
      <c r="R942" s="297"/>
      <c r="S942" s="297"/>
      <c r="T942" s="297"/>
      <c r="U942" s="297"/>
    </row>
    <row r="943" spans="1:21" s="305" customFormat="1">
      <c r="A943" s="698"/>
      <c r="B943" s="1255" t="s">
        <v>219</v>
      </c>
      <c r="C943" s="1273" t="s">
        <v>213</v>
      </c>
      <c r="D943" s="1274"/>
      <c r="E943" s="1255">
        <v>30</v>
      </c>
      <c r="F943" s="699" t="s">
        <v>2114</v>
      </c>
      <c r="G943" s="681"/>
      <c r="H943" s="683"/>
      <c r="I943" s="713"/>
      <c r="J943" s="713"/>
      <c r="K943" s="713"/>
      <c r="L943" s="689">
        <v>50</v>
      </c>
      <c r="M943" s="681">
        <v>20</v>
      </c>
      <c r="N943" s="706"/>
      <c r="O943" s="711"/>
      <c r="P943" s="302"/>
      <c r="Q943" s="297"/>
      <c r="R943" s="297"/>
      <c r="S943" s="297"/>
      <c r="T943" s="297"/>
      <c r="U943" s="297"/>
    </row>
    <row r="944" spans="1:21" s="305" customFormat="1">
      <c r="A944" s="703" t="s">
        <v>2104</v>
      </c>
      <c r="B944" s="1272" t="s">
        <v>465</v>
      </c>
      <c r="C944" s="1273" t="s">
        <v>871</v>
      </c>
      <c r="D944" s="1274"/>
      <c r="E944" s="1255">
        <v>22.5</v>
      </c>
      <c r="F944" s="681" t="s">
        <v>2090</v>
      </c>
      <c r="G944" s="681"/>
      <c r="H944" s="683"/>
      <c r="I944" s="713"/>
      <c r="J944" s="713"/>
      <c r="K944" s="713"/>
      <c r="L944" s="689">
        <f>22.5+15.5</f>
        <v>38</v>
      </c>
      <c r="M944" s="681">
        <v>15.5</v>
      </c>
      <c r="N944" s="706">
        <v>3</v>
      </c>
      <c r="O944" s="645"/>
      <c r="P944" s="297"/>
      <c r="Q944" s="297"/>
      <c r="R944" s="297"/>
      <c r="S944" s="297"/>
      <c r="T944" s="297"/>
      <c r="U944" s="297"/>
    </row>
    <row r="945" spans="1:21" s="305" customFormat="1">
      <c r="A945" s="703" t="s">
        <v>2106</v>
      </c>
      <c r="B945" s="1272" t="s">
        <v>465</v>
      </c>
      <c r="C945" s="1273" t="s">
        <v>871</v>
      </c>
      <c r="D945" s="1274"/>
      <c r="E945" s="1255">
        <v>35</v>
      </c>
      <c r="F945" s="681" t="s">
        <v>2098</v>
      </c>
      <c r="G945" s="681"/>
      <c r="H945" s="683"/>
      <c r="I945" s="713"/>
      <c r="J945" s="713"/>
      <c r="K945" s="713"/>
      <c r="L945" s="689">
        <f>35+29</f>
        <v>64</v>
      </c>
      <c r="M945" s="681">
        <v>29</v>
      </c>
      <c r="N945" s="706"/>
      <c r="O945" s="645"/>
      <c r="P945" s="297"/>
      <c r="Q945" s="297"/>
      <c r="R945" s="297"/>
      <c r="S945" s="297"/>
      <c r="T945" s="297"/>
      <c r="U945" s="297"/>
    </row>
    <row r="946" spans="1:21" s="305" customFormat="1">
      <c r="A946" s="703" t="s">
        <v>2105</v>
      </c>
      <c r="B946" s="1272" t="s">
        <v>465</v>
      </c>
      <c r="C946" s="1273" t="s">
        <v>871</v>
      </c>
      <c r="D946" s="1274"/>
      <c r="E946" s="1255">
        <v>35</v>
      </c>
      <c r="F946" s="681" t="s">
        <v>2090</v>
      </c>
      <c r="G946" s="681"/>
      <c r="H946" s="683"/>
      <c r="I946" s="713"/>
      <c r="J946" s="713"/>
      <c r="K946" s="713"/>
      <c r="L946" s="689">
        <v>62</v>
      </c>
      <c r="M946" s="681">
        <f>62-35</f>
        <v>27</v>
      </c>
      <c r="N946" s="706">
        <v>3</v>
      </c>
      <c r="O946" s="645"/>
      <c r="P946" s="297"/>
      <c r="Q946" s="297"/>
      <c r="R946" s="297"/>
      <c r="S946" s="297"/>
      <c r="T946" s="297"/>
      <c r="U946" s="297"/>
    </row>
    <row r="947" spans="1:21" s="688" customFormat="1">
      <c r="A947" s="719" t="s">
        <v>324</v>
      </c>
      <c r="B947" s="1272" t="s">
        <v>465</v>
      </c>
      <c r="C947" s="1273" t="s">
        <v>463</v>
      </c>
      <c r="D947" s="1274"/>
      <c r="E947" s="1255">
        <v>52</v>
      </c>
      <c r="F947" s="681" t="s">
        <v>354</v>
      </c>
      <c r="G947" s="681" t="s">
        <v>1909</v>
      </c>
      <c r="H947" s="683"/>
      <c r="I947" s="713"/>
      <c r="J947" s="713"/>
      <c r="K947" s="713"/>
      <c r="L947" s="689">
        <v>93</v>
      </c>
      <c r="M947" s="681">
        <v>41</v>
      </c>
      <c r="N947" s="706">
        <v>3</v>
      </c>
      <c r="O947" s="707"/>
      <c r="P947" s="696"/>
      <c r="Q947" s="696"/>
      <c r="R947" s="696"/>
      <c r="S947" s="696"/>
      <c r="T947" s="696"/>
      <c r="U947" s="696"/>
    </row>
    <row r="948" spans="1:21" s="688" customFormat="1">
      <c r="A948" s="719" t="s">
        <v>324</v>
      </c>
      <c r="B948" s="1272" t="s">
        <v>465</v>
      </c>
      <c r="C948" s="1273" t="s">
        <v>463</v>
      </c>
      <c r="D948" s="1274"/>
      <c r="E948" s="1255">
        <v>50</v>
      </c>
      <c r="F948" s="681" t="s">
        <v>355</v>
      </c>
      <c r="G948" s="681" t="s">
        <v>1909</v>
      </c>
      <c r="H948" s="683"/>
      <c r="I948" s="713"/>
      <c r="J948" s="713"/>
      <c r="K948" s="713"/>
      <c r="L948" s="689">
        <v>89</v>
      </c>
      <c r="M948" s="681">
        <v>39</v>
      </c>
      <c r="N948" s="706">
        <v>3</v>
      </c>
      <c r="O948" s="896"/>
      <c r="P948" s="696"/>
      <c r="Q948" s="696"/>
      <c r="R948" s="696"/>
      <c r="S948" s="696"/>
      <c r="T948" s="696"/>
      <c r="U948" s="696"/>
    </row>
    <row r="949" spans="1:21" s="688" customFormat="1">
      <c r="A949" s="679" t="s">
        <v>464</v>
      </c>
      <c r="B949" s="1272" t="s">
        <v>465</v>
      </c>
      <c r="C949" s="1273" t="s">
        <v>463</v>
      </c>
      <c r="D949" s="1274"/>
      <c r="E949" s="1255">
        <v>67.5</v>
      </c>
      <c r="F949" s="681" t="s">
        <v>354</v>
      </c>
      <c r="G949" s="681" t="s">
        <v>1909</v>
      </c>
      <c r="H949" s="683"/>
      <c r="I949" s="713"/>
      <c r="J949" s="713"/>
      <c r="K949" s="713"/>
      <c r="L949" s="689">
        <v>124</v>
      </c>
      <c r="M949" s="681">
        <v>56.5</v>
      </c>
      <c r="N949" s="706">
        <v>3</v>
      </c>
      <c r="O949" s="896"/>
      <c r="P949" s="696"/>
      <c r="Q949" s="696"/>
      <c r="R949" s="696"/>
      <c r="S949" s="696"/>
      <c r="T949" s="696"/>
      <c r="U949" s="696"/>
    </row>
    <row r="950" spans="1:21" s="688" customFormat="1">
      <c r="A950" s="679" t="s">
        <v>464</v>
      </c>
      <c r="B950" s="1272" t="s">
        <v>465</v>
      </c>
      <c r="C950" s="1273" t="s">
        <v>463</v>
      </c>
      <c r="D950" s="1274"/>
      <c r="E950" s="1255">
        <v>55</v>
      </c>
      <c r="F950" s="681" t="s">
        <v>355</v>
      </c>
      <c r="G950" s="681" t="s">
        <v>1909</v>
      </c>
      <c r="H950" s="683"/>
      <c r="I950" s="713"/>
      <c r="J950" s="713"/>
      <c r="K950" s="713"/>
      <c r="L950" s="689">
        <v>99</v>
      </c>
      <c r="M950" s="681">
        <v>44</v>
      </c>
      <c r="N950" s="706">
        <v>3</v>
      </c>
      <c r="O950" s="711"/>
      <c r="P950" s="696"/>
      <c r="Q950" s="696"/>
      <c r="R950" s="696"/>
      <c r="S950" s="696"/>
      <c r="T950" s="696"/>
      <c r="U950" s="696"/>
    </row>
    <row r="951" spans="1:21" s="305" customFormat="1">
      <c r="A951" s="719"/>
      <c r="B951" s="1272" t="s">
        <v>465</v>
      </c>
      <c r="C951" s="1273" t="s">
        <v>2081</v>
      </c>
      <c r="D951" s="1274"/>
      <c r="E951" s="1255">
        <v>26.5</v>
      </c>
      <c r="F951" s="681" t="s">
        <v>2098</v>
      </c>
      <c r="G951" s="681"/>
      <c r="H951" s="683"/>
      <c r="I951" s="713"/>
      <c r="J951" s="713"/>
      <c r="K951" s="713"/>
      <c r="L951" s="689">
        <v>53</v>
      </c>
      <c r="M951" s="681">
        <v>26.5</v>
      </c>
      <c r="N951" s="706"/>
      <c r="O951" s="648"/>
      <c r="P951" s="297"/>
      <c r="Q951" s="297"/>
      <c r="R951" s="297"/>
      <c r="S951" s="297"/>
      <c r="T951" s="297"/>
      <c r="U951" s="297"/>
    </row>
    <row r="952" spans="1:21" s="305" customFormat="1">
      <c r="A952" s="698" t="s">
        <v>2083</v>
      </c>
      <c r="B952" s="1272" t="s">
        <v>465</v>
      </c>
      <c r="C952" s="1273" t="s">
        <v>2082</v>
      </c>
      <c r="D952" s="1274"/>
      <c r="E952" s="1255">
        <v>40</v>
      </c>
      <c r="F952" s="681" t="s">
        <v>2098</v>
      </c>
      <c r="G952" s="681"/>
      <c r="H952" s="683"/>
      <c r="I952" s="713"/>
      <c r="J952" s="713"/>
      <c r="K952" s="713"/>
      <c r="L952" s="689">
        <v>70</v>
      </c>
      <c r="M952" s="681">
        <v>30</v>
      </c>
      <c r="N952" s="706"/>
      <c r="O952" s="648"/>
      <c r="P952" s="297"/>
      <c r="Q952" s="297"/>
      <c r="R952" s="297"/>
      <c r="S952" s="297"/>
      <c r="T952" s="297"/>
      <c r="U952" s="297"/>
    </row>
    <row r="953" spans="1:21" s="305" customFormat="1">
      <c r="A953" s="698" t="s">
        <v>2084</v>
      </c>
      <c r="B953" s="1272" t="s">
        <v>465</v>
      </c>
      <c r="C953" s="1273" t="s">
        <v>2082</v>
      </c>
      <c r="D953" s="1274"/>
      <c r="E953" s="1255">
        <v>38.5</v>
      </c>
      <c r="F953" s="681" t="s">
        <v>2098</v>
      </c>
      <c r="G953" s="681"/>
      <c r="H953" s="683"/>
      <c r="I953" s="713"/>
      <c r="J953" s="713"/>
      <c r="K953" s="713"/>
      <c r="L953" s="689">
        <f>38.5+28.5</f>
        <v>67</v>
      </c>
      <c r="M953" s="681">
        <v>28.5</v>
      </c>
      <c r="N953" s="706"/>
      <c r="O953" s="648"/>
      <c r="P953" s="297"/>
      <c r="Q953" s="297"/>
      <c r="R953" s="297"/>
      <c r="S953" s="297"/>
      <c r="T953" s="297"/>
      <c r="U953" s="297"/>
    </row>
    <row r="954" spans="1:21" s="305" customFormat="1">
      <c r="A954" s="698" t="s">
        <v>2085</v>
      </c>
      <c r="B954" s="1272" t="s">
        <v>465</v>
      </c>
      <c r="C954" s="1273" t="s">
        <v>2082</v>
      </c>
      <c r="D954" s="1274"/>
      <c r="E954" s="1255">
        <v>33</v>
      </c>
      <c r="F954" s="681" t="s">
        <v>2098</v>
      </c>
      <c r="G954" s="681"/>
      <c r="H954" s="683"/>
      <c r="I954" s="713"/>
      <c r="J954" s="713"/>
      <c r="K954" s="713"/>
      <c r="L954" s="689">
        <v>56</v>
      </c>
      <c r="M954" s="681">
        <v>23</v>
      </c>
      <c r="N954" s="706"/>
      <c r="O954" s="648"/>
      <c r="P954" s="297"/>
      <c r="Q954" s="297"/>
      <c r="R954" s="297"/>
      <c r="S954" s="297"/>
      <c r="T954" s="297"/>
      <c r="U954" s="297"/>
    </row>
    <row r="955" spans="1:21" s="305" customFormat="1">
      <c r="A955" s="679"/>
      <c r="B955" s="1272" t="s">
        <v>465</v>
      </c>
      <c r="C955" s="1273" t="s">
        <v>466</v>
      </c>
      <c r="D955" s="1274"/>
      <c r="E955" s="1255">
        <v>68.5</v>
      </c>
      <c r="F955" s="681"/>
      <c r="G955" s="681" t="s">
        <v>1909</v>
      </c>
      <c r="H955" s="683"/>
      <c r="I955" s="713"/>
      <c r="J955" s="713"/>
      <c r="K955" s="713"/>
      <c r="L955" s="689">
        <v>122.5</v>
      </c>
      <c r="M955" s="681">
        <v>54</v>
      </c>
      <c r="N955" s="706">
        <v>3</v>
      </c>
      <c r="O955" s="653"/>
      <c r="P955" s="297"/>
      <c r="Q955" s="297"/>
      <c r="R955" s="297"/>
      <c r="S955" s="297"/>
      <c r="T955" s="297"/>
      <c r="U955" s="297"/>
    </row>
    <row r="956" spans="1:21" s="305" customFormat="1">
      <c r="A956" s="698" t="s">
        <v>324</v>
      </c>
      <c r="B956" s="1272" t="s">
        <v>465</v>
      </c>
      <c r="C956" s="1273" t="s">
        <v>466</v>
      </c>
      <c r="D956" s="1274"/>
      <c r="E956" s="1255">
        <v>81.5</v>
      </c>
      <c r="F956" s="681"/>
      <c r="G956" s="681" t="s">
        <v>1909</v>
      </c>
      <c r="H956" s="683"/>
      <c r="I956" s="713"/>
      <c r="J956" s="713"/>
      <c r="K956" s="713"/>
      <c r="L956" s="689">
        <v>138</v>
      </c>
      <c r="M956" s="681">
        <v>56.5</v>
      </c>
      <c r="N956" s="706">
        <v>3</v>
      </c>
      <c r="O956" s="645"/>
      <c r="P956" s="297"/>
      <c r="Q956" s="297"/>
      <c r="R956" s="297"/>
      <c r="S956" s="297"/>
      <c r="T956" s="297"/>
      <c r="U956" s="297"/>
    </row>
    <row r="957" spans="1:21" s="305" customFormat="1">
      <c r="A957" s="698" t="s">
        <v>2108</v>
      </c>
      <c r="B957" s="1272" t="s">
        <v>465</v>
      </c>
      <c r="C957" s="1273" t="s">
        <v>2107</v>
      </c>
      <c r="D957" s="1274"/>
      <c r="E957" s="1255">
        <v>25</v>
      </c>
      <c r="F957" s="681" t="s">
        <v>2090</v>
      </c>
      <c r="G957" s="681"/>
      <c r="H957" s="683"/>
      <c r="I957" s="713"/>
      <c r="J957" s="713"/>
      <c r="K957" s="713"/>
      <c r="L957" s="689">
        <v>46</v>
      </c>
      <c r="M957" s="681">
        <v>21</v>
      </c>
      <c r="N957" s="667"/>
      <c r="O957" s="645"/>
      <c r="P957" s="297"/>
      <c r="Q957" s="297"/>
      <c r="R957" s="297"/>
      <c r="S957" s="297"/>
      <c r="T957" s="297"/>
      <c r="U957" s="297"/>
    </row>
    <row r="958" spans="1:21" s="305" customFormat="1">
      <c r="A958" s="698" t="s">
        <v>2109</v>
      </c>
      <c r="B958" s="1272" t="s">
        <v>465</v>
      </c>
      <c r="C958" s="1273" t="s">
        <v>2107</v>
      </c>
      <c r="D958" s="1274"/>
      <c r="E958" s="1255">
        <v>28</v>
      </c>
      <c r="F958" s="681" t="s">
        <v>2090</v>
      </c>
      <c r="G958" s="681"/>
      <c r="H958" s="683"/>
      <c r="I958" s="713"/>
      <c r="J958" s="713"/>
      <c r="K958" s="713"/>
      <c r="L958" s="689">
        <v>50</v>
      </c>
      <c r="M958" s="681">
        <v>22</v>
      </c>
      <c r="N958" s="667"/>
      <c r="O958" s="645"/>
      <c r="P958" s="297"/>
      <c r="Q958" s="297"/>
      <c r="R958" s="297"/>
      <c r="S958" s="297"/>
      <c r="T958" s="297"/>
      <c r="U958" s="297"/>
    </row>
    <row r="959" spans="1:21" s="305" customFormat="1">
      <c r="A959" s="719" t="s">
        <v>354</v>
      </c>
      <c r="B959" s="1272" t="s">
        <v>465</v>
      </c>
      <c r="C959" s="1273" t="s">
        <v>836</v>
      </c>
      <c r="D959" s="1274"/>
      <c r="E959" s="1255">
        <v>70</v>
      </c>
      <c r="F959" s="681"/>
      <c r="G959" s="681" t="s">
        <v>1909</v>
      </c>
      <c r="H959" s="683"/>
      <c r="I959" s="713"/>
      <c r="J959" s="713"/>
      <c r="K959" s="713"/>
      <c r="L959" s="689">
        <v>129</v>
      </c>
      <c r="M959" s="681">
        <v>59</v>
      </c>
      <c r="N959" s="706">
        <v>3</v>
      </c>
      <c r="O959" s="653"/>
      <c r="P959" s="641"/>
      <c r="Q959" s="641"/>
      <c r="R959" s="641"/>
      <c r="S959" s="641"/>
      <c r="T959" s="641"/>
      <c r="U959" s="297"/>
    </row>
    <row r="960" spans="1:21" s="305" customFormat="1">
      <c r="A960" s="719" t="s">
        <v>355</v>
      </c>
      <c r="B960" s="1272" t="s">
        <v>465</v>
      </c>
      <c r="C960" s="1273" t="s">
        <v>836</v>
      </c>
      <c r="D960" s="1274"/>
      <c r="E960" s="1255">
        <v>57.5</v>
      </c>
      <c r="F960" s="681" t="s">
        <v>837</v>
      </c>
      <c r="G960" s="681" t="s">
        <v>1909</v>
      </c>
      <c r="H960" s="683"/>
      <c r="I960" s="713"/>
      <c r="J960" s="713"/>
      <c r="K960" s="713"/>
      <c r="L960" s="689">
        <v>104</v>
      </c>
      <c r="M960" s="681">
        <v>46.5</v>
      </c>
      <c r="N960" s="706"/>
      <c r="O960" s="645"/>
      <c r="P960" s="641"/>
      <c r="Q960" s="641"/>
      <c r="R960" s="641"/>
      <c r="S960" s="641"/>
      <c r="T960" s="641"/>
      <c r="U960" s="297"/>
    </row>
    <row r="961" spans="1:21" s="305" customFormat="1">
      <c r="A961" s="1858" t="s">
        <v>3819</v>
      </c>
      <c r="B961" s="1286" t="s">
        <v>2115</v>
      </c>
      <c r="C961" s="1280" t="s">
        <v>3440</v>
      </c>
      <c r="D961" s="1281"/>
      <c r="E961" s="1851">
        <v>29</v>
      </c>
      <c r="F961" s="681"/>
      <c r="G961" s="663" t="s">
        <v>3441</v>
      </c>
      <c r="H961" s="683"/>
      <c r="I961" s="1852" t="s">
        <v>3818</v>
      </c>
      <c r="J961" s="713"/>
      <c r="K961" s="713"/>
      <c r="L961" s="665">
        <v>54</v>
      </c>
      <c r="M961" s="663">
        <f>L961-E961</f>
        <v>25</v>
      </c>
      <c r="N961" s="667">
        <v>5</v>
      </c>
      <c r="O961" s="1856" t="s">
        <v>3823</v>
      </c>
      <c r="P961" s="287"/>
      <c r="Q961" s="2411" t="s">
        <v>3817</v>
      </c>
      <c r="R961" s="287"/>
      <c r="S961" s="287"/>
      <c r="T961" s="287"/>
      <c r="U961" s="287"/>
    </row>
    <row r="962" spans="1:21" s="305" customFormat="1">
      <c r="A962" s="1858" t="s">
        <v>3820</v>
      </c>
      <c r="B962" s="1286" t="s">
        <v>2115</v>
      </c>
      <c r="C962" s="1280" t="s">
        <v>3440</v>
      </c>
      <c r="D962" s="1281"/>
      <c r="E962" s="1851">
        <v>31</v>
      </c>
      <c r="F962" s="681"/>
      <c r="G962" s="663" t="s">
        <v>3441</v>
      </c>
      <c r="H962" s="683"/>
      <c r="I962" s="1852" t="s">
        <v>3818</v>
      </c>
      <c r="J962" s="713"/>
      <c r="K962" s="713"/>
      <c r="L962" s="665">
        <v>58</v>
      </c>
      <c r="M962" s="663">
        <f>L962-E962</f>
        <v>27</v>
      </c>
      <c r="N962" s="667">
        <v>5</v>
      </c>
      <c r="O962" s="1856" t="s">
        <v>3823</v>
      </c>
      <c r="P962" s="287"/>
      <c r="Q962" s="2411" t="s">
        <v>3817</v>
      </c>
      <c r="R962" s="287"/>
      <c r="S962" s="287"/>
      <c r="T962" s="287"/>
      <c r="U962" s="287"/>
    </row>
    <row r="963" spans="1:21" s="305" customFormat="1">
      <c r="A963" s="1858" t="s">
        <v>3821</v>
      </c>
      <c r="B963" s="1286" t="s">
        <v>2115</v>
      </c>
      <c r="C963" s="1280" t="s">
        <v>3440</v>
      </c>
      <c r="D963" s="1281"/>
      <c r="E963" s="1851">
        <v>36</v>
      </c>
      <c r="F963" s="681"/>
      <c r="G963" s="663" t="s">
        <v>3441</v>
      </c>
      <c r="H963" s="683"/>
      <c r="I963" s="1852" t="s">
        <v>3818</v>
      </c>
      <c r="J963" s="713"/>
      <c r="K963" s="713"/>
      <c r="L963" s="665">
        <v>66</v>
      </c>
      <c r="M963" s="663">
        <f>L963-E963</f>
        <v>30</v>
      </c>
      <c r="N963" s="667">
        <v>5</v>
      </c>
      <c r="O963" s="1856" t="s">
        <v>3823</v>
      </c>
      <c r="P963" s="287"/>
      <c r="Q963" s="2411" t="s">
        <v>3817</v>
      </c>
      <c r="R963" s="287"/>
      <c r="S963" s="287"/>
      <c r="T963" s="287"/>
      <c r="U963" s="287"/>
    </row>
    <row r="964" spans="1:21" s="305" customFormat="1">
      <c r="A964" s="1858" t="s">
        <v>3822</v>
      </c>
      <c r="B964" s="1286" t="s">
        <v>2115</v>
      </c>
      <c r="C964" s="1280" t="s">
        <v>3440</v>
      </c>
      <c r="D964" s="1281"/>
      <c r="E964" s="1851">
        <v>29</v>
      </c>
      <c r="F964" s="681"/>
      <c r="G964" s="663" t="s">
        <v>3441</v>
      </c>
      <c r="H964" s="683"/>
      <c r="I964" s="1852" t="s">
        <v>3818</v>
      </c>
      <c r="J964" s="713"/>
      <c r="K964" s="713"/>
      <c r="L964" s="665">
        <v>54</v>
      </c>
      <c r="M964" s="663">
        <f>L964-E964</f>
        <v>25</v>
      </c>
      <c r="N964" s="667">
        <v>5</v>
      </c>
      <c r="O964" s="1856" t="s">
        <v>3823</v>
      </c>
      <c r="P964" s="287"/>
      <c r="Q964" s="2411" t="s">
        <v>3817</v>
      </c>
      <c r="R964" s="287"/>
      <c r="S964" s="287"/>
      <c r="T964" s="287"/>
      <c r="U964" s="287"/>
    </row>
    <row r="965" spans="1:21" s="305" customFormat="1">
      <c r="A965" s="719"/>
      <c r="B965" s="1272" t="s">
        <v>2115</v>
      </c>
      <c r="C965" s="1273" t="s">
        <v>213</v>
      </c>
      <c r="D965" s="1274"/>
      <c r="E965" s="1255">
        <v>31</v>
      </c>
      <c r="F965" s="681"/>
      <c r="G965" s="681"/>
      <c r="H965" s="683"/>
      <c r="I965" s="713"/>
      <c r="J965" s="713"/>
      <c r="K965" s="713"/>
      <c r="L965" s="689">
        <v>54</v>
      </c>
      <c r="M965" s="681">
        <v>23</v>
      </c>
      <c r="N965" s="706"/>
      <c r="O965" s="645"/>
      <c r="P965" s="287" t="s">
        <v>2630</v>
      </c>
      <c r="Q965" s="287"/>
      <c r="R965" s="287"/>
      <c r="S965" s="287"/>
      <c r="T965" s="287"/>
      <c r="U965" s="297"/>
    </row>
    <row r="966" spans="1:21" s="305" customFormat="1">
      <c r="A966" s="679" t="s">
        <v>462</v>
      </c>
      <c r="B966" s="1272" t="s">
        <v>467</v>
      </c>
      <c r="C966" s="1273" t="s">
        <v>835</v>
      </c>
      <c r="D966" s="1274"/>
      <c r="E966" s="1255">
        <v>28.5</v>
      </c>
      <c r="F966" s="681" t="s">
        <v>1909</v>
      </c>
      <c r="G966" s="681"/>
      <c r="H966" s="683"/>
      <c r="I966" s="713"/>
      <c r="J966" s="713"/>
      <c r="K966" s="713"/>
      <c r="L966" s="689">
        <v>53</v>
      </c>
      <c r="M966" s="681">
        <v>24.5</v>
      </c>
      <c r="N966" s="706">
        <v>2</v>
      </c>
      <c r="O966" s="648"/>
      <c r="P966" s="297"/>
      <c r="Q966" s="297"/>
      <c r="R966" s="297"/>
      <c r="S966" s="297"/>
      <c r="T966" s="297"/>
      <c r="U966" s="297"/>
    </row>
    <row r="967" spans="1:21" s="305" customFormat="1">
      <c r="A967" s="679" t="s">
        <v>354</v>
      </c>
      <c r="B967" s="1272" t="s">
        <v>467</v>
      </c>
      <c r="C967" s="1273" t="s">
        <v>835</v>
      </c>
      <c r="D967" s="1274"/>
      <c r="E967" s="1255">
        <v>40.5</v>
      </c>
      <c r="F967" s="681" t="s">
        <v>1909</v>
      </c>
      <c r="G967" s="681"/>
      <c r="H967" s="683"/>
      <c r="I967" s="713"/>
      <c r="J967" s="713"/>
      <c r="K967" s="713"/>
      <c r="L967" s="689">
        <v>72.5</v>
      </c>
      <c r="M967" s="681">
        <v>32</v>
      </c>
      <c r="N967" s="706">
        <v>2</v>
      </c>
      <c r="O967" s="645"/>
      <c r="P967" s="297"/>
      <c r="Q967" s="297"/>
      <c r="R967" s="297"/>
      <c r="S967" s="297"/>
      <c r="T967" s="297"/>
      <c r="U967" s="297"/>
    </row>
    <row r="968" spans="1:21" s="305" customFormat="1">
      <c r="A968" s="679" t="s">
        <v>2086</v>
      </c>
      <c r="B968" s="1272" t="s">
        <v>467</v>
      </c>
      <c r="C968" s="1273" t="s">
        <v>469</v>
      </c>
      <c r="D968" s="1274"/>
      <c r="E968" s="1255">
        <v>26.5</v>
      </c>
      <c r="F968" s="681" t="s">
        <v>2090</v>
      </c>
      <c r="G968" s="681"/>
      <c r="H968" s="683"/>
      <c r="I968" s="713"/>
      <c r="J968" s="713"/>
      <c r="K968" s="713"/>
      <c r="L968" s="689">
        <f>E968+M968</f>
        <v>46</v>
      </c>
      <c r="M968" s="681">
        <v>19.5</v>
      </c>
      <c r="N968" s="667">
        <v>2</v>
      </c>
      <c r="O968" s="648"/>
      <c r="P968" s="297"/>
      <c r="Q968" s="297"/>
      <c r="R968" s="297"/>
      <c r="S968" s="297"/>
      <c r="T968" s="297"/>
      <c r="U968" s="297"/>
    </row>
    <row r="969" spans="1:21" s="305" customFormat="1">
      <c r="A969" s="679" t="s">
        <v>2087</v>
      </c>
      <c r="B969" s="1272" t="s">
        <v>467</v>
      </c>
      <c r="C969" s="1273" t="s">
        <v>469</v>
      </c>
      <c r="D969" s="1274"/>
      <c r="E969" s="1255">
        <v>33</v>
      </c>
      <c r="F969" s="681" t="s">
        <v>2090</v>
      </c>
      <c r="G969" s="681"/>
      <c r="H969" s="683"/>
      <c r="I969" s="713"/>
      <c r="J969" s="713"/>
      <c r="K969" s="713"/>
      <c r="L969" s="689">
        <f>E969+M969</f>
        <v>58</v>
      </c>
      <c r="M969" s="681">
        <v>25</v>
      </c>
      <c r="N969" s="667">
        <v>2</v>
      </c>
      <c r="O969" s="648"/>
      <c r="P969" s="302"/>
      <c r="Q969" s="297"/>
      <c r="R969" s="297"/>
      <c r="S969" s="297"/>
      <c r="T969" s="297"/>
      <c r="U969" s="297"/>
    </row>
    <row r="970" spans="1:21" s="305" customFormat="1">
      <c r="A970" s="679" t="s">
        <v>2088</v>
      </c>
      <c r="B970" s="1272" t="s">
        <v>467</v>
      </c>
      <c r="C970" s="1273" t="s">
        <v>469</v>
      </c>
      <c r="D970" s="1274"/>
      <c r="E970" s="1255">
        <v>30.5</v>
      </c>
      <c r="F970" s="681" t="s">
        <v>2090</v>
      </c>
      <c r="G970" s="681"/>
      <c r="H970" s="683"/>
      <c r="I970" s="713"/>
      <c r="J970" s="713"/>
      <c r="K970" s="713"/>
      <c r="L970" s="689">
        <f>E970+M970</f>
        <v>56</v>
      </c>
      <c r="M970" s="681">
        <v>25.5</v>
      </c>
      <c r="N970" s="667">
        <v>2</v>
      </c>
      <c r="O970" s="648"/>
      <c r="P970" s="302"/>
      <c r="Q970" s="297"/>
      <c r="R970" s="297"/>
      <c r="S970" s="297"/>
      <c r="T970" s="297"/>
      <c r="U970" s="297"/>
    </row>
    <row r="971" spans="1:21" s="305" customFormat="1">
      <c r="A971" s="679" t="s">
        <v>1943</v>
      </c>
      <c r="B971" s="1272" t="s">
        <v>467</v>
      </c>
      <c r="C971" s="1273" t="s">
        <v>469</v>
      </c>
      <c r="D971" s="1274"/>
      <c r="E971" s="1255">
        <v>50</v>
      </c>
      <c r="F971" s="681" t="s">
        <v>2090</v>
      </c>
      <c r="G971" s="681"/>
      <c r="H971" s="683"/>
      <c r="I971" s="713"/>
      <c r="J971" s="713"/>
      <c r="K971" s="713"/>
      <c r="L971" s="689">
        <f>E971+M971</f>
        <v>85</v>
      </c>
      <c r="M971" s="681">
        <v>35</v>
      </c>
      <c r="N971" s="667">
        <v>2</v>
      </c>
      <c r="O971" s="648"/>
      <c r="P971" s="302"/>
      <c r="Q971" s="297"/>
      <c r="R971" s="297"/>
      <c r="S971" s="297"/>
      <c r="T971" s="297"/>
      <c r="U971" s="297"/>
    </row>
    <row r="972" spans="1:21" s="305" customFormat="1">
      <c r="A972" s="679" t="s">
        <v>2089</v>
      </c>
      <c r="B972" s="1272" t="s">
        <v>467</v>
      </c>
      <c r="C972" s="1273" t="s">
        <v>469</v>
      </c>
      <c r="D972" s="1274"/>
      <c r="E972" s="1255">
        <v>29.5</v>
      </c>
      <c r="F972" s="681" t="s">
        <v>2090</v>
      </c>
      <c r="G972" s="681"/>
      <c r="H972" s="683"/>
      <c r="I972" s="713"/>
      <c r="J972" s="713"/>
      <c r="K972" s="713"/>
      <c r="L972" s="689">
        <f>E972+M972</f>
        <v>50</v>
      </c>
      <c r="M972" s="681">
        <v>20.5</v>
      </c>
      <c r="N972" s="667">
        <v>2</v>
      </c>
      <c r="O972" s="648"/>
      <c r="P972" s="302"/>
      <c r="Q972" s="297"/>
      <c r="R972" s="297"/>
      <c r="S972" s="297"/>
      <c r="T972" s="297"/>
      <c r="U972" s="297"/>
    </row>
    <row r="973" spans="1:21" s="688" customFormat="1">
      <c r="A973" s="679" t="s">
        <v>1535</v>
      </c>
      <c r="B973" s="1272" t="s">
        <v>467</v>
      </c>
      <c r="C973" s="1273" t="s">
        <v>468</v>
      </c>
      <c r="D973" s="1274"/>
      <c r="E973" s="1255">
        <v>31</v>
      </c>
      <c r="F973" s="681" t="s">
        <v>2090</v>
      </c>
      <c r="G973" s="681"/>
      <c r="H973" s="683"/>
      <c r="I973" s="713"/>
      <c r="J973" s="713"/>
      <c r="K973" s="713"/>
      <c r="L973" s="689">
        <v>53</v>
      </c>
      <c r="M973" s="681">
        <v>22</v>
      </c>
      <c r="N973" s="706">
        <v>2</v>
      </c>
      <c r="O973" s="711"/>
      <c r="P973" s="750"/>
      <c r="Q973" s="696"/>
      <c r="R973" s="696"/>
      <c r="S973" s="696"/>
      <c r="T973" s="696"/>
      <c r="U973" s="696"/>
    </row>
    <row r="974" spans="1:21" s="305" customFormat="1">
      <c r="A974" s="679" t="s">
        <v>6</v>
      </c>
      <c r="B974" s="1272" t="s">
        <v>467</v>
      </c>
      <c r="C974" s="1273" t="s">
        <v>834</v>
      </c>
      <c r="D974" s="1274"/>
      <c r="E974" s="1255">
        <v>35.5</v>
      </c>
      <c r="F974" s="681" t="s">
        <v>2091</v>
      </c>
      <c r="G974" s="681"/>
      <c r="H974" s="683"/>
      <c r="I974" s="713"/>
      <c r="J974" s="713"/>
      <c r="K974" s="713"/>
      <c r="L974" s="689">
        <f>E974+M974</f>
        <v>65</v>
      </c>
      <c r="M974" s="681">
        <v>29.5</v>
      </c>
      <c r="N974" s="667"/>
      <c r="O974" s="648"/>
      <c r="P974" s="302"/>
      <c r="Q974" s="297"/>
      <c r="R974" s="297"/>
      <c r="S974" s="297"/>
      <c r="T974" s="297"/>
      <c r="U974" s="297"/>
    </row>
    <row r="975" spans="1:21" s="688" customFormat="1">
      <c r="A975" s="679" t="s">
        <v>462</v>
      </c>
      <c r="B975" s="1272" t="s">
        <v>467</v>
      </c>
      <c r="C975" s="1273" t="s">
        <v>834</v>
      </c>
      <c r="D975" s="1274"/>
      <c r="E975" s="1255">
        <v>36</v>
      </c>
      <c r="F975" s="681" t="s">
        <v>2090</v>
      </c>
      <c r="G975" s="681"/>
      <c r="H975" s="683"/>
      <c r="I975" s="713"/>
      <c r="J975" s="713"/>
      <c r="K975" s="713"/>
      <c r="L975" s="689">
        <v>60</v>
      </c>
      <c r="M975" s="681">
        <f>L975-E975</f>
        <v>24</v>
      </c>
      <c r="N975" s="706">
        <v>3</v>
      </c>
      <c r="O975" s="711"/>
      <c r="P975" s="750"/>
      <c r="Q975" s="696"/>
      <c r="R975" s="696"/>
      <c r="S975" s="696"/>
      <c r="T975" s="696"/>
      <c r="U975" s="696"/>
    </row>
    <row r="976" spans="1:21" s="688" customFormat="1">
      <c r="A976" s="679"/>
      <c r="B976" s="1272" t="s">
        <v>467</v>
      </c>
      <c r="C976" s="1273" t="s">
        <v>2096</v>
      </c>
      <c r="D976" s="1274"/>
      <c r="E976" s="1255">
        <v>25</v>
      </c>
      <c r="F976" s="681" t="s">
        <v>2098</v>
      </c>
      <c r="G976" s="681"/>
      <c r="H976" s="683"/>
      <c r="I976" s="713"/>
      <c r="J976" s="713"/>
      <c r="K976" s="713"/>
      <c r="L976" s="689">
        <v>44</v>
      </c>
      <c r="M976" s="681">
        <v>19</v>
      </c>
      <c r="N976" s="706"/>
      <c r="O976" s="711"/>
      <c r="P976" s="750"/>
      <c r="Q976" s="696"/>
      <c r="R976" s="696"/>
      <c r="S976" s="696"/>
      <c r="T976" s="696"/>
      <c r="U976" s="696"/>
    </row>
    <row r="977" spans="1:21" s="305" customFormat="1" ht="15" customHeight="1">
      <c r="A977" s="719" t="s">
        <v>2099</v>
      </c>
      <c r="B977" s="1272" t="s">
        <v>467</v>
      </c>
      <c r="C977" s="1273" t="s">
        <v>454</v>
      </c>
      <c r="D977" s="1274"/>
      <c r="E977" s="1255">
        <f>199/2</f>
        <v>99.5</v>
      </c>
      <c r="F977" s="681" t="s">
        <v>2090</v>
      </c>
      <c r="G977" s="681"/>
      <c r="H977" s="683"/>
      <c r="I977" s="713"/>
      <c r="J977" s="713"/>
      <c r="K977" s="713"/>
      <c r="L977" s="689">
        <v>178</v>
      </c>
      <c r="M977" s="681">
        <f>L977-E977</f>
        <v>78.5</v>
      </c>
      <c r="N977" s="667">
        <v>3</v>
      </c>
      <c r="O977" s="645"/>
      <c r="P977" s="302"/>
      <c r="Q977" s="297"/>
      <c r="R977" s="297"/>
      <c r="S977" s="297"/>
      <c r="T977" s="297"/>
      <c r="U977" s="297"/>
    </row>
    <row r="978" spans="1:21" s="305" customFormat="1">
      <c r="A978" s="698" t="s">
        <v>2100</v>
      </c>
      <c r="B978" s="1272" t="s">
        <v>467</v>
      </c>
      <c r="C978" s="1273" t="s">
        <v>470</v>
      </c>
      <c r="D978" s="1274"/>
      <c r="E978" s="1255">
        <v>33.5</v>
      </c>
      <c r="F978" s="681" t="s">
        <v>2090</v>
      </c>
      <c r="G978" s="681"/>
      <c r="H978" s="683"/>
      <c r="I978" s="713"/>
      <c r="J978" s="713"/>
      <c r="K978" s="713"/>
      <c r="L978" s="689">
        <v>59</v>
      </c>
      <c r="M978" s="681">
        <v>25.5</v>
      </c>
      <c r="N978" s="706">
        <v>3</v>
      </c>
      <c r="O978" s="645"/>
      <c r="P978" s="642"/>
      <c r="Q978" s="297"/>
      <c r="R978" s="297"/>
      <c r="S978" s="297"/>
      <c r="T978" s="297"/>
      <c r="U978" s="297"/>
    </row>
    <row r="979" spans="1:21" s="305" customFormat="1">
      <c r="A979" s="698" t="s">
        <v>355</v>
      </c>
      <c r="B979" s="1272" t="s">
        <v>467</v>
      </c>
      <c r="C979" s="1273" t="s">
        <v>693</v>
      </c>
      <c r="D979" s="1274"/>
      <c r="E979" s="1255">
        <v>37</v>
      </c>
      <c r="F979" s="681" t="s">
        <v>1909</v>
      </c>
      <c r="G979" s="681"/>
      <c r="H979" s="683"/>
      <c r="I979" s="713"/>
      <c r="J979" s="713"/>
      <c r="K979" s="713"/>
      <c r="L979" s="689">
        <v>68.5</v>
      </c>
      <c r="M979" s="681">
        <v>31</v>
      </c>
      <c r="N979" s="706">
        <v>3</v>
      </c>
      <c r="O979" s="645"/>
      <c r="P979" s="642"/>
      <c r="Q979" s="297"/>
      <c r="R979" s="297"/>
      <c r="S979" s="297"/>
      <c r="T979" s="297"/>
      <c r="U979" s="297"/>
    </row>
    <row r="980" spans="1:21" s="305" customFormat="1">
      <c r="A980" s="889" t="s">
        <v>869</v>
      </c>
      <c r="B980" s="1272" t="s">
        <v>467</v>
      </c>
      <c r="C980" s="1273" t="s">
        <v>693</v>
      </c>
      <c r="D980" s="1294"/>
      <c r="E980" s="1295">
        <v>60</v>
      </c>
      <c r="F980" s="681" t="s">
        <v>1909</v>
      </c>
      <c r="G980" s="681"/>
      <c r="H980" s="890"/>
      <c r="I980" s="861"/>
      <c r="J980" s="861"/>
      <c r="K980" s="861"/>
      <c r="L980" s="853">
        <v>114.5</v>
      </c>
      <c r="M980" s="854">
        <v>54.5</v>
      </c>
      <c r="N980" s="706">
        <v>3</v>
      </c>
      <c r="O980" s="645"/>
      <c r="P980" s="297"/>
      <c r="Q980" s="297"/>
      <c r="R980" s="297"/>
      <c r="S980" s="297"/>
      <c r="T980" s="297"/>
      <c r="U980" s="297"/>
    </row>
    <row r="981" spans="1:21" s="305" customFormat="1">
      <c r="A981" s="889" t="s">
        <v>870</v>
      </c>
      <c r="B981" s="1272" t="s">
        <v>467</v>
      </c>
      <c r="C981" s="1273" t="s">
        <v>693</v>
      </c>
      <c r="D981" s="1294"/>
      <c r="E981" s="1295">
        <v>38.5</v>
      </c>
      <c r="F981" s="681" t="s">
        <v>1909</v>
      </c>
      <c r="G981" s="681"/>
      <c r="H981" s="890"/>
      <c r="I981" s="861"/>
      <c r="J981" s="861"/>
      <c r="K981" s="861"/>
      <c r="L981" s="853">
        <v>71.5</v>
      </c>
      <c r="M981" s="854">
        <v>33</v>
      </c>
      <c r="N981" s="706">
        <v>3</v>
      </c>
      <c r="O981" s="648"/>
      <c r="P981" s="297"/>
      <c r="Q981" s="297"/>
      <c r="R981" s="297"/>
      <c r="S981" s="297"/>
      <c r="T981" s="297"/>
      <c r="U981" s="297"/>
    </row>
    <row r="982" spans="1:21" s="305" customFormat="1">
      <c r="A982" s="889" t="s">
        <v>2093</v>
      </c>
      <c r="B982" s="1272" t="s">
        <v>467</v>
      </c>
      <c r="C982" s="1273" t="s">
        <v>2092</v>
      </c>
      <c r="D982" s="1294"/>
      <c r="E982" s="1295">
        <v>38</v>
      </c>
      <c r="F982" s="854" t="s">
        <v>2098</v>
      </c>
      <c r="G982" s="681"/>
      <c r="H982" s="890"/>
      <c r="I982" s="861"/>
      <c r="J982" s="861"/>
      <c r="K982" s="861"/>
      <c r="L982" s="853">
        <f>M982+E982</f>
        <v>66</v>
      </c>
      <c r="M982" s="854">
        <v>28</v>
      </c>
      <c r="N982" s="706"/>
      <c r="O982" s="648"/>
      <c r="P982" s="297"/>
      <c r="Q982" s="297"/>
      <c r="R982" s="297"/>
      <c r="S982" s="297"/>
      <c r="T982" s="297"/>
      <c r="U982" s="297"/>
    </row>
    <row r="983" spans="1:21" s="305" customFormat="1">
      <c r="A983" s="889" t="s">
        <v>2094</v>
      </c>
      <c r="B983" s="1272" t="s">
        <v>467</v>
      </c>
      <c r="C983" s="1273" t="s">
        <v>2092</v>
      </c>
      <c r="D983" s="1294"/>
      <c r="E983" s="1295">
        <v>34</v>
      </c>
      <c r="F983" s="854" t="s">
        <v>2098</v>
      </c>
      <c r="G983" s="681"/>
      <c r="H983" s="890"/>
      <c r="I983" s="861"/>
      <c r="J983" s="861"/>
      <c r="K983" s="861"/>
      <c r="L983" s="853">
        <f>M983+E983</f>
        <v>58</v>
      </c>
      <c r="M983" s="854">
        <v>24</v>
      </c>
      <c r="N983" s="706"/>
      <c r="O983" s="648"/>
      <c r="P983" s="297"/>
      <c r="Q983" s="297"/>
      <c r="R983" s="297"/>
      <c r="S983" s="297"/>
      <c r="T983" s="297"/>
      <c r="U983" s="297"/>
    </row>
    <row r="984" spans="1:21" s="305" customFormat="1">
      <c r="A984" s="889" t="s">
        <v>2095</v>
      </c>
      <c r="B984" s="1272" t="s">
        <v>467</v>
      </c>
      <c r="C984" s="1273" t="s">
        <v>2092</v>
      </c>
      <c r="D984" s="1294"/>
      <c r="E984" s="1295">
        <v>35</v>
      </c>
      <c r="F984" s="854" t="s">
        <v>2098</v>
      </c>
      <c r="G984" s="681"/>
      <c r="H984" s="890"/>
      <c r="I984" s="861"/>
      <c r="J984" s="861"/>
      <c r="K984" s="861"/>
      <c r="L984" s="853">
        <f>M984+E984</f>
        <v>60</v>
      </c>
      <c r="M984" s="854">
        <v>25</v>
      </c>
      <c r="N984" s="706"/>
      <c r="O984" s="648"/>
      <c r="P984" s="297"/>
      <c r="Q984" s="297"/>
      <c r="R984" s="297"/>
      <c r="S984" s="297"/>
      <c r="T984" s="297"/>
      <c r="U984" s="297"/>
    </row>
    <row r="985" spans="1:21" s="305" customFormat="1">
      <c r="A985" s="889"/>
      <c r="B985" s="1272" t="s">
        <v>467</v>
      </c>
      <c r="C985" s="1273" t="s">
        <v>2097</v>
      </c>
      <c r="D985" s="1294"/>
      <c r="E985" s="1295">
        <v>28</v>
      </c>
      <c r="F985" s="854" t="s">
        <v>2090</v>
      </c>
      <c r="G985" s="681"/>
      <c r="H985" s="890"/>
      <c r="I985" s="861"/>
      <c r="J985" s="861"/>
      <c r="K985" s="861"/>
      <c r="L985" s="853">
        <v>49</v>
      </c>
      <c r="M985" s="854">
        <v>21</v>
      </c>
      <c r="N985" s="706"/>
      <c r="O985" s="648"/>
      <c r="P985" s="297"/>
      <c r="Q985" s="297"/>
      <c r="R985" s="297"/>
      <c r="S985" s="297"/>
      <c r="T985" s="297"/>
      <c r="U985" s="297"/>
    </row>
    <row r="986" spans="1:21" s="305" customFormat="1">
      <c r="A986" s="698" t="s">
        <v>2101</v>
      </c>
      <c r="B986" s="1272" t="s">
        <v>467</v>
      </c>
      <c r="C986" s="1273" t="s">
        <v>833</v>
      </c>
      <c r="D986" s="1274"/>
      <c r="E986" s="1255">
        <v>74.5</v>
      </c>
      <c r="F986" s="854" t="s">
        <v>2090</v>
      </c>
      <c r="G986" s="681"/>
      <c r="H986" s="683"/>
      <c r="I986" s="713"/>
      <c r="J986" s="713"/>
      <c r="K986" s="713"/>
      <c r="L986" s="689">
        <f>74.5+65.45</f>
        <v>139.94999999999999</v>
      </c>
      <c r="M986" s="681">
        <v>65.45</v>
      </c>
      <c r="N986" s="706">
        <v>6</v>
      </c>
      <c r="O986" s="648"/>
      <c r="P986" s="297"/>
      <c r="Q986" s="297"/>
      <c r="R986" s="297"/>
      <c r="S986" s="297"/>
      <c r="T986" s="297"/>
      <c r="U986" s="297"/>
    </row>
    <row r="987" spans="1:21" s="305" customFormat="1">
      <c r="A987" s="698"/>
      <c r="B987" s="1272" t="s">
        <v>467</v>
      </c>
      <c r="C987" s="1273" t="s">
        <v>2102</v>
      </c>
      <c r="D987" s="1274"/>
      <c r="E987" s="1255">
        <v>41</v>
      </c>
      <c r="F987" s="854" t="s">
        <v>2090</v>
      </c>
      <c r="G987" s="681"/>
      <c r="H987" s="683"/>
      <c r="I987" s="713"/>
      <c r="J987" s="713"/>
      <c r="K987" s="713"/>
      <c r="L987" s="689">
        <v>70</v>
      </c>
      <c r="M987" s="681">
        <v>29</v>
      </c>
      <c r="N987" s="706"/>
      <c r="O987" s="648"/>
      <c r="P987" s="297"/>
      <c r="Q987" s="297"/>
      <c r="R987" s="297"/>
      <c r="S987" s="297"/>
      <c r="T987" s="297"/>
      <c r="U987" s="297"/>
    </row>
    <row r="988" spans="1:21" s="305" customFormat="1">
      <c r="A988" s="698" t="s">
        <v>462</v>
      </c>
      <c r="B988" s="1272" t="s">
        <v>467</v>
      </c>
      <c r="C988" s="1273" t="s">
        <v>216</v>
      </c>
      <c r="D988" s="1274"/>
      <c r="E988" s="1255">
        <v>29</v>
      </c>
      <c r="F988" s="681" t="s">
        <v>1909</v>
      </c>
      <c r="G988" s="681" t="s">
        <v>832</v>
      </c>
      <c r="H988" s="683"/>
      <c r="I988" s="713"/>
      <c r="J988" s="713"/>
      <c r="K988" s="713"/>
      <c r="L988" s="689">
        <v>55.5</v>
      </c>
      <c r="M988" s="681">
        <v>26.5</v>
      </c>
      <c r="N988" s="706">
        <v>3</v>
      </c>
      <c r="O988" s="648"/>
      <c r="P988" s="302"/>
      <c r="Q988" s="297"/>
      <c r="R988" s="297"/>
      <c r="S988" s="297"/>
      <c r="T988" s="297"/>
      <c r="U988" s="297"/>
    </row>
    <row r="989" spans="1:21" s="305" customFormat="1">
      <c r="A989" s="703" t="s">
        <v>354</v>
      </c>
      <c r="B989" s="1272" t="s">
        <v>467</v>
      </c>
      <c r="C989" s="1272" t="s">
        <v>216</v>
      </c>
      <c r="D989" s="1272"/>
      <c r="E989" s="1255">
        <v>68.5</v>
      </c>
      <c r="F989" s="681" t="s">
        <v>1909</v>
      </c>
      <c r="G989" s="681"/>
      <c r="H989" s="683"/>
      <c r="I989" s="713"/>
      <c r="J989" s="713"/>
      <c r="K989" s="713"/>
      <c r="L989" s="689">
        <v>122.5</v>
      </c>
      <c r="M989" s="681">
        <v>54</v>
      </c>
      <c r="N989" s="686">
        <v>3</v>
      </c>
      <c r="O989" s="645"/>
      <c r="P989" s="302"/>
      <c r="Q989" s="297"/>
      <c r="R989" s="297"/>
      <c r="S989" s="297"/>
      <c r="T989" s="297"/>
      <c r="U989" s="297"/>
    </row>
    <row r="990" spans="1:21" s="305" customFormat="1">
      <c r="A990" s="297"/>
      <c r="B990" s="297"/>
      <c r="C990" s="297" t="s">
        <v>2041</v>
      </c>
      <c r="D990" s="297"/>
      <c r="E990" s="297"/>
      <c r="G990" s="297"/>
      <c r="H990" s="297"/>
      <c r="I990" s="297"/>
      <c r="J990" s="297"/>
      <c r="K990" s="297"/>
      <c r="L990" s="297"/>
      <c r="M990" s="297"/>
      <c r="N990" s="297"/>
      <c r="O990" s="297"/>
      <c r="P990" s="302"/>
      <c r="Q990" s="297"/>
      <c r="R990" s="297"/>
      <c r="S990" s="297"/>
      <c r="T990" s="297"/>
      <c r="U990" s="297"/>
    </row>
    <row r="991" spans="1:21" s="688" customFormat="1" ht="16.5" customHeight="1">
      <c r="A991" s="2416" t="s">
        <v>4070</v>
      </c>
      <c r="B991" s="1286" t="s">
        <v>448</v>
      </c>
      <c r="C991" s="1286" t="s">
        <v>1751</v>
      </c>
      <c r="D991" s="1286"/>
      <c r="E991" s="1851">
        <v>30</v>
      </c>
      <c r="F991" s="663" t="s">
        <v>1748</v>
      </c>
      <c r="G991" s="671" t="s">
        <v>4078</v>
      </c>
      <c r="H991" s="671">
        <v>1.5</v>
      </c>
      <c r="I991" s="671" t="s">
        <v>206</v>
      </c>
      <c r="J991" s="682"/>
      <c r="K991" s="682"/>
      <c r="L991" s="665">
        <v>50</v>
      </c>
      <c r="M991" s="663">
        <f>L991-E991</f>
        <v>20</v>
      </c>
      <c r="N991" s="2398">
        <v>3</v>
      </c>
      <c r="O991" s="1856" t="s">
        <v>4096</v>
      </c>
      <c r="P991" s="696"/>
      <c r="Q991" s="2403" t="s">
        <v>3953</v>
      </c>
      <c r="R991" s="696"/>
      <c r="S991" s="2459" t="s">
        <v>4097</v>
      </c>
      <c r="T991" s="696"/>
      <c r="U991" s="696"/>
    </row>
    <row r="992" spans="1:21" s="688" customFormat="1" ht="16.5" customHeight="1">
      <c r="A992" s="2416" t="s">
        <v>4071</v>
      </c>
      <c r="B992" s="1286" t="s">
        <v>448</v>
      </c>
      <c r="C992" s="1280" t="s">
        <v>1751</v>
      </c>
      <c r="D992" s="1281"/>
      <c r="E992" s="1851">
        <v>50</v>
      </c>
      <c r="F992" s="663" t="s">
        <v>1748</v>
      </c>
      <c r="G992" s="671" t="s">
        <v>4078</v>
      </c>
      <c r="H992" s="671">
        <v>1.5</v>
      </c>
      <c r="I992" s="671" t="s">
        <v>206</v>
      </c>
      <c r="J992" s="682"/>
      <c r="K992" s="682"/>
      <c r="L992" s="665">
        <v>90</v>
      </c>
      <c r="M992" s="663">
        <f>L992-E992</f>
        <v>40</v>
      </c>
      <c r="N992" s="2398">
        <v>3</v>
      </c>
      <c r="O992" s="1856" t="s">
        <v>4096</v>
      </c>
      <c r="P992" s="696"/>
      <c r="Q992" s="2403" t="s">
        <v>3953</v>
      </c>
      <c r="R992" s="696"/>
      <c r="S992" s="2459" t="s">
        <v>4097</v>
      </c>
      <c r="T992" s="696"/>
      <c r="U992" s="696"/>
    </row>
    <row r="993" spans="1:21" s="688" customFormat="1">
      <c r="A993" s="2416" t="s">
        <v>4072</v>
      </c>
      <c r="B993" s="1286" t="s">
        <v>448</v>
      </c>
      <c r="C993" s="1280" t="s">
        <v>1751</v>
      </c>
      <c r="D993" s="1281"/>
      <c r="E993" s="1851">
        <v>77.5</v>
      </c>
      <c r="F993" s="663" t="s">
        <v>1748</v>
      </c>
      <c r="G993" s="671" t="s">
        <v>4076</v>
      </c>
      <c r="H993" s="671">
        <v>1.5</v>
      </c>
      <c r="I993" s="671" t="s">
        <v>206</v>
      </c>
      <c r="J993" s="682"/>
      <c r="K993" s="682"/>
      <c r="L993" s="665">
        <v>145</v>
      </c>
      <c r="M993" s="663">
        <f>L993-E993</f>
        <v>67.5</v>
      </c>
      <c r="N993" s="2398">
        <v>3</v>
      </c>
      <c r="O993" s="1856" t="s">
        <v>4096</v>
      </c>
      <c r="P993" s="696"/>
      <c r="Q993" s="2403" t="s">
        <v>3953</v>
      </c>
      <c r="R993" s="696"/>
      <c r="S993" s="2459" t="s">
        <v>4097</v>
      </c>
      <c r="T993" s="696"/>
      <c r="U993" s="696"/>
    </row>
    <row r="994" spans="1:21" s="688" customFormat="1">
      <c r="A994" s="2416" t="s">
        <v>4073</v>
      </c>
      <c r="B994" s="1286" t="s">
        <v>448</v>
      </c>
      <c r="C994" s="1280" t="s">
        <v>1751</v>
      </c>
      <c r="D994" s="1281"/>
      <c r="E994" s="1851">
        <v>92.5</v>
      </c>
      <c r="F994" s="663" t="s">
        <v>1748</v>
      </c>
      <c r="G994" s="671" t="s">
        <v>4077</v>
      </c>
      <c r="H994" s="671">
        <v>1.5</v>
      </c>
      <c r="I994" s="671" t="s">
        <v>206</v>
      </c>
      <c r="J994" s="682"/>
      <c r="K994" s="682"/>
      <c r="L994" s="665">
        <v>175</v>
      </c>
      <c r="M994" s="663">
        <f>L994-E994</f>
        <v>82.5</v>
      </c>
      <c r="N994" s="2398">
        <v>3</v>
      </c>
      <c r="O994" s="1856" t="s">
        <v>4096</v>
      </c>
      <c r="P994" s="696"/>
      <c r="Q994" s="2403" t="s">
        <v>3953</v>
      </c>
      <c r="R994" s="696"/>
      <c r="S994" s="2459" t="s">
        <v>4097</v>
      </c>
      <c r="T994" s="696"/>
      <c r="U994" s="696"/>
    </row>
    <row r="995" spans="1:21" s="688" customFormat="1">
      <c r="A995" s="2416" t="s">
        <v>1747</v>
      </c>
      <c r="B995" s="1286" t="s">
        <v>448</v>
      </c>
      <c r="C995" s="1280" t="s">
        <v>1751</v>
      </c>
      <c r="D995" s="1281"/>
      <c r="E995" s="1851">
        <v>102.5</v>
      </c>
      <c r="F995" s="663" t="s">
        <v>1748</v>
      </c>
      <c r="G995" s="671" t="s">
        <v>4077</v>
      </c>
      <c r="H995" s="671">
        <v>1.5</v>
      </c>
      <c r="I995" s="671" t="s">
        <v>206</v>
      </c>
      <c r="J995" s="682"/>
      <c r="K995" s="682"/>
      <c r="L995" s="665">
        <v>195</v>
      </c>
      <c r="M995" s="663">
        <f>L995-E995</f>
        <v>92.5</v>
      </c>
      <c r="N995" s="2398">
        <v>3</v>
      </c>
      <c r="O995" s="1856" t="s">
        <v>4096</v>
      </c>
      <c r="P995" s="696"/>
      <c r="Q995" s="2403" t="s">
        <v>3953</v>
      </c>
      <c r="R995" s="696"/>
      <c r="S995" s="2459" t="s">
        <v>4097</v>
      </c>
      <c r="T995" s="696"/>
      <c r="U995" s="696"/>
    </row>
    <row r="996" spans="1:21" s="305" customFormat="1">
      <c r="A996" s="1802" t="s">
        <v>604</v>
      </c>
      <c r="B996" s="1868" t="s">
        <v>448</v>
      </c>
      <c r="C996" s="1869" t="s">
        <v>4299</v>
      </c>
      <c r="D996" s="1870"/>
      <c r="E996" s="1803">
        <v>51</v>
      </c>
      <c r="F996" s="663" t="s">
        <v>4334</v>
      </c>
      <c r="G996" s="1804"/>
      <c r="H996" s="682">
        <v>1</v>
      </c>
      <c r="I996" s="682" t="s">
        <v>206</v>
      </c>
      <c r="J996" s="1807"/>
      <c r="K996" s="1807"/>
      <c r="L996" s="1806">
        <v>76</v>
      </c>
      <c r="M996" s="1804">
        <v>25</v>
      </c>
      <c r="N996" s="1808"/>
      <c r="O996" s="645"/>
      <c r="P996" s="297"/>
      <c r="Q996" s="297"/>
      <c r="R996" s="297"/>
      <c r="S996" s="297"/>
      <c r="T996" s="297"/>
      <c r="U996" s="297"/>
    </row>
    <row r="997" spans="1:21" s="305" customFormat="1">
      <c r="A997" s="1809" t="s">
        <v>228</v>
      </c>
      <c r="B997" s="1868" t="s">
        <v>448</v>
      </c>
      <c r="C997" s="1869" t="s">
        <v>4299</v>
      </c>
      <c r="D997" s="1870"/>
      <c r="E997" s="1785"/>
      <c r="F997" s="663" t="s">
        <v>4334</v>
      </c>
      <c r="G997" s="1810"/>
      <c r="H997" s="682">
        <v>1</v>
      </c>
      <c r="I997" s="682" t="s">
        <v>206</v>
      </c>
      <c r="J997" s="1797"/>
      <c r="K997" s="1797"/>
      <c r="L997" s="1796"/>
      <c r="M997" s="1786"/>
      <c r="N997" s="1798"/>
      <c r="O997" s="645"/>
      <c r="P997" s="297"/>
      <c r="Q997" s="297"/>
      <c r="R997" s="297"/>
      <c r="S997" s="297"/>
      <c r="T997" s="297"/>
      <c r="U997" s="297"/>
    </row>
    <row r="998" spans="1:21" s="305" customFormat="1">
      <c r="A998" s="698" t="s">
        <v>1947</v>
      </c>
      <c r="B998" s="1299" t="s">
        <v>448</v>
      </c>
      <c r="C998" s="1297" t="s">
        <v>456</v>
      </c>
      <c r="D998" s="1274"/>
      <c r="E998" s="1255">
        <v>154.5</v>
      </c>
      <c r="F998" s="681" t="s">
        <v>1748</v>
      </c>
      <c r="G998" s="671"/>
      <c r="H998" s="682">
        <v>1</v>
      </c>
      <c r="I998" s="682" t="s">
        <v>206</v>
      </c>
      <c r="J998" s="666"/>
      <c r="K998" s="666"/>
      <c r="L998" s="701">
        <v>286</v>
      </c>
      <c r="M998" s="699">
        <v>131.5</v>
      </c>
      <c r="N998" s="667"/>
      <c r="O998" s="711" t="s">
        <v>1948</v>
      </c>
      <c r="P998" s="297"/>
      <c r="Q998" s="297"/>
      <c r="R998" s="297"/>
      <c r="S998" s="297"/>
      <c r="T998" s="297"/>
      <c r="U998" s="297"/>
    </row>
    <row r="999" spans="1:21" s="305" customFormat="1">
      <c r="A999" s="1831" t="s">
        <v>3402</v>
      </c>
      <c r="B999" s="1299" t="s">
        <v>448</v>
      </c>
      <c r="C999" s="1273" t="s">
        <v>614</v>
      </c>
      <c r="D999" s="1281"/>
      <c r="E999" s="1255">
        <v>36</v>
      </c>
      <c r="F999" s="681" t="s">
        <v>1748</v>
      </c>
      <c r="G999" s="682"/>
      <c r="H999" s="682">
        <v>1</v>
      </c>
      <c r="I999" s="682" t="s">
        <v>206</v>
      </c>
      <c r="J999" s="682"/>
      <c r="K999" s="666"/>
      <c r="L999" s="701">
        <v>61</v>
      </c>
      <c r="M999" s="699">
        <v>25</v>
      </c>
      <c r="N999" s="706" t="s">
        <v>293</v>
      </c>
      <c r="O999" s="645"/>
      <c r="P999" s="297"/>
      <c r="Q999" s="297"/>
      <c r="R999" s="297"/>
      <c r="S999" s="297"/>
      <c r="T999" s="297"/>
      <c r="U999" s="297"/>
    </row>
    <row r="1000" spans="1:21" s="305" customFormat="1">
      <c r="A1000" s="1809" t="s">
        <v>228</v>
      </c>
      <c r="B1000" s="1791" t="s">
        <v>448</v>
      </c>
      <c r="C1000" s="1783" t="s">
        <v>614</v>
      </c>
      <c r="D1000" s="1784"/>
      <c r="E1000" s="1785">
        <v>74</v>
      </c>
      <c r="F1000" s="681" t="s">
        <v>1748</v>
      </c>
      <c r="G1000" s="1810"/>
      <c r="H1000" s="682">
        <v>1</v>
      </c>
      <c r="I1000" s="682" t="s">
        <v>206</v>
      </c>
      <c r="J1000" s="1810"/>
      <c r="K1000" s="1797"/>
      <c r="L1000" s="1806">
        <v>129</v>
      </c>
      <c r="M1000" s="1804">
        <v>55</v>
      </c>
      <c r="N1000" s="1798" t="s">
        <v>293</v>
      </c>
      <c r="O1000" s="645"/>
      <c r="P1000" s="297"/>
      <c r="Q1000" s="297"/>
      <c r="R1000" s="297"/>
      <c r="S1000" s="297"/>
      <c r="T1000" s="297"/>
      <c r="U1000" s="297"/>
    </row>
    <row r="1001" spans="1:21" s="305" customFormat="1">
      <c r="A1001" s="1809" t="s">
        <v>415</v>
      </c>
      <c r="B1001" s="1791" t="s">
        <v>448</v>
      </c>
      <c r="C1001" s="1783" t="s">
        <v>614</v>
      </c>
      <c r="D1001" s="1784"/>
      <c r="E1001" s="1785"/>
      <c r="F1001" s="681" t="s">
        <v>1749</v>
      </c>
      <c r="G1001" s="1810"/>
      <c r="H1001" s="682">
        <v>1</v>
      </c>
      <c r="I1001" s="682" t="s">
        <v>206</v>
      </c>
      <c r="J1001" s="1810"/>
      <c r="K1001" s="1797"/>
      <c r="L1001" s="1806"/>
      <c r="M1001" s="1804"/>
      <c r="N1001" s="1798" t="s">
        <v>293</v>
      </c>
      <c r="O1001" s="645"/>
      <c r="P1001" s="297"/>
      <c r="Q1001" s="297"/>
      <c r="R1001" s="297"/>
      <c r="S1001" s="297"/>
      <c r="T1001" s="297"/>
      <c r="U1001" s="297"/>
    </row>
    <row r="1002" spans="1:21" s="305" customFormat="1">
      <c r="A1002" s="1809" t="s">
        <v>38</v>
      </c>
      <c r="B1002" s="1791" t="s">
        <v>448</v>
      </c>
      <c r="C1002" s="1783" t="s">
        <v>449</v>
      </c>
      <c r="D1002" s="1784"/>
      <c r="E1002" s="1785">
        <v>30</v>
      </c>
      <c r="F1002" s="681" t="s">
        <v>1749</v>
      </c>
      <c r="G1002" s="1810" t="s">
        <v>450</v>
      </c>
      <c r="H1002" s="682">
        <v>1</v>
      </c>
      <c r="I1002" s="682" t="s">
        <v>206</v>
      </c>
      <c r="J1002" s="1787"/>
      <c r="K1002" s="1787"/>
      <c r="L1002" s="1796">
        <v>50</v>
      </c>
      <c r="M1002" s="1786">
        <v>20</v>
      </c>
      <c r="N1002" s="1798">
        <v>2</v>
      </c>
      <c r="O1002" s="645"/>
      <c r="P1002" s="297"/>
      <c r="Q1002" s="297"/>
      <c r="R1002" s="297"/>
      <c r="S1002" s="297"/>
      <c r="T1002" s="297"/>
      <c r="U1002" s="297"/>
    </row>
    <row r="1003" spans="1:21" s="305" customFormat="1">
      <c r="A1003" s="1809" t="s">
        <v>1089</v>
      </c>
      <c r="B1003" s="1791" t="s">
        <v>448</v>
      </c>
      <c r="C1003" s="1783" t="s">
        <v>449</v>
      </c>
      <c r="D1003" s="1784"/>
      <c r="E1003" s="1785">
        <v>52.5</v>
      </c>
      <c r="F1003" s="681" t="s">
        <v>1749</v>
      </c>
      <c r="G1003" s="1810" t="s">
        <v>450</v>
      </c>
      <c r="H1003" s="682">
        <v>1</v>
      </c>
      <c r="I1003" s="682" t="s">
        <v>206</v>
      </c>
      <c r="J1003" s="1787"/>
      <c r="K1003" s="1787"/>
      <c r="L1003" s="1796">
        <v>90</v>
      </c>
      <c r="M1003" s="1786">
        <v>37.5</v>
      </c>
      <c r="N1003" s="1798">
        <v>2</v>
      </c>
      <c r="O1003" s="645"/>
      <c r="P1003" s="297"/>
      <c r="Q1003" s="297"/>
      <c r="R1003" s="297"/>
      <c r="S1003" s="297"/>
      <c r="T1003" s="297"/>
      <c r="U1003" s="297"/>
    </row>
    <row r="1004" spans="1:21" s="305" customFormat="1">
      <c r="A1004" s="1809" t="s">
        <v>1090</v>
      </c>
      <c r="B1004" s="1791" t="s">
        <v>448</v>
      </c>
      <c r="C1004" s="1783" t="s">
        <v>449</v>
      </c>
      <c r="D1004" s="1784"/>
      <c r="E1004" s="1785">
        <v>72.5</v>
      </c>
      <c r="F1004" s="681" t="s">
        <v>1749</v>
      </c>
      <c r="G1004" s="1810" t="s">
        <v>450</v>
      </c>
      <c r="H1004" s="682">
        <v>1</v>
      </c>
      <c r="I1004" s="682" t="s">
        <v>206</v>
      </c>
      <c r="J1004" s="1787"/>
      <c r="K1004" s="1787"/>
      <c r="L1004" s="1796">
        <v>130</v>
      </c>
      <c r="M1004" s="1786">
        <v>57.5</v>
      </c>
      <c r="N1004" s="1798">
        <v>2</v>
      </c>
      <c r="O1004" s="645"/>
      <c r="P1004" s="297"/>
      <c r="Q1004" s="297"/>
      <c r="R1004" s="297"/>
      <c r="S1004" s="297"/>
      <c r="T1004" s="297"/>
      <c r="U1004" s="297"/>
    </row>
    <row r="1005" spans="1:21" s="305" customFormat="1">
      <c r="A1005" s="1811" t="s">
        <v>1091</v>
      </c>
      <c r="B1005" s="1791" t="s">
        <v>448</v>
      </c>
      <c r="C1005" s="1783" t="s">
        <v>449</v>
      </c>
      <c r="D1005" s="1784"/>
      <c r="E1005" s="1785">
        <v>90</v>
      </c>
      <c r="F1005" s="681" t="s">
        <v>1749</v>
      </c>
      <c r="G1005" s="1810" t="s">
        <v>450</v>
      </c>
      <c r="H1005" s="682">
        <v>1</v>
      </c>
      <c r="I1005" s="682" t="s">
        <v>206</v>
      </c>
      <c r="J1005" s="1787"/>
      <c r="K1005" s="1787"/>
      <c r="L1005" s="1796">
        <v>160</v>
      </c>
      <c r="M1005" s="1786">
        <v>70</v>
      </c>
      <c r="N1005" s="1798">
        <v>2</v>
      </c>
      <c r="O1005" s="645"/>
      <c r="P1005" s="297"/>
      <c r="Q1005" s="297"/>
      <c r="R1005" s="297"/>
      <c r="S1005" s="297"/>
      <c r="T1005" s="297"/>
      <c r="U1005" s="297"/>
    </row>
    <row r="1006" spans="1:21" s="305" customFormat="1">
      <c r="A1006" s="1811" t="s">
        <v>1092</v>
      </c>
      <c r="B1006" s="1791" t="s">
        <v>448</v>
      </c>
      <c r="C1006" s="1783" t="s">
        <v>449</v>
      </c>
      <c r="D1006" s="1784"/>
      <c r="E1006" s="1785">
        <v>120</v>
      </c>
      <c r="F1006" s="681" t="s">
        <v>1748</v>
      </c>
      <c r="G1006" s="1810" t="s">
        <v>450</v>
      </c>
      <c r="H1006" s="682">
        <v>1</v>
      </c>
      <c r="I1006" s="682" t="s">
        <v>206</v>
      </c>
      <c r="J1006" s="1787"/>
      <c r="K1006" s="1787"/>
      <c r="L1006" s="1796">
        <v>215</v>
      </c>
      <c r="M1006" s="1786">
        <v>95</v>
      </c>
      <c r="N1006" s="1798">
        <v>2</v>
      </c>
      <c r="O1006" s="645"/>
      <c r="P1006" s="297"/>
      <c r="Q1006" s="297"/>
      <c r="R1006" s="297"/>
      <c r="S1006" s="297"/>
      <c r="T1006" s="297"/>
      <c r="U1006" s="297"/>
    </row>
    <row r="1007" spans="1:21" s="305" customFormat="1">
      <c r="A1007" s="703" t="s">
        <v>1949</v>
      </c>
      <c r="B1007" s="1868" t="s">
        <v>448</v>
      </c>
      <c r="C1007" s="1280" t="s">
        <v>1951</v>
      </c>
      <c r="D1007" s="1281"/>
      <c r="E1007" s="1255">
        <v>62.5</v>
      </c>
      <c r="F1007" s="663" t="s">
        <v>4334</v>
      </c>
      <c r="G1007" s="681" t="s">
        <v>1748</v>
      </c>
      <c r="H1007" s="682">
        <v>1</v>
      </c>
      <c r="I1007" s="682" t="s">
        <v>206</v>
      </c>
      <c r="J1007" s="713"/>
      <c r="K1007" s="713"/>
      <c r="L1007" s="701">
        <v>110</v>
      </c>
      <c r="M1007" s="699">
        <v>47.5</v>
      </c>
      <c r="N1007" s="667"/>
      <c r="O1007" s="645"/>
      <c r="P1007" s="297"/>
      <c r="Q1007" s="297"/>
      <c r="R1007" s="297"/>
      <c r="S1007" s="297"/>
      <c r="T1007" s="297"/>
      <c r="U1007" s="297"/>
    </row>
    <row r="1008" spans="1:21" s="305" customFormat="1">
      <c r="A1008" s="703" t="s">
        <v>1950</v>
      </c>
      <c r="B1008" s="1868" t="s">
        <v>448</v>
      </c>
      <c r="C1008" s="1280" t="s">
        <v>1951</v>
      </c>
      <c r="D1008" s="1281"/>
      <c r="E1008" s="1255">
        <v>100</v>
      </c>
      <c r="F1008" s="663" t="s">
        <v>4334</v>
      </c>
      <c r="G1008" s="681" t="s">
        <v>1748</v>
      </c>
      <c r="H1008" s="682">
        <v>1</v>
      </c>
      <c r="I1008" s="682" t="s">
        <v>206</v>
      </c>
      <c r="J1008" s="713"/>
      <c r="K1008" s="713"/>
      <c r="L1008" s="701">
        <v>180</v>
      </c>
      <c r="M1008" s="699">
        <v>80</v>
      </c>
      <c r="N1008" s="667"/>
      <c r="O1008" s="645"/>
      <c r="P1008" s="297"/>
      <c r="Q1008" s="297"/>
      <c r="R1008" s="297"/>
      <c r="S1008" s="297"/>
      <c r="T1008" s="297"/>
      <c r="U1008" s="297"/>
    </row>
    <row r="1009" spans="1:21" s="305" customFormat="1">
      <c r="A1009" s="703" t="s">
        <v>1952</v>
      </c>
      <c r="B1009" s="1868" t="s">
        <v>448</v>
      </c>
      <c r="C1009" s="1280" t="s">
        <v>1951</v>
      </c>
      <c r="D1009" s="1281"/>
      <c r="E1009" s="1255">
        <v>82.5</v>
      </c>
      <c r="F1009" s="663" t="s">
        <v>4334</v>
      </c>
      <c r="G1009" s="681" t="s">
        <v>1748</v>
      </c>
      <c r="H1009" s="682">
        <v>1</v>
      </c>
      <c r="I1009" s="682" t="s">
        <v>206</v>
      </c>
      <c r="J1009" s="713"/>
      <c r="K1009" s="713"/>
      <c r="L1009" s="701">
        <v>150</v>
      </c>
      <c r="M1009" s="699">
        <v>67.5</v>
      </c>
      <c r="N1009" s="667"/>
      <c r="O1009" s="645"/>
      <c r="P1009" s="297"/>
      <c r="Q1009" s="297"/>
      <c r="R1009" s="297"/>
      <c r="S1009" s="297"/>
      <c r="T1009" s="297"/>
      <c r="U1009" s="297"/>
    </row>
    <row r="1010" spans="1:21" s="305" customFormat="1">
      <c r="A1010" s="703" t="s">
        <v>1953</v>
      </c>
      <c r="B1010" s="1868" t="s">
        <v>448</v>
      </c>
      <c r="C1010" s="1280" t="s">
        <v>1951</v>
      </c>
      <c r="D1010" s="1281"/>
      <c r="E1010" s="1255">
        <v>62.5</v>
      </c>
      <c r="F1010" s="663" t="s">
        <v>4334</v>
      </c>
      <c r="G1010" s="681" t="s">
        <v>1748</v>
      </c>
      <c r="H1010" s="682">
        <v>1</v>
      </c>
      <c r="I1010" s="682" t="s">
        <v>206</v>
      </c>
      <c r="J1010" s="713"/>
      <c r="K1010" s="713"/>
      <c r="L1010" s="701">
        <v>110</v>
      </c>
      <c r="M1010" s="699">
        <v>47.5</v>
      </c>
      <c r="N1010" s="667"/>
      <c r="O1010" s="645"/>
      <c r="P1010" s="297"/>
      <c r="Q1010" s="297"/>
      <c r="R1010" s="297"/>
      <c r="S1010" s="297"/>
      <c r="T1010" s="297"/>
      <c r="U1010" s="297"/>
    </row>
    <row r="1011" spans="1:21" s="305" customFormat="1">
      <c r="A1011" s="703" t="s">
        <v>1954</v>
      </c>
      <c r="B1011" s="1868" t="s">
        <v>448</v>
      </c>
      <c r="C1011" s="1280" t="s">
        <v>1951</v>
      </c>
      <c r="D1011" s="1281"/>
      <c r="E1011" s="1255">
        <v>37.5</v>
      </c>
      <c r="F1011" s="663" t="s">
        <v>4334</v>
      </c>
      <c r="G1011" s="681" t="s">
        <v>1749</v>
      </c>
      <c r="H1011" s="682">
        <v>1</v>
      </c>
      <c r="I1011" s="682" t="s">
        <v>206</v>
      </c>
      <c r="J1011" s="713"/>
      <c r="K1011" s="713"/>
      <c r="L1011" s="701">
        <v>65</v>
      </c>
      <c r="M1011" s="699">
        <v>27.5</v>
      </c>
      <c r="N1011" s="667"/>
      <c r="O1011" s="645"/>
      <c r="P1011" s="297"/>
      <c r="Q1011" s="297"/>
      <c r="R1011" s="297"/>
      <c r="S1011" s="297"/>
      <c r="T1011" s="297"/>
      <c r="U1011" s="297"/>
    </row>
    <row r="1012" spans="1:21" s="305" customFormat="1">
      <c r="A1012" s="1809" t="s">
        <v>969</v>
      </c>
      <c r="B1012" s="1791" t="s">
        <v>448</v>
      </c>
      <c r="C1012" s="1783" t="s">
        <v>615</v>
      </c>
      <c r="D1012" s="1784"/>
      <c r="E1012" s="1785">
        <v>51</v>
      </c>
      <c r="F1012" s="681" t="s">
        <v>1749</v>
      </c>
      <c r="G1012" s="671"/>
      <c r="H1012" s="682">
        <v>1</v>
      </c>
      <c r="I1012" s="682" t="s">
        <v>206</v>
      </c>
      <c r="J1012" s="666"/>
      <c r="K1012" s="666"/>
      <c r="L1012" s="1806">
        <v>61</v>
      </c>
      <c r="M1012" s="1804">
        <v>10</v>
      </c>
      <c r="N1012" s="1798" t="s">
        <v>357</v>
      </c>
      <c r="O1012" s="645"/>
      <c r="P1012" s="302"/>
      <c r="Q1012" s="297"/>
      <c r="R1012" s="297"/>
      <c r="S1012" s="297"/>
      <c r="T1012" s="297"/>
      <c r="U1012" s="297"/>
    </row>
    <row r="1013" spans="1:21" s="305" customFormat="1">
      <c r="A1013" s="1809" t="s">
        <v>762</v>
      </c>
      <c r="B1013" s="1791" t="s">
        <v>448</v>
      </c>
      <c r="C1013" s="1783" t="s">
        <v>615</v>
      </c>
      <c r="D1013" s="1784"/>
      <c r="E1013" s="1785">
        <v>66</v>
      </c>
      <c r="F1013" s="681" t="s">
        <v>1749</v>
      </c>
      <c r="G1013" s="671"/>
      <c r="H1013" s="682">
        <v>1</v>
      </c>
      <c r="I1013" s="682" t="s">
        <v>206</v>
      </c>
      <c r="J1013" s="666"/>
      <c r="K1013" s="666"/>
      <c r="L1013" s="1806">
        <v>99</v>
      </c>
      <c r="M1013" s="1804">
        <v>33</v>
      </c>
      <c r="N1013" s="1798" t="s">
        <v>357</v>
      </c>
      <c r="O1013" s="645"/>
      <c r="P1013" s="302"/>
      <c r="Q1013" s="297"/>
      <c r="R1013" s="297"/>
      <c r="S1013" s="297"/>
      <c r="T1013" s="297"/>
      <c r="U1013" s="297"/>
    </row>
    <row r="1014" spans="1:21" s="305" customFormat="1">
      <c r="A1014" s="1809" t="s">
        <v>970</v>
      </c>
      <c r="B1014" s="1791" t="s">
        <v>448</v>
      </c>
      <c r="C1014" s="1783" t="s">
        <v>615</v>
      </c>
      <c r="D1014" s="1784"/>
      <c r="E1014" s="1785">
        <v>86</v>
      </c>
      <c r="F1014" s="681" t="s">
        <v>1749</v>
      </c>
      <c r="G1014" s="671"/>
      <c r="H1014" s="682">
        <v>1</v>
      </c>
      <c r="I1014" s="682" t="s">
        <v>206</v>
      </c>
      <c r="J1014" s="666"/>
      <c r="K1014" s="666"/>
      <c r="L1014" s="1806">
        <v>129</v>
      </c>
      <c r="M1014" s="1804">
        <v>43</v>
      </c>
      <c r="N1014" s="1798" t="s">
        <v>357</v>
      </c>
      <c r="O1014" s="645"/>
      <c r="P1014" s="297"/>
      <c r="Q1014" s="297"/>
      <c r="R1014" s="297"/>
      <c r="S1014" s="297"/>
      <c r="T1014" s="297"/>
      <c r="U1014" s="297"/>
    </row>
    <row r="1015" spans="1:21" s="305" customFormat="1">
      <c r="A1015" s="1809" t="s">
        <v>971</v>
      </c>
      <c r="B1015" s="1791" t="s">
        <v>448</v>
      </c>
      <c r="C1015" s="1783" t="s">
        <v>615</v>
      </c>
      <c r="D1015" s="1784"/>
      <c r="E1015" s="1785">
        <v>101</v>
      </c>
      <c r="F1015" s="681" t="s">
        <v>1749</v>
      </c>
      <c r="G1015" s="671"/>
      <c r="H1015" s="682">
        <v>1</v>
      </c>
      <c r="I1015" s="682" t="s">
        <v>206</v>
      </c>
      <c r="J1015" s="666"/>
      <c r="K1015" s="666"/>
      <c r="L1015" s="1796">
        <v>171</v>
      </c>
      <c r="M1015" s="1786">
        <v>70</v>
      </c>
      <c r="N1015" s="1798" t="s">
        <v>357</v>
      </c>
      <c r="O1015" s="645"/>
      <c r="P1015" s="297"/>
      <c r="Q1015" s="297"/>
      <c r="R1015" s="297"/>
      <c r="S1015" s="297"/>
      <c r="T1015" s="297"/>
      <c r="U1015" s="297"/>
    </row>
    <row r="1016" spans="1:21" s="305" customFormat="1">
      <c r="A1016" s="1809" t="s">
        <v>972</v>
      </c>
      <c r="B1016" s="1791" t="s">
        <v>448</v>
      </c>
      <c r="C1016" s="1783" t="s">
        <v>615</v>
      </c>
      <c r="D1016" s="1784"/>
      <c r="E1016" s="1785">
        <v>111</v>
      </c>
      <c r="F1016" s="671"/>
      <c r="G1016" s="671"/>
      <c r="H1016" s="301" t="s">
        <v>2645</v>
      </c>
      <c r="I1016" s="671"/>
      <c r="J1016" s="666"/>
      <c r="K1016" s="666"/>
      <c r="L1016" s="1796">
        <v>188</v>
      </c>
      <c r="M1016" s="1786">
        <v>77</v>
      </c>
      <c r="N1016" s="1798" t="s">
        <v>357</v>
      </c>
      <c r="O1016" s="645"/>
      <c r="P1016" s="297"/>
      <c r="Q1016" s="297"/>
      <c r="R1016" s="297"/>
      <c r="S1016" s="297"/>
      <c r="T1016" s="297"/>
      <c r="U1016" s="297"/>
    </row>
    <row r="1017" spans="1:21" s="305" customFormat="1">
      <c r="A1017" s="1811" t="s">
        <v>973</v>
      </c>
      <c r="B1017" s="1791" t="s">
        <v>448</v>
      </c>
      <c r="C1017" s="1783" t="s">
        <v>615</v>
      </c>
      <c r="D1017" s="1784"/>
      <c r="E1017" s="1785">
        <v>41</v>
      </c>
      <c r="F1017" s="663"/>
      <c r="G1017" s="671"/>
      <c r="H1017" s="301" t="s">
        <v>2645</v>
      </c>
      <c r="I1017" s="671"/>
      <c r="J1017" s="666"/>
      <c r="K1017" s="666"/>
      <c r="L1017" s="1796">
        <v>49</v>
      </c>
      <c r="M1017" s="1786">
        <v>8</v>
      </c>
      <c r="N1017" s="1798" t="s">
        <v>357</v>
      </c>
      <c r="O1017" s="645"/>
      <c r="P1017" s="297"/>
      <c r="Q1017" s="297"/>
      <c r="R1017" s="297"/>
      <c r="S1017" s="297"/>
      <c r="T1017" s="297"/>
      <c r="U1017" s="297"/>
    </row>
    <row r="1018" spans="1:21" s="305" customFormat="1">
      <c r="A1018" s="698" t="s">
        <v>38</v>
      </c>
      <c r="B1018" s="1272" t="s">
        <v>448</v>
      </c>
      <c r="C1018" s="1273" t="s">
        <v>670</v>
      </c>
      <c r="D1018" s="1274"/>
      <c r="E1018" s="1255">
        <v>37</v>
      </c>
      <c r="F1018" s="663"/>
      <c r="G1018" s="670" t="s">
        <v>420</v>
      </c>
      <c r="H1018" s="301" t="s">
        <v>2645</v>
      </c>
      <c r="I1018" s="681" t="s">
        <v>616</v>
      </c>
      <c r="J1018" s="671"/>
      <c r="K1018" s="671"/>
      <c r="L1018" s="689">
        <v>62</v>
      </c>
      <c r="M1018" s="681">
        <v>25</v>
      </c>
      <c r="N1018" s="706" t="s">
        <v>357</v>
      </c>
      <c r="O1018" s="480"/>
      <c r="P1018" s="302"/>
      <c r="Q1018" s="297"/>
      <c r="R1018" s="297"/>
      <c r="S1018" s="297"/>
      <c r="T1018" s="297"/>
      <c r="U1018" s="297"/>
    </row>
    <row r="1019" spans="1:21" s="305" customFormat="1">
      <c r="A1019" s="698" t="s">
        <v>38</v>
      </c>
      <c r="B1019" s="1272" t="s">
        <v>448</v>
      </c>
      <c r="C1019" s="1273" t="s">
        <v>671</v>
      </c>
      <c r="D1019" s="1274"/>
      <c r="E1019" s="1255">
        <v>42</v>
      </c>
      <c r="F1019" s="663"/>
      <c r="G1019" s="670" t="s">
        <v>420</v>
      </c>
      <c r="H1019" s="301" t="s">
        <v>2645</v>
      </c>
      <c r="I1019" s="681" t="s">
        <v>616</v>
      </c>
      <c r="J1019" s="671"/>
      <c r="K1019" s="671"/>
      <c r="L1019" s="689">
        <v>71</v>
      </c>
      <c r="M1019" s="681">
        <v>29</v>
      </c>
      <c r="N1019" s="706" t="s">
        <v>357</v>
      </c>
      <c r="O1019" s="480"/>
      <c r="P1019" s="302"/>
      <c r="Q1019" s="297"/>
      <c r="R1019" s="297"/>
      <c r="S1019" s="297"/>
      <c r="T1019" s="297"/>
      <c r="U1019" s="297"/>
    </row>
    <row r="1020" spans="1:21" s="305" customFormat="1">
      <c r="A1020" s="698" t="s">
        <v>672</v>
      </c>
      <c r="B1020" s="1272" t="s">
        <v>448</v>
      </c>
      <c r="C1020" s="1273" t="s">
        <v>670</v>
      </c>
      <c r="D1020" s="1274"/>
      <c r="E1020" s="1255">
        <v>51</v>
      </c>
      <c r="F1020" s="663"/>
      <c r="G1020" s="670" t="s">
        <v>420</v>
      </c>
      <c r="H1020" s="301" t="s">
        <v>2645</v>
      </c>
      <c r="I1020" s="681" t="s">
        <v>616</v>
      </c>
      <c r="J1020" s="671"/>
      <c r="K1020" s="671"/>
      <c r="L1020" s="689">
        <v>89</v>
      </c>
      <c r="M1020" s="681">
        <v>38</v>
      </c>
      <c r="N1020" s="706" t="s">
        <v>357</v>
      </c>
      <c r="O1020" s="480"/>
      <c r="P1020" s="302"/>
      <c r="Q1020" s="297"/>
      <c r="R1020" s="297"/>
      <c r="S1020" s="297"/>
      <c r="T1020" s="297"/>
      <c r="U1020" s="297"/>
    </row>
    <row r="1021" spans="1:21" s="305" customFormat="1">
      <c r="A1021" s="698" t="s">
        <v>672</v>
      </c>
      <c r="B1021" s="1272" t="s">
        <v>448</v>
      </c>
      <c r="C1021" s="1273" t="s">
        <v>671</v>
      </c>
      <c r="D1021" s="1274"/>
      <c r="E1021" s="1255">
        <v>58</v>
      </c>
      <c r="F1021" s="663"/>
      <c r="G1021" s="670" t="s">
        <v>420</v>
      </c>
      <c r="H1021" s="301" t="s">
        <v>2645</v>
      </c>
      <c r="I1021" s="681" t="s">
        <v>616</v>
      </c>
      <c r="J1021" s="671"/>
      <c r="K1021" s="671"/>
      <c r="L1021" s="689">
        <v>103</v>
      </c>
      <c r="M1021" s="681">
        <v>45</v>
      </c>
      <c r="N1021" s="706" t="s">
        <v>357</v>
      </c>
      <c r="O1021" s="480"/>
      <c r="P1021" s="302"/>
      <c r="Q1021" s="297"/>
      <c r="R1021" s="297"/>
      <c r="S1021" s="297"/>
      <c r="T1021" s="297"/>
      <c r="U1021" s="297"/>
    </row>
    <row r="1022" spans="1:21" s="305" customFormat="1">
      <c r="A1022" s="698" t="s">
        <v>673</v>
      </c>
      <c r="B1022" s="1272" t="s">
        <v>448</v>
      </c>
      <c r="C1022" s="1273" t="s">
        <v>670</v>
      </c>
      <c r="D1022" s="1274"/>
      <c r="E1022" s="1255">
        <v>68</v>
      </c>
      <c r="F1022" s="663"/>
      <c r="G1022" s="670" t="s">
        <v>420</v>
      </c>
      <c r="H1022" s="301" t="s">
        <v>2645</v>
      </c>
      <c r="I1022" s="681" t="s">
        <v>616</v>
      </c>
      <c r="J1022" s="671"/>
      <c r="K1022" s="671"/>
      <c r="L1022" s="689">
        <v>119</v>
      </c>
      <c r="M1022" s="681">
        <v>51</v>
      </c>
      <c r="N1022" s="706" t="s">
        <v>357</v>
      </c>
      <c r="O1022" s="645"/>
      <c r="P1022" s="302"/>
      <c r="Q1022" s="297"/>
      <c r="R1022" s="297"/>
      <c r="S1022" s="297"/>
      <c r="T1022" s="297"/>
      <c r="U1022" s="297"/>
    </row>
    <row r="1023" spans="1:21" s="456" customFormat="1">
      <c r="A1023" s="698" t="s">
        <v>673</v>
      </c>
      <c r="B1023" s="1272" t="s">
        <v>448</v>
      </c>
      <c r="C1023" s="1273" t="s">
        <v>671</v>
      </c>
      <c r="D1023" s="1274"/>
      <c r="E1023" s="1255">
        <v>81</v>
      </c>
      <c r="F1023" s="663"/>
      <c r="G1023" s="670" t="s">
        <v>420</v>
      </c>
      <c r="H1023" s="301" t="s">
        <v>2645</v>
      </c>
      <c r="I1023" s="681" t="s">
        <v>616</v>
      </c>
      <c r="J1023" s="671"/>
      <c r="K1023" s="671"/>
      <c r="L1023" s="689">
        <v>143</v>
      </c>
      <c r="M1023" s="681">
        <v>62</v>
      </c>
      <c r="N1023" s="706" t="s">
        <v>357</v>
      </c>
      <c r="O1023" s="645"/>
      <c r="P1023" s="302"/>
      <c r="Q1023" s="479"/>
      <c r="R1023" s="479"/>
      <c r="S1023" s="479"/>
      <c r="T1023" s="479"/>
      <c r="U1023" s="479"/>
    </row>
    <row r="1024" spans="1:21" s="456" customFormat="1" ht="15" customHeight="1">
      <c r="A1024" s="698" t="s">
        <v>674</v>
      </c>
      <c r="B1024" s="1272" t="s">
        <v>448</v>
      </c>
      <c r="C1024" s="1273" t="s">
        <v>670</v>
      </c>
      <c r="D1024" s="1274"/>
      <c r="E1024" s="1255">
        <v>88</v>
      </c>
      <c r="F1024" s="663"/>
      <c r="G1024" s="670" t="s">
        <v>420</v>
      </c>
      <c r="H1024" s="301" t="s">
        <v>2645</v>
      </c>
      <c r="I1024" s="681" t="s">
        <v>616</v>
      </c>
      <c r="J1024" s="671"/>
      <c r="K1024" s="671"/>
      <c r="L1024" s="689">
        <v>154</v>
      </c>
      <c r="M1024" s="681">
        <v>66</v>
      </c>
      <c r="N1024" s="706" t="s">
        <v>357</v>
      </c>
      <c r="O1024" s="645"/>
      <c r="P1024" s="302"/>
      <c r="Q1024" s="479"/>
      <c r="R1024" s="479"/>
      <c r="S1024" s="479"/>
      <c r="T1024" s="479"/>
      <c r="U1024" s="479"/>
    </row>
    <row r="1025" spans="1:21" s="456" customFormat="1">
      <c r="A1025" s="698" t="s">
        <v>674</v>
      </c>
      <c r="B1025" s="1272" t="s">
        <v>448</v>
      </c>
      <c r="C1025" s="1273" t="s">
        <v>671</v>
      </c>
      <c r="D1025" s="1274"/>
      <c r="E1025" s="1255">
        <v>102</v>
      </c>
      <c r="F1025" s="663"/>
      <c r="G1025" s="670" t="s">
        <v>420</v>
      </c>
      <c r="H1025" s="301" t="s">
        <v>2645</v>
      </c>
      <c r="I1025" s="681" t="s">
        <v>616</v>
      </c>
      <c r="J1025" s="671"/>
      <c r="K1025" s="671"/>
      <c r="L1025" s="689">
        <v>183</v>
      </c>
      <c r="M1025" s="681">
        <v>81</v>
      </c>
      <c r="N1025" s="706" t="s">
        <v>357</v>
      </c>
      <c r="O1025" s="644"/>
      <c r="P1025" s="302"/>
      <c r="Q1025" s="479"/>
      <c r="R1025" s="479"/>
      <c r="S1025" s="479"/>
      <c r="T1025" s="479"/>
      <c r="U1025" s="479"/>
    </row>
    <row r="1026" spans="1:21" s="456" customFormat="1">
      <c r="A1026" s="698" t="s">
        <v>685</v>
      </c>
      <c r="B1026" s="1272" t="s">
        <v>448</v>
      </c>
      <c r="C1026" s="1273" t="s">
        <v>670</v>
      </c>
      <c r="D1026" s="1274"/>
      <c r="E1026" s="1255">
        <v>91</v>
      </c>
      <c r="F1026" s="663"/>
      <c r="G1026" s="670" t="s">
        <v>420</v>
      </c>
      <c r="H1026" s="301" t="s">
        <v>2645</v>
      </c>
      <c r="I1026" s="681" t="s">
        <v>616</v>
      </c>
      <c r="J1026" s="671"/>
      <c r="K1026" s="671"/>
      <c r="L1026" s="689">
        <v>160</v>
      </c>
      <c r="M1026" s="681">
        <v>69</v>
      </c>
      <c r="N1026" s="706" t="s">
        <v>357</v>
      </c>
      <c r="O1026" s="644"/>
      <c r="P1026" s="302"/>
      <c r="Q1026" s="479"/>
      <c r="R1026" s="479"/>
      <c r="S1026" s="479"/>
      <c r="T1026" s="479"/>
      <c r="U1026" s="479"/>
    </row>
    <row r="1027" spans="1:21" s="305" customFormat="1">
      <c r="A1027" s="698" t="s">
        <v>685</v>
      </c>
      <c r="B1027" s="1272" t="s">
        <v>448</v>
      </c>
      <c r="C1027" s="1273" t="s">
        <v>671</v>
      </c>
      <c r="D1027" s="1274"/>
      <c r="E1027" s="1255">
        <v>105</v>
      </c>
      <c r="F1027" s="663"/>
      <c r="G1027" s="670" t="s">
        <v>420</v>
      </c>
      <c r="H1027" s="301" t="s">
        <v>2645</v>
      </c>
      <c r="I1027" s="681" t="s">
        <v>616</v>
      </c>
      <c r="J1027" s="671"/>
      <c r="K1027" s="671"/>
      <c r="L1027" s="689">
        <v>187</v>
      </c>
      <c r="M1027" s="681">
        <v>82</v>
      </c>
      <c r="N1027" s="706" t="s">
        <v>357</v>
      </c>
      <c r="O1027" s="644"/>
      <c r="P1027" s="302"/>
      <c r="Q1027" s="297"/>
      <c r="R1027" s="297"/>
      <c r="S1027" s="297"/>
      <c r="T1027" s="297"/>
      <c r="U1027" s="297"/>
    </row>
    <row r="1028" spans="1:21" s="305" customFormat="1">
      <c r="A1028" s="2416" t="s">
        <v>4552</v>
      </c>
      <c r="B1028" s="1286" t="s">
        <v>448</v>
      </c>
      <c r="C1028" s="1280" t="s">
        <v>216</v>
      </c>
      <c r="D1028" s="1312"/>
      <c r="E1028" s="1851">
        <v>47.5</v>
      </c>
      <c r="F1028" s="288"/>
      <c r="G1028" s="671" t="s">
        <v>4548</v>
      </c>
      <c r="H1028" s="283"/>
      <c r="I1028" s="288"/>
      <c r="J1028" s="293"/>
      <c r="K1028" s="293"/>
      <c r="L1028" s="665">
        <v>70</v>
      </c>
      <c r="M1028" s="663">
        <f>L1028-E1028</f>
        <v>22.5</v>
      </c>
      <c r="N1028" s="634"/>
      <c r="O1028" s="1855" t="s">
        <v>4148</v>
      </c>
      <c r="P1028" s="297"/>
      <c r="Q1028" s="2412" t="s">
        <v>4551</v>
      </c>
      <c r="R1028" s="297"/>
      <c r="S1028" s="297"/>
      <c r="T1028" s="297"/>
      <c r="U1028" s="297"/>
    </row>
    <row r="1029" spans="1:21" s="305" customFormat="1">
      <c r="A1029" s="2473" t="s">
        <v>4553</v>
      </c>
      <c r="B1029" s="1286" t="s">
        <v>448</v>
      </c>
      <c r="C1029" s="1280" t="s">
        <v>216</v>
      </c>
      <c r="D1029" s="1312"/>
      <c r="E1029" s="1851">
        <v>55</v>
      </c>
      <c r="F1029" s="288"/>
      <c r="G1029" s="671" t="s">
        <v>4549</v>
      </c>
      <c r="H1029" s="283"/>
      <c r="I1029" s="288"/>
      <c r="J1029" s="293"/>
      <c r="K1029" s="293"/>
      <c r="L1029" s="665">
        <v>90</v>
      </c>
      <c r="M1029" s="663">
        <f>L1029-E1029</f>
        <v>35</v>
      </c>
      <c r="N1029" s="634"/>
      <c r="O1029" s="1855" t="s">
        <v>4148</v>
      </c>
      <c r="P1029" s="297"/>
      <c r="Q1029" s="2412" t="s">
        <v>1769</v>
      </c>
      <c r="R1029" s="297"/>
      <c r="S1029" s="297"/>
      <c r="T1029" s="297"/>
      <c r="U1029" s="297"/>
    </row>
    <row r="1030" spans="1:21" s="305" customFormat="1">
      <c r="A1030" s="2416" t="s">
        <v>4554</v>
      </c>
      <c r="B1030" s="1286" t="s">
        <v>448</v>
      </c>
      <c r="C1030" s="1280" t="s">
        <v>216</v>
      </c>
      <c r="D1030" s="1312"/>
      <c r="E1030" s="1851">
        <v>80</v>
      </c>
      <c r="F1030" s="288"/>
      <c r="G1030" s="671" t="s">
        <v>4550</v>
      </c>
      <c r="H1030" s="283"/>
      <c r="I1030" s="288"/>
      <c r="J1030" s="293"/>
      <c r="K1030" s="293"/>
      <c r="L1030" s="665">
        <v>140</v>
      </c>
      <c r="M1030" s="663">
        <f>L1030-E1030</f>
        <v>60</v>
      </c>
      <c r="N1030" s="634"/>
      <c r="O1030" s="1855" t="s">
        <v>4148</v>
      </c>
      <c r="P1030" s="297"/>
      <c r="Q1030" s="2412" t="s">
        <v>1769</v>
      </c>
      <c r="R1030" s="297"/>
      <c r="S1030" s="297"/>
      <c r="T1030" s="297"/>
      <c r="U1030" s="297"/>
    </row>
    <row r="1031" spans="1:21" s="305" customFormat="1">
      <c r="A1031" s="2416" t="s">
        <v>4555</v>
      </c>
      <c r="B1031" s="1286" t="s">
        <v>448</v>
      </c>
      <c r="C1031" s="1280" t="s">
        <v>216</v>
      </c>
      <c r="D1031" s="1312"/>
      <c r="E1031" s="1851">
        <v>102.5</v>
      </c>
      <c r="F1031" s="663" t="s">
        <v>2764</v>
      </c>
      <c r="G1031" s="671" t="s">
        <v>4550</v>
      </c>
      <c r="H1031" s="283"/>
      <c r="I1031" s="288"/>
      <c r="J1031" s="293"/>
      <c r="K1031" s="293"/>
      <c r="L1031" s="665">
        <v>184</v>
      </c>
      <c r="M1031" s="663">
        <f>L1031-E1031</f>
        <v>81.5</v>
      </c>
      <c r="N1031" s="634"/>
      <c r="O1031" s="1855" t="s">
        <v>4148</v>
      </c>
      <c r="P1031" s="297"/>
      <c r="Q1031" s="2412" t="s">
        <v>1769</v>
      </c>
      <c r="R1031" s="297"/>
      <c r="S1031" s="297"/>
      <c r="T1031" s="297"/>
      <c r="U1031" s="297"/>
    </row>
    <row r="1032" spans="1:21" s="305" customFormat="1">
      <c r="A1032" s="2473" t="s">
        <v>4556</v>
      </c>
      <c r="B1032" s="1286" t="s">
        <v>448</v>
      </c>
      <c r="C1032" s="1280" t="s">
        <v>216</v>
      </c>
      <c r="D1032" s="1312"/>
      <c r="E1032" s="1851">
        <v>119</v>
      </c>
      <c r="F1032" s="663" t="s">
        <v>2764</v>
      </c>
      <c r="G1032" s="671" t="s">
        <v>4550</v>
      </c>
      <c r="H1032" s="283"/>
      <c r="I1032" s="288"/>
      <c r="J1032" s="293"/>
      <c r="K1032" s="293"/>
      <c r="L1032" s="665">
        <v>216</v>
      </c>
      <c r="M1032" s="663">
        <f>L1032-E1032</f>
        <v>97</v>
      </c>
      <c r="N1032" s="634"/>
      <c r="O1032" s="1855" t="s">
        <v>4148</v>
      </c>
      <c r="P1032" s="297"/>
      <c r="Q1032" s="2412" t="s">
        <v>1769</v>
      </c>
      <c r="R1032" s="297"/>
      <c r="S1032" s="297"/>
      <c r="T1032" s="297"/>
      <c r="U1032" s="297"/>
    </row>
    <row r="1033" spans="1:21" s="445" customFormat="1">
      <c r="A1033" s="703" t="s">
        <v>38</v>
      </c>
      <c r="B1033" s="1272" t="s">
        <v>448</v>
      </c>
      <c r="C1033" s="1273" t="s">
        <v>680</v>
      </c>
      <c r="D1033" s="1274"/>
      <c r="E1033" s="1255">
        <v>31</v>
      </c>
      <c r="F1033" s="681" t="s">
        <v>1946</v>
      </c>
      <c r="G1033" s="288"/>
      <c r="H1033" s="301" t="s">
        <v>2645</v>
      </c>
      <c r="I1033" s="289"/>
      <c r="J1033" s="292"/>
      <c r="K1033" s="292"/>
      <c r="L1033" s="689">
        <v>61</v>
      </c>
      <c r="M1033" s="681">
        <v>30</v>
      </c>
      <c r="N1033" s="634" t="s">
        <v>357</v>
      </c>
      <c r="O1033" s="711"/>
      <c r="P1033" s="487"/>
      <c r="Q1033" s="487"/>
      <c r="R1033" s="487"/>
      <c r="S1033" s="487"/>
      <c r="T1033" s="487"/>
      <c r="U1033" s="487"/>
    </row>
    <row r="1034" spans="1:21" s="445" customFormat="1">
      <c r="A1034" s="455" t="s">
        <v>679</v>
      </c>
      <c r="B1034" s="1288" t="s">
        <v>448</v>
      </c>
      <c r="C1034" s="1289" t="s">
        <v>680</v>
      </c>
      <c r="D1034" s="1290"/>
      <c r="E1034" s="1291">
        <v>75</v>
      </c>
      <c r="F1034" s="460" t="s">
        <v>1946</v>
      </c>
      <c r="G1034" s="460"/>
      <c r="H1034" s="301" t="s">
        <v>2645</v>
      </c>
      <c r="I1034" s="458"/>
      <c r="J1034" s="459"/>
      <c r="K1034" s="459"/>
      <c r="L1034" s="458">
        <v>136</v>
      </c>
      <c r="M1034" s="460">
        <v>61</v>
      </c>
      <c r="N1034" s="633" t="s">
        <v>357</v>
      </c>
      <c r="O1034" s="645"/>
      <c r="P1034" s="487"/>
      <c r="Q1034" s="487"/>
      <c r="R1034" s="487"/>
      <c r="S1034" s="487"/>
      <c r="T1034" s="487"/>
      <c r="U1034" s="487"/>
    </row>
    <row r="1035" spans="1:21" s="445" customFormat="1">
      <c r="A1035" s="1066" t="s">
        <v>758</v>
      </c>
      <c r="B1035" s="1288" t="s">
        <v>448</v>
      </c>
      <c r="C1035" s="1289" t="s">
        <v>680</v>
      </c>
      <c r="D1035" s="1290"/>
      <c r="E1035" s="1291">
        <v>106</v>
      </c>
      <c r="F1035" s="460" t="s">
        <v>1946</v>
      </c>
      <c r="G1035" s="460"/>
      <c r="H1035" s="301" t="s">
        <v>2645</v>
      </c>
      <c r="I1035" s="458"/>
      <c r="J1035" s="459"/>
      <c r="K1035" s="459"/>
      <c r="L1035" s="458">
        <v>191</v>
      </c>
      <c r="M1035" s="460">
        <v>85</v>
      </c>
      <c r="N1035" s="633" t="s">
        <v>357</v>
      </c>
      <c r="O1035" s="645"/>
      <c r="P1035" s="487"/>
      <c r="Q1035" s="487"/>
      <c r="R1035" s="487"/>
      <c r="S1035" s="487"/>
      <c r="T1035" s="487"/>
      <c r="U1035" s="487"/>
    </row>
    <row r="1036" spans="1:21" s="445" customFormat="1">
      <c r="A1036" s="1066" t="s">
        <v>759</v>
      </c>
      <c r="B1036" s="1288" t="s">
        <v>448</v>
      </c>
      <c r="C1036" s="1289" t="s">
        <v>680</v>
      </c>
      <c r="D1036" s="1290"/>
      <c r="E1036" s="1291">
        <v>132</v>
      </c>
      <c r="F1036" s="460" t="s">
        <v>1946</v>
      </c>
      <c r="G1036" s="460"/>
      <c r="H1036" s="301" t="s">
        <v>2645</v>
      </c>
      <c r="I1036" s="458"/>
      <c r="J1036" s="459"/>
      <c r="K1036" s="459"/>
      <c r="L1036" s="458">
        <v>234</v>
      </c>
      <c r="M1036" s="460">
        <v>102</v>
      </c>
      <c r="N1036" s="633" t="s">
        <v>357</v>
      </c>
      <c r="O1036" s="645"/>
      <c r="P1036" s="487"/>
      <c r="Q1036" s="487"/>
      <c r="R1036" s="487"/>
      <c r="S1036" s="487"/>
      <c r="T1036" s="487"/>
      <c r="U1036" s="487"/>
    </row>
    <row r="1037" spans="1:21" s="445" customFormat="1">
      <c r="A1037" s="703" t="s">
        <v>38</v>
      </c>
      <c r="B1037" s="1272" t="s">
        <v>448</v>
      </c>
      <c r="C1037" s="1273" t="s">
        <v>677</v>
      </c>
      <c r="D1037" s="1279"/>
      <c r="E1037" s="1255">
        <v>42</v>
      </c>
      <c r="F1037" s="681" t="s">
        <v>757</v>
      </c>
      <c r="G1037" s="275"/>
      <c r="H1037" s="301" t="s">
        <v>2645</v>
      </c>
      <c r="I1037" s="277"/>
      <c r="J1037" s="278"/>
      <c r="K1037" s="278"/>
      <c r="L1037" s="689">
        <v>71</v>
      </c>
      <c r="M1037" s="681">
        <v>29</v>
      </c>
      <c r="N1037" s="632" t="s">
        <v>1086</v>
      </c>
      <c r="O1037" s="711"/>
      <c r="P1037" s="487"/>
      <c r="Q1037" s="487"/>
      <c r="R1037" s="487"/>
      <c r="S1037" s="487"/>
      <c r="T1037" s="487"/>
      <c r="U1037" s="487"/>
    </row>
    <row r="1038" spans="1:21" s="305" customFormat="1">
      <c r="A1038" s="698" t="s">
        <v>675</v>
      </c>
      <c r="B1038" s="1272" t="s">
        <v>448</v>
      </c>
      <c r="C1038" s="1273" t="s">
        <v>677</v>
      </c>
      <c r="D1038" s="1279"/>
      <c r="E1038" s="1255">
        <v>63</v>
      </c>
      <c r="F1038" s="681" t="s">
        <v>757</v>
      </c>
      <c r="G1038" s="275"/>
      <c r="H1038" s="301" t="s">
        <v>2645</v>
      </c>
      <c r="I1038" s="277"/>
      <c r="J1038" s="278"/>
      <c r="K1038" s="278"/>
      <c r="L1038" s="689">
        <v>109</v>
      </c>
      <c r="M1038" s="681">
        <v>46</v>
      </c>
      <c r="N1038" s="632" t="s">
        <v>357</v>
      </c>
      <c r="O1038" s="711"/>
      <c r="P1038" s="297"/>
      <c r="Q1038" s="297"/>
      <c r="R1038" s="297"/>
      <c r="S1038" s="297"/>
      <c r="T1038" s="297"/>
      <c r="U1038" s="297"/>
    </row>
    <row r="1039" spans="1:21" s="305" customFormat="1">
      <c r="A1039" s="703" t="s">
        <v>678</v>
      </c>
      <c r="B1039" s="1272" t="s">
        <v>448</v>
      </c>
      <c r="C1039" s="1273" t="s">
        <v>677</v>
      </c>
      <c r="D1039" s="1279"/>
      <c r="E1039" s="1255">
        <v>93</v>
      </c>
      <c r="F1039" s="681" t="s">
        <v>757</v>
      </c>
      <c r="G1039" s="275"/>
      <c r="H1039" s="301" t="s">
        <v>2645</v>
      </c>
      <c r="I1039" s="277"/>
      <c r="J1039" s="278"/>
      <c r="K1039" s="278"/>
      <c r="L1039" s="689">
        <v>167</v>
      </c>
      <c r="M1039" s="681">
        <v>74</v>
      </c>
      <c r="N1039" s="632" t="s">
        <v>357</v>
      </c>
      <c r="O1039" s="649"/>
      <c r="P1039" s="297"/>
      <c r="Q1039" s="297"/>
      <c r="R1039" s="297"/>
      <c r="S1039" s="297"/>
      <c r="T1039" s="297"/>
      <c r="U1039" s="297"/>
    </row>
    <row r="1040" spans="1:21" s="305" customFormat="1">
      <c r="A1040" s="1811" t="s">
        <v>1087</v>
      </c>
      <c r="B1040" s="1790" t="s">
        <v>448</v>
      </c>
      <c r="C1040" s="1783" t="s">
        <v>677</v>
      </c>
      <c r="D1040" s="1784"/>
      <c r="E1040" s="1785">
        <v>103</v>
      </c>
      <c r="F1040" s="1786" t="s">
        <v>757</v>
      </c>
      <c r="G1040" s="1786"/>
      <c r="H1040" s="301" t="s">
        <v>2645</v>
      </c>
      <c r="I1040" s="277"/>
      <c r="J1040" s="278"/>
      <c r="K1040" s="278"/>
      <c r="L1040" s="1796">
        <v>177</v>
      </c>
      <c r="M1040" s="1786">
        <v>74</v>
      </c>
      <c r="N1040" s="1798" t="s">
        <v>357</v>
      </c>
      <c r="O1040" s="644"/>
      <c r="P1040" s="297"/>
      <c r="Q1040" s="297"/>
      <c r="R1040" s="297"/>
      <c r="S1040" s="297"/>
      <c r="T1040" s="297"/>
      <c r="U1040" s="297"/>
    </row>
    <row r="1041" spans="1:21" s="305" customFormat="1">
      <c r="A1041" s="1811" t="s">
        <v>1088</v>
      </c>
      <c r="B1041" s="1790" t="s">
        <v>448</v>
      </c>
      <c r="C1041" s="1783" t="s">
        <v>677</v>
      </c>
      <c r="D1041" s="1784"/>
      <c r="E1041" s="1785">
        <v>114</v>
      </c>
      <c r="F1041" s="1786" t="s">
        <v>757</v>
      </c>
      <c r="G1041" s="1786"/>
      <c r="H1041" s="301" t="s">
        <v>2645</v>
      </c>
      <c r="I1041" s="277"/>
      <c r="J1041" s="278"/>
      <c r="K1041" s="278"/>
      <c r="L1041" s="1796">
        <v>195</v>
      </c>
      <c r="M1041" s="1786">
        <v>81</v>
      </c>
      <c r="N1041" s="1798" t="s">
        <v>357</v>
      </c>
      <c r="O1041" s="644"/>
      <c r="P1041" s="297"/>
      <c r="Q1041" s="297"/>
      <c r="R1041" s="297"/>
      <c r="S1041" s="297"/>
      <c r="T1041" s="297"/>
      <c r="U1041" s="297"/>
    </row>
    <row r="1042" spans="1:21" s="305" customFormat="1">
      <c r="A1042" s="455" t="s">
        <v>38</v>
      </c>
      <c r="B1042" s="1286" t="s">
        <v>448</v>
      </c>
      <c r="C1042" s="1280" t="s">
        <v>4311</v>
      </c>
      <c r="D1042" s="1281"/>
      <c r="E1042" s="1291">
        <v>44</v>
      </c>
      <c r="F1042" s="663" t="s">
        <v>4334</v>
      </c>
      <c r="G1042" s="460"/>
      <c r="H1042" s="301" t="s">
        <v>2645</v>
      </c>
      <c r="I1042" s="458"/>
      <c r="J1042" s="459"/>
      <c r="K1042" s="459"/>
      <c r="L1042" s="458">
        <v>77</v>
      </c>
      <c r="M1042" s="460">
        <v>33</v>
      </c>
      <c r="N1042" s="633" t="s">
        <v>357</v>
      </c>
      <c r="O1042" s="644"/>
      <c r="P1042" s="297"/>
      <c r="Q1042" s="297"/>
      <c r="R1042" s="297"/>
      <c r="S1042" s="297"/>
      <c r="T1042" s="297"/>
      <c r="U1042" s="297"/>
    </row>
    <row r="1043" spans="1:21" s="305" customFormat="1">
      <c r="A1043" s="455" t="s">
        <v>38</v>
      </c>
      <c r="B1043" s="1286" t="s">
        <v>448</v>
      </c>
      <c r="C1043" s="1280" t="s">
        <v>4311</v>
      </c>
      <c r="D1043" s="1281"/>
      <c r="E1043" s="1291">
        <v>51</v>
      </c>
      <c r="F1043" s="663" t="s">
        <v>4334</v>
      </c>
      <c r="G1043" s="460"/>
      <c r="H1043" s="301" t="s">
        <v>2645</v>
      </c>
      <c r="I1043" s="458"/>
      <c r="J1043" s="459"/>
      <c r="K1043" s="459"/>
      <c r="L1043" s="458">
        <v>91</v>
      </c>
      <c r="M1043" s="460">
        <v>40</v>
      </c>
      <c r="N1043" s="633" t="s">
        <v>357</v>
      </c>
      <c r="O1043" s="644"/>
      <c r="P1043" s="297"/>
      <c r="Q1043" s="297"/>
      <c r="R1043" s="297"/>
      <c r="S1043" s="297"/>
      <c r="T1043" s="297"/>
      <c r="U1043" s="297"/>
    </row>
    <row r="1044" spans="1:21" s="445" customFormat="1">
      <c r="A1044" s="455" t="s">
        <v>38</v>
      </c>
      <c r="B1044" s="1286" t="s">
        <v>448</v>
      </c>
      <c r="C1044" s="1280" t="s">
        <v>4311</v>
      </c>
      <c r="D1044" s="1281"/>
      <c r="E1044" s="1291">
        <v>60</v>
      </c>
      <c r="F1044" s="663" t="s">
        <v>4334</v>
      </c>
      <c r="G1044" s="460"/>
      <c r="H1044" s="301" t="s">
        <v>2645</v>
      </c>
      <c r="I1044" s="458"/>
      <c r="J1044" s="459"/>
      <c r="K1044" s="459"/>
      <c r="L1044" s="458">
        <v>110</v>
      </c>
      <c r="M1044" s="460">
        <v>50</v>
      </c>
      <c r="N1044" s="633" t="s">
        <v>357</v>
      </c>
      <c r="O1044" s="645"/>
      <c r="P1044" s="487"/>
      <c r="Q1044" s="487"/>
      <c r="R1044" s="487"/>
      <c r="S1044" s="487"/>
      <c r="T1044" s="487"/>
      <c r="U1044" s="487"/>
    </row>
    <row r="1045" spans="1:21" s="445" customFormat="1">
      <c r="A1045" s="455" t="s">
        <v>675</v>
      </c>
      <c r="B1045" s="1286" t="s">
        <v>448</v>
      </c>
      <c r="C1045" s="1280" t="s">
        <v>4311</v>
      </c>
      <c r="D1045" s="1281"/>
      <c r="E1045" s="1291">
        <v>72</v>
      </c>
      <c r="F1045" s="663" t="s">
        <v>4334</v>
      </c>
      <c r="G1045" s="460"/>
      <c r="H1045" s="301" t="s">
        <v>2645</v>
      </c>
      <c r="I1045" s="458"/>
      <c r="J1045" s="459"/>
      <c r="K1045" s="459"/>
      <c r="L1045" s="458">
        <v>115</v>
      </c>
      <c r="M1045" s="460">
        <v>43</v>
      </c>
      <c r="N1045" s="633" t="s">
        <v>357</v>
      </c>
      <c r="O1045" s="644"/>
      <c r="P1045" s="487"/>
      <c r="Q1045" s="487"/>
      <c r="R1045" s="487"/>
      <c r="S1045" s="487"/>
      <c r="T1045" s="487"/>
      <c r="U1045" s="487"/>
    </row>
    <row r="1046" spans="1:21" s="445" customFormat="1">
      <c r="A1046" s="455" t="s">
        <v>675</v>
      </c>
      <c r="B1046" s="1286" t="s">
        <v>448</v>
      </c>
      <c r="C1046" s="1280" t="s">
        <v>4311</v>
      </c>
      <c r="D1046" s="1281"/>
      <c r="E1046" s="1291">
        <v>84</v>
      </c>
      <c r="F1046" s="663" t="s">
        <v>4334</v>
      </c>
      <c r="G1046" s="460"/>
      <c r="H1046" s="301" t="s">
        <v>2645</v>
      </c>
      <c r="I1046" s="458"/>
      <c r="J1046" s="459"/>
      <c r="K1046" s="459"/>
      <c r="L1046" s="458">
        <v>139</v>
      </c>
      <c r="M1046" s="460">
        <v>55</v>
      </c>
      <c r="N1046" s="633" t="s">
        <v>357</v>
      </c>
      <c r="O1046" s="644"/>
      <c r="P1046" s="487"/>
      <c r="Q1046" s="487"/>
      <c r="R1046" s="487"/>
      <c r="S1046" s="487"/>
      <c r="T1046" s="487"/>
      <c r="U1046" s="487"/>
    </row>
    <row r="1047" spans="1:21" s="445" customFormat="1">
      <c r="A1047" s="455" t="s">
        <v>675</v>
      </c>
      <c r="B1047" s="1286" t="s">
        <v>448</v>
      </c>
      <c r="C1047" s="1280" t="s">
        <v>4311</v>
      </c>
      <c r="D1047" s="1281"/>
      <c r="E1047" s="1291">
        <v>98</v>
      </c>
      <c r="F1047" s="663" t="s">
        <v>4334</v>
      </c>
      <c r="G1047" s="460"/>
      <c r="H1047" s="301" t="s">
        <v>2645</v>
      </c>
      <c r="I1047" s="458"/>
      <c r="J1047" s="459"/>
      <c r="K1047" s="459"/>
      <c r="L1047" s="458">
        <v>172</v>
      </c>
      <c r="M1047" s="460">
        <v>74</v>
      </c>
      <c r="N1047" s="633" t="s">
        <v>357</v>
      </c>
      <c r="O1047" s="644"/>
      <c r="P1047" s="487"/>
      <c r="Q1047" s="487"/>
      <c r="R1047" s="487"/>
      <c r="S1047" s="487"/>
      <c r="T1047" s="487"/>
      <c r="U1047" s="487"/>
    </row>
    <row r="1048" spans="1:21" s="445" customFormat="1">
      <c r="A1048" s="455" t="s">
        <v>760</v>
      </c>
      <c r="B1048" s="1286" t="s">
        <v>448</v>
      </c>
      <c r="C1048" s="1280" t="s">
        <v>4311</v>
      </c>
      <c r="D1048" s="1281"/>
      <c r="E1048" s="1291">
        <v>96</v>
      </c>
      <c r="F1048" s="663" t="s">
        <v>4334</v>
      </c>
      <c r="G1048" s="460"/>
      <c r="H1048" s="301" t="s">
        <v>2645</v>
      </c>
      <c r="I1048" s="458"/>
      <c r="J1048" s="459"/>
      <c r="K1048" s="459"/>
      <c r="L1048" s="458">
        <v>168</v>
      </c>
      <c r="M1048" s="460">
        <v>72</v>
      </c>
      <c r="N1048" s="633" t="s">
        <v>357</v>
      </c>
      <c r="O1048" s="644"/>
      <c r="P1048" s="487"/>
      <c r="Q1048" s="487"/>
      <c r="R1048" s="487"/>
      <c r="S1048" s="487"/>
      <c r="T1048" s="487"/>
      <c r="U1048" s="487"/>
    </row>
    <row r="1049" spans="1:21" s="305" customFormat="1">
      <c r="A1049" s="455" t="s">
        <v>676</v>
      </c>
      <c r="B1049" s="1286" t="s">
        <v>448</v>
      </c>
      <c r="C1049" s="1280" t="s">
        <v>4311</v>
      </c>
      <c r="D1049" s="1281"/>
      <c r="E1049" s="1291">
        <v>115</v>
      </c>
      <c r="F1049" s="663" t="s">
        <v>4334</v>
      </c>
      <c r="G1049" s="460"/>
      <c r="H1049" s="301" t="s">
        <v>2645</v>
      </c>
      <c r="I1049" s="458"/>
      <c r="J1049" s="459"/>
      <c r="K1049" s="459"/>
      <c r="L1049" s="458">
        <v>209</v>
      </c>
      <c r="M1049" s="460">
        <v>94</v>
      </c>
      <c r="N1049" s="633" t="s">
        <v>357</v>
      </c>
      <c r="O1049" s="644"/>
      <c r="P1049" s="297"/>
      <c r="Q1049" s="297"/>
      <c r="R1049" s="297"/>
      <c r="S1049" s="297"/>
      <c r="T1049" s="297"/>
      <c r="U1049" s="297"/>
    </row>
    <row r="1050" spans="1:21" s="445" customFormat="1">
      <c r="A1050" s="455" t="s">
        <v>676</v>
      </c>
      <c r="B1050" s="1286" t="s">
        <v>448</v>
      </c>
      <c r="C1050" s="1280" t="s">
        <v>4311</v>
      </c>
      <c r="D1050" s="1281"/>
      <c r="E1050" s="1291">
        <v>143</v>
      </c>
      <c r="F1050" s="663" t="s">
        <v>4334</v>
      </c>
      <c r="G1050" s="460"/>
      <c r="H1050" s="301" t="s">
        <v>2645</v>
      </c>
      <c r="I1050" s="458"/>
      <c r="J1050" s="459"/>
      <c r="K1050" s="459"/>
      <c r="L1050" s="458">
        <v>259</v>
      </c>
      <c r="M1050" s="460">
        <v>116</v>
      </c>
      <c r="N1050" s="633" t="s">
        <v>357</v>
      </c>
      <c r="O1050" s="644"/>
      <c r="P1050" s="487"/>
      <c r="Q1050" s="487"/>
      <c r="R1050" s="487"/>
      <c r="S1050" s="487"/>
      <c r="T1050" s="487"/>
      <c r="U1050" s="487"/>
    </row>
    <row r="1051" spans="1:21" s="445" customFormat="1">
      <c r="A1051" s="455" t="s">
        <v>761</v>
      </c>
      <c r="B1051" s="1286" t="s">
        <v>448</v>
      </c>
      <c r="C1051" s="1280" t="s">
        <v>4311</v>
      </c>
      <c r="D1051" s="1281"/>
      <c r="E1051" s="1291">
        <v>111</v>
      </c>
      <c r="F1051" s="663" t="s">
        <v>4334</v>
      </c>
      <c r="G1051" s="460"/>
      <c r="H1051" s="301" t="s">
        <v>2645</v>
      </c>
      <c r="I1051" s="458"/>
      <c r="J1051" s="459"/>
      <c r="K1051" s="459"/>
      <c r="L1051" s="458">
        <v>203</v>
      </c>
      <c r="M1051" s="460">
        <v>92</v>
      </c>
      <c r="N1051" s="633" t="s">
        <v>357</v>
      </c>
      <c r="O1051" s="644"/>
      <c r="P1051" s="487"/>
      <c r="Q1051" s="487"/>
      <c r="R1051" s="487"/>
      <c r="S1051" s="487"/>
      <c r="T1051" s="487"/>
      <c r="U1051" s="487"/>
    </row>
    <row r="1052" spans="1:21" s="445" customFormat="1" ht="16.5" customHeight="1">
      <c r="A1052" s="455" t="s">
        <v>761</v>
      </c>
      <c r="B1052" s="1286" t="s">
        <v>448</v>
      </c>
      <c r="C1052" s="1280" t="s">
        <v>4311</v>
      </c>
      <c r="D1052" s="1281"/>
      <c r="E1052" s="1291">
        <v>138</v>
      </c>
      <c r="F1052" s="663" t="s">
        <v>4334</v>
      </c>
      <c r="G1052" s="460"/>
      <c r="H1052" s="301" t="s">
        <v>2645</v>
      </c>
      <c r="I1052" s="458"/>
      <c r="J1052" s="459"/>
      <c r="K1052" s="459"/>
      <c r="L1052" s="458">
        <v>248</v>
      </c>
      <c r="M1052" s="460">
        <v>110</v>
      </c>
      <c r="N1052" s="633" t="s">
        <v>357</v>
      </c>
      <c r="O1052" s="644"/>
      <c r="P1052" s="487"/>
      <c r="Q1052" s="487"/>
      <c r="R1052" s="487"/>
      <c r="S1052" s="487"/>
      <c r="T1052" s="487"/>
      <c r="U1052" s="487"/>
    </row>
    <row r="1053" spans="1:21" s="445" customFormat="1" ht="16.5" customHeight="1">
      <c r="A1053" s="455" t="s">
        <v>761</v>
      </c>
      <c r="B1053" s="1286" t="s">
        <v>448</v>
      </c>
      <c r="C1053" s="1280" t="s">
        <v>4311</v>
      </c>
      <c r="D1053" s="1281"/>
      <c r="E1053" s="1291">
        <v>169</v>
      </c>
      <c r="F1053" s="663" t="s">
        <v>4334</v>
      </c>
      <c r="G1053" s="460"/>
      <c r="H1053" s="301" t="s">
        <v>2645</v>
      </c>
      <c r="I1053" s="458"/>
      <c r="J1053" s="459"/>
      <c r="K1053" s="459"/>
      <c r="L1053" s="458">
        <v>327</v>
      </c>
      <c r="M1053" s="460">
        <v>158</v>
      </c>
      <c r="N1053" s="633" t="s">
        <v>357</v>
      </c>
      <c r="O1053" s="644"/>
      <c r="P1053" s="487"/>
      <c r="Q1053" s="487"/>
      <c r="R1053" s="487"/>
      <c r="S1053" s="487"/>
      <c r="T1053" s="487"/>
      <c r="U1053" s="487"/>
    </row>
    <row r="1054" spans="1:21" s="445" customFormat="1" ht="16.5" customHeight="1">
      <c r="A1054" s="2416" t="s">
        <v>4301</v>
      </c>
      <c r="B1054" s="1876" t="s">
        <v>448</v>
      </c>
      <c r="C1054" s="1880" t="s">
        <v>773</v>
      </c>
      <c r="D1054" s="1279"/>
      <c r="E1054" s="1851">
        <v>61</v>
      </c>
      <c r="F1054" s="663" t="s">
        <v>4300</v>
      </c>
      <c r="G1054" s="671" t="s">
        <v>4309</v>
      </c>
      <c r="H1054" s="301"/>
      <c r="I1054" s="663" t="s">
        <v>4313</v>
      </c>
      <c r="J1054" s="1067"/>
      <c r="K1054" s="1067"/>
      <c r="L1054" s="277">
        <v>110</v>
      </c>
      <c r="M1054" s="275">
        <f>L1054-E1054</f>
        <v>49</v>
      </c>
      <c r="N1054" s="632">
        <v>3</v>
      </c>
      <c r="O1054" s="646" t="s">
        <v>4314</v>
      </c>
      <c r="P1054" s="487"/>
      <c r="Q1054" s="490" t="s">
        <v>4082</v>
      </c>
      <c r="R1054" s="487"/>
      <c r="S1054" s="490" t="s">
        <v>4307</v>
      </c>
      <c r="T1054" s="487"/>
      <c r="U1054" s="487"/>
    </row>
    <row r="1055" spans="1:21" s="445" customFormat="1" ht="16.5" customHeight="1">
      <c r="A1055" s="2416" t="s">
        <v>4302</v>
      </c>
      <c r="B1055" s="1876" t="s">
        <v>448</v>
      </c>
      <c r="C1055" s="1880" t="s">
        <v>773</v>
      </c>
      <c r="D1055" s="1279"/>
      <c r="E1055" s="1851">
        <v>79</v>
      </c>
      <c r="F1055" s="663" t="s">
        <v>4300</v>
      </c>
      <c r="G1055" s="671" t="s">
        <v>4309</v>
      </c>
      <c r="H1055" s="301"/>
      <c r="I1055" s="663" t="s">
        <v>4313</v>
      </c>
      <c r="J1055" s="1067"/>
      <c r="K1055" s="1067"/>
      <c r="L1055" s="277">
        <v>142</v>
      </c>
      <c r="M1055" s="275">
        <f t="shared" ref="M1055:M1058" si="50">L1055-E1055</f>
        <v>63</v>
      </c>
      <c r="N1055" s="632">
        <v>3</v>
      </c>
      <c r="O1055" s="646" t="s">
        <v>4314</v>
      </c>
      <c r="P1055" s="487"/>
      <c r="Q1055" s="490" t="s">
        <v>4082</v>
      </c>
      <c r="R1055" s="487"/>
      <c r="S1055" s="490" t="s">
        <v>4307</v>
      </c>
      <c r="T1055" s="487"/>
      <c r="U1055" s="487"/>
    </row>
    <row r="1056" spans="1:21" s="445" customFormat="1">
      <c r="A1056" s="2416" t="s">
        <v>4303</v>
      </c>
      <c r="B1056" s="1876" t="s">
        <v>448</v>
      </c>
      <c r="C1056" s="1880" t="s">
        <v>773</v>
      </c>
      <c r="D1056" s="1279"/>
      <c r="E1056" s="1851">
        <v>110</v>
      </c>
      <c r="F1056" s="663" t="s">
        <v>4300</v>
      </c>
      <c r="G1056" s="671" t="s">
        <v>4309</v>
      </c>
      <c r="H1056" s="301"/>
      <c r="I1056" s="663" t="s">
        <v>4313</v>
      </c>
      <c r="J1056" s="1067"/>
      <c r="K1056" s="1067"/>
      <c r="L1056" s="277">
        <v>198</v>
      </c>
      <c r="M1056" s="275">
        <f t="shared" si="50"/>
        <v>88</v>
      </c>
      <c r="N1056" s="632">
        <v>3</v>
      </c>
      <c r="O1056" s="646" t="s">
        <v>4314</v>
      </c>
      <c r="P1056" s="487"/>
      <c r="Q1056" s="490" t="s">
        <v>4082</v>
      </c>
      <c r="R1056" s="487"/>
      <c r="S1056" s="490" t="s">
        <v>4307</v>
      </c>
      <c r="T1056" s="487"/>
      <c r="U1056" s="487"/>
    </row>
    <row r="1057" spans="1:21" s="445" customFormat="1">
      <c r="A1057" s="2416" t="s">
        <v>4304</v>
      </c>
      <c r="B1057" s="1876" t="s">
        <v>448</v>
      </c>
      <c r="C1057" s="1880" t="s">
        <v>773</v>
      </c>
      <c r="D1057" s="1279"/>
      <c r="E1057" s="1851">
        <v>139</v>
      </c>
      <c r="F1057" s="663" t="s">
        <v>4300</v>
      </c>
      <c r="G1057" s="671" t="s">
        <v>4309</v>
      </c>
      <c r="H1057" s="301"/>
      <c r="I1057" s="663" t="s">
        <v>4313</v>
      </c>
      <c r="J1057" s="1067"/>
      <c r="K1057" s="1067"/>
      <c r="L1057" s="277">
        <v>250</v>
      </c>
      <c r="M1057" s="275">
        <f t="shared" si="50"/>
        <v>111</v>
      </c>
      <c r="N1057" s="632">
        <v>3</v>
      </c>
      <c r="O1057" s="646" t="s">
        <v>4314</v>
      </c>
      <c r="P1057" s="487"/>
      <c r="Q1057" s="490" t="s">
        <v>4082</v>
      </c>
      <c r="R1057" s="487"/>
      <c r="S1057" s="490" t="s">
        <v>4307</v>
      </c>
      <c r="T1057" s="487"/>
      <c r="U1057" s="487"/>
    </row>
    <row r="1058" spans="1:21" s="445" customFormat="1">
      <c r="A1058" s="2416" t="s">
        <v>4305</v>
      </c>
      <c r="B1058" s="1876" t="s">
        <v>448</v>
      </c>
      <c r="C1058" s="1880" t="s">
        <v>773</v>
      </c>
      <c r="D1058" s="1279"/>
      <c r="E1058" s="1851">
        <v>167</v>
      </c>
      <c r="F1058" s="663" t="s">
        <v>4300</v>
      </c>
      <c r="G1058" s="671" t="s">
        <v>4309</v>
      </c>
      <c r="H1058" s="301"/>
      <c r="I1058" s="663" t="s">
        <v>4313</v>
      </c>
      <c r="J1058" s="1067"/>
      <c r="K1058" s="1067"/>
      <c r="L1058" s="277">
        <v>301</v>
      </c>
      <c r="M1058" s="275">
        <f t="shared" si="50"/>
        <v>134</v>
      </c>
      <c r="N1058" s="632">
        <v>3</v>
      </c>
      <c r="O1058" s="646" t="s">
        <v>4314</v>
      </c>
      <c r="P1058" s="487"/>
      <c r="Q1058" s="490" t="s">
        <v>4082</v>
      </c>
      <c r="R1058" s="487"/>
      <c r="S1058" s="490" t="s">
        <v>4307</v>
      </c>
      <c r="T1058" s="487"/>
      <c r="U1058" s="487"/>
    </row>
    <row r="1059" spans="1:21" s="445" customFormat="1">
      <c r="A1059" s="2416" t="s">
        <v>4301</v>
      </c>
      <c r="B1059" s="1286" t="s">
        <v>448</v>
      </c>
      <c r="C1059" s="1280" t="s">
        <v>773</v>
      </c>
      <c r="D1059" s="1281"/>
      <c r="E1059" s="1851">
        <v>67</v>
      </c>
      <c r="F1059" s="663" t="s">
        <v>4300</v>
      </c>
      <c r="G1059" s="671" t="s">
        <v>4308</v>
      </c>
      <c r="H1059" s="301"/>
      <c r="I1059" s="663" t="s">
        <v>4313</v>
      </c>
      <c r="J1059" s="671"/>
      <c r="K1059" s="671"/>
      <c r="L1059" s="277">
        <v>121</v>
      </c>
      <c r="M1059" s="275">
        <f>L1059-E1059</f>
        <v>54</v>
      </c>
      <c r="N1059" s="632">
        <v>3</v>
      </c>
      <c r="O1059" s="646" t="s">
        <v>4314</v>
      </c>
      <c r="P1059" s="487"/>
      <c r="Q1059" s="490" t="s">
        <v>4082</v>
      </c>
      <c r="R1059" s="487"/>
      <c r="S1059" s="490" t="s">
        <v>4307</v>
      </c>
      <c r="T1059" s="487"/>
      <c r="U1059" s="487"/>
    </row>
    <row r="1060" spans="1:21" s="445" customFormat="1">
      <c r="A1060" s="2416" t="s">
        <v>4302</v>
      </c>
      <c r="B1060" s="1286" t="s">
        <v>448</v>
      </c>
      <c r="C1060" s="1280" t="s">
        <v>773</v>
      </c>
      <c r="D1060" s="1281"/>
      <c r="E1060" s="1851">
        <v>87</v>
      </c>
      <c r="F1060" s="663" t="s">
        <v>4300</v>
      </c>
      <c r="G1060" s="671" t="s">
        <v>4308</v>
      </c>
      <c r="H1060" s="301"/>
      <c r="I1060" s="663" t="s">
        <v>4313</v>
      </c>
      <c r="J1060" s="671"/>
      <c r="K1060" s="671"/>
      <c r="L1060" s="277">
        <v>157</v>
      </c>
      <c r="M1060" s="275">
        <f t="shared" ref="M1060:M1073" si="51">L1060-E1060</f>
        <v>70</v>
      </c>
      <c r="N1060" s="632">
        <v>3</v>
      </c>
      <c r="O1060" s="646" t="s">
        <v>4314</v>
      </c>
      <c r="P1060" s="487"/>
      <c r="Q1060" s="490" t="s">
        <v>4082</v>
      </c>
      <c r="R1060" s="487"/>
      <c r="S1060" s="490" t="s">
        <v>4307</v>
      </c>
      <c r="T1060" s="487"/>
      <c r="U1060" s="487"/>
    </row>
    <row r="1061" spans="1:21" s="445" customFormat="1">
      <c r="A1061" s="2416" t="s">
        <v>4303</v>
      </c>
      <c r="B1061" s="1286" t="s">
        <v>448</v>
      </c>
      <c r="C1061" s="1280" t="s">
        <v>773</v>
      </c>
      <c r="D1061" s="1281"/>
      <c r="E1061" s="1851">
        <v>121</v>
      </c>
      <c r="F1061" s="663" t="s">
        <v>4300</v>
      </c>
      <c r="G1061" s="671" t="s">
        <v>4308</v>
      </c>
      <c r="H1061" s="301"/>
      <c r="I1061" s="663" t="s">
        <v>4313</v>
      </c>
      <c r="J1061" s="671"/>
      <c r="K1061" s="671"/>
      <c r="L1061" s="277">
        <v>218</v>
      </c>
      <c r="M1061" s="275">
        <f t="shared" si="51"/>
        <v>97</v>
      </c>
      <c r="N1061" s="632">
        <v>3</v>
      </c>
      <c r="O1061" s="646" t="s">
        <v>4314</v>
      </c>
      <c r="P1061" s="487"/>
      <c r="Q1061" s="490" t="s">
        <v>4082</v>
      </c>
      <c r="R1061" s="487"/>
      <c r="S1061" s="490" t="s">
        <v>4307</v>
      </c>
      <c r="T1061" s="487"/>
      <c r="U1061" s="487"/>
    </row>
    <row r="1062" spans="1:21" s="445" customFormat="1">
      <c r="A1062" s="2416" t="s">
        <v>4304</v>
      </c>
      <c r="B1062" s="1286" t="s">
        <v>448</v>
      </c>
      <c r="C1062" s="1280" t="s">
        <v>773</v>
      </c>
      <c r="D1062" s="1281"/>
      <c r="E1062" s="1851">
        <v>153</v>
      </c>
      <c r="F1062" s="663" t="s">
        <v>4300</v>
      </c>
      <c r="G1062" s="671" t="s">
        <v>4308</v>
      </c>
      <c r="H1062" s="301"/>
      <c r="I1062" s="663" t="s">
        <v>4313</v>
      </c>
      <c r="J1062" s="671"/>
      <c r="K1062" s="671"/>
      <c r="L1062" s="277">
        <v>275</v>
      </c>
      <c r="M1062" s="275">
        <f t="shared" si="51"/>
        <v>122</v>
      </c>
      <c r="N1062" s="632">
        <v>3</v>
      </c>
      <c r="O1062" s="646" t="s">
        <v>4314</v>
      </c>
      <c r="P1062" s="487"/>
      <c r="Q1062" s="490" t="s">
        <v>4082</v>
      </c>
      <c r="R1062" s="487"/>
      <c r="S1062" s="490" t="s">
        <v>4307</v>
      </c>
      <c r="T1062" s="487"/>
      <c r="U1062" s="487"/>
    </row>
    <row r="1063" spans="1:21" s="445" customFormat="1">
      <c r="A1063" s="2416" t="s">
        <v>4305</v>
      </c>
      <c r="B1063" s="1286" t="s">
        <v>448</v>
      </c>
      <c r="C1063" s="1280" t="s">
        <v>773</v>
      </c>
      <c r="D1063" s="1281"/>
      <c r="E1063" s="1851">
        <v>184</v>
      </c>
      <c r="F1063" s="663" t="s">
        <v>4300</v>
      </c>
      <c r="G1063" s="671" t="s">
        <v>4308</v>
      </c>
      <c r="H1063" s="301"/>
      <c r="I1063" s="663" t="s">
        <v>4313</v>
      </c>
      <c r="J1063" s="671"/>
      <c r="K1063" s="671"/>
      <c r="L1063" s="277">
        <v>331</v>
      </c>
      <c r="M1063" s="275">
        <f t="shared" si="51"/>
        <v>147</v>
      </c>
      <c r="N1063" s="632">
        <v>3</v>
      </c>
      <c r="O1063" s="646" t="s">
        <v>4314</v>
      </c>
      <c r="P1063" s="487"/>
      <c r="Q1063" s="490" t="s">
        <v>4082</v>
      </c>
      <c r="R1063" s="487"/>
      <c r="S1063" s="490" t="s">
        <v>4307</v>
      </c>
      <c r="T1063" s="487"/>
      <c r="U1063" s="487"/>
    </row>
    <row r="1064" spans="1:21" s="445" customFormat="1">
      <c r="A1064" s="2416" t="s">
        <v>4301</v>
      </c>
      <c r="B1064" s="1286" t="s">
        <v>448</v>
      </c>
      <c r="C1064" s="1280" t="s">
        <v>773</v>
      </c>
      <c r="D1064" s="1281"/>
      <c r="E1064" s="1851">
        <v>73</v>
      </c>
      <c r="F1064" s="663" t="s">
        <v>4300</v>
      </c>
      <c r="G1064" s="671" t="s">
        <v>4310</v>
      </c>
      <c r="H1064" s="301"/>
      <c r="I1064" s="663" t="s">
        <v>4313</v>
      </c>
      <c r="J1064" s="671"/>
      <c r="K1064" s="671"/>
      <c r="L1064" s="277">
        <v>131</v>
      </c>
      <c r="M1064" s="275">
        <f>L1064-E1064</f>
        <v>58</v>
      </c>
      <c r="N1064" s="632">
        <v>3</v>
      </c>
      <c r="O1064" s="646" t="s">
        <v>4314</v>
      </c>
      <c r="P1064" s="487"/>
      <c r="Q1064" s="490" t="s">
        <v>4082</v>
      </c>
      <c r="R1064" s="487"/>
      <c r="S1064" s="490" t="s">
        <v>4307</v>
      </c>
      <c r="T1064" s="487"/>
      <c r="U1064" s="487"/>
    </row>
    <row r="1065" spans="1:21" s="445" customFormat="1">
      <c r="A1065" s="2416" t="s">
        <v>4302</v>
      </c>
      <c r="B1065" s="1286" t="s">
        <v>448</v>
      </c>
      <c r="C1065" s="1280" t="s">
        <v>773</v>
      </c>
      <c r="D1065" s="1281"/>
      <c r="E1065" s="1851">
        <v>94</v>
      </c>
      <c r="F1065" s="663" t="s">
        <v>4300</v>
      </c>
      <c r="G1065" s="671" t="s">
        <v>4310</v>
      </c>
      <c r="H1065" s="301"/>
      <c r="I1065" s="663" t="s">
        <v>4313</v>
      </c>
      <c r="J1065" s="671"/>
      <c r="K1065" s="671"/>
      <c r="L1065" s="277">
        <v>169</v>
      </c>
      <c r="M1065" s="275">
        <f t="shared" ref="M1065:M1071" si="52">L1065-E1065</f>
        <v>75</v>
      </c>
      <c r="N1065" s="632">
        <v>3</v>
      </c>
      <c r="O1065" s="646" t="s">
        <v>4314</v>
      </c>
      <c r="P1065" s="487"/>
      <c r="Q1065" s="490" t="s">
        <v>4082</v>
      </c>
      <c r="R1065" s="487"/>
      <c r="S1065" s="490" t="s">
        <v>4307</v>
      </c>
      <c r="T1065" s="487"/>
      <c r="U1065" s="487"/>
    </row>
    <row r="1066" spans="1:21" s="445" customFormat="1">
      <c r="A1066" s="2416" t="s">
        <v>4303</v>
      </c>
      <c r="B1066" s="1286" t="s">
        <v>448</v>
      </c>
      <c r="C1066" s="1280" t="s">
        <v>773</v>
      </c>
      <c r="D1066" s="1281"/>
      <c r="E1066" s="1851">
        <v>132</v>
      </c>
      <c r="F1066" s="663" t="s">
        <v>4300</v>
      </c>
      <c r="G1066" s="671" t="s">
        <v>4310</v>
      </c>
      <c r="H1066" s="301"/>
      <c r="I1066" s="663" t="s">
        <v>4313</v>
      </c>
      <c r="J1066" s="671"/>
      <c r="K1066" s="671"/>
      <c r="L1066" s="277">
        <v>238</v>
      </c>
      <c r="M1066" s="275">
        <f t="shared" si="52"/>
        <v>106</v>
      </c>
      <c r="N1066" s="632">
        <v>3</v>
      </c>
      <c r="O1066" s="646" t="s">
        <v>4314</v>
      </c>
      <c r="P1066" s="487"/>
      <c r="Q1066" s="490" t="s">
        <v>4082</v>
      </c>
      <c r="R1066" s="487"/>
      <c r="S1066" s="490" t="s">
        <v>4307</v>
      </c>
      <c r="T1066" s="487"/>
      <c r="U1066" s="487"/>
    </row>
    <row r="1067" spans="1:21" s="445" customFormat="1">
      <c r="A1067" s="2416" t="s">
        <v>4304</v>
      </c>
      <c r="B1067" s="1286" t="s">
        <v>448</v>
      </c>
      <c r="C1067" s="1280" t="s">
        <v>773</v>
      </c>
      <c r="D1067" s="1281"/>
      <c r="E1067" s="1851">
        <v>166</v>
      </c>
      <c r="F1067" s="663" t="s">
        <v>4300</v>
      </c>
      <c r="G1067" s="671" t="s">
        <v>4310</v>
      </c>
      <c r="H1067" s="301"/>
      <c r="I1067" s="663" t="s">
        <v>4313</v>
      </c>
      <c r="J1067" s="671"/>
      <c r="K1067" s="671"/>
      <c r="L1067" s="277">
        <v>299</v>
      </c>
      <c r="M1067" s="275">
        <f t="shared" si="52"/>
        <v>133</v>
      </c>
      <c r="N1067" s="632">
        <v>3</v>
      </c>
      <c r="O1067" s="646" t="s">
        <v>4314</v>
      </c>
      <c r="P1067" s="487"/>
      <c r="Q1067" s="490" t="s">
        <v>4082</v>
      </c>
      <c r="R1067" s="487"/>
      <c r="S1067" s="490" t="s">
        <v>4307</v>
      </c>
      <c r="T1067" s="487"/>
      <c r="U1067" s="487"/>
    </row>
    <row r="1068" spans="1:21" s="445" customFormat="1">
      <c r="A1068" s="2416" t="s">
        <v>4305</v>
      </c>
      <c r="B1068" s="1286" t="s">
        <v>448</v>
      </c>
      <c r="C1068" s="1280" t="s">
        <v>773</v>
      </c>
      <c r="D1068" s="1281"/>
      <c r="E1068" s="1851">
        <v>200</v>
      </c>
      <c r="F1068" s="663" t="s">
        <v>4300</v>
      </c>
      <c r="G1068" s="671" t="s">
        <v>4310</v>
      </c>
      <c r="H1068" s="301"/>
      <c r="I1068" s="663" t="s">
        <v>4313</v>
      </c>
      <c r="J1068" s="671"/>
      <c r="K1068" s="671"/>
      <c r="L1068" s="277">
        <v>360</v>
      </c>
      <c r="M1068" s="275">
        <f t="shared" si="52"/>
        <v>160</v>
      </c>
      <c r="N1068" s="632">
        <v>3</v>
      </c>
      <c r="O1068" s="646" t="s">
        <v>4314</v>
      </c>
      <c r="P1068" s="487"/>
      <c r="Q1068" s="490" t="s">
        <v>4082</v>
      </c>
      <c r="R1068" s="487"/>
      <c r="S1068" s="490" t="s">
        <v>4307</v>
      </c>
      <c r="T1068" s="487"/>
      <c r="U1068" s="487"/>
    </row>
    <row r="1069" spans="1:21" s="445" customFormat="1">
      <c r="A1069" s="2416" t="s">
        <v>4301</v>
      </c>
      <c r="B1069" s="1286" t="s">
        <v>448</v>
      </c>
      <c r="C1069" s="1280" t="s">
        <v>4312</v>
      </c>
      <c r="D1069" s="1281"/>
      <c r="E1069" s="1851">
        <v>46</v>
      </c>
      <c r="F1069" s="663" t="s">
        <v>4300</v>
      </c>
      <c r="G1069" s="671" t="s">
        <v>4306</v>
      </c>
      <c r="H1069" s="301"/>
      <c r="I1069" s="663" t="s">
        <v>4313</v>
      </c>
      <c r="J1069" s="671"/>
      <c r="K1069" s="671"/>
      <c r="L1069" s="277">
        <v>83</v>
      </c>
      <c r="M1069" s="275">
        <f t="shared" si="52"/>
        <v>37</v>
      </c>
      <c r="N1069" s="632">
        <v>3</v>
      </c>
      <c r="O1069" s="646" t="s">
        <v>4314</v>
      </c>
      <c r="P1069" s="487"/>
      <c r="Q1069" s="490" t="s">
        <v>4082</v>
      </c>
      <c r="R1069" s="487"/>
      <c r="S1069" s="490" t="s">
        <v>4307</v>
      </c>
      <c r="T1069" s="487"/>
      <c r="U1069" s="487"/>
    </row>
    <row r="1070" spans="1:21" s="445" customFormat="1">
      <c r="A1070" s="2416" t="s">
        <v>4302</v>
      </c>
      <c r="B1070" s="1286" t="s">
        <v>448</v>
      </c>
      <c r="C1070" s="1280" t="s">
        <v>4312</v>
      </c>
      <c r="D1070" s="1281"/>
      <c r="E1070" s="1851">
        <v>73</v>
      </c>
      <c r="F1070" s="663" t="s">
        <v>4300</v>
      </c>
      <c r="G1070" s="671" t="s">
        <v>4306</v>
      </c>
      <c r="H1070" s="301"/>
      <c r="I1070" s="663" t="s">
        <v>4313</v>
      </c>
      <c r="J1070" s="671"/>
      <c r="K1070" s="671"/>
      <c r="L1070" s="277">
        <v>131</v>
      </c>
      <c r="M1070" s="275">
        <f t="shared" si="52"/>
        <v>58</v>
      </c>
      <c r="N1070" s="632">
        <v>3</v>
      </c>
      <c r="O1070" s="646" t="s">
        <v>4314</v>
      </c>
      <c r="P1070" s="487"/>
      <c r="Q1070" s="490" t="s">
        <v>4082</v>
      </c>
      <c r="R1070" s="487"/>
      <c r="S1070" s="490" t="s">
        <v>4307</v>
      </c>
      <c r="T1070" s="487"/>
      <c r="U1070" s="487"/>
    </row>
    <row r="1071" spans="1:21" s="445" customFormat="1">
      <c r="A1071" s="2416" t="s">
        <v>4303</v>
      </c>
      <c r="B1071" s="1286" t="s">
        <v>448</v>
      </c>
      <c r="C1071" s="1280" t="s">
        <v>4312</v>
      </c>
      <c r="D1071" s="1281"/>
      <c r="E1071" s="1851">
        <v>87</v>
      </c>
      <c r="F1071" s="663" t="s">
        <v>4300</v>
      </c>
      <c r="G1071" s="671" t="s">
        <v>4306</v>
      </c>
      <c r="H1071" s="301"/>
      <c r="I1071" s="663" t="s">
        <v>4313</v>
      </c>
      <c r="J1071" s="671"/>
      <c r="K1071" s="671"/>
      <c r="L1071" s="277">
        <v>157</v>
      </c>
      <c r="M1071" s="275">
        <f t="shared" si="52"/>
        <v>70</v>
      </c>
      <c r="N1071" s="632">
        <v>3</v>
      </c>
      <c r="O1071" s="646" t="s">
        <v>4314</v>
      </c>
      <c r="P1071" s="487"/>
      <c r="Q1071" s="490" t="s">
        <v>4082</v>
      </c>
      <c r="R1071" s="487"/>
      <c r="S1071" s="490" t="s">
        <v>4307</v>
      </c>
      <c r="T1071" s="487"/>
      <c r="U1071" s="487"/>
    </row>
    <row r="1072" spans="1:21" s="445" customFormat="1">
      <c r="A1072" s="2416" t="s">
        <v>4304</v>
      </c>
      <c r="B1072" s="1286" t="s">
        <v>448</v>
      </c>
      <c r="C1072" s="1280" t="s">
        <v>4312</v>
      </c>
      <c r="D1072" s="1274"/>
      <c r="E1072" s="1877">
        <v>101</v>
      </c>
      <c r="F1072" s="663" t="s">
        <v>4300</v>
      </c>
      <c r="G1072" s="671" t="s">
        <v>4306</v>
      </c>
      <c r="H1072" s="301"/>
      <c r="I1072" s="663" t="s">
        <v>4313</v>
      </c>
      <c r="J1072" s="671"/>
      <c r="K1072" s="671"/>
      <c r="L1072" s="277">
        <v>182</v>
      </c>
      <c r="M1072" s="275">
        <f t="shared" si="51"/>
        <v>81</v>
      </c>
      <c r="N1072" s="632">
        <v>3</v>
      </c>
      <c r="O1072" s="646" t="s">
        <v>4314</v>
      </c>
      <c r="P1072" s="487"/>
      <c r="Q1072" s="490" t="s">
        <v>4082</v>
      </c>
      <c r="R1072" s="487"/>
      <c r="S1072" s="490" t="s">
        <v>4307</v>
      </c>
      <c r="T1072" s="487"/>
      <c r="U1072" s="487"/>
    </row>
    <row r="1073" spans="1:21" s="445" customFormat="1">
      <c r="A1073" s="2416" t="s">
        <v>4305</v>
      </c>
      <c r="B1073" s="1286" t="s">
        <v>448</v>
      </c>
      <c r="C1073" s="1280" t="s">
        <v>4312</v>
      </c>
      <c r="D1073" s="1274"/>
      <c r="E1073" s="1877">
        <v>120</v>
      </c>
      <c r="F1073" s="663" t="s">
        <v>4300</v>
      </c>
      <c r="G1073" s="671" t="s">
        <v>4306</v>
      </c>
      <c r="H1073" s="301"/>
      <c r="I1073" s="663" t="s">
        <v>4313</v>
      </c>
      <c r="J1073" s="671"/>
      <c r="K1073" s="671"/>
      <c r="L1073" s="277">
        <v>218</v>
      </c>
      <c r="M1073" s="275">
        <f t="shared" si="51"/>
        <v>98</v>
      </c>
      <c r="N1073" s="632">
        <v>3</v>
      </c>
      <c r="O1073" s="646" t="s">
        <v>4314</v>
      </c>
      <c r="P1073" s="487"/>
      <c r="Q1073" s="490" t="s">
        <v>4082</v>
      </c>
      <c r="R1073" s="487"/>
      <c r="S1073" s="490" t="s">
        <v>4307</v>
      </c>
      <c r="T1073" s="487"/>
      <c r="U1073" s="487"/>
    </row>
    <row r="1074" spans="1:21" s="688" customFormat="1" ht="16.5" customHeight="1">
      <c r="A1074" s="2416" t="s">
        <v>4070</v>
      </c>
      <c r="B1074" s="1286" t="s">
        <v>448</v>
      </c>
      <c r="C1074" s="1280" t="s">
        <v>1746</v>
      </c>
      <c r="D1074" s="1281"/>
      <c r="E1074" s="1851">
        <v>40</v>
      </c>
      <c r="F1074" s="663" t="s">
        <v>1748</v>
      </c>
      <c r="G1074" s="671" t="s">
        <v>4078</v>
      </c>
      <c r="H1074" s="671">
        <v>1.5</v>
      </c>
      <c r="I1074" s="671" t="s">
        <v>206</v>
      </c>
      <c r="J1074" s="682"/>
      <c r="K1074" s="682"/>
      <c r="L1074" s="665">
        <v>70</v>
      </c>
      <c r="M1074" s="663">
        <f t="shared" ref="M1074:M1093" si="53">L1074-E1074</f>
        <v>30</v>
      </c>
      <c r="N1074" s="2398">
        <v>3</v>
      </c>
      <c r="O1074" s="1856" t="s">
        <v>4096</v>
      </c>
      <c r="P1074" s="696"/>
      <c r="Q1074" s="2403" t="s">
        <v>3953</v>
      </c>
      <c r="R1074" s="696"/>
      <c r="S1074" s="2459" t="s">
        <v>4097</v>
      </c>
      <c r="T1074" s="696"/>
      <c r="U1074" s="696"/>
    </row>
    <row r="1075" spans="1:21" s="688" customFormat="1" ht="16.5" customHeight="1">
      <c r="A1075" s="2416" t="s">
        <v>4071</v>
      </c>
      <c r="B1075" s="1286" t="s">
        <v>448</v>
      </c>
      <c r="C1075" s="1280" t="s">
        <v>1746</v>
      </c>
      <c r="D1075" s="1281"/>
      <c r="E1075" s="1851">
        <v>60</v>
      </c>
      <c r="F1075" s="663" t="s">
        <v>1748</v>
      </c>
      <c r="G1075" s="671" t="s">
        <v>4078</v>
      </c>
      <c r="H1075" s="671">
        <v>1.5</v>
      </c>
      <c r="I1075" s="671" t="s">
        <v>206</v>
      </c>
      <c r="J1075" s="682"/>
      <c r="K1075" s="682"/>
      <c r="L1075" s="665">
        <v>95</v>
      </c>
      <c r="M1075" s="663">
        <f t="shared" si="53"/>
        <v>35</v>
      </c>
      <c r="N1075" s="2398">
        <v>3</v>
      </c>
      <c r="O1075" s="1856" t="s">
        <v>4096</v>
      </c>
      <c r="P1075" s="696"/>
      <c r="Q1075" s="2403" t="s">
        <v>3953</v>
      </c>
      <c r="R1075" s="696"/>
      <c r="S1075" s="2459" t="s">
        <v>4097</v>
      </c>
      <c r="T1075" s="696"/>
      <c r="U1075" s="696"/>
    </row>
    <row r="1076" spans="1:21" s="688" customFormat="1">
      <c r="A1076" s="2416" t="s">
        <v>4072</v>
      </c>
      <c r="B1076" s="1286" t="s">
        <v>448</v>
      </c>
      <c r="C1076" s="1280" t="s">
        <v>1746</v>
      </c>
      <c r="D1076" s="1281"/>
      <c r="E1076" s="1851">
        <v>82.5</v>
      </c>
      <c r="F1076" s="663" t="s">
        <v>1748</v>
      </c>
      <c r="G1076" s="671" t="s">
        <v>4076</v>
      </c>
      <c r="H1076" s="671">
        <v>1.5</v>
      </c>
      <c r="I1076" s="671" t="s">
        <v>206</v>
      </c>
      <c r="J1076" s="682"/>
      <c r="K1076" s="682"/>
      <c r="L1076" s="665">
        <v>155</v>
      </c>
      <c r="M1076" s="663">
        <f t="shared" si="53"/>
        <v>72.5</v>
      </c>
      <c r="N1076" s="2398">
        <v>3</v>
      </c>
      <c r="O1076" s="1856" t="s">
        <v>4096</v>
      </c>
      <c r="P1076" s="696"/>
      <c r="Q1076" s="2403" t="s">
        <v>3953</v>
      </c>
      <c r="R1076" s="696"/>
      <c r="S1076" s="2459" t="s">
        <v>4097</v>
      </c>
      <c r="T1076" s="696"/>
      <c r="U1076" s="696"/>
    </row>
    <row r="1077" spans="1:21" s="688" customFormat="1">
      <c r="A1077" s="2416" t="s">
        <v>4073</v>
      </c>
      <c r="B1077" s="1286" t="s">
        <v>448</v>
      </c>
      <c r="C1077" s="1280" t="s">
        <v>1746</v>
      </c>
      <c r="D1077" s="1281"/>
      <c r="E1077" s="1851">
        <v>100</v>
      </c>
      <c r="F1077" s="663" t="s">
        <v>1748</v>
      </c>
      <c r="G1077" s="671" t="s">
        <v>4077</v>
      </c>
      <c r="H1077" s="671">
        <v>1.5</v>
      </c>
      <c r="I1077" s="671" t="s">
        <v>206</v>
      </c>
      <c r="J1077" s="682"/>
      <c r="K1077" s="682"/>
      <c r="L1077" s="665">
        <v>180</v>
      </c>
      <c r="M1077" s="663">
        <f t="shared" si="53"/>
        <v>80</v>
      </c>
      <c r="N1077" s="2398">
        <v>3</v>
      </c>
      <c r="O1077" s="1856" t="s">
        <v>4096</v>
      </c>
      <c r="P1077" s="696"/>
      <c r="Q1077" s="2403" t="s">
        <v>3953</v>
      </c>
      <c r="R1077" s="696"/>
      <c r="S1077" s="2459" t="s">
        <v>4097</v>
      </c>
      <c r="T1077" s="696"/>
      <c r="U1077" s="696"/>
    </row>
    <row r="1078" spans="1:21" s="688" customFormat="1">
      <c r="A1078" s="2416" t="s">
        <v>1747</v>
      </c>
      <c r="B1078" s="1286" t="s">
        <v>448</v>
      </c>
      <c r="C1078" s="1280" t="s">
        <v>1746</v>
      </c>
      <c r="D1078" s="1281"/>
      <c r="E1078" s="1851">
        <v>107.5</v>
      </c>
      <c r="F1078" s="663" t="s">
        <v>1748</v>
      </c>
      <c r="G1078" s="671" t="s">
        <v>4077</v>
      </c>
      <c r="H1078" s="671">
        <v>1.5</v>
      </c>
      <c r="I1078" s="671" t="s">
        <v>206</v>
      </c>
      <c r="J1078" s="682"/>
      <c r="K1078" s="682"/>
      <c r="L1078" s="665">
        <v>205</v>
      </c>
      <c r="M1078" s="663">
        <f t="shared" si="53"/>
        <v>97.5</v>
      </c>
      <c r="N1078" s="2398">
        <v>3</v>
      </c>
      <c r="O1078" s="1856" t="s">
        <v>4096</v>
      </c>
      <c r="P1078" s="696"/>
      <c r="Q1078" s="2403" t="s">
        <v>3953</v>
      </c>
      <c r="R1078" s="696"/>
      <c r="S1078" s="2459" t="s">
        <v>4097</v>
      </c>
      <c r="T1078" s="696"/>
      <c r="U1078" s="696"/>
    </row>
    <row r="1079" spans="1:21" s="688" customFormat="1" ht="16.5" customHeight="1">
      <c r="A1079" s="2416" t="s">
        <v>4070</v>
      </c>
      <c r="B1079" s="1286" t="s">
        <v>448</v>
      </c>
      <c r="C1079" s="1280" t="s">
        <v>1746</v>
      </c>
      <c r="D1079" s="1281"/>
      <c r="E1079" s="1851">
        <v>45</v>
      </c>
      <c r="F1079" s="663" t="s">
        <v>1749</v>
      </c>
      <c r="G1079" s="671" t="s">
        <v>4078</v>
      </c>
      <c r="H1079" s="671">
        <v>1.5</v>
      </c>
      <c r="I1079" s="671" t="s">
        <v>206</v>
      </c>
      <c r="J1079" s="682"/>
      <c r="K1079" s="682"/>
      <c r="L1079" s="665">
        <v>75</v>
      </c>
      <c r="M1079" s="663">
        <f t="shared" si="53"/>
        <v>30</v>
      </c>
      <c r="N1079" s="2398">
        <v>3</v>
      </c>
      <c r="O1079" s="1856" t="s">
        <v>4096</v>
      </c>
      <c r="P1079" s="696"/>
      <c r="Q1079" s="2403" t="s">
        <v>3953</v>
      </c>
      <c r="R1079" s="696"/>
      <c r="S1079" s="2459" t="s">
        <v>4097</v>
      </c>
      <c r="T1079" s="696"/>
      <c r="U1079" s="696"/>
    </row>
    <row r="1080" spans="1:21" s="688" customFormat="1" ht="16.5" customHeight="1">
      <c r="A1080" s="2416" t="s">
        <v>4071</v>
      </c>
      <c r="B1080" s="1286" t="s">
        <v>448</v>
      </c>
      <c r="C1080" s="1280" t="s">
        <v>1746</v>
      </c>
      <c r="D1080" s="1281"/>
      <c r="E1080" s="1851">
        <v>70</v>
      </c>
      <c r="F1080" s="663" t="s">
        <v>1749</v>
      </c>
      <c r="G1080" s="671" t="s">
        <v>4078</v>
      </c>
      <c r="H1080" s="671">
        <v>1.5</v>
      </c>
      <c r="I1080" s="671" t="s">
        <v>206</v>
      </c>
      <c r="J1080" s="682"/>
      <c r="K1080" s="682"/>
      <c r="L1080" s="665">
        <v>110</v>
      </c>
      <c r="M1080" s="663">
        <f t="shared" si="53"/>
        <v>40</v>
      </c>
      <c r="N1080" s="2398">
        <v>3</v>
      </c>
      <c r="O1080" s="1856" t="s">
        <v>4096</v>
      </c>
      <c r="P1080" s="696"/>
      <c r="Q1080" s="2403" t="s">
        <v>3953</v>
      </c>
      <c r="R1080" s="696"/>
      <c r="S1080" s="2459" t="s">
        <v>4097</v>
      </c>
      <c r="T1080" s="696"/>
      <c r="U1080" s="696"/>
    </row>
    <row r="1081" spans="1:21" s="688" customFormat="1">
      <c r="A1081" s="2416" t="s">
        <v>4072</v>
      </c>
      <c r="B1081" s="1286" t="s">
        <v>448</v>
      </c>
      <c r="C1081" s="1280" t="s">
        <v>1746</v>
      </c>
      <c r="D1081" s="1281"/>
      <c r="E1081" s="1851">
        <v>92.5</v>
      </c>
      <c r="F1081" s="663" t="s">
        <v>1749</v>
      </c>
      <c r="G1081" s="671" t="s">
        <v>4076</v>
      </c>
      <c r="H1081" s="671">
        <v>1.5</v>
      </c>
      <c r="I1081" s="671" t="s">
        <v>206</v>
      </c>
      <c r="J1081" s="682"/>
      <c r="K1081" s="682"/>
      <c r="L1081" s="665">
        <v>165</v>
      </c>
      <c r="M1081" s="663">
        <f t="shared" si="53"/>
        <v>72.5</v>
      </c>
      <c r="N1081" s="2398">
        <v>3</v>
      </c>
      <c r="O1081" s="1856" t="s">
        <v>4096</v>
      </c>
      <c r="P1081" s="696"/>
      <c r="Q1081" s="2403" t="s">
        <v>3953</v>
      </c>
      <c r="R1081" s="696"/>
      <c r="S1081" s="2459" t="s">
        <v>4097</v>
      </c>
      <c r="T1081" s="696"/>
      <c r="U1081" s="696"/>
    </row>
    <row r="1082" spans="1:21" s="688" customFormat="1">
      <c r="A1082" s="2416" t="s">
        <v>4073</v>
      </c>
      <c r="B1082" s="1286" t="s">
        <v>448</v>
      </c>
      <c r="C1082" s="1280" t="s">
        <v>1746</v>
      </c>
      <c r="D1082" s="1281"/>
      <c r="E1082" s="1851">
        <v>110</v>
      </c>
      <c r="F1082" s="663" t="s">
        <v>1749</v>
      </c>
      <c r="G1082" s="671" t="s">
        <v>4077</v>
      </c>
      <c r="H1082" s="671">
        <v>1.5</v>
      </c>
      <c r="I1082" s="671" t="s">
        <v>206</v>
      </c>
      <c r="J1082" s="682"/>
      <c r="K1082" s="682"/>
      <c r="L1082" s="665">
        <v>190</v>
      </c>
      <c r="M1082" s="663">
        <f t="shared" si="53"/>
        <v>80</v>
      </c>
      <c r="N1082" s="2398">
        <v>3</v>
      </c>
      <c r="O1082" s="1856" t="s">
        <v>4096</v>
      </c>
      <c r="P1082" s="696"/>
      <c r="Q1082" s="2403" t="s">
        <v>3953</v>
      </c>
      <c r="R1082" s="696"/>
      <c r="S1082" s="2459" t="s">
        <v>4097</v>
      </c>
      <c r="T1082" s="696"/>
      <c r="U1082" s="696"/>
    </row>
    <row r="1083" spans="1:21" s="688" customFormat="1">
      <c r="A1083" s="2416" t="s">
        <v>1747</v>
      </c>
      <c r="B1083" s="1286" t="s">
        <v>448</v>
      </c>
      <c r="C1083" s="1280" t="s">
        <v>1746</v>
      </c>
      <c r="D1083" s="1281"/>
      <c r="E1083" s="1851">
        <v>115</v>
      </c>
      <c r="F1083" s="663" t="s">
        <v>1749</v>
      </c>
      <c r="G1083" s="671" t="s">
        <v>4077</v>
      </c>
      <c r="H1083" s="671">
        <v>1.5</v>
      </c>
      <c r="I1083" s="671" t="s">
        <v>206</v>
      </c>
      <c r="J1083" s="682"/>
      <c r="K1083" s="682"/>
      <c r="L1083" s="665">
        <v>210</v>
      </c>
      <c r="M1083" s="663">
        <f t="shared" si="53"/>
        <v>95</v>
      </c>
      <c r="N1083" s="2398">
        <v>3</v>
      </c>
      <c r="O1083" s="1856" t="s">
        <v>4096</v>
      </c>
      <c r="P1083" s="696"/>
      <c r="Q1083" s="2403" t="s">
        <v>3953</v>
      </c>
      <c r="R1083" s="696"/>
      <c r="S1083" s="2459" t="s">
        <v>4097</v>
      </c>
      <c r="T1083" s="696"/>
      <c r="U1083" s="696"/>
    </row>
    <row r="1084" spans="1:21" s="688" customFormat="1" ht="16.5" customHeight="1">
      <c r="A1084" s="2416" t="s">
        <v>4070</v>
      </c>
      <c r="B1084" s="1286" t="s">
        <v>448</v>
      </c>
      <c r="C1084" s="1280" t="s">
        <v>1750</v>
      </c>
      <c r="D1084" s="1281"/>
      <c r="E1084" s="1851">
        <v>45</v>
      </c>
      <c r="F1084" s="663" t="s">
        <v>4074</v>
      </c>
      <c r="G1084" s="671" t="s">
        <v>4078</v>
      </c>
      <c r="H1084" s="671">
        <v>1.5</v>
      </c>
      <c r="I1084" s="671" t="s">
        <v>206</v>
      </c>
      <c r="J1084" s="682"/>
      <c r="K1084" s="682"/>
      <c r="L1084" s="665">
        <v>75</v>
      </c>
      <c r="M1084" s="663">
        <f t="shared" si="53"/>
        <v>30</v>
      </c>
      <c r="N1084" s="2398">
        <v>3</v>
      </c>
      <c r="O1084" s="1856" t="s">
        <v>4096</v>
      </c>
      <c r="P1084" s="696"/>
      <c r="Q1084" s="2403" t="s">
        <v>3953</v>
      </c>
      <c r="R1084" s="696"/>
      <c r="S1084" s="2459" t="s">
        <v>4097</v>
      </c>
      <c r="T1084" s="696"/>
      <c r="U1084" s="696"/>
    </row>
    <row r="1085" spans="1:21" s="688" customFormat="1" ht="16.5" customHeight="1">
      <c r="A1085" s="2416" t="s">
        <v>4071</v>
      </c>
      <c r="B1085" s="1286" t="s">
        <v>448</v>
      </c>
      <c r="C1085" s="1280" t="s">
        <v>1750</v>
      </c>
      <c r="D1085" s="1281"/>
      <c r="E1085" s="1851">
        <v>67.7</v>
      </c>
      <c r="F1085" s="663" t="s">
        <v>4074</v>
      </c>
      <c r="G1085" s="671" t="s">
        <v>4078</v>
      </c>
      <c r="H1085" s="671">
        <v>1.5</v>
      </c>
      <c r="I1085" s="671" t="s">
        <v>206</v>
      </c>
      <c r="J1085" s="682"/>
      <c r="K1085" s="682"/>
      <c r="L1085" s="665">
        <v>110</v>
      </c>
      <c r="M1085" s="663">
        <f t="shared" si="53"/>
        <v>42.3</v>
      </c>
      <c r="N1085" s="2398">
        <v>3</v>
      </c>
      <c r="O1085" s="1856" t="s">
        <v>4096</v>
      </c>
      <c r="P1085" s="696"/>
      <c r="Q1085" s="2403" t="s">
        <v>3953</v>
      </c>
      <c r="R1085" s="696"/>
      <c r="S1085" s="2459" t="s">
        <v>4097</v>
      </c>
      <c r="T1085" s="696"/>
      <c r="U1085" s="696"/>
    </row>
    <row r="1086" spans="1:21" s="688" customFormat="1">
      <c r="A1086" s="2416" t="s">
        <v>4072</v>
      </c>
      <c r="B1086" s="1286" t="s">
        <v>448</v>
      </c>
      <c r="C1086" s="1280" t="s">
        <v>1750</v>
      </c>
      <c r="D1086" s="1281"/>
      <c r="E1086" s="1851">
        <v>90</v>
      </c>
      <c r="F1086" s="663" t="s">
        <v>4074</v>
      </c>
      <c r="G1086" s="671" t="s">
        <v>4076</v>
      </c>
      <c r="H1086" s="671">
        <v>1.5</v>
      </c>
      <c r="I1086" s="671" t="s">
        <v>206</v>
      </c>
      <c r="J1086" s="682"/>
      <c r="K1086" s="682"/>
      <c r="L1086" s="665">
        <v>170</v>
      </c>
      <c r="M1086" s="663">
        <f t="shared" si="53"/>
        <v>80</v>
      </c>
      <c r="N1086" s="2398">
        <v>3</v>
      </c>
      <c r="O1086" s="1856" t="s">
        <v>4096</v>
      </c>
      <c r="P1086" s="696"/>
      <c r="Q1086" s="2403" t="s">
        <v>3953</v>
      </c>
      <c r="R1086" s="696"/>
      <c r="S1086" s="2459" t="s">
        <v>4097</v>
      </c>
      <c r="T1086" s="696"/>
      <c r="U1086" s="696"/>
    </row>
    <row r="1087" spans="1:21" s="688" customFormat="1">
      <c r="A1087" s="2416" t="s">
        <v>4073</v>
      </c>
      <c r="B1087" s="1286" t="s">
        <v>448</v>
      </c>
      <c r="C1087" s="1280" t="s">
        <v>1750</v>
      </c>
      <c r="D1087" s="1281"/>
      <c r="E1087" s="1851">
        <v>110</v>
      </c>
      <c r="F1087" s="663" t="s">
        <v>4074</v>
      </c>
      <c r="G1087" s="671" t="s">
        <v>4077</v>
      </c>
      <c r="H1087" s="671">
        <v>1.5</v>
      </c>
      <c r="I1087" s="671" t="s">
        <v>206</v>
      </c>
      <c r="J1087" s="682"/>
      <c r="K1087" s="682"/>
      <c r="L1087" s="665">
        <v>205</v>
      </c>
      <c r="M1087" s="663">
        <f t="shared" si="53"/>
        <v>95</v>
      </c>
      <c r="N1087" s="2398">
        <v>3</v>
      </c>
      <c r="O1087" s="1856" t="s">
        <v>4096</v>
      </c>
      <c r="P1087" s="696"/>
      <c r="Q1087" s="2403" t="s">
        <v>3953</v>
      </c>
      <c r="R1087" s="696"/>
      <c r="S1087" s="2459" t="s">
        <v>4097</v>
      </c>
      <c r="T1087" s="696"/>
      <c r="U1087" s="696"/>
    </row>
    <row r="1088" spans="1:21" s="688" customFormat="1">
      <c r="A1088" s="2416" t="s">
        <v>1747</v>
      </c>
      <c r="B1088" s="1286" t="s">
        <v>448</v>
      </c>
      <c r="C1088" s="1280" t="s">
        <v>1750</v>
      </c>
      <c r="D1088" s="1281"/>
      <c r="E1088" s="1851">
        <v>115</v>
      </c>
      <c r="F1088" s="663" t="s">
        <v>4074</v>
      </c>
      <c r="G1088" s="671" t="s">
        <v>4077</v>
      </c>
      <c r="H1088" s="671">
        <v>1.5</v>
      </c>
      <c r="I1088" s="671" t="s">
        <v>206</v>
      </c>
      <c r="J1088" s="682"/>
      <c r="K1088" s="682"/>
      <c r="L1088" s="665">
        <v>220</v>
      </c>
      <c r="M1088" s="663">
        <f t="shared" si="53"/>
        <v>105</v>
      </c>
      <c r="N1088" s="2398">
        <v>3</v>
      </c>
      <c r="O1088" s="1856" t="s">
        <v>4096</v>
      </c>
      <c r="P1088" s="696"/>
      <c r="Q1088" s="2403" t="s">
        <v>3953</v>
      </c>
      <c r="R1088" s="696"/>
      <c r="S1088" s="2459" t="s">
        <v>4097</v>
      </c>
      <c r="T1088" s="696"/>
      <c r="U1088" s="696"/>
    </row>
    <row r="1089" spans="1:21" s="688" customFormat="1" ht="16.5" customHeight="1">
      <c r="A1089" s="2416" t="s">
        <v>4070</v>
      </c>
      <c r="B1089" s="1286" t="s">
        <v>448</v>
      </c>
      <c r="C1089" s="1280" t="s">
        <v>1750</v>
      </c>
      <c r="D1089" s="1281"/>
      <c r="E1089" s="1851">
        <v>50</v>
      </c>
      <c r="F1089" s="663" t="s">
        <v>4075</v>
      </c>
      <c r="G1089" s="671" t="s">
        <v>4078</v>
      </c>
      <c r="H1089" s="671">
        <v>1.5</v>
      </c>
      <c r="I1089" s="671" t="s">
        <v>206</v>
      </c>
      <c r="J1089" s="682"/>
      <c r="K1089" s="682"/>
      <c r="L1089" s="665">
        <v>80</v>
      </c>
      <c r="M1089" s="663">
        <f t="shared" si="53"/>
        <v>30</v>
      </c>
      <c r="N1089" s="2398">
        <v>3</v>
      </c>
      <c r="O1089" s="1856" t="s">
        <v>4096</v>
      </c>
      <c r="P1089" s="696"/>
      <c r="Q1089" s="2403" t="s">
        <v>3953</v>
      </c>
      <c r="R1089" s="696"/>
      <c r="S1089" s="2459" t="s">
        <v>4097</v>
      </c>
      <c r="T1089" s="696"/>
      <c r="U1089" s="696"/>
    </row>
    <row r="1090" spans="1:21" s="688" customFormat="1" ht="16.5" customHeight="1">
      <c r="A1090" s="2416" t="s">
        <v>4071</v>
      </c>
      <c r="B1090" s="1286" t="s">
        <v>448</v>
      </c>
      <c r="C1090" s="1280" t="s">
        <v>1750</v>
      </c>
      <c r="D1090" s="1281"/>
      <c r="E1090" s="1851">
        <v>77.5</v>
      </c>
      <c r="F1090" s="663" t="s">
        <v>4075</v>
      </c>
      <c r="G1090" s="671" t="s">
        <v>4078</v>
      </c>
      <c r="H1090" s="671">
        <v>1.5</v>
      </c>
      <c r="I1090" s="671" t="s">
        <v>206</v>
      </c>
      <c r="J1090" s="682"/>
      <c r="K1090" s="682"/>
      <c r="L1090" s="665">
        <v>125</v>
      </c>
      <c r="M1090" s="663">
        <f t="shared" si="53"/>
        <v>47.5</v>
      </c>
      <c r="N1090" s="2398">
        <v>3</v>
      </c>
      <c r="O1090" s="1856" t="s">
        <v>4096</v>
      </c>
      <c r="P1090" s="696"/>
      <c r="Q1090" s="2403" t="s">
        <v>3953</v>
      </c>
      <c r="R1090" s="696"/>
      <c r="S1090" s="2459" t="s">
        <v>4097</v>
      </c>
      <c r="T1090" s="696"/>
      <c r="U1090" s="696"/>
    </row>
    <row r="1091" spans="1:21" s="688" customFormat="1">
      <c r="A1091" s="2416" t="s">
        <v>4072</v>
      </c>
      <c r="B1091" s="1286" t="s">
        <v>448</v>
      </c>
      <c r="C1091" s="1280" t="s">
        <v>1750</v>
      </c>
      <c r="D1091" s="1281"/>
      <c r="E1091" s="1851">
        <v>100</v>
      </c>
      <c r="F1091" s="663" t="s">
        <v>4075</v>
      </c>
      <c r="G1091" s="671" t="s">
        <v>4076</v>
      </c>
      <c r="H1091" s="671">
        <v>1.5</v>
      </c>
      <c r="I1091" s="671" t="s">
        <v>206</v>
      </c>
      <c r="J1091" s="682"/>
      <c r="K1091" s="682"/>
      <c r="L1091" s="665">
        <v>180</v>
      </c>
      <c r="M1091" s="663">
        <f t="shared" si="53"/>
        <v>80</v>
      </c>
      <c r="N1091" s="2398">
        <v>3</v>
      </c>
      <c r="O1091" s="1856" t="s">
        <v>4096</v>
      </c>
      <c r="P1091" s="696"/>
      <c r="Q1091" s="2403" t="s">
        <v>3953</v>
      </c>
      <c r="R1091" s="696"/>
      <c r="S1091" s="2459" t="s">
        <v>4097</v>
      </c>
      <c r="T1091" s="696"/>
      <c r="U1091" s="696"/>
    </row>
    <row r="1092" spans="1:21" s="688" customFormat="1">
      <c r="A1092" s="2416" t="s">
        <v>4073</v>
      </c>
      <c r="B1092" s="1286" t="s">
        <v>448</v>
      </c>
      <c r="C1092" s="1280" t="s">
        <v>1750</v>
      </c>
      <c r="D1092" s="1281"/>
      <c r="E1092" s="1851">
        <v>120</v>
      </c>
      <c r="F1092" s="663" t="s">
        <v>4075</v>
      </c>
      <c r="G1092" s="671" t="s">
        <v>4077</v>
      </c>
      <c r="H1092" s="671">
        <v>1.5</v>
      </c>
      <c r="I1092" s="671" t="s">
        <v>206</v>
      </c>
      <c r="J1092" s="682"/>
      <c r="K1092" s="682"/>
      <c r="L1092" s="665">
        <v>215</v>
      </c>
      <c r="M1092" s="663">
        <f t="shared" si="53"/>
        <v>95</v>
      </c>
      <c r="N1092" s="2398">
        <v>3</v>
      </c>
      <c r="O1092" s="1856" t="s">
        <v>4096</v>
      </c>
      <c r="P1092" s="696"/>
      <c r="Q1092" s="2403" t="s">
        <v>3953</v>
      </c>
      <c r="R1092" s="696"/>
      <c r="S1092" s="2459" t="s">
        <v>4097</v>
      </c>
      <c r="T1092" s="696"/>
      <c r="U1092" s="696"/>
    </row>
    <row r="1093" spans="1:21" s="688" customFormat="1">
      <c r="A1093" s="2416" t="s">
        <v>1747</v>
      </c>
      <c r="B1093" s="1286" t="s">
        <v>448</v>
      </c>
      <c r="C1093" s="1280" t="s">
        <v>1750</v>
      </c>
      <c r="D1093" s="1281"/>
      <c r="E1093" s="1851">
        <v>125</v>
      </c>
      <c r="F1093" s="663" t="s">
        <v>4075</v>
      </c>
      <c r="G1093" s="671" t="s">
        <v>4077</v>
      </c>
      <c r="H1093" s="671">
        <v>1.5</v>
      </c>
      <c r="I1093" s="671" t="s">
        <v>206</v>
      </c>
      <c r="J1093" s="682"/>
      <c r="K1093" s="682"/>
      <c r="L1093" s="665">
        <v>230</v>
      </c>
      <c r="M1093" s="663">
        <f t="shared" si="53"/>
        <v>105</v>
      </c>
      <c r="N1093" s="2398">
        <v>3</v>
      </c>
      <c r="O1093" s="1856" t="s">
        <v>4096</v>
      </c>
      <c r="P1093" s="696"/>
      <c r="Q1093" s="2403" t="s">
        <v>3953</v>
      </c>
      <c r="R1093" s="696"/>
      <c r="S1093" s="2459" t="s">
        <v>4097</v>
      </c>
      <c r="T1093" s="696"/>
      <c r="U1093" s="696"/>
    </row>
    <row r="1094" spans="1:21" s="305" customFormat="1">
      <c r="A1094" s="1330" t="s">
        <v>2654</v>
      </c>
      <c r="B1094" s="1324" t="s">
        <v>617</v>
      </c>
      <c r="C1094" s="1325" t="s">
        <v>618</v>
      </c>
      <c r="D1094" s="1326"/>
      <c r="E1094" s="1311">
        <v>47.5</v>
      </c>
      <c r="F1094" s="303"/>
      <c r="G1094" s="303">
        <v>22</v>
      </c>
      <c r="H1094" s="307"/>
      <c r="I1094" s="1328"/>
      <c r="J1094" s="304">
        <v>1</v>
      </c>
      <c r="K1094" s="290" t="s">
        <v>206</v>
      </c>
      <c r="L1094" s="304">
        <v>85</v>
      </c>
      <c r="M1094" s="303">
        <f>L1094-E1094</f>
        <v>37.5</v>
      </c>
      <c r="N1094" s="637">
        <v>2</v>
      </c>
      <c r="O1094" s="1331" t="s">
        <v>2652</v>
      </c>
      <c r="P1094" s="297"/>
      <c r="Q1094" s="297"/>
      <c r="R1094" s="297"/>
      <c r="S1094" s="297" t="s">
        <v>2653</v>
      </c>
      <c r="T1094" s="297"/>
      <c r="U1094" s="297"/>
    </row>
    <row r="1095" spans="1:21" s="305" customFormat="1">
      <c r="A1095" s="306" t="s">
        <v>2655</v>
      </c>
      <c r="B1095" s="1324" t="s">
        <v>617</v>
      </c>
      <c r="C1095" s="1325" t="s">
        <v>618</v>
      </c>
      <c r="D1095" s="1312"/>
      <c r="E1095" s="1300">
        <v>72</v>
      </c>
      <c r="F1095" s="288"/>
      <c r="G1095" s="288">
        <v>22</v>
      </c>
      <c r="H1095" s="283"/>
      <c r="I1095" s="1328"/>
      <c r="J1095" s="304">
        <v>1</v>
      </c>
      <c r="K1095" s="290" t="s">
        <v>206</v>
      </c>
      <c r="L1095" s="289">
        <v>133</v>
      </c>
      <c r="M1095" s="303">
        <f t="shared" ref="M1095:M1102" si="54">L1095-E1095</f>
        <v>61</v>
      </c>
      <c r="N1095" s="634">
        <v>2</v>
      </c>
      <c r="O1095" s="1331" t="s">
        <v>2652</v>
      </c>
      <c r="P1095" s="297"/>
      <c r="Q1095" s="297"/>
      <c r="R1095" s="297"/>
      <c r="S1095" s="297" t="s">
        <v>2653</v>
      </c>
      <c r="T1095" s="297"/>
      <c r="U1095" s="297"/>
    </row>
    <row r="1096" spans="1:21" s="305" customFormat="1">
      <c r="A1096" s="1332" t="s">
        <v>2656</v>
      </c>
      <c r="B1096" s="1324" t="s">
        <v>617</v>
      </c>
      <c r="C1096" s="1325" t="s">
        <v>618</v>
      </c>
      <c r="D1096" s="1312"/>
      <c r="E1096" s="1300">
        <v>82.5</v>
      </c>
      <c r="F1096" s="288"/>
      <c r="G1096" s="293">
        <v>22</v>
      </c>
      <c r="H1096" s="283"/>
      <c r="I1096" s="1328"/>
      <c r="J1096" s="304">
        <v>1</v>
      </c>
      <c r="K1096" s="290" t="s">
        <v>206</v>
      </c>
      <c r="L1096" s="289">
        <v>154</v>
      </c>
      <c r="M1096" s="303">
        <f t="shared" si="54"/>
        <v>71.5</v>
      </c>
      <c r="N1096" s="634">
        <v>2</v>
      </c>
      <c r="O1096" s="1331" t="s">
        <v>2652</v>
      </c>
      <c r="P1096" s="297"/>
      <c r="Q1096" s="297"/>
      <c r="R1096" s="297"/>
      <c r="S1096" s="297" t="s">
        <v>2653</v>
      </c>
      <c r="T1096" s="297"/>
      <c r="U1096" s="297"/>
    </row>
    <row r="1097" spans="1:21" s="305" customFormat="1">
      <c r="A1097" s="306" t="s">
        <v>2657</v>
      </c>
      <c r="B1097" s="1324" t="s">
        <v>617</v>
      </c>
      <c r="C1097" s="1325" t="s">
        <v>618</v>
      </c>
      <c r="D1097" s="1312"/>
      <c r="E1097" s="1300">
        <v>125</v>
      </c>
      <c r="F1097" s="288"/>
      <c r="G1097" s="293">
        <v>22</v>
      </c>
      <c r="H1097" s="283"/>
      <c r="I1097" s="1328"/>
      <c r="J1097" s="304">
        <v>1</v>
      </c>
      <c r="K1097" s="290" t="s">
        <v>206</v>
      </c>
      <c r="L1097" s="289">
        <v>239</v>
      </c>
      <c r="M1097" s="303">
        <f t="shared" si="54"/>
        <v>114</v>
      </c>
      <c r="N1097" s="634">
        <v>2</v>
      </c>
      <c r="O1097" s="1331" t="s">
        <v>2652</v>
      </c>
      <c r="P1097" s="297"/>
      <c r="Q1097" s="297"/>
      <c r="R1097" s="297"/>
      <c r="S1097" s="297" t="s">
        <v>2653</v>
      </c>
      <c r="T1097" s="297"/>
      <c r="U1097" s="297"/>
    </row>
    <row r="1098" spans="1:21" s="305" customFormat="1">
      <c r="A1098" s="306" t="s">
        <v>1745</v>
      </c>
      <c r="B1098" s="1324" t="s">
        <v>617</v>
      </c>
      <c r="C1098" s="1325" t="s">
        <v>618</v>
      </c>
      <c r="D1098" s="1312"/>
      <c r="E1098" s="1300">
        <v>131</v>
      </c>
      <c r="F1098" s="288"/>
      <c r="G1098" s="293">
        <v>22</v>
      </c>
      <c r="H1098" s="283"/>
      <c r="I1098" s="1328"/>
      <c r="J1098" s="304">
        <v>1</v>
      </c>
      <c r="K1098" s="290" t="s">
        <v>206</v>
      </c>
      <c r="L1098" s="289">
        <v>251</v>
      </c>
      <c r="M1098" s="303">
        <f t="shared" si="54"/>
        <v>120</v>
      </c>
      <c r="N1098" s="634">
        <v>2</v>
      </c>
      <c r="O1098" s="1331" t="s">
        <v>2652</v>
      </c>
      <c r="P1098" s="297"/>
      <c r="Q1098" s="297"/>
      <c r="R1098" s="297"/>
      <c r="S1098" s="297" t="s">
        <v>2653</v>
      </c>
      <c r="T1098" s="297"/>
      <c r="U1098" s="297"/>
    </row>
    <row r="1099" spans="1:21" s="305" customFormat="1">
      <c r="A1099" s="1330" t="s">
        <v>2658</v>
      </c>
      <c r="B1099" s="1316" t="s">
        <v>617</v>
      </c>
      <c r="C1099" s="1316" t="s">
        <v>1744</v>
      </c>
      <c r="D1099" s="1312"/>
      <c r="E1099" s="1300">
        <v>35.5</v>
      </c>
      <c r="F1099" s="288"/>
      <c r="G1099" s="293">
        <v>22</v>
      </c>
      <c r="H1099" s="283"/>
      <c r="I1099" s="1328"/>
      <c r="J1099" s="304">
        <v>1</v>
      </c>
      <c r="K1099" s="290" t="s">
        <v>206</v>
      </c>
      <c r="L1099" s="289">
        <v>61</v>
      </c>
      <c r="M1099" s="303">
        <f t="shared" si="54"/>
        <v>25.5</v>
      </c>
      <c r="N1099" s="634">
        <v>2</v>
      </c>
      <c r="O1099" s="1331" t="s">
        <v>2652</v>
      </c>
      <c r="P1099" s="297"/>
      <c r="Q1099" s="297"/>
      <c r="R1099" s="297"/>
      <c r="S1099" s="297" t="s">
        <v>2653</v>
      </c>
      <c r="T1099" s="297"/>
      <c r="U1099" s="297"/>
    </row>
    <row r="1100" spans="1:21" s="305" customFormat="1">
      <c r="A1100" s="306" t="s">
        <v>2659</v>
      </c>
      <c r="B1100" s="1316" t="s">
        <v>617</v>
      </c>
      <c r="C1100" s="1316" t="s">
        <v>1744</v>
      </c>
      <c r="D1100" s="1326"/>
      <c r="E1100" s="1311">
        <v>64.5</v>
      </c>
      <c r="F1100" s="303"/>
      <c r="G1100" s="1328">
        <v>22</v>
      </c>
      <c r="H1100" s="307"/>
      <c r="I1100" s="1328"/>
      <c r="J1100" s="304">
        <v>1</v>
      </c>
      <c r="K1100" s="290" t="s">
        <v>206</v>
      </c>
      <c r="L1100" s="304">
        <v>118</v>
      </c>
      <c r="M1100" s="303">
        <f t="shared" si="54"/>
        <v>53.5</v>
      </c>
      <c r="N1100" s="634">
        <v>2</v>
      </c>
      <c r="O1100" s="1331" t="s">
        <v>2652</v>
      </c>
      <c r="P1100" s="297"/>
      <c r="Q1100" s="297"/>
      <c r="R1100" s="297"/>
      <c r="S1100" s="297" t="s">
        <v>2653</v>
      </c>
      <c r="T1100" s="297"/>
      <c r="U1100" s="297"/>
    </row>
    <row r="1101" spans="1:21" s="305" customFormat="1">
      <c r="A1101" s="306" t="s">
        <v>2660</v>
      </c>
      <c r="B1101" s="1316" t="s">
        <v>617</v>
      </c>
      <c r="C1101" s="1316" t="s">
        <v>1744</v>
      </c>
      <c r="D1101" s="1312"/>
      <c r="E1101" s="1300">
        <v>87</v>
      </c>
      <c r="F1101" s="288"/>
      <c r="G1101" s="293">
        <v>22</v>
      </c>
      <c r="H1101" s="283"/>
      <c r="I1101" s="1328"/>
      <c r="J1101" s="304">
        <v>1</v>
      </c>
      <c r="K1101" s="290" t="s">
        <v>206</v>
      </c>
      <c r="L1101" s="289">
        <v>164</v>
      </c>
      <c r="M1101" s="303">
        <f t="shared" si="54"/>
        <v>77</v>
      </c>
      <c r="N1101" s="634">
        <v>2</v>
      </c>
      <c r="O1101" s="1331" t="s">
        <v>2652</v>
      </c>
      <c r="P1101" s="297"/>
      <c r="Q1101" s="297"/>
      <c r="R1101" s="297"/>
      <c r="S1101" s="297" t="s">
        <v>2653</v>
      </c>
      <c r="T1101" s="297"/>
      <c r="U1101" s="297"/>
    </row>
    <row r="1102" spans="1:21" s="305" customFormat="1">
      <c r="A1102" s="306" t="s">
        <v>2661</v>
      </c>
      <c r="B1102" s="1316" t="s">
        <v>617</v>
      </c>
      <c r="C1102" s="1316" t="s">
        <v>1744</v>
      </c>
      <c r="D1102" s="1326"/>
      <c r="E1102" s="1311">
        <v>106</v>
      </c>
      <c r="F1102" s="303"/>
      <c r="G1102" s="1328">
        <v>22</v>
      </c>
      <c r="H1102" s="307"/>
      <c r="I1102" s="1328"/>
      <c r="J1102" s="304">
        <v>1</v>
      </c>
      <c r="K1102" s="290" t="s">
        <v>206</v>
      </c>
      <c r="L1102" s="304">
        <v>202</v>
      </c>
      <c r="M1102" s="303">
        <f t="shared" si="54"/>
        <v>96</v>
      </c>
      <c r="N1102" s="634">
        <v>2</v>
      </c>
      <c r="O1102" s="1331" t="s">
        <v>2652</v>
      </c>
      <c r="P1102" s="297"/>
      <c r="Q1102" s="297"/>
      <c r="R1102" s="297"/>
      <c r="S1102" s="297" t="s">
        <v>2653</v>
      </c>
      <c r="T1102" s="297"/>
      <c r="U1102" s="297"/>
    </row>
    <row r="1103" spans="1:21" s="305" customFormat="1">
      <c r="A1103" s="755" t="s">
        <v>38</v>
      </c>
      <c r="B1103" s="1299" t="s">
        <v>451</v>
      </c>
      <c r="C1103" s="1297" t="s">
        <v>1967</v>
      </c>
      <c r="D1103" s="1298"/>
      <c r="E1103" s="1296">
        <v>57.7</v>
      </c>
      <c r="F1103" s="699"/>
      <c r="G1103" s="699">
        <v>12</v>
      </c>
      <c r="H1103" s="700"/>
      <c r="I1103" s="704" t="s">
        <v>1970</v>
      </c>
      <c r="J1103" s="704"/>
      <c r="K1103" s="704"/>
      <c r="L1103" s="701">
        <v>89.2</v>
      </c>
      <c r="M1103" s="699">
        <v>31.5</v>
      </c>
      <c r="N1103" s="753">
        <v>3</v>
      </c>
      <c r="O1103" s="644"/>
      <c r="P1103" s="297"/>
      <c r="Q1103" s="297"/>
      <c r="R1103" s="297"/>
      <c r="S1103" s="297"/>
      <c r="T1103" s="297"/>
      <c r="U1103" s="297"/>
    </row>
    <row r="1104" spans="1:21" s="305" customFormat="1">
      <c r="A1104" s="698" t="s">
        <v>1963</v>
      </c>
      <c r="B1104" s="1299" t="s">
        <v>451</v>
      </c>
      <c r="C1104" s="1297" t="s">
        <v>1967</v>
      </c>
      <c r="D1104" s="1274"/>
      <c r="E1104" s="1255">
        <v>65.8</v>
      </c>
      <c r="F1104" s="681"/>
      <c r="G1104" s="699">
        <v>12</v>
      </c>
      <c r="H1104" s="683"/>
      <c r="I1104" s="704" t="s">
        <v>1970</v>
      </c>
      <c r="J1104" s="682"/>
      <c r="K1104" s="682"/>
      <c r="L1104" s="689">
        <v>102</v>
      </c>
      <c r="M1104" s="681">
        <v>36</v>
      </c>
      <c r="N1104" s="753">
        <v>3</v>
      </c>
      <c r="O1104" s="644"/>
      <c r="P1104" s="297"/>
      <c r="Q1104" s="297"/>
      <c r="R1104" s="297"/>
      <c r="S1104" s="297"/>
      <c r="T1104" s="297"/>
      <c r="U1104" s="297"/>
    </row>
    <row r="1105" spans="1:21" s="305" customFormat="1">
      <c r="A1105" s="698" t="s">
        <v>1964</v>
      </c>
      <c r="B1105" s="1299" t="s">
        <v>451</v>
      </c>
      <c r="C1105" s="1297" t="s">
        <v>1967</v>
      </c>
      <c r="D1105" s="1274"/>
      <c r="E1105" s="1255">
        <v>72.099999999999994</v>
      </c>
      <c r="F1105" s="681"/>
      <c r="G1105" s="699">
        <v>12</v>
      </c>
      <c r="H1105" s="683"/>
      <c r="I1105" s="704" t="s">
        <v>1970</v>
      </c>
      <c r="J1105" s="682"/>
      <c r="K1105" s="682"/>
      <c r="L1105" s="689">
        <v>111.6</v>
      </c>
      <c r="M1105" s="681">
        <v>39.5</v>
      </c>
      <c r="N1105" s="753">
        <v>3</v>
      </c>
      <c r="O1105" s="644"/>
      <c r="P1105" s="297"/>
      <c r="Q1105" s="297"/>
      <c r="R1105" s="297"/>
      <c r="S1105" s="297"/>
      <c r="T1105" s="297"/>
      <c r="U1105" s="297"/>
    </row>
    <row r="1106" spans="1:21" s="445" customFormat="1">
      <c r="A1106" s="698" t="s">
        <v>1965</v>
      </c>
      <c r="B1106" s="1299" t="s">
        <v>451</v>
      </c>
      <c r="C1106" s="1297" t="s">
        <v>1967</v>
      </c>
      <c r="D1106" s="1274"/>
      <c r="E1106" s="1255">
        <v>82</v>
      </c>
      <c r="F1106" s="681"/>
      <c r="G1106" s="699">
        <v>12</v>
      </c>
      <c r="H1106" s="683"/>
      <c r="I1106" s="704" t="s">
        <v>1970</v>
      </c>
      <c r="J1106" s="682"/>
      <c r="K1106" s="682"/>
      <c r="L1106" s="689">
        <v>127</v>
      </c>
      <c r="M1106" s="681">
        <v>45</v>
      </c>
      <c r="N1106" s="753">
        <v>3</v>
      </c>
      <c r="O1106" s="654"/>
      <c r="P1106" s="297"/>
      <c r="Q1106" s="487"/>
      <c r="R1106" s="487"/>
      <c r="S1106" s="487"/>
      <c r="T1106" s="487"/>
      <c r="U1106" s="487"/>
    </row>
    <row r="1107" spans="1:21" s="445" customFormat="1">
      <c r="A1107" s="698" t="s">
        <v>1966</v>
      </c>
      <c r="B1107" s="1299" t="s">
        <v>451</v>
      </c>
      <c r="C1107" s="1297" t="s">
        <v>1967</v>
      </c>
      <c r="D1107" s="1274"/>
      <c r="E1107" s="1255">
        <v>100</v>
      </c>
      <c r="F1107" s="681"/>
      <c r="G1107" s="699">
        <v>12</v>
      </c>
      <c r="H1107" s="683"/>
      <c r="I1107" s="704" t="s">
        <v>1970</v>
      </c>
      <c r="J1107" s="682"/>
      <c r="K1107" s="682"/>
      <c r="L1107" s="689">
        <v>155</v>
      </c>
      <c r="M1107" s="681">
        <v>55</v>
      </c>
      <c r="N1107" s="753">
        <v>3</v>
      </c>
      <c r="O1107" s="654"/>
      <c r="P1107" s="297"/>
      <c r="Q1107" s="487"/>
      <c r="R1107" s="487"/>
      <c r="S1107" s="487"/>
      <c r="T1107" s="487"/>
      <c r="U1107" s="487"/>
    </row>
    <row r="1108" spans="1:21" s="445" customFormat="1">
      <c r="A1108" s="755" t="s">
        <v>38</v>
      </c>
      <c r="B1108" s="1299" t="s">
        <v>451</v>
      </c>
      <c r="C1108" s="1297" t="s">
        <v>1072</v>
      </c>
      <c r="D1108" s="1298"/>
      <c r="E1108" s="1296">
        <v>55</v>
      </c>
      <c r="F1108" s="699" t="s">
        <v>1968</v>
      </c>
      <c r="G1108" s="699">
        <v>12</v>
      </c>
      <c r="H1108" s="700"/>
      <c r="I1108" s="704" t="s">
        <v>1970</v>
      </c>
      <c r="J1108" s="704"/>
      <c r="K1108" s="704"/>
      <c r="L1108" s="701">
        <v>85</v>
      </c>
      <c r="M1108" s="699">
        <v>30</v>
      </c>
      <c r="N1108" s="753">
        <v>3</v>
      </c>
      <c r="O1108" s="654"/>
      <c r="P1108" s="297"/>
      <c r="Q1108" s="487"/>
      <c r="R1108" s="487"/>
      <c r="S1108" s="487"/>
      <c r="T1108" s="487"/>
      <c r="U1108" s="487"/>
    </row>
    <row r="1109" spans="1:21" s="445" customFormat="1">
      <c r="A1109" s="698" t="s">
        <v>1963</v>
      </c>
      <c r="B1109" s="1299" t="s">
        <v>451</v>
      </c>
      <c r="C1109" s="1297" t="s">
        <v>1072</v>
      </c>
      <c r="D1109" s="1274"/>
      <c r="E1109" s="1255">
        <v>62.2</v>
      </c>
      <c r="F1109" s="699" t="s">
        <v>1968</v>
      </c>
      <c r="G1109" s="699">
        <v>12</v>
      </c>
      <c r="H1109" s="683"/>
      <c r="I1109" s="704" t="s">
        <v>1970</v>
      </c>
      <c r="J1109" s="682"/>
      <c r="K1109" s="682"/>
      <c r="L1109" s="689">
        <v>96.2</v>
      </c>
      <c r="M1109" s="681">
        <v>34</v>
      </c>
      <c r="N1109" s="753">
        <v>3</v>
      </c>
      <c r="O1109" s="654"/>
      <c r="P1109" s="297"/>
      <c r="Q1109" s="487"/>
      <c r="R1109" s="487"/>
      <c r="S1109" s="487"/>
      <c r="T1109" s="487"/>
      <c r="U1109" s="487"/>
    </row>
    <row r="1110" spans="1:21" s="445" customFormat="1">
      <c r="A1110" s="698" t="s">
        <v>1964</v>
      </c>
      <c r="B1110" s="1299" t="s">
        <v>451</v>
      </c>
      <c r="C1110" s="1297" t="s">
        <v>1072</v>
      </c>
      <c r="D1110" s="1274"/>
      <c r="E1110" s="1255">
        <v>69.400000000000006</v>
      </c>
      <c r="F1110" s="699" t="s">
        <v>1968</v>
      </c>
      <c r="G1110" s="699">
        <v>12</v>
      </c>
      <c r="H1110" s="683"/>
      <c r="I1110" s="704" t="s">
        <v>1970</v>
      </c>
      <c r="J1110" s="682"/>
      <c r="K1110" s="682"/>
      <c r="L1110" s="689">
        <v>107.4</v>
      </c>
      <c r="M1110" s="681">
        <v>38</v>
      </c>
      <c r="N1110" s="753">
        <v>3</v>
      </c>
      <c r="O1110" s="654"/>
      <c r="P1110" s="297"/>
      <c r="Q1110" s="487"/>
      <c r="R1110" s="487"/>
      <c r="S1110" s="487"/>
      <c r="T1110" s="487"/>
      <c r="U1110" s="487"/>
    </row>
    <row r="1111" spans="1:21" s="305" customFormat="1">
      <c r="A1111" s="698" t="s">
        <v>1965</v>
      </c>
      <c r="B1111" s="1299" t="s">
        <v>451</v>
      </c>
      <c r="C1111" s="1297" t="s">
        <v>1072</v>
      </c>
      <c r="D1111" s="1274"/>
      <c r="E1111" s="1255">
        <v>73</v>
      </c>
      <c r="F1111" s="699" t="s">
        <v>1968</v>
      </c>
      <c r="G1111" s="699">
        <v>12</v>
      </c>
      <c r="H1111" s="683"/>
      <c r="I1111" s="704" t="s">
        <v>1970</v>
      </c>
      <c r="J1111" s="682"/>
      <c r="K1111" s="682"/>
      <c r="L1111" s="689">
        <v>113</v>
      </c>
      <c r="M1111" s="681">
        <v>40</v>
      </c>
      <c r="N1111" s="753">
        <v>3</v>
      </c>
      <c r="O1111" s="654"/>
      <c r="P1111" s="297"/>
      <c r="Q1111" s="297"/>
      <c r="R1111" s="297"/>
      <c r="S1111" s="297"/>
      <c r="T1111" s="297"/>
      <c r="U1111" s="297"/>
    </row>
    <row r="1112" spans="1:21" s="305" customFormat="1">
      <c r="A1112" s="698" t="s">
        <v>1966</v>
      </c>
      <c r="B1112" s="1299" t="s">
        <v>451</v>
      </c>
      <c r="C1112" s="1297" t="s">
        <v>1072</v>
      </c>
      <c r="D1112" s="1274"/>
      <c r="E1112" s="1255">
        <v>87.4</v>
      </c>
      <c r="F1112" s="699" t="s">
        <v>1968</v>
      </c>
      <c r="G1112" s="699">
        <v>12</v>
      </c>
      <c r="H1112" s="683"/>
      <c r="I1112" s="704" t="s">
        <v>1970</v>
      </c>
      <c r="J1112" s="682"/>
      <c r="K1112" s="682"/>
      <c r="L1112" s="689">
        <v>135.4</v>
      </c>
      <c r="M1112" s="681">
        <v>48</v>
      </c>
      <c r="N1112" s="753">
        <v>3</v>
      </c>
      <c r="O1112" s="654"/>
      <c r="P1112" s="297"/>
      <c r="Q1112" s="297"/>
      <c r="R1112" s="297"/>
      <c r="S1112" s="297"/>
      <c r="T1112" s="297"/>
      <c r="U1112" s="297"/>
    </row>
    <row r="1113" spans="1:21" s="305" customFormat="1">
      <c r="A1113" s="755" t="s">
        <v>38</v>
      </c>
      <c r="B1113" s="1299" t="s">
        <v>451</v>
      </c>
      <c r="C1113" s="1297" t="s">
        <v>1972</v>
      </c>
      <c r="D1113" s="1298"/>
      <c r="E1113" s="1296">
        <v>50.5</v>
      </c>
      <c r="F1113" s="699" t="s">
        <v>1971</v>
      </c>
      <c r="G1113" s="699">
        <v>12</v>
      </c>
      <c r="H1113" s="700"/>
      <c r="I1113" s="704" t="s">
        <v>1973</v>
      </c>
      <c r="J1113" s="704"/>
      <c r="K1113" s="704"/>
      <c r="L1113" s="701">
        <v>78</v>
      </c>
      <c r="M1113" s="699">
        <v>27.5</v>
      </c>
      <c r="N1113" s="753">
        <v>3</v>
      </c>
      <c r="O1113" s="654"/>
      <c r="P1113" s="297"/>
      <c r="Q1113" s="297"/>
      <c r="R1113" s="297"/>
      <c r="S1113" s="297"/>
      <c r="T1113" s="297"/>
      <c r="U1113" s="297"/>
    </row>
    <row r="1114" spans="1:21" s="305" customFormat="1">
      <c r="A1114" s="698" t="s">
        <v>1068</v>
      </c>
      <c r="B1114" s="1299" t="s">
        <v>451</v>
      </c>
      <c r="C1114" s="1297" t="s">
        <v>1972</v>
      </c>
      <c r="D1114" s="1274"/>
      <c r="E1114" s="1255">
        <v>57.7</v>
      </c>
      <c r="F1114" s="699" t="s">
        <v>1971</v>
      </c>
      <c r="G1114" s="699">
        <v>12</v>
      </c>
      <c r="H1114" s="683"/>
      <c r="I1114" s="704" t="s">
        <v>1973</v>
      </c>
      <c r="J1114" s="682"/>
      <c r="K1114" s="682"/>
      <c r="L1114" s="689">
        <v>89.2</v>
      </c>
      <c r="M1114" s="681">
        <v>31.5</v>
      </c>
      <c r="N1114" s="753">
        <v>3</v>
      </c>
      <c r="O1114" s="654"/>
      <c r="P1114" s="297"/>
      <c r="Q1114" s="297"/>
      <c r="R1114" s="297"/>
      <c r="S1114" s="297"/>
      <c r="T1114" s="297"/>
      <c r="U1114" s="297"/>
    </row>
    <row r="1115" spans="1:21" s="305" customFormat="1">
      <c r="A1115" s="698" t="s">
        <v>1069</v>
      </c>
      <c r="B1115" s="1299" t="s">
        <v>451</v>
      </c>
      <c r="C1115" s="1297" t="s">
        <v>1972</v>
      </c>
      <c r="D1115" s="1274"/>
      <c r="E1115" s="1255">
        <v>64</v>
      </c>
      <c r="F1115" s="699" t="s">
        <v>1971</v>
      </c>
      <c r="G1115" s="699">
        <v>12</v>
      </c>
      <c r="H1115" s="683"/>
      <c r="I1115" s="704" t="s">
        <v>1973</v>
      </c>
      <c r="J1115" s="682"/>
      <c r="K1115" s="682"/>
      <c r="L1115" s="689">
        <v>99</v>
      </c>
      <c r="M1115" s="681">
        <v>35</v>
      </c>
      <c r="N1115" s="753">
        <v>3</v>
      </c>
      <c r="O1115" s="654"/>
      <c r="P1115" s="297"/>
      <c r="Q1115" s="297"/>
      <c r="R1115" s="297"/>
      <c r="S1115" s="297"/>
      <c r="T1115" s="297"/>
      <c r="U1115" s="297"/>
    </row>
    <row r="1116" spans="1:21" s="305" customFormat="1">
      <c r="A1116" s="698" t="s">
        <v>1070</v>
      </c>
      <c r="B1116" s="1299" t="s">
        <v>451</v>
      </c>
      <c r="C1116" s="1297" t="s">
        <v>1972</v>
      </c>
      <c r="D1116" s="1274"/>
      <c r="E1116" s="1255">
        <v>69.400000000000006</v>
      </c>
      <c r="F1116" s="699" t="s">
        <v>1971</v>
      </c>
      <c r="G1116" s="699">
        <v>12</v>
      </c>
      <c r="H1116" s="683"/>
      <c r="I1116" s="704" t="s">
        <v>1973</v>
      </c>
      <c r="J1116" s="682"/>
      <c r="K1116" s="682"/>
      <c r="L1116" s="689">
        <v>107.4</v>
      </c>
      <c r="M1116" s="681">
        <v>38</v>
      </c>
      <c r="N1116" s="753">
        <v>3</v>
      </c>
      <c r="O1116" s="654"/>
      <c r="P1116" s="297"/>
      <c r="Q1116" s="297"/>
      <c r="R1116" s="297"/>
      <c r="S1116" s="297"/>
      <c r="T1116" s="297"/>
      <c r="U1116" s="297"/>
    </row>
    <row r="1117" spans="1:21" s="305" customFormat="1">
      <c r="A1117" s="698" t="s">
        <v>1071</v>
      </c>
      <c r="B1117" s="1299" t="s">
        <v>451</v>
      </c>
      <c r="C1117" s="1297" t="s">
        <v>1972</v>
      </c>
      <c r="D1117" s="1274"/>
      <c r="E1117" s="1255">
        <v>78.400000000000006</v>
      </c>
      <c r="F1117" s="699" t="s">
        <v>1971</v>
      </c>
      <c r="G1117" s="699">
        <v>12</v>
      </c>
      <c r="H1117" s="683"/>
      <c r="I1117" s="704" t="s">
        <v>1973</v>
      </c>
      <c r="J1117" s="682"/>
      <c r="K1117" s="682"/>
      <c r="L1117" s="689">
        <v>121.4</v>
      </c>
      <c r="M1117" s="681">
        <v>43</v>
      </c>
      <c r="N1117" s="753">
        <v>3</v>
      </c>
      <c r="O1117" s="654"/>
      <c r="P1117" s="297"/>
      <c r="Q1117" s="297"/>
      <c r="R1117" s="297"/>
      <c r="S1117" s="297"/>
      <c r="T1117" s="297"/>
      <c r="U1117" s="297"/>
    </row>
    <row r="1118" spans="1:21" s="305" customFormat="1">
      <c r="A1118" s="755" t="s">
        <v>38</v>
      </c>
      <c r="B1118" s="1299" t="s">
        <v>451</v>
      </c>
      <c r="C1118" s="1297" t="s">
        <v>1969</v>
      </c>
      <c r="D1118" s="1298"/>
      <c r="E1118" s="1296">
        <v>59.5</v>
      </c>
      <c r="F1118" s="699" t="s">
        <v>1974</v>
      </c>
      <c r="G1118" s="699">
        <v>12</v>
      </c>
      <c r="H1118" s="700"/>
      <c r="I1118" s="704" t="s">
        <v>1973</v>
      </c>
      <c r="J1118" s="704"/>
      <c r="K1118" s="704"/>
      <c r="L1118" s="701">
        <v>92</v>
      </c>
      <c r="M1118" s="699">
        <v>32.5</v>
      </c>
      <c r="N1118" s="753">
        <v>3</v>
      </c>
      <c r="O1118" s="654"/>
      <c r="P1118" s="297"/>
      <c r="Q1118" s="297"/>
      <c r="R1118" s="297"/>
      <c r="S1118" s="297"/>
      <c r="T1118" s="297"/>
      <c r="U1118" s="297"/>
    </row>
    <row r="1119" spans="1:21" s="305" customFormat="1">
      <c r="A1119" s="698" t="s">
        <v>1068</v>
      </c>
      <c r="B1119" s="1299" t="s">
        <v>451</v>
      </c>
      <c r="C1119" s="1297" t="s">
        <v>1969</v>
      </c>
      <c r="D1119" s="1274"/>
      <c r="E1119" s="1255">
        <v>67.599999999999994</v>
      </c>
      <c r="F1119" s="699" t="s">
        <v>1974</v>
      </c>
      <c r="G1119" s="699">
        <v>12</v>
      </c>
      <c r="H1119" s="683"/>
      <c r="I1119" s="704" t="s">
        <v>1973</v>
      </c>
      <c r="J1119" s="682"/>
      <c r="K1119" s="682"/>
      <c r="L1119" s="689">
        <v>104.6</v>
      </c>
      <c r="M1119" s="681">
        <v>37</v>
      </c>
      <c r="N1119" s="753">
        <v>3</v>
      </c>
      <c r="O1119" s="654"/>
      <c r="P1119" s="297"/>
      <c r="Q1119" s="297"/>
      <c r="R1119" s="297"/>
      <c r="S1119" s="297"/>
      <c r="T1119" s="297"/>
      <c r="U1119" s="297"/>
    </row>
    <row r="1120" spans="1:21" s="305" customFormat="1">
      <c r="A1120" s="698" t="s">
        <v>1069</v>
      </c>
      <c r="B1120" s="1299" t="s">
        <v>451</v>
      </c>
      <c r="C1120" s="1297" t="s">
        <v>1969</v>
      </c>
      <c r="D1120" s="1274"/>
      <c r="E1120" s="1255">
        <v>78.400000000000006</v>
      </c>
      <c r="F1120" s="699" t="s">
        <v>1974</v>
      </c>
      <c r="G1120" s="699">
        <v>12</v>
      </c>
      <c r="H1120" s="683"/>
      <c r="I1120" s="704" t="s">
        <v>1973</v>
      </c>
      <c r="J1120" s="682"/>
      <c r="K1120" s="682"/>
      <c r="L1120" s="689">
        <v>121.4</v>
      </c>
      <c r="M1120" s="681">
        <v>43</v>
      </c>
      <c r="N1120" s="753">
        <v>3</v>
      </c>
      <c r="O1120" s="654"/>
      <c r="P1120" s="297"/>
      <c r="Q1120" s="297"/>
      <c r="R1120" s="297"/>
      <c r="S1120" s="297"/>
      <c r="T1120" s="297"/>
      <c r="U1120" s="297"/>
    </row>
    <row r="1121" spans="1:22" s="305" customFormat="1">
      <c r="A1121" s="698" t="s">
        <v>1070</v>
      </c>
      <c r="B1121" s="1299" t="s">
        <v>451</v>
      </c>
      <c r="C1121" s="1297" t="s">
        <v>1969</v>
      </c>
      <c r="D1121" s="1274"/>
      <c r="E1121" s="1255">
        <v>82.9</v>
      </c>
      <c r="F1121" s="699" t="s">
        <v>1974</v>
      </c>
      <c r="G1121" s="699">
        <v>12</v>
      </c>
      <c r="H1121" s="683"/>
      <c r="I1121" s="704" t="s">
        <v>1973</v>
      </c>
      <c r="J1121" s="682"/>
      <c r="K1121" s="682"/>
      <c r="L1121" s="689">
        <v>128.4</v>
      </c>
      <c r="M1121" s="681">
        <v>45.5</v>
      </c>
      <c r="N1121" s="753">
        <v>3</v>
      </c>
      <c r="O1121" s="654"/>
      <c r="P1121" s="297"/>
      <c r="Q1121" s="297"/>
      <c r="R1121" s="297"/>
      <c r="S1121" s="297"/>
      <c r="T1121" s="297"/>
      <c r="U1121" s="297"/>
    </row>
    <row r="1122" spans="1:22" s="305" customFormat="1">
      <c r="A1122" s="698" t="s">
        <v>1071</v>
      </c>
      <c r="B1122" s="1299" t="s">
        <v>451</v>
      </c>
      <c r="C1122" s="1297" t="s">
        <v>1969</v>
      </c>
      <c r="D1122" s="1274"/>
      <c r="E1122" s="1255">
        <v>89.2</v>
      </c>
      <c r="F1122" s="699" t="s">
        <v>1974</v>
      </c>
      <c r="G1122" s="699">
        <v>12</v>
      </c>
      <c r="H1122" s="683"/>
      <c r="I1122" s="704" t="s">
        <v>1973</v>
      </c>
      <c r="J1122" s="682"/>
      <c r="K1122" s="682"/>
      <c r="L1122" s="689">
        <v>138.19999999999999</v>
      </c>
      <c r="M1122" s="681">
        <v>49</v>
      </c>
      <c r="N1122" s="753">
        <v>3</v>
      </c>
      <c r="O1122" s="654"/>
      <c r="P1122" s="297"/>
      <c r="Q1122" s="297"/>
      <c r="R1122" s="297"/>
      <c r="S1122" s="297"/>
      <c r="T1122" s="297"/>
      <c r="U1122" s="297"/>
    </row>
    <row r="1123" spans="1:22" s="305" customFormat="1">
      <c r="A1123" s="306" t="s">
        <v>4591</v>
      </c>
      <c r="B1123" s="2438" t="s">
        <v>619</v>
      </c>
      <c r="C1123" s="2439" t="s">
        <v>2750</v>
      </c>
      <c r="D1123" s="2440"/>
      <c r="E1123" s="1872">
        <v>31.5</v>
      </c>
      <c r="F1123" s="302" t="s">
        <v>4599</v>
      </c>
      <c r="G1123" s="670" t="s">
        <v>4597</v>
      </c>
      <c r="H1123" s="2421">
        <v>1.4</v>
      </c>
      <c r="I1123" s="1871" t="s">
        <v>206</v>
      </c>
      <c r="J1123" s="2505" t="s">
        <v>2755</v>
      </c>
      <c r="K1123" s="290"/>
      <c r="L1123" s="1871">
        <v>47</v>
      </c>
      <c r="M1123" s="1875">
        <f>L1123-E1123</f>
        <v>15.5</v>
      </c>
      <c r="N1123" s="673">
        <v>2</v>
      </c>
      <c r="O1123" s="2506" t="s">
        <v>3880</v>
      </c>
      <c r="P1123" s="297"/>
      <c r="Q1123" s="2404" t="s">
        <v>2765</v>
      </c>
      <c r="R1123" s="2403" t="s">
        <v>4598</v>
      </c>
      <c r="S1123" s="297"/>
      <c r="T1123" s="297"/>
      <c r="U1123" s="297"/>
      <c r="V1123" s="297" t="s">
        <v>2749</v>
      </c>
    </row>
    <row r="1124" spans="1:22" s="305" customFormat="1">
      <c r="A1124" s="306" t="s">
        <v>4593</v>
      </c>
      <c r="B1124" s="2438" t="s">
        <v>619</v>
      </c>
      <c r="C1124" s="2439" t="s">
        <v>2750</v>
      </c>
      <c r="D1124" s="2440"/>
      <c r="E1124" s="1872">
        <v>36</v>
      </c>
      <c r="F1124" s="302" t="s">
        <v>4599</v>
      </c>
      <c r="G1124" s="670" t="s">
        <v>4597</v>
      </c>
      <c r="H1124" s="2421">
        <v>1.4</v>
      </c>
      <c r="I1124" s="1871" t="s">
        <v>206</v>
      </c>
      <c r="J1124" s="2505" t="s">
        <v>2755</v>
      </c>
      <c r="K1124" s="1068"/>
      <c r="L1124" s="1871">
        <v>51</v>
      </c>
      <c r="M1124" s="1875">
        <f>L1124-E1124</f>
        <v>15</v>
      </c>
      <c r="N1124" s="673">
        <v>2</v>
      </c>
      <c r="O1124" s="2506" t="s">
        <v>3880</v>
      </c>
      <c r="P1124" s="297"/>
      <c r="Q1124" s="2404" t="s">
        <v>2765</v>
      </c>
      <c r="R1124" s="2403" t="s">
        <v>4598</v>
      </c>
      <c r="S1124" s="297"/>
      <c r="T1124" s="297"/>
      <c r="U1124" s="297"/>
    </row>
    <row r="1125" spans="1:22" s="305" customFormat="1">
      <c r="A1125" s="306" t="s">
        <v>4594</v>
      </c>
      <c r="B1125" s="2438" t="s">
        <v>619</v>
      </c>
      <c r="C1125" s="2439" t="s">
        <v>2750</v>
      </c>
      <c r="D1125" s="2440"/>
      <c r="E1125" s="1872">
        <v>48.5</v>
      </c>
      <c r="F1125" s="302" t="s">
        <v>4599</v>
      </c>
      <c r="G1125" s="670" t="s">
        <v>4597</v>
      </c>
      <c r="H1125" s="2421">
        <v>1.4</v>
      </c>
      <c r="I1125" s="1871" t="s">
        <v>206</v>
      </c>
      <c r="J1125" s="2505" t="s">
        <v>2755</v>
      </c>
      <c r="K1125" s="1068"/>
      <c r="L1125" s="1871">
        <v>70</v>
      </c>
      <c r="M1125" s="1875">
        <f>L1125-E1125</f>
        <v>21.5</v>
      </c>
      <c r="N1125" s="673">
        <v>2</v>
      </c>
      <c r="O1125" s="2506" t="s">
        <v>3880</v>
      </c>
      <c r="P1125" s="297"/>
      <c r="Q1125" s="2404" t="s">
        <v>2765</v>
      </c>
      <c r="R1125" s="2403" t="s">
        <v>4598</v>
      </c>
      <c r="S1125" s="297"/>
      <c r="T1125" s="297"/>
      <c r="U1125" s="297"/>
    </row>
    <row r="1126" spans="1:22" s="445" customFormat="1">
      <c r="A1126" s="306" t="s">
        <v>4592</v>
      </c>
      <c r="B1126" s="2438" t="s">
        <v>619</v>
      </c>
      <c r="C1126" s="2439" t="s">
        <v>2750</v>
      </c>
      <c r="D1126" s="2440"/>
      <c r="E1126" s="1851">
        <v>57.5</v>
      </c>
      <c r="F1126" s="302" t="s">
        <v>4599</v>
      </c>
      <c r="G1126" s="670" t="s">
        <v>4597</v>
      </c>
      <c r="H1126" s="2421">
        <v>1.4</v>
      </c>
      <c r="I1126" s="1871" t="s">
        <v>206</v>
      </c>
      <c r="J1126" s="2505" t="s">
        <v>2755</v>
      </c>
      <c r="K1126" s="459"/>
      <c r="L1126" s="665">
        <v>79</v>
      </c>
      <c r="M1126" s="1875">
        <f>L1126-E1126</f>
        <v>21.5</v>
      </c>
      <c r="N1126" s="673">
        <v>2</v>
      </c>
      <c r="O1126" s="2506" t="s">
        <v>3880</v>
      </c>
      <c r="P1126" s="487"/>
      <c r="Q1126" s="2404" t="s">
        <v>2765</v>
      </c>
      <c r="R1126" s="2403" t="s">
        <v>4598</v>
      </c>
      <c r="S1126" s="487"/>
      <c r="T1126" s="487"/>
      <c r="U1126" s="487"/>
    </row>
    <row r="1127" spans="1:22" s="445" customFormat="1">
      <c r="A1127" s="306" t="s">
        <v>4595</v>
      </c>
      <c r="B1127" s="2438" t="s">
        <v>619</v>
      </c>
      <c r="C1127" s="2439" t="s">
        <v>2750</v>
      </c>
      <c r="D1127" s="2440"/>
      <c r="E1127" s="1851">
        <v>74.5</v>
      </c>
      <c r="F1127" s="302" t="s">
        <v>4599</v>
      </c>
      <c r="G1127" s="670" t="s">
        <v>4597</v>
      </c>
      <c r="H1127" s="2421">
        <v>1.4</v>
      </c>
      <c r="I1127" s="1871" t="s">
        <v>206</v>
      </c>
      <c r="J1127" s="2505" t="s">
        <v>4596</v>
      </c>
      <c r="K1127" s="459"/>
      <c r="L1127" s="665">
        <v>104</v>
      </c>
      <c r="M1127" s="1875">
        <f>L1127-E1127</f>
        <v>29.5</v>
      </c>
      <c r="N1127" s="673">
        <v>2</v>
      </c>
      <c r="O1127" s="2506" t="s">
        <v>3880</v>
      </c>
      <c r="P1127" s="487"/>
      <c r="Q1127" s="2404" t="s">
        <v>2765</v>
      </c>
      <c r="R1127" s="2403" t="s">
        <v>4598</v>
      </c>
      <c r="S1127" s="487"/>
      <c r="T1127" s="487"/>
      <c r="U1127" s="487"/>
    </row>
    <row r="1128" spans="1:22" s="305" customFormat="1">
      <c r="A1128" s="306"/>
      <c r="B1128" s="1324" t="s">
        <v>619</v>
      </c>
      <c r="C1128" s="1325" t="s">
        <v>2751</v>
      </c>
      <c r="D1128" s="1312"/>
      <c r="E1128" s="1300">
        <v>66</v>
      </c>
      <c r="F1128" s="303"/>
      <c r="G1128" s="293"/>
      <c r="H1128" s="297"/>
      <c r="I1128" s="289"/>
      <c r="J1128" s="292"/>
      <c r="K1128" s="292"/>
      <c r="L1128" s="289">
        <v>103</v>
      </c>
      <c r="M1128" s="288">
        <f t="shared" ref="M1128:M1138" si="55">L1128-E1128</f>
        <v>37</v>
      </c>
      <c r="N1128" s="634">
        <v>2</v>
      </c>
      <c r="O1128" s="645"/>
      <c r="P1128" s="297"/>
      <c r="Q1128" s="645" t="s">
        <v>1743</v>
      </c>
      <c r="R1128" s="297"/>
      <c r="S1128" s="297"/>
      <c r="T1128" s="297"/>
      <c r="U1128" s="297"/>
    </row>
    <row r="1129" spans="1:22" s="305" customFormat="1">
      <c r="A1129" s="1332" t="s">
        <v>2756</v>
      </c>
      <c r="B1129" s="1324" t="s">
        <v>619</v>
      </c>
      <c r="C1129" s="1325" t="s">
        <v>2751</v>
      </c>
      <c r="D1129" s="1326"/>
      <c r="E1129" s="1311">
        <v>106</v>
      </c>
      <c r="F1129" s="303"/>
      <c r="G1129" s="293"/>
      <c r="H1129" s="307"/>
      <c r="I1129" s="304"/>
      <c r="J1129" s="290"/>
      <c r="K1129" s="290"/>
      <c r="L1129" s="304">
        <v>106</v>
      </c>
      <c r="M1129" s="288">
        <f t="shared" si="55"/>
        <v>0</v>
      </c>
      <c r="N1129" s="637">
        <v>2</v>
      </c>
      <c r="O1129" s="645"/>
      <c r="P1129" s="297"/>
      <c r="Q1129" s="645" t="s">
        <v>1743</v>
      </c>
      <c r="R1129" s="297"/>
      <c r="S1129" s="297"/>
      <c r="T1129" s="297"/>
      <c r="U1129" s="297"/>
    </row>
    <row r="1130" spans="1:22" s="305" customFormat="1">
      <c r="A1130" s="306" t="s">
        <v>2757</v>
      </c>
      <c r="B1130" s="1324" t="s">
        <v>619</v>
      </c>
      <c r="C1130" s="1325" t="s">
        <v>2751</v>
      </c>
      <c r="D1130" s="1326"/>
      <c r="E1130" s="1311">
        <v>81.5</v>
      </c>
      <c r="F1130" s="303"/>
      <c r="G1130" s="293"/>
      <c r="H1130" s="307"/>
      <c r="I1130" s="304"/>
      <c r="J1130" s="290"/>
      <c r="K1130" s="290"/>
      <c r="L1130" s="304">
        <v>136</v>
      </c>
      <c r="M1130" s="288">
        <f t="shared" si="55"/>
        <v>54.5</v>
      </c>
      <c r="N1130" s="637">
        <v>2</v>
      </c>
      <c r="O1130" s="645"/>
      <c r="P1130" s="297"/>
      <c r="Q1130" s="645" t="s">
        <v>1743</v>
      </c>
      <c r="R1130" s="297"/>
      <c r="S1130" s="297"/>
      <c r="T1130" s="297"/>
      <c r="U1130" s="297"/>
    </row>
    <row r="1131" spans="1:22" s="305" customFormat="1">
      <c r="A1131" s="306" t="s">
        <v>2758</v>
      </c>
      <c r="B1131" s="1324" t="s">
        <v>619</v>
      </c>
      <c r="C1131" s="1325" t="s">
        <v>2751</v>
      </c>
      <c r="D1131" s="1312"/>
      <c r="E1131" s="1300">
        <v>91</v>
      </c>
      <c r="F1131" s="303"/>
      <c r="G1131" s="293"/>
      <c r="H1131" s="283"/>
      <c r="I1131" s="289"/>
      <c r="J1131" s="292"/>
      <c r="K1131" s="292"/>
      <c r="L1131" s="289">
        <v>155</v>
      </c>
      <c r="M1131" s="288">
        <f t="shared" si="55"/>
        <v>64</v>
      </c>
      <c r="N1131" s="634">
        <v>2</v>
      </c>
      <c r="O1131" s="645"/>
      <c r="P1131" s="297"/>
      <c r="Q1131" s="645" t="s">
        <v>1743</v>
      </c>
      <c r="R1131" s="297"/>
      <c r="S1131" s="297"/>
      <c r="T1131" s="297"/>
      <c r="U1131" s="297"/>
    </row>
    <row r="1132" spans="1:22" s="305" customFormat="1">
      <c r="A1132" s="1332" t="s">
        <v>1797</v>
      </c>
      <c r="B1132" s="1324" t="s">
        <v>619</v>
      </c>
      <c r="C1132" s="1325" t="s">
        <v>2751</v>
      </c>
      <c r="D1132" s="1312"/>
      <c r="E1132" s="1300">
        <v>111.5</v>
      </c>
      <c r="F1132" s="303"/>
      <c r="G1132" s="293"/>
      <c r="H1132" s="297"/>
      <c r="I1132" s="289"/>
      <c r="J1132" s="292"/>
      <c r="K1132" s="292"/>
      <c r="L1132" s="289">
        <v>176</v>
      </c>
      <c r="M1132" s="288">
        <f t="shared" si="55"/>
        <v>64.5</v>
      </c>
      <c r="N1132" s="634">
        <v>2</v>
      </c>
      <c r="O1132" s="645"/>
      <c r="P1132" s="297"/>
      <c r="Q1132" s="297"/>
      <c r="R1132" s="297"/>
      <c r="S1132" s="297"/>
      <c r="T1132" s="297"/>
      <c r="U1132" s="297"/>
    </row>
    <row r="1133" spans="1:22" s="305" customFormat="1">
      <c r="A1133" s="306" t="s">
        <v>2196</v>
      </c>
      <c r="B1133" s="1324" t="s">
        <v>619</v>
      </c>
      <c r="C1133" s="1325" t="s">
        <v>974</v>
      </c>
      <c r="D1133" s="1326"/>
      <c r="E1133" s="1311">
        <v>47</v>
      </c>
      <c r="F1133" s="303" t="s">
        <v>1794</v>
      </c>
      <c r="G1133" s="298" t="s">
        <v>420</v>
      </c>
      <c r="H1133" s="307" t="s">
        <v>2202</v>
      </c>
      <c r="I1133" s="304"/>
      <c r="J1133" s="290"/>
      <c r="K1133" s="290"/>
      <c r="L1133" s="304">
        <v>75</v>
      </c>
      <c r="M1133" s="303">
        <f t="shared" si="55"/>
        <v>28</v>
      </c>
      <c r="N1133" s="1329">
        <v>3</v>
      </c>
      <c r="O1133" s="305" t="s">
        <v>2651</v>
      </c>
    </row>
    <row r="1134" spans="1:22" s="305" customFormat="1">
      <c r="A1134" s="306" t="s">
        <v>2197</v>
      </c>
      <c r="B1134" s="1324" t="s">
        <v>619</v>
      </c>
      <c r="C1134" s="1325" t="s">
        <v>974</v>
      </c>
      <c r="D1134" s="1326"/>
      <c r="E1134" s="1311">
        <v>53</v>
      </c>
      <c r="F1134" s="303" t="s">
        <v>1794</v>
      </c>
      <c r="G1134" s="298" t="s">
        <v>420</v>
      </c>
      <c r="H1134" s="307" t="s">
        <v>2202</v>
      </c>
      <c r="I1134" s="304"/>
      <c r="J1134" s="290"/>
      <c r="K1134" s="290"/>
      <c r="L1134" s="304">
        <v>85</v>
      </c>
      <c r="M1134" s="303">
        <f t="shared" si="55"/>
        <v>32</v>
      </c>
      <c r="N1134" s="1329">
        <v>3</v>
      </c>
      <c r="O1134" s="305" t="s">
        <v>2651</v>
      </c>
    </row>
    <row r="1135" spans="1:22" s="305" customFormat="1">
      <c r="A1135" s="306" t="s">
        <v>2198</v>
      </c>
      <c r="B1135" s="1324" t="s">
        <v>619</v>
      </c>
      <c r="C1135" s="1325" t="s">
        <v>974</v>
      </c>
      <c r="D1135" s="1312"/>
      <c r="E1135" s="1300">
        <v>63</v>
      </c>
      <c r="F1135" s="303" t="s">
        <v>1794</v>
      </c>
      <c r="G1135" s="298" t="s">
        <v>420</v>
      </c>
      <c r="H1135" s="307" t="s">
        <v>2202</v>
      </c>
      <c r="I1135" s="289"/>
      <c r="J1135" s="292"/>
      <c r="K1135" s="292"/>
      <c r="L1135" s="289">
        <v>99</v>
      </c>
      <c r="M1135" s="303">
        <f t="shared" si="55"/>
        <v>36</v>
      </c>
      <c r="N1135" s="1317">
        <v>3</v>
      </c>
      <c r="O1135" s="305" t="s">
        <v>2651</v>
      </c>
    </row>
    <row r="1136" spans="1:22" s="305" customFormat="1">
      <c r="A1136" s="306" t="s">
        <v>2199</v>
      </c>
      <c r="B1136" s="1324" t="s">
        <v>619</v>
      </c>
      <c r="C1136" s="1325" t="s">
        <v>974</v>
      </c>
      <c r="D1136" s="1312"/>
      <c r="E1136" s="1300">
        <v>69</v>
      </c>
      <c r="F1136" s="303" t="s">
        <v>1794</v>
      </c>
      <c r="G1136" s="298" t="s">
        <v>420</v>
      </c>
      <c r="H1136" s="307" t="s">
        <v>2202</v>
      </c>
      <c r="I1136" s="289"/>
      <c r="J1136" s="292"/>
      <c r="K1136" s="292"/>
      <c r="L1136" s="289">
        <v>105</v>
      </c>
      <c r="M1136" s="303">
        <f t="shared" si="55"/>
        <v>36</v>
      </c>
      <c r="N1136" s="1317">
        <v>3</v>
      </c>
      <c r="O1136" s="305" t="s">
        <v>2651</v>
      </c>
    </row>
    <row r="1137" spans="1:21" s="305" customFormat="1">
      <c r="A1137" s="306" t="s">
        <v>2200</v>
      </c>
      <c r="B1137" s="1324" t="s">
        <v>619</v>
      </c>
      <c r="C1137" s="1325" t="s">
        <v>974</v>
      </c>
      <c r="D1137" s="1312"/>
      <c r="E1137" s="1300">
        <v>77</v>
      </c>
      <c r="F1137" s="303" t="s">
        <v>1794</v>
      </c>
      <c r="G1137" s="298" t="s">
        <v>420</v>
      </c>
      <c r="H1137" s="307" t="s">
        <v>2202</v>
      </c>
      <c r="I1137" s="289"/>
      <c r="J1137" s="292"/>
      <c r="K1137" s="292"/>
      <c r="L1137" s="289">
        <v>119</v>
      </c>
      <c r="M1137" s="303">
        <f t="shared" si="55"/>
        <v>42</v>
      </c>
      <c r="N1137" s="1317">
        <v>3</v>
      </c>
      <c r="O1137" s="305" t="s">
        <v>2651</v>
      </c>
    </row>
    <row r="1138" spans="1:21" s="305" customFormat="1">
      <c r="A1138" s="306" t="s">
        <v>2201</v>
      </c>
      <c r="B1138" s="1324" t="s">
        <v>619</v>
      </c>
      <c r="C1138" s="1325" t="s">
        <v>974</v>
      </c>
      <c r="D1138" s="1312"/>
      <c r="E1138" s="1300">
        <v>83</v>
      </c>
      <c r="F1138" s="303" t="s">
        <v>1794</v>
      </c>
      <c r="G1138" s="298" t="s">
        <v>420</v>
      </c>
      <c r="H1138" s="307" t="s">
        <v>2202</v>
      </c>
      <c r="I1138" s="289"/>
      <c r="J1138" s="292"/>
      <c r="K1138" s="292"/>
      <c r="L1138" s="289">
        <v>129</v>
      </c>
      <c r="M1138" s="303">
        <f t="shared" si="55"/>
        <v>46</v>
      </c>
      <c r="N1138" s="1317">
        <v>3</v>
      </c>
      <c r="O1138" s="305" t="s">
        <v>2651</v>
      </c>
    </row>
    <row r="1139" spans="1:21" s="456" customFormat="1">
      <c r="A1139" s="698" t="s">
        <v>1960</v>
      </c>
      <c r="B1139" s="1324" t="s">
        <v>619</v>
      </c>
      <c r="C1139" s="1325" t="s">
        <v>2752</v>
      </c>
      <c r="D1139" s="1312"/>
      <c r="E1139" s="1255">
        <v>51.5</v>
      </c>
      <c r="F1139" s="303" t="s">
        <v>2754</v>
      </c>
      <c r="G1139" s="670" t="s">
        <v>420</v>
      </c>
      <c r="H1139" s="283" t="s">
        <v>2753</v>
      </c>
      <c r="I1139" s="665"/>
      <c r="J1139" s="666"/>
      <c r="K1139" s="666"/>
      <c r="L1139" s="689">
        <v>66.5</v>
      </c>
      <c r="M1139" s="681">
        <v>15</v>
      </c>
      <c r="N1139" s="706">
        <v>2</v>
      </c>
      <c r="O1139" s="480"/>
      <c r="P1139" s="479"/>
      <c r="Q1139" s="479"/>
      <c r="R1139" s="479"/>
      <c r="S1139" s="479"/>
      <c r="T1139" s="479"/>
      <c r="U1139" s="479"/>
    </row>
    <row r="1140" spans="1:21" s="456" customFormat="1">
      <c r="A1140" s="698" t="s">
        <v>1961</v>
      </c>
      <c r="B1140" s="1299" t="s">
        <v>619</v>
      </c>
      <c r="C1140" s="1297" t="s">
        <v>2752</v>
      </c>
      <c r="D1140" s="1274"/>
      <c r="E1140" s="1255">
        <v>61.5</v>
      </c>
      <c r="F1140" s="303" t="s">
        <v>2754</v>
      </c>
      <c r="G1140" s="670" t="s">
        <v>420</v>
      </c>
      <c r="H1140" s="283" t="s">
        <v>2753</v>
      </c>
      <c r="I1140" s="665"/>
      <c r="J1140" s="666"/>
      <c r="K1140" s="666"/>
      <c r="L1140" s="689">
        <v>81.5</v>
      </c>
      <c r="M1140" s="681">
        <v>20</v>
      </c>
      <c r="N1140" s="706">
        <v>2</v>
      </c>
      <c r="O1140" s="480"/>
      <c r="P1140" s="479"/>
      <c r="Q1140" s="479"/>
      <c r="R1140" s="479"/>
      <c r="S1140" s="479"/>
      <c r="T1140" s="479"/>
      <c r="U1140" s="479"/>
    </row>
    <row r="1141" spans="1:21" s="456" customFormat="1">
      <c r="A1141" s="698" t="s">
        <v>1955</v>
      </c>
      <c r="B1141" s="1299" t="s">
        <v>619</v>
      </c>
      <c r="C1141" s="1297" t="s">
        <v>2752</v>
      </c>
      <c r="D1141" s="1274"/>
      <c r="E1141" s="1255">
        <v>75.5</v>
      </c>
      <c r="F1141" s="303" t="s">
        <v>2754</v>
      </c>
      <c r="G1141" s="670" t="s">
        <v>420</v>
      </c>
      <c r="H1141" s="283" t="s">
        <v>2753</v>
      </c>
      <c r="I1141" s="665"/>
      <c r="J1141" s="666"/>
      <c r="K1141" s="666"/>
      <c r="L1141" s="689">
        <v>95.5</v>
      </c>
      <c r="M1141" s="681">
        <v>20</v>
      </c>
      <c r="N1141" s="706">
        <v>2</v>
      </c>
      <c r="O1141" s="480"/>
      <c r="P1141" s="479"/>
      <c r="Q1141" s="479"/>
      <c r="R1141" s="479"/>
      <c r="S1141" s="479"/>
      <c r="T1141" s="479"/>
      <c r="U1141" s="479"/>
    </row>
    <row r="1142" spans="1:21" s="456" customFormat="1">
      <c r="A1142" s="698" t="s">
        <v>1962</v>
      </c>
      <c r="B1142" s="1299" t="s">
        <v>619</v>
      </c>
      <c r="C1142" s="1297" t="s">
        <v>2752</v>
      </c>
      <c r="D1142" s="1274"/>
      <c r="E1142" s="1255">
        <v>81.5</v>
      </c>
      <c r="F1142" s="303" t="s">
        <v>2754</v>
      </c>
      <c r="G1142" s="670" t="s">
        <v>420</v>
      </c>
      <c r="H1142" s="283" t="s">
        <v>2753</v>
      </c>
      <c r="I1142" s="665"/>
      <c r="J1142" s="666"/>
      <c r="K1142" s="666"/>
      <c r="L1142" s="689">
        <v>101.5</v>
      </c>
      <c r="M1142" s="681">
        <v>20</v>
      </c>
      <c r="N1142" s="706">
        <v>2</v>
      </c>
      <c r="O1142" s="480"/>
      <c r="P1142" s="479"/>
      <c r="Q1142" s="479"/>
      <c r="R1142" s="479"/>
      <c r="S1142" s="479"/>
      <c r="T1142" s="479"/>
      <c r="U1142" s="479"/>
    </row>
    <row r="1143" spans="1:21" s="456" customFormat="1">
      <c r="A1143" s="698" t="s">
        <v>1959</v>
      </c>
      <c r="B1143" s="1299" t="s">
        <v>619</v>
      </c>
      <c r="C1143" s="1297" t="s">
        <v>2752</v>
      </c>
      <c r="D1143" s="1274"/>
      <c r="E1143" s="1255">
        <v>59.5</v>
      </c>
      <c r="F1143" s="303" t="s">
        <v>2754</v>
      </c>
      <c r="G1143" s="670" t="s">
        <v>420</v>
      </c>
      <c r="H1143" s="283" t="s">
        <v>2753</v>
      </c>
      <c r="I1143" s="665"/>
      <c r="J1143" s="666"/>
      <c r="K1143" s="666"/>
      <c r="L1143" s="689">
        <v>79.5</v>
      </c>
      <c r="M1143" s="681">
        <v>20</v>
      </c>
      <c r="N1143" s="706">
        <v>2</v>
      </c>
      <c r="O1143" s="480"/>
      <c r="P1143" s="479"/>
      <c r="Q1143" s="479"/>
      <c r="R1143" s="479"/>
      <c r="S1143" s="479"/>
      <c r="T1143" s="479"/>
      <c r="U1143" s="479"/>
    </row>
    <row r="1144" spans="1:21" s="456" customFormat="1">
      <c r="A1144" s="698" t="s">
        <v>1953</v>
      </c>
      <c r="B1144" s="1299" t="s">
        <v>619</v>
      </c>
      <c r="C1144" s="1297" t="s">
        <v>2752</v>
      </c>
      <c r="D1144" s="1274"/>
      <c r="E1144" s="1255">
        <v>49.5</v>
      </c>
      <c r="F1144" s="303" t="s">
        <v>2754</v>
      </c>
      <c r="G1144" s="670" t="s">
        <v>420</v>
      </c>
      <c r="H1144" s="283" t="s">
        <v>2753</v>
      </c>
      <c r="I1144" s="665"/>
      <c r="J1144" s="666"/>
      <c r="K1144" s="666"/>
      <c r="L1144" s="689">
        <v>64.5</v>
      </c>
      <c r="M1144" s="681">
        <v>15</v>
      </c>
      <c r="N1144" s="706">
        <v>2</v>
      </c>
      <c r="O1144" s="480"/>
      <c r="P1144" s="479"/>
      <c r="Q1144" s="479"/>
      <c r="R1144" s="479"/>
      <c r="S1144" s="479"/>
      <c r="T1144" s="479"/>
      <c r="U1144" s="479"/>
    </row>
    <row r="1145" spans="1:21" s="456" customFormat="1">
      <c r="A1145" s="1809"/>
      <c r="B1145" s="1791" t="s">
        <v>619</v>
      </c>
      <c r="C1145" s="1792" t="s">
        <v>1444</v>
      </c>
      <c r="D1145" s="1793"/>
      <c r="E1145" s="1803"/>
      <c r="F1145" s="1804"/>
      <c r="G1145" s="1810"/>
      <c r="H1145" s="1805"/>
      <c r="I1145" s="1806"/>
      <c r="J1145" s="1807"/>
      <c r="K1145" s="1807"/>
      <c r="L1145" s="1806"/>
      <c r="M1145" s="1804"/>
      <c r="N1145" s="1808"/>
      <c r="O1145" s="480"/>
      <c r="P1145" s="479"/>
      <c r="Q1145" s="479"/>
      <c r="R1145" s="479"/>
      <c r="S1145" s="479"/>
      <c r="T1145" s="479"/>
      <c r="U1145" s="479"/>
    </row>
    <row r="1146" spans="1:21" s="456" customFormat="1">
      <c r="A1146" s="1809"/>
      <c r="B1146" s="1791" t="s">
        <v>619</v>
      </c>
      <c r="C1146" s="1792" t="s">
        <v>1444</v>
      </c>
      <c r="D1146" s="1793"/>
      <c r="E1146" s="1803"/>
      <c r="F1146" s="1804"/>
      <c r="G1146" s="1810"/>
      <c r="H1146" s="1805"/>
      <c r="I1146" s="1806"/>
      <c r="J1146" s="1807"/>
      <c r="K1146" s="1807"/>
      <c r="L1146" s="1806"/>
      <c r="M1146" s="1804"/>
      <c r="N1146" s="1808"/>
      <c r="O1146" s="480"/>
      <c r="P1146" s="479"/>
      <c r="Q1146" s="479"/>
      <c r="R1146" s="479"/>
      <c r="S1146" s="479"/>
      <c r="T1146" s="479"/>
      <c r="U1146" s="479"/>
    </row>
    <row r="1147" spans="1:21" s="456" customFormat="1">
      <c r="A1147" s="1809"/>
      <c r="B1147" s="1791" t="s">
        <v>619</v>
      </c>
      <c r="C1147" s="1792" t="s">
        <v>1445</v>
      </c>
      <c r="D1147" s="1793"/>
      <c r="E1147" s="1803"/>
      <c r="F1147" s="1804"/>
      <c r="G1147" s="1810"/>
      <c r="H1147" s="1805"/>
      <c r="I1147" s="1806"/>
      <c r="J1147" s="1807"/>
      <c r="K1147" s="1807"/>
      <c r="L1147" s="1806"/>
      <c r="M1147" s="1804"/>
      <c r="N1147" s="1808"/>
      <c r="O1147" s="649"/>
      <c r="P1147" s="479"/>
      <c r="Q1147" s="479"/>
      <c r="R1147" s="479"/>
      <c r="S1147" s="479"/>
      <c r="T1147" s="479"/>
      <c r="U1147" s="479"/>
    </row>
    <row r="1148" spans="1:21" s="456" customFormat="1">
      <c r="A1148" s="1809"/>
      <c r="B1148" s="1791" t="s">
        <v>619</v>
      </c>
      <c r="C1148" s="1792" t="s">
        <v>1445</v>
      </c>
      <c r="D1148" s="1793"/>
      <c r="E1148" s="1803"/>
      <c r="F1148" s="1804"/>
      <c r="G1148" s="1810"/>
      <c r="H1148" s="1805"/>
      <c r="I1148" s="1806"/>
      <c r="J1148" s="1807"/>
      <c r="K1148" s="1807"/>
      <c r="L1148" s="1806"/>
      <c r="M1148" s="1804"/>
      <c r="N1148" s="1808"/>
      <c r="O1148" s="649"/>
      <c r="P1148" s="479"/>
      <c r="Q1148" s="479"/>
      <c r="R1148" s="479"/>
      <c r="S1148" s="479"/>
      <c r="T1148" s="479"/>
      <c r="U1148" s="479"/>
    </row>
    <row r="1149" spans="1:21" s="456" customFormat="1">
      <c r="A1149" s="698" t="s">
        <v>1950</v>
      </c>
      <c r="B1149" s="1299" t="s">
        <v>619</v>
      </c>
      <c r="C1149" s="1297" t="s">
        <v>1958</v>
      </c>
      <c r="D1149" s="1298"/>
      <c r="E1149" s="1296">
        <v>54.5</v>
      </c>
      <c r="F1149" s="699"/>
      <c r="G1149" s="682"/>
      <c r="H1149" s="307"/>
      <c r="I1149" s="701"/>
      <c r="J1149" s="697"/>
      <c r="K1149" s="697"/>
      <c r="L1149" s="701">
        <v>69.5</v>
      </c>
      <c r="M1149" s="699">
        <v>15</v>
      </c>
      <c r="N1149" s="673"/>
      <c r="O1149" s="711" t="s">
        <v>1956</v>
      </c>
      <c r="P1149" s="479"/>
      <c r="Q1149" s="479"/>
      <c r="R1149" s="479"/>
      <c r="S1149" s="479"/>
      <c r="T1149" s="479"/>
      <c r="U1149" s="479"/>
    </row>
    <row r="1150" spans="1:21" s="456" customFormat="1">
      <c r="A1150" s="698" t="s">
        <v>1959</v>
      </c>
      <c r="B1150" s="1299" t="s">
        <v>619</v>
      </c>
      <c r="C1150" s="1297" t="s">
        <v>1958</v>
      </c>
      <c r="D1150" s="1298"/>
      <c r="E1150" s="1296">
        <v>57.5</v>
      </c>
      <c r="F1150" s="699"/>
      <c r="G1150" s="682"/>
      <c r="H1150" s="700"/>
      <c r="I1150" s="701"/>
      <c r="J1150" s="697"/>
      <c r="K1150" s="697"/>
      <c r="L1150" s="701">
        <v>72.5</v>
      </c>
      <c r="M1150" s="699">
        <v>15</v>
      </c>
      <c r="N1150" s="673"/>
      <c r="O1150" s="711" t="s">
        <v>1956</v>
      </c>
      <c r="P1150" s="479"/>
      <c r="Q1150" s="479"/>
      <c r="R1150" s="479"/>
      <c r="S1150" s="479"/>
      <c r="T1150" s="479"/>
      <c r="U1150" s="479"/>
    </row>
    <row r="1151" spans="1:21" s="456" customFormat="1">
      <c r="A1151" s="2441" t="s">
        <v>4141</v>
      </c>
      <c r="B1151" s="2438" t="s">
        <v>619</v>
      </c>
      <c r="C1151" s="2439" t="s">
        <v>4142</v>
      </c>
      <c r="D1151" s="2440"/>
      <c r="E1151" s="2445">
        <v>42.9</v>
      </c>
      <c r="F1151" s="371"/>
      <c r="G1151" s="280" t="s">
        <v>4146</v>
      </c>
      <c r="H1151" s="372">
        <v>1.5</v>
      </c>
      <c r="I1151" s="2417" t="s">
        <v>1803</v>
      </c>
      <c r="J1151" s="1807"/>
      <c r="K1151" s="1807"/>
      <c r="L1151" s="2417">
        <v>56.1</v>
      </c>
      <c r="M1151" s="371">
        <f>L1151-E1151</f>
        <v>13.200000000000003</v>
      </c>
      <c r="N1151" s="2466">
        <v>2</v>
      </c>
      <c r="O1151" s="646" t="s">
        <v>4148</v>
      </c>
      <c r="P1151" s="479"/>
      <c r="Q1151" s="490" t="s">
        <v>4149</v>
      </c>
      <c r="R1151" s="479"/>
      <c r="S1151" s="479"/>
      <c r="T1151" s="479"/>
      <c r="U1151" s="479"/>
    </row>
    <row r="1152" spans="1:21" s="456" customFormat="1">
      <c r="A1152" s="2441" t="s">
        <v>4143</v>
      </c>
      <c r="B1152" s="2438" t="s">
        <v>619</v>
      </c>
      <c r="C1152" s="2439" t="s">
        <v>4142</v>
      </c>
      <c r="D1152" s="2440"/>
      <c r="E1152" s="2445">
        <v>51.7</v>
      </c>
      <c r="F1152" s="371"/>
      <c r="G1152" s="280" t="s">
        <v>4146</v>
      </c>
      <c r="H1152" s="372">
        <v>1.5</v>
      </c>
      <c r="I1152" s="2417" t="s">
        <v>1803</v>
      </c>
      <c r="J1152" s="1807"/>
      <c r="K1152" s="1807"/>
      <c r="L1152" s="2417">
        <v>64.900000000000006</v>
      </c>
      <c r="M1152" s="371">
        <f>L1152-E1152</f>
        <v>13.200000000000003</v>
      </c>
      <c r="N1152" s="2466">
        <v>2</v>
      </c>
      <c r="O1152" s="646" t="s">
        <v>4148</v>
      </c>
      <c r="P1152" s="479"/>
      <c r="Q1152" s="490" t="s">
        <v>4149</v>
      </c>
      <c r="R1152" s="479"/>
      <c r="S1152" s="479"/>
      <c r="T1152" s="479"/>
      <c r="U1152" s="479"/>
    </row>
    <row r="1153" spans="1:21" s="456" customFormat="1">
      <c r="A1153" s="2441" t="s">
        <v>4144</v>
      </c>
      <c r="B1153" s="2438" t="s">
        <v>619</v>
      </c>
      <c r="C1153" s="2439" t="s">
        <v>4142</v>
      </c>
      <c r="D1153" s="2440"/>
      <c r="E1153" s="2445">
        <v>69.3</v>
      </c>
      <c r="F1153" s="371"/>
      <c r="G1153" s="280" t="s">
        <v>4146</v>
      </c>
      <c r="H1153" s="372">
        <v>1.5</v>
      </c>
      <c r="I1153" s="2417" t="s">
        <v>1803</v>
      </c>
      <c r="J1153" s="1807"/>
      <c r="K1153" s="1807"/>
      <c r="L1153" s="2417">
        <v>85</v>
      </c>
      <c r="M1153" s="371">
        <f>L1153-E1153</f>
        <v>15.700000000000003</v>
      </c>
      <c r="N1153" s="2466">
        <v>2</v>
      </c>
      <c r="O1153" s="646" t="s">
        <v>4148</v>
      </c>
      <c r="P1153" s="479"/>
      <c r="Q1153" s="490" t="s">
        <v>4149</v>
      </c>
      <c r="R1153" s="479"/>
      <c r="S1153" s="479"/>
      <c r="T1153" s="479"/>
      <c r="U1153" s="479"/>
    </row>
    <row r="1154" spans="1:21" s="456" customFormat="1">
      <c r="A1154" s="2441" t="s">
        <v>4145</v>
      </c>
      <c r="B1154" s="2438" t="s">
        <v>619</v>
      </c>
      <c r="C1154" s="2439" t="s">
        <v>4142</v>
      </c>
      <c r="D1154" s="2440"/>
      <c r="E1154" s="2445">
        <v>75.900000000000006</v>
      </c>
      <c r="F1154" s="371"/>
      <c r="G1154" s="280" t="s">
        <v>4146</v>
      </c>
      <c r="H1154" s="372">
        <v>1.5</v>
      </c>
      <c r="I1154" s="2417" t="s">
        <v>1803</v>
      </c>
      <c r="J1154" s="697"/>
      <c r="K1154" s="697"/>
      <c r="L1154" s="2417">
        <v>92</v>
      </c>
      <c r="M1154" s="371">
        <f>L1154-E1154</f>
        <v>16.099999999999994</v>
      </c>
      <c r="N1154" s="2466">
        <v>2</v>
      </c>
      <c r="O1154" s="646" t="s">
        <v>4148</v>
      </c>
      <c r="P1154" s="479"/>
      <c r="Q1154" s="490" t="s">
        <v>4149</v>
      </c>
      <c r="R1154" s="479"/>
      <c r="S1154" s="479"/>
      <c r="T1154" s="479"/>
      <c r="U1154" s="479"/>
    </row>
    <row r="1155" spans="1:21" s="456" customFormat="1">
      <c r="A1155" s="2441" t="s">
        <v>4147</v>
      </c>
      <c r="B1155" s="2438" t="s">
        <v>619</v>
      </c>
      <c r="C1155" s="2439" t="s">
        <v>4142</v>
      </c>
      <c r="D1155" s="2440"/>
      <c r="E1155" s="2445">
        <v>90.2</v>
      </c>
      <c r="F1155" s="371"/>
      <c r="G1155" s="280" t="s">
        <v>4146</v>
      </c>
      <c r="H1155" s="372">
        <v>1.5</v>
      </c>
      <c r="I1155" s="2417" t="s">
        <v>1803</v>
      </c>
      <c r="J1155" s="697"/>
      <c r="K1155" s="697"/>
      <c r="L1155" s="2417">
        <v>106</v>
      </c>
      <c r="M1155" s="371">
        <f>L1155-E1155</f>
        <v>15.799999999999997</v>
      </c>
      <c r="N1155" s="2466">
        <v>2</v>
      </c>
      <c r="O1155" s="646" t="s">
        <v>4148</v>
      </c>
      <c r="P1155" s="479"/>
      <c r="Q1155" s="490" t="s">
        <v>4149</v>
      </c>
      <c r="R1155" s="479"/>
      <c r="S1155" s="479"/>
      <c r="T1155" s="479"/>
      <c r="U1155" s="479"/>
    </row>
    <row r="1156" spans="1:21" s="791" customFormat="1">
      <c r="A1156" s="795" t="s">
        <v>401</v>
      </c>
      <c r="B1156" s="1301" t="s">
        <v>621</v>
      </c>
      <c r="C1156" s="1302" t="s">
        <v>691</v>
      </c>
      <c r="D1156" s="1303"/>
      <c r="E1156" s="1304">
        <v>34</v>
      </c>
      <c r="F1156" s="800"/>
      <c r="G1156" s="814">
        <v>14</v>
      </c>
      <c r="H1156" s="812"/>
      <c r="I1156" s="801"/>
      <c r="J1156" s="794"/>
      <c r="K1156" s="794"/>
      <c r="L1156" s="801">
        <v>53</v>
      </c>
      <c r="M1156" s="800">
        <v>19</v>
      </c>
      <c r="N1156" s="802">
        <v>2</v>
      </c>
      <c r="O1156" s="803" t="s">
        <v>1793</v>
      </c>
      <c r="P1156" s="798"/>
      <c r="Q1156" s="798"/>
      <c r="R1156" s="798"/>
      <c r="S1156" s="798"/>
      <c r="T1156" s="798"/>
      <c r="U1156" s="798"/>
    </row>
    <row r="1157" spans="1:21" s="791" customFormat="1">
      <c r="A1157" s="795" t="s">
        <v>1791</v>
      </c>
      <c r="B1157" s="1301" t="s">
        <v>621</v>
      </c>
      <c r="C1157" s="1302" t="s">
        <v>691</v>
      </c>
      <c r="D1157" s="1303"/>
      <c r="E1157" s="1304">
        <v>39</v>
      </c>
      <c r="F1157" s="800"/>
      <c r="G1157" s="814">
        <v>14</v>
      </c>
      <c r="H1157" s="812"/>
      <c r="I1157" s="801"/>
      <c r="J1157" s="794"/>
      <c r="K1157" s="794"/>
      <c r="L1157" s="801">
        <v>61</v>
      </c>
      <c r="M1157" s="800">
        <v>22</v>
      </c>
      <c r="N1157" s="802">
        <v>2</v>
      </c>
      <c r="O1157" s="803" t="s">
        <v>1793</v>
      </c>
      <c r="P1157" s="798"/>
      <c r="Q1157" s="798"/>
      <c r="R1157" s="798"/>
      <c r="S1157" s="798"/>
      <c r="T1157" s="798"/>
      <c r="U1157" s="798"/>
    </row>
    <row r="1158" spans="1:21" s="791" customFormat="1">
      <c r="A1158" s="795" t="s">
        <v>1792</v>
      </c>
      <c r="B1158" s="1301" t="s">
        <v>621</v>
      </c>
      <c r="C1158" s="1302" t="s">
        <v>691</v>
      </c>
      <c r="D1158" s="1303"/>
      <c r="E1158" s="1304">
        <v>41</v>
      </c>
      <c r="F1158" s="800"/>
      <c r="G1158" s="814">
        <v>14</v>
      </c>
      <c r="H1158" s="812"/>
      <c r="I1158" s="801"/>
      <c r="J1158" s="794"/>
      <c r="K1158" s="794"/>
      <c r="L1158" s="801">
        <v>71</v>
      </c>
      <c r="M1158" s="800">
        <v>30</v>
      </c>
      <c r="N1158" s="802">
        <v>2</v>
      </c>
      <c r="O1158" s="803" t="s">
        <v>1793</v>
      </c>
      <c r="P1158" s="798"/>
      <c r="Q1158" s="798"/>
      <c r="R1158" s="798"/>
      <c r="S1158" s="798"/>
      <c r="T1158" s="798"/>
      <c r="U1158" s="798"/>
    </row>
    <row r="1159" spans="1:21" s="791" customFormat="1">
      <c r="A1159" s="795" t="s">
        <v>447</v>
      </c>
      <c r="B1159" s="1301" t="s">
        <v>621</v>
      </c>
      <c r="C1159" s="1302" t="s">
        <v>691</v>
      </c>
      <c r="D1159" s="1277"/>
      <c r="E1159" s="1278">
        <v>49</v>
      </c>
      <c r="F1159" s="800"/>
      <c r="G1159" s="809">
        <v>14</v>
      </c>
      <c r="H1159" s="786"/>
      <c r="I1159" s="787"/>
      <c r="J1159" s="788"/>
      <c r="K1159" s="788"/>
      <c r="L1159" s="787">
        <v>79</v>
      </c>
      <c r="M1159" s="785">
        <v>30</v>
      </c>
      <c r="N1159" s="797">
        <v>2</v>
      </c>
      <c r="O1159" s="803" t="s">
        <v>1793</v>
      </c>
      <c r="P1159" s="798"/>
      <c r="Q1159" s="798"/>
      <c r="R1159" s="798"/>
      <c r="S1159" s="798"/>
      <c r="T1159" s="798"/>
      <c r="U1159" s="798"/>
    </row>
    <row r="1160" spans="1:21" s="791" customFormat="1">
      <c r="A1160" s="799" t="s">
        <v>415</v>
      </c>
      <c r="B1160" s="1301" t="s">
        <v>621</v>
      </c>
      <c r="C1160" s="1302" t="s">
        <v>691</v>
      </c>
      <c r="D1160" s="1277"/>
      <c r="E1160" s="1278">
        <v>59</v>
      </c>
      <c r="F1160" s="800"/>
      <c r="G1160" s="809">
        <v>14</v>
      </c>
      <c r="H1160" s="786"/>
      <c r="I1160" s="787" t="s">
        <v>1104</v>
      </c>
      <c r="J1160" s="788"/>
      <c r="K1160" s="788"/>
      <c r="L1160" s="787">
        <v>86</v>
      </c>
      <c r="M1160" s="303">
        <f t="shared" ref="M1160:M1167" si="56">L1160-E1160</f>
        <v>27</v>
      </c>
      <c r="N1160" s="797">
        <v>2</v>
      </c>
      <c r="O1160" s="803" t="s">
        <v>1793</v>
      </c>
      <c r="P1160" s="798"/>
      <c r="Q1160" s="798"/>
      <c r="R1160" s="798"/>
      <c r="S1160" s="798"/>
      <c r="T1160" s="798"/>
      <c r="U1160" s="798"/>
    </row>
    <row r="1161" spans="1:21" s="305" customFormat="1">
      <c r="A1161" s="2416" t="s">
        <v>4489</v>
      </c>
      <c r="B1161" s="1868" t="s">
        <v>621</v>
      </c>
      <c r="C1161" s="1869" t="s">
        <v>622</v>
      </c>
      <c r="D1161" s="1326"/>
      <c r="E1161" s="1872">
        <v>56</v>
      </c>
      <c r="F1161" s="303"/>
      <c r="G1161" s="1852" t="s">
        <v>420</v>
      </c>
      <c r="H1161" s="307"/>
      <c r="I1161" s="1871">
        <v>1.5</v>
      </c>
      <c r="J1161" s="2410" t="s">
        <v>206</v>
      </c>
      <c r="K1161" s="290"/>
      <c r="L1161" s="1871">
        <v>90</v>
      </c>
      <c r="M1161" s="1875">
        <f t="shared" si="56"/>
        <v>34</v>
      </c>
      <c r="N1161" s="1329">
        <v>2</v>
      </c>
      <c r="O1161" s="645"/>
    </row>
    <row r="1162" spans="1:21" s="305" customFormat="1">
      <c r="A1162" s="2416" t="s">
        <v>4488</v>
      </c>
      <c r="B1162" s="1868" t="s">
        <v>621</v>
      </c>
      <c r="C1162" s="1869" t="s">
        <v>622</v>
      </c>
      <c r="D1162" s="1326"/>
      <c r="E1162" s="1872">
        <v>61</v>
      </c>
      <c r="F1162" s="303"/>
      <c r="G1162" s="1852" t="s">
        <v>420</v>
      </c>
      <c r="H1162" s="307"/>
      <c r="I1162" s="1871">
        <v>1.5</v>
      </c>
      <c r="J1162" s="2410" t="s">
        <v>206</v>
      </c>
      <c r="K1162" s="290"/>
      <c r="L1162" s="1871">
        <v>98</v>
      </c>
      <c r="M1162" s="1875">
        <f t="shared" si="56"/>
        <v>37</v>
      </c>
      <c r="N1162" s="1329">
        <v>2</v>
      </c>
      <c r="O1162" s="645"/>
    </row>
    <row r="1163" spans="1:21" s="305" customFormat="1">
      <c r="A1163" s="2416" t="s">
        <v>4487</v>
      </c>
      <c r="B1163" s="1868" t="s">
        <v>621</v>
      </c>
      <c r="C1163" s="1869" t="s">
        <v>622</v>
      </c>
      <c r="D1163" s="1312"/>
      <c r="E1163" s="1851">
        <v>74</v>
      </c>
      <c r="F1163" s="303"/>
      <c r="G1163" s="1852" t="s">
        <v>420</v>
      </c>
      <c r="H1163" s="283"/>
      <c r="I1163" s="1871">
        <v>1.5</v>
      </c>
      <c r="J1163" s="2410" t="s">
        <v>206</v>
      </c>
      <c r="K1163" s="292"/>
      <c r="L1163" s="665">
        <v>118</v>
      </c>
      <c r="M1163" s="1875">
        <f t="shared" si="56"/>
        <v>44</v>
      </c>
      <c r="N1163" s="1317">
        <v>2</v>
      </c>
      <c r="O1163" s="645"/>
    </row>
    <row r="1164" spans="1:21" s="305" customFormat="1">
      <c r="A1164" s="2432" t="s">
        <v>4486</v>
      </c>
      <c r="B1164" s="1868" t="s">
        <v>621</v>
      </c>
      <c r="C1164" s="1869" t="s">
        <v>622</v>
      </c>
      <c r="D1164" s="1312"/>
      <c r="E1164" s="1851">
        <v>79</v>
      </c>
      <c r="F1164" s="303"/>
      <c r="G1164" s="1852" t="s">
        <v>420</v>
      </c>
      <c r="H1164" s="283"/>
      <c r="I1164" s="1871">
        <v>1.5</v>
      </c>
      <c r="J1164" s="2410" t="s">
        <v>206</v>
      </c>
      <c r="K1164" s="292"/>
      <c r="L1164" s="665">
        <v>126</v>
      </c>
      <c r="M1164" s="1875">
        <f t="shared" si="56"/>
        <v>47</v>
      </c>
      <c r="N1164" s="1317">
        <v>2</v>
      </c>
      <c r="O1164" s="645"/>
    </row>
    <row r="1165" spans="1:21" s="305" customFormat="1">
      <c r="A1165" s="2416" t="s">
        <v>4479</v>
      </c>
      <c r="B1165" s="1868" t="s">
        <v>621</v>
      </c>
      <c r="C1165" s="1869" t="s">
        <v>623</v>
      </c>
      <c r="D1165" s="1326"/>
      <c r="E1165" s="1872">
        <v>37</v>
      </c>
      <c r="F1165" s="303"/>
      <c r="G1165" s="303">
        <v>12</v>
      </c>
      <c r="H1165" s="307"/>
      <c r="I1165" s="1871">
        <v>1.5</v>
      </c>
      <c r="J1165" s="2410" t="s">
        <v>206</v>
      </c>
      <c r="K1165" s="290"/>
      <c r="L1165" s="1871">
        <v>59</v>
      </c>
      <c r="M1165" s="1875">
        <f t="shared" si="56"/>
        <v>22</v>
      </c>
      <c r="N1165" s="1329">
        <v>2</v>
      </c>
    </row>
    <row r="1166" spans="1:21" s="305" customFormat="1">
      <c r="A1166" s="2416" t="s">
        <v>4480</v>
      </c>
      <c r="B1166" s="1868" t="s">
        <v>621</v>
      </c>
      <c r="C1166" s="1869" t="s">
        <v>623</v>
      </c>
      <c r="D1166" s="1312"/>
      <c r="E1166" s="1851">
        <v>46</v>
      </c>
      <c r="F1166" s="303"/>
      <c r="G1166" s="303">
        <v>12</v>
      </c>
      <c r="H1166" s="283"/>
      <c r="I1166" s="1871">
        <v>1.5</v>
      </c>
      <c r="J1166" s="2410" t="s">
        <v>206</v>
      </c>
      <c r="K1166" s="292"/>
      <c r="L1166" s="665">
        <v>74</v>
      </c>
      <c r="M1166" s="1875">
        <f t="shared" si="56"/>
        <v>28</v>
      </c>
      <c r="N1166" s="1317">
        <v>2</v>
      </c>
    </row>
    <row r="1167" spans="1:21" s="305" customFormat="1">
      <c r="A1167" s="2432" t="s">
        <v>4485</v>
      </c>
      <c r="B1167" s="1868" t="s">
        <v>621</v>
      </c>
      <c r="C1167" s="1869" t="s">
        <v>623</v>
      </c>
      <c r="D1167" s="1312"/>
      <c r="E1167" s="1851">
        <v>50</v>
      </c>
      <c r="F1167" s="303"/>
      <c r="G1167" s="303">
        <v>12</v>
      </c>
      <c r="H1167" s="283"/>
      <c r="I1167" s="1871">
        <v>1.5</v>
      </c>
      <c r="J1167" s="2410" t="s">
        <v>206</v>
      </c>
      <c r="K1167" s="292"/>
      <c r="L1167" s="665">
        <v>80</v>
      </c>
      <c r="M1167" s="1875">
        <f t="shared" si="56"/>
        <v>30</v>
      </c>
      <c r="N1167" s="1317">
        <v>2</v>
      </c>
    </row>
    <row r="1168" spans="1:21" s="305" customFormat="1">
      <c r="A1168" s="2416" t="s">
        <v>4479</v>
      </c>
      <c r="B1168" s="1868" t="s">
        <v>621</v>
      </c>
      <c r="C1168" s="1869" t="s">
        <v>4481</v>
      </c>
      <c r="D1168" s="1870"/>
      <c r="E1168" s="1872">
        <v>27</v>
      </c>
      <c r="F1168" s="303"/>
      <c r="G1168" s="1875" t="s">
        <v>4140</v>
      </c>
      <c r="H1168" s="2492"/>
      <c r="I1168" s="1871">
        <v>1.5</v>
      </c>
      <c r="J1168" s="2410" t="s">
        <v>206</v>
      </c>
      <c r="K1168" s="1328"/>
      <c r="L1168" s="1871">
        <v>36</v>
      </c>
      <c r="M1168" s="1875">
        <f t="shared" ref="M1168:M1173" si="57">L1168-E1168</f>
        <v>9</v>
      </c>
      <c r="N1168" s="1329">
        <v>2</v>
      </c>
    </row>
    <row r="1169" spans="1:21" s="305" customFormat="1">
      <c r="A1169" s="2416" t="s">
        <v>4480</v>
      </c>
      <c r="B1169" s="1868" t="s">
        <v>621</v>
      </c>
      <c r="C1169" s="1869" t="s">
        <v>4481</v>
      </c>
      <c r="D1169" s="1281"/>
      <c r="E1169" s="1851">
        <v>37</v>
      </c>
      <c r="F1169" s="303"/>
      <c r="G1169" s="1875" t="s">
        <v>4140</v>
      </c>
      <c r="H1169" s="2492"/>
      <c r="I1169" s="1871">
        <v>1.5</v>
      </c>
      <c r="J1169" s="2410" t="s">
        <v>206</v>
      </c>
      <c r="K1169" s="293"/>
      <c r="L1169" s="665">
        <v>50</v>
      </c>
      <c r="M1169" s="1875">
        <f t="shared" si="57"/>
        <v>13</v>
      </c>
      <c r="N1169" s="1317">
        <v>2</v>
      </c>
    </row>
    <row r="1170" spans="1:21" s="305" customFormat="1">
      <c r="A1170" s="2432" t="s">
        <v>4485</v>
      </c>
      <c r="B1170" s="1868" t="s">
        <v>621</v>
      </c>
      <c r="C1170" s="1869" t="s">
        <v>4483</v>
      </c>
      <c r="D1170" s="1281"/>
      <c r="E1170" s="1851">
        <v>39</v>
      </c>
      <c r="F1170" s="303"/>
      <c r="G1170" s="1875" t="s">
        <v>4140</v>
      </c>
      <c r="H1170" s="2492"/>
      <c r="I1170" s="1871">
        <v>1.5</v>
      </c>
      <c r="J1170" s="2410" t="s">
        <v>206</v>
      </c>
      <c r="K1170" s="293"/>
      <c r="L1170" s="665">
        <v>53</v>
      </c>
      <c r="M1170" s="1875">
        <f t="shared" si="57"/>
        <v>14</v>
      </c>
      <c r="N1170" s="1317">
        <v>2</v>
      </c>
    </row>
    <row r="1171" spans="1:21" s="305" customFormat="1">
      <c r="A1171" s="2432" t="s">
        <v>4484</v>
      </c>
      <c r="B1171" s="1868" t="s">
        <v>621</v>
      </c>
      <c r="C1171" s="1869" t="s">
        <v>4482</v>
      </c>
      <c r="D1171" s="1870"/>
      <c r="E1171" s="1872">
        <v>28</v>
      </c>
      <c r="F1171" s="2492" t="s">
        <v>1528</v>
      </c>
      <c r="G1171" s="1875" t="s">
        <v>4140</v>
      </c>
      <c r="H1171" s="2492"/>
      <c r="I1171" s="1871">
        <v>1.5</v>
      </c>
      <c r="J1171" s="2410" t="s">
        <v>206</v>
      </c>
      <c r="K1171" s="1328"/>
      <c r="L1171" s="1871">
        <v>45</v>
      </c>
      <c r="M1171" s="1875">
        <f t="shared" si="57"/>
        <v>17</v>
      </c>
      <c r="N1171" s="1329"/>
    </row>
    <row r="1172" spans="1:21" s="305" customFormat="1">
      <c r="A1172" s="2416" t="s">
        <v>4480</v>
      </c>
      <c r="B1172" s="1868" t="s">
        <v>621</v>
      </c>
      <c r="C1172" s="1869" t="s">
        <v>4482</v>
      </c>
      <c r="D1172" s="1870"/>
      <c r="E1172" s="1872">
        <v>38</v>
      </c>
      <c r="F1172" s="2492" t="s">
        <v>1528</v>
      </c>
      <c r="G1172" s="1875" t="s">
        <v>4140</v>
      </c>
      <c r="H1172" s="2492"/>
      <c r="I1172" s="1871">
        <v>1.5</v>
      </c>
      <c r="J1172" s="2410" t="s">
        <v>206</v>
      </c>
      <c r="K1172" s="1328"/>
      <c r="L1172" s="1871">
        <v>61</v>
      </c>
      <c r="M1172" s="1875">
        <f t="shared" si="57"/>
        <v>23</v>
      </c>
      <c r="N1172" s="1329"/>
    </row>
    <row r="1173" spans="1:21" s="305" customFormat="1">
      <c r="A1173" s="2432" t="s">
        <v>4485</v>
      </c>
      <c r="B1173" s="1868" t="s">
        <v>621</v>
      </c>
      <c r="C1173" s="1869" t="s">
        <v>4482</v>
      </c>
      <c r="D1173" s="1870"/>
      <c r="E1173" s="1872">
        <v>40</v>
      </c>
      <c r="F1173" s="2492" t="s">
        <v>1528</v>
      </c>
      <c r="G1173" s="1875" t="s">
        <v>4140</v>
      </c>
      <c r="H1173" s="2492"/>
      <c r="I1173" s="1871">
        <v>1.5</v>
      </c>
      <c r="J1173" s="2410" t="s">
        <v>206</v>
      </c>
      <c r="K1173" s="1328"/>
      <c r="L1173" s="1871">
        <v>64</v>
      </c>
      <c r="M1173" s="1875">
        <f t="shared" si="57"/>
        <v>24</v>
      </c>
      <c r="N1173" s="1329"/>
    </row>
    <row r="1174" spans="1:21" s="688" customFormat="1">
      <c r="A1174" s="698" t="s">
        <v>1529</v>
      </c>
      <c r="B1174" s="1299" t="s">
        <v>621</v>
      </c>
      <c r="C1174" s="1297" t="s">
        <v>1530</v>
      </c>
      <c r="D1174" s="1298"/>
      <c r="E1174" s="1296">
        <v>28</v>
      </c>
      <c r="F1174" s="699"/>
      <c r="G1174" s="699">
        <v>12</v>
      </c>
      <c r="H1174" s="704" t="s">
        <v>1531</v>
      </c>
      <c r="I1174" s="704"/>
      <c r="J1174" s="704"/>
      <c r="K1174" s="704"/>
      <c r="L1174" s="701">
        <v>49</v>
      </c>
      <c r="M1174" s="699">
        <v>11</v>
      </c>
      <c r="N1174" s="702">
        <v>1</v>
      </c>
      <c r="O1174" s="688" t="s">
        <v>1532</v>
      </c>
    </row>
    <row r="1175" spans="1:21" s="688" customFormat="1">
      <c r="A1175" s="698" t="s">
        <v>1533</v>
      </c>
      <c r="B1175" s="1299" t="s">
        <v>621</v>
      </c>
      <c r="C1175" s="1297" t="s">
        <v>1530</v>
      </c>
      <c r="D1175" s="1274"/>
      <c r="E1175" s="1255">
        <v>32.5</v>
      </c>
      <c r="F1175" s="699"/>
      <c r="G1175" s="681">
        <v>12</v>
      </c>
      <c r="H1175" s="704" t="s">
        <v>1531</v>
      </c>
      <c r="I1175" s="682"/>
      <c r="J1175" s="682"/>
      <c r="K1175" s="682"/>
      <c r="L1175" s="689">
        <v>55</v>
      </c>
      <c r="M1175" s="681">
        <v>22.5</v>
      </c>
      <c r="N1175" s="686">
        <v>1</v>
      </c>
      <c r="O1175" s="688" t="s">
        <v>1532</v>
      </c>
    </row>
    <row r="1176" spans="1:21" s="305" customFormat="1">
      <c r="A1176" s="2441" t="s">
        <v>4134</v>
      </c>
      <c r="B1176" s="2438" t="s">
        <v>621</v>
      </c>
      <c r="C1176" s="2439" t="s">
        <v>4643</v>
      </c>
      <c r="D1176" s="1312"/>
      <c r="E1176" s="1877">
        <v>42.5</v>
      </c>
      <c r="F1176" s="445" t="s">
        <v>1532</v>
      </c>
      <c r="G1176" s="2509" t="s">
        <v>4645</v>
      </c>
      <c r="H1176" s="2465" t="s">
        <v>1534</v>
      </c>
      <c r="I1176" s="293"/>
      <c r="J1176" s="293"/>
      <c r="K1176" s="293"/>
      <c r="L1176" s="277">
        <v>69.5</v>
      </c>
      <c r="M1176" s="371">
        <f t="shared" ref="M1176:M1182" si="58">L1176-E1176</f>
        <v>27</v>
      </c>
      <c r="N1176" s="2474">
        <v>2</v>
      </c>
      <c r="O1176" s="445"/>
      <c r="Q1176" s="2436" t="s">
        <v>3953</v>
      </c>
      <c r="S1176" s="2436" t="s">
        <v>4139</v>
      </c>
    </row>
    <row r="1177" spans="1:21" s="305" customFormat="1">
      <c r="A1177" s="2441" t="s">
        <v>4135</v>
      </c>
      <c r="B1177" s="2438" t="s">
        <v>621</v>
      </c>
      <c r="C1177" s="2439" t="s">
        <v>4644</v>
      </c>
      <c r="D1177" s="1312"/>
      <c r="E1177" s="1877">
        <v>48.5</v>
      </c>
      <c r="F1177" s="445" t="s">
        <v>1532</v>
      </c>
      <c r="G1177" s="2509" t="s">
        <v>4645</v>
      </c>
      <c r="H1177" s="2465" t="s">
        <v>1534</v>
      </c>
      <c r="I1177" s="293"/>
      <c r="J1177" s="293"/>
      <c r="K1177" s="293"/>
      <c r="L1177" s="277">
        <v>78.5</v>
      </c>
      <c r="M1177" s="371">
        <f t="shared" si="58"/>
        <v>30</v>
      </c>
      <c r="N1177" s="2474">
        <v>2</v>
      </c>
      <c r="O1177" s="445"/>
      <c r="Q1177" s="2436" t="s">
        <v>3953</v>
      </c>
      <c r="S1177" s="2436" t="s">
        <v>4138</v>
      </c>
    </row>
    <row r="1178" spans="1:21" s="305" customFormat="1">
      <c r="A1178" s="2441" t="s">
        <v>4136</v>
      </c>
      <c r="B1178" s="2438" t="s">
        <v>621</v>
      </c>
      <c r="C1178" s="2439" t="s">
        <v>4643</v>
      </c>
      <c r="D1178" s="1312"/>
      <c r="E1178" s="1877">
        <v>54.5</v>
      </c>
      <c r="F1178" s="445" t="s">
        <v>1532</v>
      </c>
      <c r="G1178" s="2509" t="s">
        <v>4645</v>
      </c>
      <c r="H1178" s="2465" t="s">
        <v>1534</v>
      </c>
      <c r="I1178" s="293"/>
      <c r="J1178" s="293"/>
      <c r="K1178" s="293"/>
      <c r="L1178" s="277">
        <v>95.5</v>
      </c>
      <c r="M1178" s="371">
        <f t="shared" si="58"/>
        <v>41</v>
      </c>
      <c r="N1178" s="2474">
        <v>2</v>
      </c>
      <c r="O1178" s="445"/>
      <c r="Q1178" s="2436" t="s">
        <v>3953</v>
      </c>
      <c r="S1178" s="2436" t="s">
        <v>4138</v>
      </c>
    </row>
    <row r="1179" spans="1:21" s="305" customFormat="1">
      <c r="A1179" s="2441" t="s">
        <v>4137</v>
      </c>
      <c r="B1179" s="2438" t="s">
        <v>621</v>
      </c>
      <c r="C1179" s="2439" t="s">
        <v>4643</v>
      </c>
      <c r="D1179" s="1312"/>
      <c r="E1179" s="1877">
        <v>65.5</v>
      </c>
      <c r="F1179" s="445" t="s">
        <v>1532</v>
      </c>
      <c r="G1179" s="2509" t="s">
        <v>4645</v>
      </c>
      <c r="H1179" s="2465" t="s">
        <v>1534</v>
      </c>
      <c r="I1179" s="293"/>
      <c r="J1179" s="293"/>
      <c r="K1179" s="293"/>
      <c r="L1179" s="277">
        <v>125.5</v>
      </c>
      <c r="M1179" s="371">
        <f t="shared" si="58"/>
        <v>60</v>
      </c>
      <c r="N1179" s="2474">
        <v>2</v>
      </c>
      <c r="O1179" s="445"/>
      <c r="Q1179" s="2436" t="s">
        <v>3953</v>
      </c>
      <c r="S1179" s="2436" t="s">
        <v>4138</v>
      </c>
    </row>
    <row r="1180" spans="1:21" s="305" customFormat="1">
      <c r="A1180" s="306" t="s">
        <v>2761</v>
      </c>
      <c r="B1180" s="1324" t="s">
        <v>2759</v>
      </c>
      <c r="C1180" s="1325" t="s">
        <v>2760</v>
      </c>
      <c r="D1180" s="1326"/>
      <c r="E1180" s="1311">
        <v>31</v>
      </c>
      <c r="F1180" s="303" t="s">
        <v>55</v>
      </c>
      <c r="G1180" s="298" t="s">
        <v>420</v>
      </c>
      <c r="H1180" s="307"/>
      <c r="I1180" s="304">
        <v>1.5</v>
      </c>
      <c r="J1180" s="290" t="s">
        <v>206</v>
      </c>
      <c r="K1180" s="290"/>
      <c r="L1180" s="304">
        <v>62</v>
      </c>
      <c r="M1180" s="303">
        <f t="shared" si="58"/>
        <v>31</v>
      </c>
      <c r="N1180" s="1329" t="s">
        <v>884</v>
      </c>
      <c r="O1180" s="645"/>
    </row>
    <row r="1181" spans="1:21" s="305" customFormat="1">
      <c r="A1181" s="306" t="s">
        <v>2762</v>
      </c>
      <c r="B1181" s="1324" t="s">
        <v>2759</v>
      </c>
      <c r="C1181" s="1325" t="s">
        <v>2760</v>
      </c>
      <c r="D1181" s="1326"/>
      <c r="E1181" s="1311">
        <v>36</v>
      </c>
      <c r="F1181" s="303" t="s">
        <v>55</v>
      </c>
      <c r="G1181" s="298" t="s">
        <v>420</v>
      </c>
      <c r="H1181" s="307"/>
      <c r="I1181" s="304">
        <v>1.5</v>
      </c>
      <c r="J1181" s="290" t="s">
        <v>206</v>
      </c>
      <c r="K1181" s="290"/>
      <c r="L1181" s="304">
        <v>72</v>
      </c>
      <c r="M1181" s="303">
        <f t="shared" si="58"/>
        <v>36</v>
      </c>
      <c r="N1181" s="1329" t="s">
        <v>884</v>
      </c>
      <c r="O1181" s="645"/>
    </row>
    <row r="1182" spans="1:21" s="305" customFormat="1">
      <c r="A1182" s="306" t="s">
        <v>2763</v>
      </c>
      <c r="B1182" s="1324" t="s">
        <v>2759</v>
      </c>
      <c r="C1182" s="1325" t="s">
        <v>2760</v>
      </c>
      <c r="D1182" s="1312"/>
      <c r="E1182" s="1300">
        <v>39</v>
      </c>
      <c r="F1182" s="303" t="s">
        <v>55</v>
      </c>
      <c r="G1182" s="298" t="s">
        <v>420</v>
      </c>
      <c r="H1182" s="283"/>
      <c r="I1182" s="304">
        <v>1.5</v>
      </c>
      <c r="J1182" s="290" t="s">
        <v>206</v>
      </c>
      <c r="K1182" s="292"/>
      <c r="L1182" s="289">
        <v>78</v>
      </c>
      <c r="M1182" s="303">
        <f t="shared" si="58"/>
        <v>39</v>
      </c>
      <c r="N1182" s="1317" t="s">
        <v>884</v>
      </c>
      <c r="O1182" s="645"/>
    </row>
    <row r="1183" spans="1:21" s="305" customFormat="1">
      <c r="A1183" s="1809" t="s">
        <v>611</v>
      </c>
      <c r="B1183" s="1791" t="s">
        <v>1292</v>
      </c>
      <c r="C1183" s="1792" t="s">
        <v>1434</v>
      </c>
      <c r="D1183" s="1784"/>
      <c r="E1183" s="1785">
        <v>30</v>
      </c>
      <c r="F1183" s="1804"/>
      <c r="G1183" s="1786">
        <v>12</v>
      </c>
      <c r="H1183" s="1812" t="s">
        <v>1435</v>
      </c>
      <c r="I1183" s="1810"/>
      <c r="J1183" s="1810"/>
      <c r="K1183" s="1810"/>
      <c r="L1183" s="1796">
        <v>45</v>
      </c>
      <c r="M1183" s="1786">
        <v>15</v>
      </c>
      <c r="N1183" s="1798">
        <v>1</v>
      </c>
      <c r="O1183" s="791" t="s">
        <v>1532</v>
      </c>
      <c r="P1183" s="297"/>
      <c r="Q1183" s="297"/>
      <c r="R1183" s="297"/>
      <c r="S1183" s="297"/>
      <c r="T1183" s="297"/>
      <c r="U1183" s="297"/>
    </row>
    <row r="1184" spans="1:21" s="305" customFormat="1">
      <c r="A1184" s="698" t="s">
        <v>1950</v>
      </c>
      <c r="B1184" s="2438" t="s">
        <v>1260</v>
      </c>
      <c r="C1184" s="2439" t="s">
        <v>1976</v>
      </c>
      <c r="D1184" s="1298"/>
      <c r="E1184" s="1296">
        <v>45</v>
      </c>
      <c r="F1184" s="371" t="s">
        <v>4336</v>
      </c>
      <c r="G1184" s="681">
        <v>10</v>
      </c>
      <c r="H1184" s="704"/>
      <c r="I1184" s="704"/>
      <c r="J1184" s="704"/>
      <c r="K1184" s="704"/>
      <c r="L1184" s="701">
        <v>55</v>
      </c>
      <c r="M1184" s="699">
        <v>10</v>
      </c>
      <c r="N1184" s="673"/>
      <c r="O1184" s="2469" t="s">
        <v>4162</v>
      </c>
      <c r="P1184" s="297"/>
      <c r="Q1184" s="297"/>
      <c r="R1184" s="297"/>
      <c r="S1184" s="297"/>
      <c r="T1184" s="297"/>
      <c r="U1184" s="297"/>
    </row>
    <row r="1185" spans="1:21" s="305" customFormat="1">
      <c r="A1185" s="698" t="s">
        <v>1977</v>
      </c>
      <c r="B1185" s="2438" t="s">
        <v>1260</v>
      </c>
      <c r="C1185" s="2439" t="s">
        <v>1976</v>
      </c>
      <c r="D1185" s="1298"/>
      <c r="E1185" s="1296">
        <v>58</v>
      </c>
      <c r="F1185" s="371" t="s">
        <v>4336</v>
      </c>
      <c r="G1185" s="681">
        <v>10</v>
      </c>
      <c r="H1185" s="704"/>
      <c r="I1185" s="704"/>
      <c r="J1185" s="704"/>
      <c r="K1185" s="704"/>
      <c r="L1185" s="701">
        <v>68</v>
      </c>
      <c r="M1185" s="699">
        <v>10</v>
      </c>
      <c r="N1185" s="673"/>
      <c r="O1185" s="2469" t="s">
        <v>4162</v>
      </c>
      <c r="P1185" s="297"/>
      <c r="Q1185" s="297"/>
      <c r="R1185" s="297"/>
      <c r="S1185" s="297"/>
      <c r="T1185" s="297"/>
      <c r="U1185" s="297"/>
    </row>
    <row r="1186" spans="1:21" s="305" customFormat="1">
      <c r="A1186" s="698" t="s">
        <v>1978</v>
      </c>
      <c r="B1186" s="2438" t="s">
        <v>1260</v>
      </c>
      <c r="C1186" s="2439" t="s">
        <v>1976</v>
      </c>
      <c r="D1186" s="1298"/>
      <c r="E1186" s="1296">
        <v>39</v>
      </c>
      <c r="F1186" s="371" t="s">
        <v>4336</v>
      </c>
      <c r="G1186" s="681">
        <v>10</v>
      </c>
      <c r="H1186" s="704"/>
      <c r="I1186" s="704"/>
      <c r="J1186" s="704"/>
      <c r="K1186" s="704"/>
      <c r="L1186" s="701">
        <v>49</v>
      </c>
      <c r="M1186" s="699">
        <v>10</v>
      </c>
      <c r="N1186" s="673"/>
      <c r="O1186" s="2469" t="s">
        <v>4162</v>
      </c>
      <c r="P1186" s="297"/>
      <c r="Q1186" s="297"/>
      <c r="R1186" s="297"/>
      <c r="S1186" s="297"/>
      <c r="T1186" s="297"/>
      <c r="U1186" s="297"/>
    </row>
    <row r="1187" spans="1:21" s="305" customFormat="1">
      <c r="A1187" s="698" t="s">
        <v>1953</v>
      </c>
      <c r="B1187" s="2438" t="s">
        <v>1260</v>
      </c>
      <c r="C1187" s="2439" t="s">
        <v>1976</v>
      </c>
      <c r="D1187" s="1298"/>
      <c r="E1187" s="1296">
        <v>35</v>
      </c>
      <c r="F1187" s="371" t="s">
        <v>4336</v>
      </c>
      <c r="G1187" s="681">
        <v>10</v>
      </c>
      <c r="H1187" s="704"/>
      <c r="I1187" s="704"/>
      <c r="J1187" s="704"/>
      <c r="K1187" s="704"/>
      <c r="L1187" s="701">
        <v>45</v>
      </c>
      <c r="M1187" s="699">
        <v>10</v>
      </c>
      <c r="N1187" s="673"/>
      <c r="O1187" s="2469" t="s">
        <v>4162</v>
      </c>
      <c r="P1187" s="297"/>
      <c r="Q1187" s="297"/>
      <c r="R1187" s="297"/>
      <c r="S1187" s="297"/>
      <c r="T1187" s="297"/>
      <c r="U1187" s="297"/>
    </row>
    <row r="1188" spans="1:21" s="305" customFormat="1">
      <c r="A1188" s="1813"/>
      <c r="B1188" s="1286" t="s">
        <v>1480</v>
      </c>
      <c r="C1188" s="1280" t="s">
        <v>1481</v>
      </c>
      <c r="D1188" s="1784"/>
      <c r="E1188" s="1785"/>
      <c r="F1188" s="371" t="s">
        <v>4336</v>
      </c>
      <c r="G1188" s="1787"/>
      <c r="H1188" s="1787"/>
      <c r="I1188" s="1801"/>
      <c r="J1188" s="1801"/>
      <c r="K1188" s="1801"/>
      <c r="L1188" s="1801"/>
      <c r="M1188" s="1787"/>
      <c r="N1188" s="1789"/>
      <c r="O1188" s="2469" t="s">
        <v>4162</v>
      </c>
      <c r="P1188" s="297"/>
      <c r="Q1188" s="297"/>
      <c r="R1188" s="297"/>
      <c r="S1188" s="297"/>
      <c r="T1188" s="297"/>
      <c r="U1188" s="297"/>
    </row>
    <row r="1189" spans="1:21" s="305" customFormat="1">
      <c r="A1189" s="1813"/>
      <c r="B1189" s="1286" t="s">
        <v>1482</v>
      </c>
      <c r="C1189" s="1280" t="s">
        <v>1483</v>
      </c>
      <c r="D1189" s="1784"/>
      <c r="E1189" s="1785"/>
      <c r="F1189" s="371" t="s">
        <v>4336</v>
      </c>
      <c r="G1189" s="1787"/>
      <c r="H1189" s="2479" t="s">
        <v>4296</v>
      </c>
      <c r="I1189" s="1801"/>
      <c r="J1189" s="1801"/>
      <c r="K1189" s="1801"/>
      <c r="L1189" s="1801"/>
      <c r="M1189" s="1787"/>
      <c r="N1189" s="1789"/>
      <c r="O1189" s="644"/>
      <c r="P1189" s="297"/>
      <c r="Q1189" s="297"/>
      <c r="R1189" s="297"/>
      <c r="S1189" s="297"/>
      <c r="T1189" s="297"/>
      <c r="U1189" s="297"/>
    </row>
    <row r="1190" spans="1:21" s="305" customFormat="1">
      <c r="A1190" s="1861" t="s">
        <v>4063</v>
      </c>
      <c r="B1190" s="1868" t="s">
        <v>763</v>
      </c>
      <c r="C1190" s="1869" t="s">
        <v>3424</v>
      </c>
      <c r="D1190" s="1793"/>
      <c r="E1190" s="1872">
        <v>44</v>
      </c>
      <c r="F1190" s="1855" t="s">
        <v>3425</v>
      </c>
      <c r="G1190" s="2443" t="s">
        <v>420</v>
      </c>
      <c r="H1190" s="2455"/>
      <c r="I1190" s="1871">
        <v>1.4</v>
      </c>
      <c r="J1190" s="1871" t="s">
        <v>206</v>
      </c>
      <c r="K1190" s="2456"/>
      <c r="L1190" s="2458">
        <v>51</v>
      </c>
      <c r="M1190" s="1875">
        <f t="shared" ref="M1190:M1196" si="59">L1190-E1190</f>
        <v>7</v>
      </c>
      <c r="N1190" s="2457"/>
      <c r="O1190" s="1897" t="s">
        <v>3880</v>
      </c>
      <c r="P1190" s="297"/>
      <c r="Q1190" s="1856" t="s">
        <v>3745</v>
      </c>
      <c r="R1190" s="297"/>
      <c r="S1190" s="2403" t="s">
        <v>4192</v>
      </c>
      <c r="T1190" s="297"/>
      <c r="U1190" s="297"/>
    </row>
    <row r="1191" spans="1:21" s="305" customFormat="1">
      <c r="A1191" s="1873" t="s">
        <v>3412</v>
      </c>
      <c r="B1191" s="1868" t="s">
        <v>763</v>
      </c>
      <c r="C1191" s="1869" t="s">
        <v>3424</v>
      </c>
      <c r="D1191" s="1870"/>
      <c r="E1191" s="1872">
        <v>50</v>
      </c>
      <c r="F1191" s="1855" t="s">
        <v>3425</v>
      </c>
      <c r="G1191" s="2443" t="s">
        <v>420</v>
      </c>
      <c r="H1191" s="307"/>
      <c r="I1191" s="1871">
        <v>1.4</v>
      </c>
      <c r="J1191" s="1871" t="s">
        <v>206</v>
      </c>
      <c r="K1191" s="290"/>
      <c r="L1191" s="1871">
        <v>60</v>
      </c>
      <c r="M1191" s="1875">
        <f t="shared" si="59"/>
        <v>10</v>
      </c>
      <c r="N1191" s="637"/>
      <c r="O1191" s="1897" t="s">
        <v>3880</v>
      </c>
      <c r="P1191" s="297"/>
      <c r="Q1191" s="1856" t="s">
        <v>3745</v>
      </c>
      <c r="R1191" s="297"/>
      <c r="S1191" s="2403" t="s">
        <v>4192</v>
      </c>
      <c r="T1191" s="297"/>
      <c r="U1191" s="297"/>
    </row>
    <row r="1192" spans="1:21" s="305" customFormat="1">
      <c r="A1192" s="1873" t="s">
        <v>3413</v>
      </c>
      <c r="B1192" s="1868" t="s">
        <v>763</v>
      </c>
      <c r="C1192" s="1869" t="s">
        <v>3424</v>
      </c>
      <c r="D1192" s="1281"/>
      <c r="E1192" s="1851">
        <v>53</v>
      </c>
      <c r="F1192" s="1855" t="s">
        <v>3425</v>
      </c>
      <c r="G1192" s="2443" t="s">
        <v>420</v>
      </c>
      <c r="H1192" s="283"/>
      <c r="I1192" s="1871">
        <v>1.4</v>
      </c>
      <c r="J1192" s="1871" t="s">
        <v>206</v>
      </c>
      <c r="K1192" s="290"/>
      <c r="L1192" s="665">
        <v>64</v>
      </c>
      <c r="M1192" s="1875">
        <f t="shared" si="59"/>
        <v>11</v>
      </c>
      <c r="N1192" s="634"/>
      <c r="O1192" s="1897" t="s">
        <v>3880</v>
      </c>
      <c r="P1192" s="297"/>
      <c r="Q1192" s="1856" t="s">
        <v>3745</v>
      </c>
      <c r="R1192" s="297"/>
      <c r="S1192" s="2403" t="s">
        <v>4192</v>
      </c>
      <c r="T1192" s="297"/>
      <c r="U1192" s="297"/>
    </row>
    <row r="1193" spans="1:21" s="305" customFormat="1">
      <c r="A1193" s="1874" t="s">
        <v>3414</v>
      </c>
      <c r="B1193" s="1868" t="s">
        <v>763</v>
      </c>
      <c r="C1193" s="1869" t="s">
        <v>3424</v>
      </c>
      <c r="D1193" s="1281"/>
      <c r="E1193" s="1851">
        <v>60</v>
      </c>
      <c r="F1193" s="1855" t="s">
        <v>3425</v>
      </c>
      <c r="G1193" s="2443" t="s">
        <v>420</v>
      </c>
      <c r="H1193" s="283"/>
      <c r="I1193" s="1871">
        <v>1.4</v>
      </c>
      <c r="J1193" s="1871" t="s">
        <v>206</v>
      </c>
      <c r="K1193" s="290"/>
      <c r="L1193" s="665">
        <v>74</v>
      </c>
      <c r="M1193" s="1875">
        <f t="shared" si="59"/>
        <v>14</v>
      </c>
      <c r="N1193" s="634"/>
      <c r="O1193" s="1897" t="s">
        <v>3880</v>
      </c>
      <c r="P1193" s="297"/>
      <c r="Q1193" s="1856" t="s">
        <v>3745</v>
      </c>
      <c r="R1193" s="297"/>
      <c r="S1193" s="2403" t="s">
        <v>4192</v>
      </c>
      <c r="T1193" s="297"/>
      <c r="U1193" s="297"/>
    </row>
    <row r="1194" spans="1:21" s="305" customFormat="1">
      <c r="A1194" s="1873" t="s">
        <v>3415</v>
      </c>
      <c r="B1194" s="1868" t="s">
        <v>763</v>
      </c>
      <c r="C1194" s="1869" t="s">
        <v>3424</v>
      </c>
      <c r="D1194" s="1870"/>
      <c r="E1194" s="1872">
        <v>66</v>
      </c>
      <c r="F1194" s="1855" t="s">
        <v>3425</v>
      </c>
      <c r="G1194" s="2443" t="s">
        <v>420</v>
      </c>
      <c r="H1194" s="283"/>
      <c r="I1194" s="1871">
        <v>1.4</v>
      </c>
      <c r="J1194" s="1871" t="s">
        <v>206</v>
      </c>
      <c r="K1194" s="290"/>
      <c r="L1194" s="1871">
        <v>86</v>
      </c>
      <c r="M1194" s="1875">
        <f t="shared" si="59"/>
        <v>20</v>
      </c>
      <c r="N1194" s="637"/>
      <c r="O1194" s="1897" t="s">
        <v>3880</v>
      </c>
      <c r="P1194" s="297"/>
      <c r="Q1194" s="1856" t="s">
        <v>3745</v>
      </c>
      <c r="R1194" s="297"/>
      <c r="S1194" s="2403" t="s">
        <v>4192</v>
      </c>
      <c r="T1194" s="297"/>
      <c r="U1194" s="297"/>
    </row>
    <row r="1195" spans="1:21" s="305" customFormat="1">
      <c r="A1195" s="1873" t="s">
        <v>4065</v>
      </c>
      <c r="B1195" s="1868" t="s">
        <v>763</v>
      </c>
      <c r="C1195" s="1869" t="s">
        <v>3424</v>
      </c>
      <c r="D1195" s="1870"/>
      <c r="E1195" s="1872">
        <v>91</v>
      </c>
      <c r="F1195" s="1855" t="s">
        <v>4064</v>
      </c>
      <c r="G1195" s="2443" t="s">
        <v>420</v>
      </c>
      <c r="H1195" s="283"/>
      <c r="I1195" s="1871">
        <v>1.4</v>
      </c>
      <c r="J1195" s="1871" t="s">
        <v>206</v>
      </c>
      <c r="K1195" s="290"/>
      <c r="L1195" s="1871">
        <v>118</v>
      </c>
      <c r="M1195" s="1875">
        <f t="shared" si="59"/>
        <v>27</v>
      </c>
      <c r="N1195" s="637"/>
      <c r="O1195" s="1897" t="s">
        <v>3880</v>
      </c>
      <c r="P1195" s="297"/>
      <c r="Q1195" s="1856" t="s">
        <v>3745</v>
      </c>
      <c r="R1195" s="297"/>
      <c r="S1195" s="2403" t="s">
        <v>4192</v>
      </c>
      <c r="T1195" s="297"/>
      <c r="U1195" s="297"/>
    </row>
    <row r="1196" spans="1:21" s="305" customFormat="1">
      <c r="A1196" s="1873" t="s">
        <v>4066</v>
      </c>
      <c r="B1196" s="1868" t="s">
        <v>763</v>
      </c>
      <c r="C1196" s="1869" t="s">
        <v>3424</v>
      </c>
      <c r="D1196" s="1870"/>
      <c r="E1196" s="1872">
        <v>97</v>
      </c>
      <c r="F1196" s="1855" t="s">
        <v>4064</v>
      </c>
      <c r="G1196" s="2443" t="s">
        <v>420</v>
      </c>
      <c r="H1196" s="283"/>
      <c r="I1196" s="1871">
        <v>1.4</v>
      </c>
      <c r="J1196" s="1871" t="s">
        <v>206</v>
      </c>
      <c r="K1196" s="290"/>
      <c r="L1196" s="1871">
        <v>130</v>
      </c>
      <c r="M1196" s="1875">
        <f t="shared" si="59"/>
        <v>33</v>
      </c>
      <c r="N1196" s="637"/>
      <c r="O1196" s="1897" t="s">
        <v>3880</v>
      </c>
      <c r="P1196" s="297"/>
      <c r="Q1196" s="1856" t="s">
        <v>3745</v>
      </c>
      <c r="R1196" s="297"/>
      <c r="S1196" s="2403" t="s">
        <v>4192</v>
      </c>
      <c r="T1196" s="297"/>
      <c r="U1196" s="297"/>
    </row>
    <row r="1197" spans="1:21" s="688" customFormat="1">
      <c r="A1197" s="698" t="s">
        <v>401</v>
      </c>
      <c r="B1197" s="1299" t="s">
        <v>763</v>
      </c>
      <c r="C1197" s="1297" t="s">
        <v>1737</v>
      </c>
      <c r="D1197" s="1298"/>
      <c r="E1197" s="1296">
        <v>36</v>
      </c>
      <c r="F1197" s="699"/>
      <c r="G1197" s="691" t="s">
        <v>420</v>
      </c>
      <c r="H1197" s="683"/>
      <c r="I1197" s="701"/>
      <c r="J1197" s="701">
        <v>1</v>
      </c>
      <c r="K1197" s="697" t="s">
        <v>206</v>
      </c>
      <c r="L1197" s="701">
        <v>51</v>
      </c>
      <c r="M1197" s="699"/>
      <c r="N1197" s="753"/>
      <c r="O1197" s="711" t="s">
        <v>1743</v>
      </c>
      <c r="P1197" s="696"/>
      <c r="Q1197" s="696"/>
      <c r="R1197" s="696"/>
      <c r="S1197" s="696"/>
      <c r="T1197" s="696"/>
      <c r="U1197" s="696"/>
    </row>
    <row r="1198" spans="1:21" s="688" customFormat="1">
      <c r="A1198" s="698" t="s">
        <v>1739</v>
      </c>
      <c r="B1198" s="1299" t="s">
        <v>763</v>
      </c>
      <c r="C1198" s="1297" t="s">
        <v>1737</v>
      </c>
      <c r="D1198" s="1274"/>
      <c r="E1198" s="1255">
        <v>39</v>
      </c>
      <c r="F1198" s="699"/>
      <c r="G1198" s="691" t="s">
        <v>420</v>
      </c>
      <c r="H1198" s="683" t="s">
        <v>1738</v>
      </c>
      <c r="I1198" s="701"/>
      <c r="J1198" s="701">
        <v>1</v>
      </c>
      <c r="K1198" s="697" t="s">
        <v>206</v>
      </c>
      <c r="L1198" s="689">
        <v>56</v>
      </c>
      <c r="M1198" s="681">
        <v>17</v>
      </c>
      <c r="N1198" s="706"/>
      <c r="O1198" s="711" t="s">
        <v>1743</v>
      </c>
      <c r="P1198" s="696"/>
      <c r="Q1198" s="696"/>
      <c r="R1198" s="696"/>
      <c r="S1198" s="696"/>
      <c r="T1198" s="696"/>
      <c r="U1198" s="696"/>
    </row>
    <row r="1199" spans="1:21" s="688" customFormat="1">
      <c r="A1199" s="703" t="s">
        <v>1740</v>
      </c>
      <c r="B1199" s="1299" t="s">
        <v>763</v>
      </c>
      <c r="C1199" s="1297" t="s">
        <v>1737</v>
      </c>
      <c r="D1199" s="1274"/>
      <c r="E1199" s="1255">
        <v>43</v>
      </c>
      <c r="F1199" s="699"/>
      <c r="G1199" s="691" t="s">
        <v>420</v>
      </c>
      <c r="H1199" s="683" t="s">
        <v>1738</v>
      </c>
      <c r="I1199" s="701"/>
      <c r="J1199" s="701">
        <v>1</v>
      </c>
      <c r="K1199" s="697" t="s">
        <v>206</v>
      </c>
      <c r="L1199" s="689">
        <v>61</v>
      </c>
      <c r="M1199" s="681">
        <v>17</v>
      </c>
      <c r="N1199" s="706"/>
      <c r="O1199" s="711" t="s">
        <v>1743</v>
      </c>
      <c r="P1199" s="696"/>
      <c r="Q1199" s="696"/>
      <c r="R1199" s="696"/>
      <c r="S1199" s="696"/>
      <c r="T1199" s="696"/>
      <c r="U1199" s="696"/>
    </row>
    <row r="1200" spans="1:21" s="688" customFormat="1">
      <c r="A1200" s="698" t="s">
        <v>1741</v>
      </c>
      <c r="B1200" s="1299" t="s">
        <v>763</v>
      </c>
      <c r="C1200" s="1297" t="s">
        <v>1737</v>
      </c>
      <c r="D1200" s="1298"/>
      <c r="E1200" s="1296">
        <v>47</v>
      </c>
      <c r="F1200" s="699"/>
      <c r="G1200" s="691" t="s">
        <v>420</v>
      </c>
      <c r="H1200" s="683" t="s">
        <v>1738</v>
      </c>
      <c r="I1200" s="701"/>
      <c r="J1200" s="701">
        <v>1</v>
      </c>
      <c r="K1200" s="697" t="s">
        <v>206</v>
      </c>
      <c r="L1200" s="701">
        <v>67</v>
      </c>
      <c r="M1200" s="699"/>
      <c r="N1200" s="753"/>
      <c r="O1200" s="711" t="s">
        <v>1743</v>
      </c>
      <c r="P1200" s="696"/>
      <c r="Q1200" s="696"/>
      <c r="R1200" s="696"/>
      <c r="S1200" s="696"/>
      <c r="T1200" s="696"/>
      <c r="U1200" s="696"/>
    </row>
    <row r="1201" spans="1:21" s="688" customFormat="1">
      <c r="A1201" s="698" t="s">
        <v>1742</v>
      </c>
      <c r="B1201" s="1299" t="s">
        <v>763</v>
      </c>
      <c r="C1201" s="1297" t="s">
        <v>1737</v>
      </c>
      <c r="D1201" s="1274"/>
      <c r="E1201" s="1296" t="s">
        <v>687</v>
      </c>
      <c r="F1201" s="699"/>
      <c r="G1201" s="691" t="s">
        <v>420</v>
      </c>
      <c r="H1201" s="683" t="s">
        <v>1738</v>
      </c>
      <c r="I1201" s="701"/>
      <c r="J1201" s="701">
        <v>1</v>
      </c>
      <c r="K1201" s="697" t="s">
        <v>206</v>
      </c>
      <c r="L1201" s="689">
        <v>77</v>
      </c>
      <c r="M1201" s="681">
        <v>21</v>
      </c>
      <c r="N1201" s="706"/>
      <c r="O1201" s="711" t="s">
        <v>1743</v>
      </c>
      <c r="P1201" s="696"/>
      <c r="Q1201" s="696"/>
      <c r="R1201" s="696"/>
      <c r="S1201" s="696"/>
      <c r="T1201" s="696"/>
      <c r="U1201" s="696"/>
    </row>
    <row r="1202" spans="1:21" s="688" customFormat="1">
      <c r="A1202" s="698" t="s">
        <v>401</v>
      </c>
      <c r="B1202" s="1299" t="s">
        <v>763</v>
      </c>
      <c r="C1202" s="1297" t="s">
        <v>764</v>
      </c>
      <c r="D1202" s="1298"/>
      <c r="E1202" s="1296">
        <v>31</v>
      </c>
      <c r="F1202" s="699"/>
      <c r="G1202" s="691" t="s">
        <v>420</v>
      </c>
      <c r="H1202" s="683"/>
      <c r="I1202" s="701"/>
      <c r="J1202" s="701">
        <v>1</v>
      </c>
      <c r="K1202" s="697" t="s">
        <v>206</v>
      </c>
      <c r="L1202" s="701">
        <v>43</v>
      </c>
      <c r="M1202" s="699"/>
      <c r="N1202" s="753"/>
      <c r="O1202" s="711" t="s">
        <v>1743</v>
      </c>
      <c r="P1202" s="696"/>
      <c r="Q1202" s="696"/>
      <c r="R1202" s="696"/>
      <c r="S1202" s="696"/>
      <c r="T1202" s="696"/>
      <c r="U1202" s="696"/>
    </row>
    <row r="1203" spans="1:21" s="688" customFormat="1">
      <c r="A1203" s="698" t="s">
        <v>1739</v>
      </c>
      <c r="B1203" s="1299" t="s">
        <v>763</v>
      </c>
      <c r="C1203" s="1297" t="s">
        <v>764</v>
      </c>
      <c r="D1203" s="1274"/>
      <c r="E1203" s="1255">
        <v>34</v>
      </c>
      <c r="F1203" s="699"/>
      <c r="G1203" s="691" t="s">
        <v>420</v>
      </c>
      <c r="H1203" s="683" t="s">
        <v>1738</v>
      </c>
      <c r="I1203" s="701"/>
      <c r="J1203" s="701">
        <v>1</v>
      </c>
      <c r="K1203" s="697" t="s">
        <v>206</v>
      </c>
      <c r="L1203" s="689">
        <v>47</v>
      </c>
      <c r="M1203" s="681"/>
      <c r="N1203" s="706"/>
      <c r="O1203" s="711" t="s">
        <v>1743</v>
      </c>
      <c r="P1203" s="696"/>
      <c r="Q1203" s="696"/>
      <c r="R1203" s="696"/>
      <c r="S1203" s="696"/>
      <c r="T1203" s="696"/>
      <c r="U1203" s="696"/>
    </row>
    <row r="1204" spans="1:21" s="688" customFormat="1">
      <c r="A1204" s="703" t="s">
        <v>1740</v>
      </c>
      <c r="B1204" s="1299" t="s">
        <v>763</v>
      </c>
      <c r="C1204" s="1297" t="s">
        <v>764</v>
      </c>
      <c r="D1204" s="1274"/>
      <c r="E1204" s="1255">
        <v>38</v>
      </c>
      <c r="F1204" s="699"/>
      <c r="G1204" s="691" t="s">
        <v>420</v>
      </c>
      <c r="H1204" s="683" t="s">
        <v>1738</v>
      </c>
      <c r="I1204" s="701"/>
      <c r="J1204" s="701">
        <v>1</v>
      </c>
      <c r="K1204" s="697" t="s">
        <v>206</v>
      </c>
      <c r="L1204" s="689">
        <v>53</v>
      </c>
      <c r="M1204" s="681"/>
      <c r="N1204" s="706"/>
      <c r="O1204" s="711" t="s">
        <v>1743</v>
      </c>
      <c r="P1204" s="696"/>
      <c r="Q1204" s="696"/>
      <c r="R1204" s="696"/>
      <c r="S1204" s="696"/>
      <c r="T1204" s="696"/>
      <c r="U1204" s="696"/>
    </row>
    <row r="1205" spans="1:21" s="688" customFormat="1">
      <c r="A1205" s="698" t="s">
        <v>1741</v>
      </c>
      <c r="B1205" s="1299" t="s">
        <v>763</v>
      </c>
      <c r="C1205" s="1297" t="s">
        <v>764</v>
      </c>
      <c r="D1205" s="1298"/>
      <c r="E1205" s="1296">
        <v>42</v>
      </c>
      <c r="F1205" s="699"/>
      <c r="G1205" s="691" t="s">
        <v>420</v>
      </c>
      <c r="H1205" s="683" t="s">
        <v>1738</v>
      </c>
      <c r="I1205" s="701"/>
      <c r="J1205" s="701">
        <v>1</v>
      </c>
      <c r="K1205" s="697" t="s">
        <v>206</v>
      </c>
      <c r="L1205" s="701">
        <v>59</v>
      </c>
      <c r="M1205" s="699"/>
      <c r="N1205" s="753"/>
      <c r="O1205" s="711" t="s">
        <v>1743</v>
      </c>
      <c r="P1205" s="696"/>
      <c r="Q1205" s="696"/>
      <c r="R1205" s="696"/>
      <c r="S1205" s="696"/>
      <c r="T1205" s="696"/>
      <c r="U1205" s="696"/>
    </row>
    <row r="1206" spans="1:21" s="688" customFormat="1">
      <c r="A1206" s="698" t="s">
        <v>1742</v>
      </c>
      <c r="B1206" s="1299" t="s">
        <v>763</v>
      </c>
      <c r="C1206" s="1297" t="s">
        <v>764</v>
      </c>
      <c r="D1206" s="1274"/>
      <c r="E1206" s="1296" t="s">
        <v>687</v>
      </c>
      <c r="F1206" s="699"/>
      <c r="G1206" s="691" t="s">
        <v>420</v>
      </c>
      <c r="H1206" s="683" t="s">
        <v>1738</v>
      </c>
      <c r="I1206" s="701"/>
      <c r="J1206" s="701">
        <v>1</v>
      </c>
      <c r="K1206" s="697" t="s">
        <v>206</v>
      </c>
      <c r="L1206" s="689"/>
      <c r="M1206" s="681"/>
      <c r="N1206" s="706"/>
      <c r="O1206" s="711" t="s">
        <v>1743</v>
      </c>
      <c r="P1206" s="696"/>
      <c r="Q1206" s="696"/>
      <c r="R1206" s="696"/>
      <c r="S1206" s="696"/>
      <c r="T1206" s="696"/>
      <c r="U1206" s="696"/>
    </row>
    <row r="1207" spans="1:21" s="791" customFormat="1">
      <c r="A1207" s="2416" t="s">
        <v>3878</v>
      </c>
      <c r="B1207" s="1868" t="s">
        <v>452</v>
      </c>
      <c r="C1207" s="1869" t="s">
        <v>624</v>
      </c>
      <c r="D1207" s="1870"/>
      <c r="E1207" s="1872">
        <v>45</v>
      </c>
      <c r="F1207" s="1875" t="s">
        <v>4318</v>
      </c>
      <c r="G1207" s="371" t="s">
        <v>3881</v>
      </c>
      <c r="H1207" s="812"/>
      <c r="I1207" s="2417">
        <v>1.3</v>
      </c>
      <c r="J1207" s="2418" t="s">
        <v>206</v>
      </c>
      <c r="K1207" s="794"/>
      <c r="L1207" s="2417">
        <v>80</v>
      </c>
      <c r="M1207" s="371">
        <f t="shared" ref="M1207:M1226" si="60">L1207-E1207</f>
        <v>35</v>
      </c>
      <c r="N1207" s="673">
        <v>2</v>
      </c>
      <c r="O1207" s="646" t="s">
        <v>3880</v>
      </c>
      <c r="P1207" s="798"/>
      <c r="Q1207" s="2403" t="s">
        <v>4317</v>
      </c>
      <c r="R1207" s="798"/>
      <c r="S1207" s="798"/>
      <c r="T1207" s="798"/>
      <c r="U1207" s="798"/>
    </row>
    <row r="1208" spans="1:21" s="791" customFormat="1">
      <c r="A1208" s="2416" t="s">
        <v>3876</v>
      </c>
      <c r="B1208" s="1868" t="s">
        <v>452</v>
      </c>
      <c r="C1208" s="1869" t="s">
        <v>624</v>
      </c>
      <c r="D1208" s="1281"/>
      <c r="E1208" s="1851">
        <v>70</v>
      </c>
      <c r="F1208" s="1875" t="s">
        <v>4318</v>
      </c>
      <c r="G1208" s="371" t="s">
        <v>3881</v>
      </c>
      <c r="H1208" s="786"/>
      <c r="I1208" s="2417">
        <v>1.3</v>
      </c>
      <c r="J1208" s="278" t="s">
        <v>206</v>
      </c>
      <c r="K1208" s="788"/>
      <c r="L1208" s="2417">
        <v>120</v>
      </c>
      <c r="M1208" s="371">
        <f t="shared" si="60"/>
        <v>50</v>
      </c>
      <c r="N1208" s="667">
        <v>2</v>
      </c>
      <c r="O1208" s="646" t="s">
        <v>3880</v>
      </c>
      <c r="P1208" s="798"/>
      <c r="Q1208" s="2403" t="s">
        <v>4317</v>
      </c>
      <c r="R1208" s="798"/>
      <c r="S1208" s="798"/>
      <c r="T1208" s="798"/>
      <c r="U1208" s="798"/>
    </row>
    <row r="1209" spans="1:21" s="791" customFormat="1">
      <c r="A1209" s="2416" t="s">
        <v>3877</v>
      </c>
      <c r="B1209" s="1868" t="s">
        <v>452</v>
      </c>
      <c r="C1209" s="1869" t="s">
        <v>624</v>
      </c>
      <c r="D1209" s="1281"/>
      <c r="E1209" s="1851">
        <v>82.5</v>
      </c>
      <c r="F1209" s="1875" t="s">
        <v>4318</v>
      </c>
      <c r="G1209" s="371" t="s">
        <v>3881</v>
      </c>
      <c r="H1209" s="786"/>
      <c r="I1209" s="2417">
        <v>1.3</v>
      </c>
      <c r="J1209" s="278" t="s">
        <v>206</v>
      </c>
      <c r="K1209" s="788"/>
      <c r="L1209" s="2417">
        <v>145</v>
      </c>
      <c r="M1209" s="371">
        <f t="shared" si="60"/>
        <v>62.5</v>
      </c>
      <c r="N1209" s="667">
        <v>2</v>
      </c>
      <c r="O1209" s="646" t="s">
        <v>3880</v>
      </c>
      <c r="P1209" s="798"/>
      <c r="Q1209" s="2403" t="s">
        <v>4317</v>
      </c>
      <c r="R1209" s="798"/>
      <c r="S1209" s="798"/>
      <c r="T1209" s="798"/>
      <c r="U1209" s="798"/>
    </row>
    <row r="1210" spans="1:21" s="791" customFormat="1">
      <c r="A1210" s="2416" t="s">
        <v>3879</v>
      </c>
      <c r="B1210" s="1868" t="s">
        <v>452</v>
      </c>
      <c r="C1210" s="1869" t="s">
        <v>624</v>
      </c>
      <c r="D1210" s="1281"/>
      <c r="E1210" s="1872">
        <v>95</v>
      </c>
      <c r="F1210" s="1875" t="s">
        <v>4318</v>
      </c>
      <c r="G1210" s="371" t="s">
        <v>3881</v>
      </c>
      <c r="H1210" s="812"/>
      <c r="I1210" s="2417">
        <v>1.3</v>
      </c>
      <c r="J1210" s="278" t="s">
        <v>206</v>
      </c>
      <c r="K1210" s="794"/>
      <c r="L1210" s="2417">
        <v>170</v>
      </c>
      <c r="M1210" s="371">
        <f t="shared" si="60"/>
        <v>75</v>
      </c>
      <c r="N1210" s="667">
        <v>2</v>
      </c>
      <c r="O1210" s="646" t="s">
        <v>3880</v>
      </c>
      <c r="P1210" s="798"/>
      <c r="Q1210" s="2403" t="s">
        <v>4317</v>
      </c>
      <c r="R1210" s="798"/>
      <c r="S1210" s="798"/>
      <c r="T1210" s="798"/>
      <c r="U1210" s="798"/>
    </row>
    <row r="1211" spans="1:21" s="791" customFormat="1">
      <c r="A1211" s="2416" t="s">
        <v>3878</v>
      </c>
      <c r="B1211" s="1868" t="s">
        <v>452</v>
      </c>
      <c r="C1211" s="1869" t="s">
        <v>4646</v>
      </c>
      <c r="D1211" s="1870"/>
      <c r="E1211" s="1872">
        <v>40</v>
      </c>
      <c r="F1211" s="1875" t="s">
        <v>4647</v>
      </c>
      <c r="G1211" s="371" t="s">
        <v>3881</v>
      </c>
      <c r="H1211" s="812"/>
      <c r="I1211" s="2417">
        <v>1.3</v>
      </c>
      <c r="J1211" s="2418" t="s">
        <v>206</v>
      </c>
      <c r="K1211" s="794"/>
      <c r="L1211" s="2417">
        <v>70</v>
      </c>
      <c r="M1211" s="371">
        <f t="shared" ref="M1211:M1214" si="61">L1211-E1211</f>
        <v>30</v>
      </c>
      <c r="N1211" s="673">
        <v>2</v>
      </c>
      <c r="O1211" s="646" t="s">
        <v>3880</v>
      </c>
      <c r="P1211" s="798"/>
      <c r="Q1211" s="2403" t="s">
        <v>4317</v>
      </c>
      <c r="R1211" s="798"/>
      <c r="S1211" s="798"/>
      <c r="T1211" s="798"/>
      <c r="U1211" s="798"/>
    </row>
    <row r="1212" spans="1:21" s="791" customFormat="1">
      <c r="A1212" s="2416" t="s">
        <v>3876</v>
      </c>
      <c r="B1212" s="1868" t="s">
        <v>452</v>
      </c>
      <c r="C1212" s="1869" t="s">
        <v>4646</v>
      </c>
      <c r="D1212" s="1281"/>
      <c r="E1212" s="1851">
        <v>70</v>
      </c>
      <c r="F1212" s="1875" t="s">
        <v>4647</v>
      </c>
      <c r="G1212" s="371" t="s">
        <v>3881</v>
      </c>
      <c r="H1212" s="786"/>
      <c r="I1212" s="2417">
        <v>1.3</v>
      </c>
      <c r="J1212" s="278" t="s">
        <v>206</v>
      </c>
      <c r="K1212" s="788"/>
      <c r="L1212" s="2417">
        <v>120</v>
      </c>
      <c r="M1212" s="371">
        <f t="shared" si="61"/>
        <v>50</v>
      </c>
      <c r="N1212" s="667">
        <v>2</v>
      </c>
      <c r="O1212" s="646" t="s">
        <v>3880</v>
      </c>
      <c r="P1212" s="798"/>
      <c r="Q1212" s="2403" t="s">
        <v>4317</v>
      </c>
      <c r="R1212" s="798"/>
      <c r="S1212" s="798"/>
      <c r="T1212" s="798"/>
      <c r="U1212" s="798"/>
    </row>
    <row r="1213" spans="1:21" s="791" customFormat="1">
      <c r="A1213" s="2416" t="s">
        <v>3877</v>
      </c>
      <c r="B1213" s="1868" t="s">
        <v>452</v>
      </c>
      <c r="C1213" s="1869" t="s">
        <v>4646</v>
      </c>
      <c r="D1213" s="1281"/>
      <c r="E1213" s="1851">
        <v>82.5</v>
      </c>
      <c r="F1213" s="1875" t="s">
        <v>4647</v>
      </c>
      <c r="G1213" s="371" t="s">
        <v>3881</v>
      </c>
      <c r="H1213" s="786"/>
      <c r="I1213" s="2417">
        <v>1.3</v>
      </c>
      <c r="J1213" s="278" t="s">
        <v>206</v>
      </c>
      <c r="K1213" s="788"/>
      <c r="L1213" s="2417">
        <v>145</v>
      </c>
      <c r="M1213" s="371">
        <f t="shared" si="61"/>
        <v>62.5</v>
      </c>
      <c r="N1213" s="667">
        <v>2</v>
      </c>
      <c r="O1213" s="646" t="s">
        <v>3880</v>
      </c>
      <c r="P1213" s="798"/>
      <c r="Q1213" s="2403" t="s">
        <v>4317</v>
      </c>
      <c r="R1213" s="798"/>
      <c r="S1213" s="798"/>
      <c r="T1213" s="798"/>
      <c r="U1213" s="798"/>
    </row>
    <row r="1214" spans="1:21" s="791" customFormat="1">
      <c r="A1214" s="2416" t="s">
        <v>3879</v>
      </c>
      <c r="B1214" s="1868" t="s">
        <v>452</v>
      </c>
      <c r="C1214" s="1869" t="s">
        <v>4646</v>
      </c>
      <c r="D1214" s="1281"/>
      <c r="E1214" s="1872">
        <v>95</v>
      </c>
      <c r="F1214" s="1875" t="s">
        <v>4647</v>
      </c>
      <c r="G1214" s="371" t="s">
        <v>3881</v>
      </c>
      <c r="H1214" s="812"/>
      <c r="I1214" s="2417">
        <v>1.3</v>
      </c>
      <c r="J1214" s="278" t="s">
        <v>206</v>
      </c>
      <c r="K1214" s="794"/>
      <c r="L1214" s="2417">
        <v>170</v>
      </c>
      <c r="M1214" s="371">
        <f t="shared" si="61"/>
        <v>75</v>
      </c>
      <c r="N1214" s="667">
        <v>2</v>
      </c>
      <c r="O1214" s="646" t="s">
        <v>3880</v>
      </c>
      <c r="P1214" s="798"/>
      <c r="Q1214" s="2403" t="s">
        <v>4317</v>
      </c>
      <c r="R1214" s="798"/>
      <c r="S1214" s="798"/>
      <c r="T1214" s="798"/>
      <c r="U1214" s="798"/>
    </row>
    <row r="1215" spans="1:21" s="305" customFormat="1">
      <c r="A1215" s="306" t="s">
        <v>569</v>
      </c>
      <c r="B1215" s="1324" t="s">
        <v>452</v>
      </c>
      <c r="C1215" s="1325" t="s">
        <v>2649</v>
      </c>
      <c r="D1215" s="1326"/>
      <c r="E1215" s="1311">
        <v>27</v>
      </c>
      <c r="F1215" s="303"/>
      <c r="G1215" s="293"/>
      <c r="H1215" s="307"/>
      <c r="I1215" s="304"/>
      <c r="J1215" s="290"/>
      <c r="K1215" s="290"/>
      <c r="L1215" s="304">
        <v>40</v>
      </c>
      <c r="M1215" s="303">
        <f t="shared" si="60"/>
        <v>13</v>
      </c>
      <c r="N1215" s="637">
        <v>3</v>
      </c>
      <c r="O1215" s="645" t="s">
        <v>2634</v>
      </c>
      <c r="P1215" s="297"/>
      <c r="Q1215" s="645" t="s">
        <v>2648</v>
      </c>
      <c r="R1215" s="297"/>
      <c r="S1215" s="297"/>
      <c r="T1215" s="297"/>
      <c r="U1215" s="297"/>
    </row>
    <row r="1216" spans="1:21" s="305" customFormat="1">
      <c r="A1216" s="306" t="s">
        <v>2210</v>
      </c>
      <c r="B1216" s="1324" t="s">
        <v>452</v>
      </c>
      <c r="C1216" s="1325" t="s">
        <v>2649</v>
      </c>
      <c r="D1216" s="1326"/>
      <c r="E1216" s="1311">
        <v>40</v>
      </c>
      <c r="F1216" s="303"/>
      <c r="G1216" s="293"/>
      <c r="H1216" s="307"/>
      <c r="I1216" s="304"/>
      <c r="J1216" s="290"/>
      <c r="K1216" s="290"/>
      <c r="L1216" s="304">
        <v>60</v>
      </c>
      <c r="M1216" s="303">
        <f t="shared" si="60"/>
        <v>20</v>
      </c>
      <c r="N1216" s="637">
        <v>3</v>
      </c>
      <c r="O1216" s="645" t="s">
        <v>2634</v>
      </c>
      <c r="P1216" s="297"/>
      <c r="Q1216" s="645" t="s">
        <v>2648</v>
      </c>
      <c r="R1216" s="297"/>
      <c r="S1216" s="297"/>
      <c r="T1216" s="297"/>
      <c r="U1216" s="297"/>
    </row>
    <row r="1217" spans="1:21" s="305" customFormat="1">
      <c r="A1217" s="306" t="s">
        <v>2650</v>
      </c>
      <c r="B1217" s="1324" t="s">
        <v>452</v>
      </c>
      <c r="C1217" s="1325" t="s">
        <v>2649</v>
      </c>
      <c r="D1217" s="1326"/>
      <c r="E1217" s="1311">
        <v>50</v>
      </c>
      <c r="F1217" s="303"/>
      <c r="G1217" s="293"/>
      <c r="H1217" s="307"/>
      <c r="I1217" s="304"/>
      <c r="J1217" s="290"/>
      <c r="K1217" s="290"/>
      <c r="L1217" s="304">
        <v>75</v>
      </c>
      <c r="M1217" s="303">
        <f t="shared" si="60"/>
        <v>25</v>
      </c>
      <c r="N1217" s="637">
        <v>3</v>
      </c>
      <c r="O1217" s="645" t="s">
        <v>2634</v>
      </c>
      <c r="P1217" s="297"/>
      <c r="Q1217" s="645" t="s">
        <v>2648</v>
      </c>
      <c r="R1217" s="297"/>
      <c r="S1217" s="297"/>
      <c r="T1217" s="297"/>
      <c r="U1217" s="297"/>
    </row>
    <row r="1218" spans="1:21" s="305" customFormat="1">
      <c r="A1218" s="2441" t="s">
        <v>4266</v>
      </c>
      <c r="B1218" s="2438" t="s">
        <v>452</v>
      </c>
      <c r="C1218" s="2439" t="s">
        <v>1979</v>
      </c>
      <c r="D1218" s="1326"/>
      <c r="E1218" s="2445">
        <v>40</v>
      </c>
      <c r="F1218" s="2480" t="s">
        <v>4316</v>
      </c>
      <c r="G1218" s="293"/>
      <c r="H1218" s="372">
        <v>0.45</v>
      </c>
      <c r="I1218" s="2417" t="s">
        <v>206</v>
      </c>
      <c r="J1218" s="290"/>
      <c r="K1218" s="290"/>
      <c r="L1218" s="2417">
        <v>55</v>
      </c>
      <c r="M1218" s="371">
        <f t="shared" si="60"/>
        <v>15</v>
      </c>
      <c r="N1218" s="2466">
        <v>3</v>
      </c>
      <c r="O1218" s="646" t="s">
        <v>4154</v>
      </c>
      <c r="P1218" s="297"/>
      <c r="Q1218" s="646" t="s">
        <v>4082</v>
      </c>
      <c r="R1218" s="297"/>
      <c r="S1218" s="490" t="s">
        <v>4270</v>
      </c>
      <c r="T1218" s="297"/>
      <c r="U1218" s="297"/>
    </row>
    <row r="1219" spans="1:21" s="305" customFormat="1">
      <c r="A1219" s="2441" t="s">
        <v>4271</v>
      </c>
      <c r="B1219" s="2438" t="s">
        <v>452</v>
      </c>
      <c r="C1219" s="2439" t="s">
        <v>1979</v>
      </c>
      <c r="D1219" s="1326"/>
      <c r="E1219" s="2445">
        <v>45</v>
      </c>
      <c r="F1219" s="2480" t="s">
        <v>4316</v>
      </c>
      <c r="G1219" s="293"/>
      <c r="H1219" s="372">
        <v>0.45</v>
      </c>
      <c r="I1219" s="2417" t="s">
        <v>206</v>
      </c>
      <c r="J1219" s="290"/>
      <c r="K1219" s="290"/>
      <c r="L1219" s="2417">
        <v>60</v>
      </c>
      <c r="M1219" s="371">
        <f t="shared" si="60"/>
        <v>15</v>
      </c>
      <c r="N1219" s="2466">
        <v>3</v>
      </c>
      <c r="O1219" s="646" t="s">
        <v>4154</v>
      </c>
      <c r="P1219" s="297"/>
      <c r="Q1219" s="646" t="s">
        <v>4082</v>
      </c>
      <c r="R1219" s="297"/>
      <c r="S1219" s="490" t="s">
        <v>4270</v>
      </c>
      <c r="T1219" s="297"/>
      <c r="U1219" s="297"/>
    </row>
    <row r="1220" spans="1:21" s="305" customFormat="1">
      <c r="A1220" s="2441" t="s">
        <v>4267</v>
      </c>
      <c r="B1220" s="2438" t="s">
        <v>452</v>
      </c>
      <c r="C1220" s="2439" t="s">
        <v>1979</v>
      </c>
      <c r="D1220" s="1326"/>
      <c r="E1220" s="2445">
        <v>50</v>
      </c>
      <c r="F1220" s="2480" t="s">
        <v>4316</v>
      </c>
      <c r="G1220" s="293"/>
      <c r="H1220" s="372">
        <v>0.6</v>
      </c>
      <c r="I1220" s="2417" t="s">
        <v>206</v>
      </c>
      <c r="J1220" s="290"/>
      <c r="K1220" s="290"/>
      <c r="L1220" s="2417">
        <v>65</v>
      </c>
      <c r="M1220" s="371">
        <f t="shared" si="60"/>
        <v>15</v>
      </c>
      <c r="N1220" s="2466">
        <v>3</v>
      </c>
      <c r="O1220" s="646" t="s">
        <v>4154</v>
      </c>
      <c r="P1220" s="297"/>
      <c r="Q1220" s="646" t="s">
        <v>4082</v>
      </c>
      <c r="R1220" s="297"/>
      <c r="S1220" s="490" t="s">
        <v>4270</v>
      </c>
      <c r="T1220" s="297"/>
      <c r="U1220" s="297"/>
    </row>
    <row r="1221" spans="1:21" s="305" customFormat="1">
      <c r="A1221" s="2441" t="s">
        <v>4268</v>
      </c>
      <c r="B1221" s="2438" t="s">
        <v>452</v>
      </c>
      <c r="C1221" s="2439" t="s">
        <v>1979</v>
      </c>
      <c r="D1221" s="1326"/>
      <c r="E1221" s="2445">
        <v>55</v>
      </c>
      <c r="F1221" s="2480" t="s">
        <v>4316</v>
      </c>
      <c r="G1221" s="293"/>
      <c r="H1221" s="372">
        <v>0.6</v>
      </c>
      <c r="I1221" s="2417" t="s">
        <v>206</v>
      </c>
      <c r="J1221" s="290"/>
      <c r="K1221" s="290"/>
      <c r="L1221" s="2417">
        <v>70</v>
      </c>
      <c r="M1221" s="371">
        <f t="shared" si="60"/>
        <v>15</v>
      </c>
      <c r="N1221" s="2466">
        <v>3</v>
      </c>
      <c r="O1221" s="646" t="s">
        <v>4154</v>
      </c>
      <c r="P1221" s="297"/>
      <c r="Q1221" s="646" t="s">
        <v>4082</v>
      </c>
      <c r="R1221" s="297"/>
      <c r="S1221" s="490" t="s">
        <v>4270</v>
      </c>
      <c r="T1221" s="297"/>
      <c r="U1221" s="297"/>
    </row>
    <row r="1222" spans="1:21" s="305" customFormat="1">
      <c r="A1222" s="2441" t="s">
        <v>4269</v>
      </c>
      <c r="B1222" s="2438" t="s">
        <v>452</v>
      </c>
      <c r="C1222" s="2439" t="s">
        <v>1979</v>
      </c>
      <c r="D1222" s="1326"/>
      <c r="E1222" s="2445">
        <v>60</v>
      </c>
      <c r="F1222" s="2480" t="s">
        <v>4316</v>
      </c>
      <c r="G1222" s="293"/>
      <c r="H1222" s="372">
        <v>0.8</v>
      </c>
      <c r="I1222" s="2417" t="s">
        <v>206</v>
      </c>
      <c r="J1222" s="290"/>
      <c r="K1222" s="290"/>
      <c r="L1222" s="2417">
        <v>75</v>
      </c>
      <c r="M1222" s="371">
        <f t="shared" si="60"/>
        <v>15</v>
      </c>
      <c r="N1222" s="2466">
        <v>3</v>
      </c>
      <c r="O1222" s="646" t="s">
        <v>4154</v>
      </c>
      <c r="P1222" s="297"/>
      <c r="Q1222" s="646" t="s">
        <v>4082</v>
      </c>
      <c r="R1222" s="297"/>
      <c r="S1222" s="490" t="s">
        <v>4270</v>
      </c>
      <c r="T1222" s="297"/>
      <c r="U1222" s="297"/>
    </row>
    <row r="1223" spans="1:21" s="791" customFormat="1">
      <c r="A1223" s="2416" t="s">
        <v>4034</v>
      </c>
      <c r="B1223" s="1868" t="s">
        <v>452</v>
      </c>
      <c r="C1223" s="1869" t="s">
        <v>626</v>
      </c>
      <c r="D1223" s="1870"/>
      <c r="E1223" s="1872">
        <v>45</v>
      </c>
      <c r="F1223" s="800"/>
      <c r="G1223" s="1875" t="s">
        <v>4037</v>
      </c>
      <c r="H1223" s="812"/>
      <c r="I1223" s="1871">
        <v>0.8</v>
      </c>
      <c r="J1223" s="2410" t="s">
        <v>206</v>
      </c>
      <c r="K1223" s="794"/>
      <c r="L1223" s="1871">
        <v>60</v>
      </c>
      <c r="M1223" s="663">
        <f t="shared" si="60"/>
        <v>15</v>
      </c>
      <c r="N1223" s="673">
        <v>2</v>
      </c>
      <c r="O1223" s="1856" t="s">
        <v>4024</v>
      </c>
      <c r="P1223" s="798"/>
      <c r="Q1223" s="2403" t="s">
        <v>4036</v>
      </c>
      <c r="R1223" s="798"/>
      <c r="S1223" s="798"/>
      <c r="T1223" s="798"/>
      <c r="U1223" s="798"/>
    </row>
    <row r="1224" spans="1:21" s="791" customFormat="1">
      <c r="A1224" s="2416" t="s">
        <v>4035</v>
      </c>
      <c r="B1224" s="1868" t="s">
        <v>452</v>
      </c>
      <c r="C1224" s="1869" t="s">
        <v>626</v>
      </c>
      <c r="D1224" s="1281"/>
      <c r="E1224" s="1851">
        <v>55</v>
      </c>
      <c r="F1224" s="785"/>
      <c r="G1224" s="1875" t="s">
        <v>4037</v>
      </c>
      <c r="H1224" s="786"/>
      <c r="I1224" s="665">
        <v>1</v>
      </c>
      <c r="J1224" s="2410" t="s">
        <v>206</v>
      </c>
      <c r="K1224" s="788"/>
      <c r="L1224" s="665">
        <v>95</v>
      </c>
      <c r="M1224" s="663">
        <f t="shared" si="60"/>
        <v>40</v>
      </c>
      <c r="N1224" s="667">
        <v>2</v>
      </c>
      <c r="O1224" s="1856" t="s">
        <v>4024</v>
      </c>
      <c r="P1224" s="798"/>
      <c r="Q1224" s="2403" t="s">
        <v>4036</v>
      </c>
      <c r="R1224" s="798"/>
      <c r="S1224" s="798"/>
      <c r="T1224" s="798"/>
      <c r="U1224" s="798"/>
    </row>
    <row r="1225" spans="1:21" s="791" customFormat="1">
      <c r="A1225" s="2416" t="s">
        <v>4033</v>
      </c>
      <c r="B1225" s="1868" t="s">
        <v>452</v>
      </c>
      <c r="C1225" s="1869" t="s">
        <v>626</v>
      </c>
      <c r="D1225" s="1281"/>
      <c r="E1225" s="1851">
        <v>65</v>
      </c>
      <c r="F1225" s="785"/>
      <c r="G1225" s="1875" t="s">
        <v>4037</v>
      </c>
      <c r="H1225" s="786"/>
      <c r="I1225" s="665">
        <v>1.2</v>
      </c>
      <c r="J1225" s="2410" t="s">
        <v>206</v>
      </c>
      <c r="K1225" s="788"/>
      <c r="L1225" s="665">
        <v>110</v>
      </c>
      <c r="M1225" s="663">
        <f t="shared" si="60"/>
        <v>45</v>
      </c>
      <c r="N1225" s="667">
        <v>2</v>
      </c>
      <c r="O1225" s="1856" t="s">
        <v>4024</v>
      </c>
      <c r="P1225" s="798"/>
      <c r="Q1225" s="2403" t="s">
        <v>4036</v>
      </c>
      <c r="R1225" s="798"/>
      <c r="S1225" s="798"/>
      <c r="T1225" s="798"/>
      <c r="U1225" s="798"/>
    </row>
    <row r="1226" spans="1:21" s="791" customFormat="1">
      <c r="A1226" s="2432" t="s">
        <v>4032</v>
      </c>
      <c r="B1226" s="1868" t="s">
        <v>452</v>
      </c>
      <c r="C1226" s="1869" t="s">
        <v>626</v>
      </c>
      <c r="D1226" s="1281"/>
      <c r="E1226" s="1851">
        <v>75</v>
      </c>
      <c r="F1226" s="785"/>
      <c r="G1226" s="1875" t="s">
        <v>4037</v>
      </c>
      <c r="H1226" s="786"/>
      <c r="I1226" s="665">
        <v>1.2</v>
      </c>
      <c r="J1226" s="2410" t="s">
        <v>206</v>
      </c>
      <c r="K1226" s="788"/>
      <c r="L1226" s="665">
        <v>120</v>
      </c>
      <c r="M1226" s="663">
        <f t="shared" si="60"/>
        <v>45</v>
      </c>
      <c r="N1226" s="667">
        <v>2</v>
      </c>
      <c r="O1226" s="1856" t="s">
        <v>4024</v>
      </c>
      <c r="P1226" s="798"/>
      <c r="Q1226" s="2403" t="s">
        <v>4036</v>
      </c>
      <c r="R1226" s="798"/>
      <c r="S1226" s="798"/>
      <c r="T1226" s="798"/>
      <c r="U1226" s="798"/>
    </row>
    <row r="1227" spans="1:21" s="305" customFormat="1">
      <c r="A1227" s="1809" t="s">
        <v>627</v>
      </c>
      <c r="B1227" s="1791" t="s">
        <v>452</v>
      </c>
      <c r="C1227" s="1792" t="s">
        <v>688</v>
      </c>
      <c r="D1227" s="1793"/>
      <c r="E1227" s="1803">
        <v>46</v>
      </c>
      <c r="F1227" s="1804" t="s">
        <v>783</v>
      </c>
      <c r="G1227" s="1804"/>
      <c r="H1227" s="1805"/>
      <c r="I1227" s="1806"/>
      <c r="J1227" s="1807"/>
      <c r="K1227" s="1807"/>
      <c r="L1227" s="1806">
        <v>75</v>
      </c>
      <c r="M1227" s="1804">
        <v>29</v>
      </c>
      <c r="N1227" s="1808"/>
      <c r="O1227" s="645"/>
      <c r="P1227" s="297"/>
      <c r="Q1227" s="297"/>
      <c r="R1227" s="297"/>
      <c r="S1227" s="297"/>
      <c r="T1227" s="297"/>
      <c r="U1227" s="297"/>
    </row>
    <row r="1228" spans="1:21" s="305" customFormat="1">
      <c r="A1228" s="1809" t="s">
        <v>620</v>
      </c>
      <c r="B1228" s="1791" t="s">
        <v>452</v>
      </c>
      <c r="C1228" s="1792" t="s">
        <v>688</v>
      </c>
      <c r="D1228" s="1784"/>
      <c r="E1228" s="1785">
        <v>69</v>
      </c>
      <c r="F1228" s="1804" t="s">
        <v>783</v>
      </c>
      <c r="G1228" s="1786"/>
      <c r="H1228" s="1795"/>
      <c r="I1228" s="1796"/>
      <c r="J1228" s="1797"/>
      <c r="K1228" s="1797"/>
      <c r="L1228" s="1796">
        <v>122</v>
      </c>
      <c r="M1228" s="1786">
        <v>53</v>
      </c>
      <c r="N1228" s="1798"/>
      <c r="O1228" s="645"/>
      <c r="P1228" s="297"/>
      <c r="Q1228" s="297"/>
      <c r="R1228" s="297"/>
      <c r="S1228" s="297"/>
      <c r="T1228" s="297"/>
      <c r="U1228" s="297"/>
    </row>
    <row r="1229" spans="1:21" s="305" customFormat="1">
      <c r="A1229" s="1811" t="s">
        <v>214</v>
      </c>
      <c r="B1229" s="1791" t="s">
        <v>452</v>
      </c>
      <c r="C1229" s="1792" t="s">
        <v>688</v>
      </c>
      <c r="D1229" s="1784"/>
      <c r="E1229" s="1785">
        <v>84</v>
      </c>
      <c r="F1229" s="1804" t="s">
        <v>783</v>
      </c>
      <c r="G1229" s="1810"/>
      <c r="H1229" s="1795"/>
      <c r="I1229" s="1796"/>
      <c r="J1229" s="1797"/>
      <c r="K1229" s="1797"/>
      <c r="L1229" s="1796">
        <v>152</v>
      </c>
      <c r="M1229" s="1786">
        <v>68</v>
      </c>
      <c r="N1229" s="1798"/>
      <c r="O1229" s="645"/>
      <c r="P1229" s="297"/>
      <c r="Q1229" s="297"/>
      <c r="R1229" s="297"/>
      <c r="S1229" s="297"/>
      <c r="T1229" s="297"/>
      <c r="U1229" s="297"/>
    </row>
    <row r="1230" spans="1:21" s="305" customFormat="1">
      <c r="A1230" s="1809" t="s">
        <v>628</v>
      </c>
      <c r="B1230" s="1791" t="s">
        <v>452</v>
      </c>
      <c r="C1230" s="1792" t="s">
        <v>688</v>
      </c>
      <c r="D1230" s="1784"/>
      <c r="E1230" s="1785">
        <v>89</v>
      </c>
      <c r="F1230" s="1804" t="s">
        <v>783</v>
      </c>
      <c r="G1230" s="1786"/>
      <c r="H1230" s="1795"/>
      <c r="I1230" s="1796"/>
      <c r="J1230" s="1797"/>
      <c r="K1230" s="1797"/>
      <c r="L1230" s="1796">
        <v>162</v>
      </c>
      <c r="M1230" s="1786">
        <v>73</v>
      </c>
      <c r="N1230" s="1798"/>
      <c r="O1230" s="645"/>
      <c r="P1230" s="297"/>
      <c r="Q1230" s="297"/>
      <c r="R1230" s="297"/>
      <c r="S1230" s="297"/>
      <c r="T1230" s="297"/>
      <c r="U1230" s="297"/>
    </row>
    <row r="1231" spans="1:21" s="305" customFormat="1">
      <c r="A1231" s="1811" t="s">
        <v>629</v>
      </c>
      <c r="B1231" s="1791" t="s">
        <v>452</v>
      </c>
      <c r="C1231" s="1792" t="s">
        <v>688</v>
      </c>
      <c r="D1231" s="1784"/>
      <c r="E1231" s="1785">
        <v>66</v>
      </c>
      <c r="F1231" s="1804" t="s">
        <v>783</v>
      </c>
      <c r="G1231" s="1810"/>
      <c r="H1231" s="1795"/>
      <c r="I1231" s="1796"/>
      <c r="J1231" s="1797"/>
      <c r="K1231" s="1797"/>
      <c r="L1231" s="1796">
        <v>116</v>
      </c>
      <c r="M1231" s="1786">
        <v>50</v>
      </c>
      <c r="N1231" s="1798"/>
      <c r="O1231" s="645"/>
      <c r="P1231" s="297"/>
      <c r="Q1231" s="297"/>
      <c r="R1231" s="297"/>
      <c r="S1231" s="297"/>
      <c r="T1231" s="297"/>
      <c r="U1231" s="297"/>
    </row>
    <row r="1232" spans="1:21" s="791" customFormat="1">
      <c r="A1232" s="799" t="s">
        <v>38</v>
      </c>
      <c r="B1232" s="1868" t="s">
        <v>452</v>
      </c>
      <c r="C1232" s="1869" t="s">
        <v>254</v>
      </c>
      <c r="D1232" s="1277"/>
      <c r="E1232" s="1278">
        <v>46</v>
      </c>
      <c r="F1232" s="371" t="s">
        <v>4336</v>
      </c>
      <c r="G1232" s="792"/>
      <c r="H1232" s="2406" t="s">
        <v>4295</v>
      </c>
      <c r="I1232" s="792"/>
      <c r="J1232" s="792" t="s">
        <v>630</v>
      </c>
      <c r="K1232" s="788"/>
      <c r="L1232" s="787">
        <v>81</v>
      </c>
      <c r="M1232" s="785">
        <f t="shared" ref="M1232:M1244" si="62">L1232-E1232</f>
        <v>35</v>
      </c>
      <c r="N1232" s="797">
        <v>2</v>
      </c>
      <c r="O1232" s="803"/>
      <c r="P1232" s="798"/>
      <c r="Q1232" s="798"/>
      <c r="R1232" s="798"/>
      <c r="S1232" s="798"/>
      <c r="T1232" s="798"/>
      <c r="U1232" s="798"/>
    </row>
    <row r="1233" spans="1:21" s="791" customFormat="1">
      <c r="A1233" s="795" t="s">
        <v>625</v>
      </c>
      <c r="B1233" s="1868" t="s">
        <v>452</v>
      </c>
      <c r="C1233" s="1869" t="s">
        <v>254</v>
      </c>
      <c r="D1233" s="1303"/>
      <c r="E1233" s="1304">
        <v>71</v>
      </c>
      <c r="F1233" s="371" t="s">
        <v>4336</v>
      </c>
      <c r="G1233" s="792"/>
      <c r="H1233" s="2406" t="s">
        <v>4295</v>
      </c>
      <c r="I1233" s="792"/>
      <c r="J1233" s="792" t="s">
        <v>684</v>
      </c>
      <c r="K1233" s="794"/>
      <c r="L1233" s="801">
        <v>121</v>
      </c>
      <c r="M1233" s="785">
        <f t="shared" si="62"/>
        <v>50</v>
      </c>
      <c r="N1233" s="802">
        <v>2</v>
      </c>
      <c r="O1233" s="803"/>
      <c r="P1233" s="798"/>
      <c r="Q1233" s="798"/>
      <c r="R1233" s="798"/>
      <c r="S1233" s="798"/>
      <c r="T1233" s="798"/>
      <c r="U1233" s="798"/>
    </row>
    <row r="1234" spans="1:21" s="791" customFormat="1">
      <c r="A1234" s="795" t="s">
        <v>446</v>
      </c>
      <c r="B1234" s="1868" t="s">
        <v>452</v>
      </c>
      <c r="C1234" s="1869" t="s">
        <v>254</v>
      </c>
      <c r="D1234" s="1277"/>
      <c r="E1234" s="1278">
        <v>86</v>
      </c>
      <c r="F1234" s="371" t="s">
        <v>4336</v>
      </c>
      <c r="G1234" s="792"/>
      <c r="H1234" s="2406" t="s">
        <v>4295</v>
      </c>
      <c r="I1234" s="792"/>
      <c r="J1234" s="792" t="s">
        <v>684</v>
      </c>
      <c r="K1234" s="788"/>
      <c r="L1234" s="787">
        <v>151</v>
      </c>
      <c r="M1234" s="785">
        <f t="shared" si="62"/>
        <v>65</v>
      </c>
      <c r="N1234" s="797">
        <v>2</v>
      </c>
      <c r="O1234" s="803"/>
      <c r="P1234" s="798"/>
      <c r="Q1234" s="798"/>
      <c r="R1234" s="798"/>
      <c r="S1234" s="798"/>
      <c r="T1234" s="798"/>
      <c r="U1234" s="798"/>
    </row>
    <row r="1235" spans="1:21" s="791" customFormat="1">
      <c r="A1235" s="799" t="s">
        <v>415</v>
      </c>
      <c r="B1235" s="1868" t="s">
        <v>452</v>
      </c>
      <c r="C1235" s="1869" t="s">
        <v>254</v>
      </c>
      <c r="D1235" s="1277"/>
      <c r="E1235" s="1278">
        <v>106</v>
      </c>
      <c r="F1235" s="371" t="s">
        <v>4336</v>
      </c>
      <c r="G1235" s="792"/>
      <c r="H1235" s="2406" t="s">
        <v>4295</v>
      </c>
      <c r="I1235" s="792"/>
      <c r="J1235" s="792" t="s">
        <v>684</v>
      </c>
      <c r="K1235" s="788"/>
      <c r="L1235" s="787">
        <v>191</v>
      </c>
      <c r="M1235" s="785">
        <f t="shared" si="62"/>
        <v>85</v>
      </c>
      <c r="N1235" s="797">
        <v>2</v>
      </c>
      <c r="O1235" s="803"/>
      <c r="P1235" s="798"/>
      <c r="Q1235" s="798"/>
      <c r="R1235" s="798"/>
      <c r="S1235" s="798"/>
      <c r="T1235" s="798"/>
      <c r="U1235" s="798"/>
    </row>
    <row r="1236" spans="1:21" s="305" customFormat="1">
      <c r="A1236" s="2441" t="s">
        <v>4153</v>
      </c>
      <c r="B1236" s="2438" t="s">
        <v>2646</v>
      </c>
      <c r="C1236" s="2439" t="s">
        <v>2647</v>
      </c>
      <c r="D1236" s="2440"/>
      <c r="E1236" s="2445">
        <v>35</v>
      </c>
      <c r="F1236" s="303"/>
      <c r="G1236" s="303"/>
      <c r="H1236" s="307"/>
      <c r="I1236" s="1871">
        <v>0.9</v>
      </c>
      <c r="J1236" s="2410" t="s">
        <v>206</v>
      </c>
      <c r="K1236" s="290"/>
      <c r="L1236" s="2417">
        <v>60</v>
      </c>
      <c r="M1236" s="371">
        <f t="shared" si="62"/>
        <v>25</v>
      </c>
      <c r="N1236" s="673">
        <v>2</v>
      </c>
      <c r="O1236" s="646" t="s">
        <v>4154</v>
      </c>
      <c r="P1236" s="297"/>
      <c r="Q1236" s="2403" t="s">
        <v>4149</v>
      </c>
      <c r="R1236" s="297"/>
      <c r="S1236" s="297"/>
      <c r="T1236" s="297"/>
      <c r="U1236" s="297"/>
    </row>
    <row r="1237" spans="1:21" s="305" customFormat="1">
      <c r="A1237" s="2467" t="s">
        <v>1919</v>
      </c>
      <c r="B1237" s="2438" t="s">
        <v>2646</v>
      </c>
      <c r="C1237" s="2439" t="s">
        <v>2647</v>
      </c>
      <c r="D1237" s="1279"/>
      <c r="E1237" s="1877">
        <v>45</v>
      </c>
      <c r="F1237" s="303"/>
      <c r="G1237" s="288"/>
      <c r="H1237" s="283"/>
      <c r="I1237" s="1871">
        <v>1.35</v>
      </c>
      <c r="J1237" s="2410" t="s">
        <v>206</v>
      </c>
      <c r="K1237" s="292"/>
      <c r="L1237" s="277">
        <v>75</v>
      </c>
      <c r="M1237" s="371">
        <f t="shared" si="62"/>
        <v>30</v>
      </c>
      <c r="N1237" s="673">
        <v>2</v>
      </c>
      <c r="O1237" s="646" t="s">
        <v>4154</v>
      </c>
      <c r="P1237" s="297"/>
      <c r="Q1237" s="2403" t="s">
        <v>4149</v>
      </c>
      <c r="R1237" s="297"/>
      <c r="S1237" s="297"/>
      <c r="T1237" s="297"/>
      <c r="U1237" s="297"/>
    </row>
    <row r="1238" spans="1:21" s="305" customFormat="1">
      <c r="A1238" s="2468" t="s">
        <v>4151</v>
      </c>
      <c r="B1238" s="2438" t="s">
        <v>2646</v>
      </c>
      <c r="C1238" s="2439" t="s">
        <v>2647</v>
      </c>
      <c r="D1238" s="1279"/>
      <c r="E1238" s="1877">
        <v>55</v>
      </c>
      <c r="F1238" s="303"/>
      <c r="G1238" s="293"/>
      <c r="H1238" s="283"/>
      <c r="I1238" s="1871">
        <v>1.35</v>
      </c>
      <c r="J1238" s="2410" t="s">
        <v>206</v>
      </c>
      <c r="K1238" s="292"/>
      <c r="L1238" s="277">
        <v>90</v>
      </c>
      <c r="M1238" s="371">
        <f t="shared" si="62"/>
        <v>35</v>
      </c>
      <c r="N1238" s="673">
        <v>2</v>
      </c>
      <c r="O1238" s="646" t="s">
        <v>4154</v>
      </c>
      <c r="P1238" s="297"/>
      <c r="Q1238" s="2403" t="s">
        <v>4149</v>
      </c>
      <c r="R1238" s="297"/>
      <c r="S1238" s="297"/>
      <c r="T1238" s="297"/>
      <c r="U1238" s="297"/>
    </row>
    <row r="1239" spans="1:21" s="305" customFormat="1">
      <c r="A1239" s="2441" t="s">
        <v>4152</v>
      </c>
      <c r="B1239" s="2438" t="s">
        <v>2646</v>
      </c>
      <c r="C1239" s="2439" t="s">
        <v>2647</v>
      </c>
      <c r="D1239" s="1279"/>
      <c r="E1239" s="1877">
        <v>70</v>
      </c>
      <c r="F1239" s="303"/>
      <c r="G1239" s="288"/>
      <c r="H1239" s="283"/>
      <c r="I1239" s="1871">
        <v>1.35</v>
      </c>
      <c r="J1239" s="2410" t="s">
        <v>206</v>
      </c>
      <c r="K1239" s="292"/>
      <c r="L1239" s="277">
        <v>115</v>
      </c>
      <c r="M1239" s="371">
        <f t="shared" si="62"/>
        <v>45</v>
      </c>
      <c r="N1239" s="673">
        <v>2</v>
      </c>
      <c r="O1239" s="646" t="s">
        <v>4154</v>
      </c>
      <c r="P1239" s="297"/>
      <c r="Q1239" s="2403" t="s">
        <v>4149</v>
      </c>
      <c r="R1239" s="297"/>
      <c r="S1239" s="297"/>
      <c r="T1239" s="297"/>
      <c r="U1239" s="297"/>
    </row>
    <row r="1240" spans="1:21" s="305" customFormat="1">
      <c r="A1240" s="2442" t="s">
        <v>1944</v>
      </c>
      <c r="B1240" s="2438" t="s">
        <v>2646</v>
      </c>
      <c r="C1240" s="2439" t="s">
        <v>2647</v>
      </c>
      <c r="D1240" s="1279"/>
      <c r="E1240" s="1877">
        <v>80</v>
      </c>
      <c r="F1240" s="303"/>
      <c r="G1240" s="293"/>
      <c r="H1240" s="283"/>
      <c r="I1240" s="1871">
        <v>1.35</v>
      </c>
      <c r="J1240" s="2410" t="s">
        <v>206</v>
      </c>
      <c r="K1240" s="292"/>
      <c r="L1240" s="277">
        <v>135</v>
      </c>
      <c r="M1240" s="371">
        <f t="shared" si="62"/>
        <v>55</v>
      </c>
      <c r="N1240" s="673">
        <v>2</v>
      </c>
      <c r="O1240" s="646" t="s">
        <v>4154</v>
      </c>
      <c r="P1240" s="297"/>
      <c r="Q1240" s="2403" t="s">
        <v>4149</v>
      </c>
      <c r="R1240" s="297"/>
      <c r="S1240" s="297"/>
      <c r="T1240" s="297"/>
      <c r="U1240" s="297"/>
    </row>
    <row r="1241" spans="1:21" s="305" customFormat="1">
      <c r="A1241" s="2416" t="s">
        <v>4049</v>
      </c>
      <c r="B1241" s="1868" t="s">
        <v>631</v>
      </c>
      <c r="C1241" s="1869" t="s">
        <v>632</v>
      </c>
      <c r="D1241" s="1870"/>
      <c r="E1241" s="1872">
        <v>32</v>
      </c>
      <c r="F1241" s="303"/>
      <c r="G1241" s="1852" t="s">
        <v>420</v>
      </c>
      <c r="H1241" s="307"/>
      <c r="I1241" s="1871">
        <v>1</v>
      </c>
      <c r="J1241" s="2410" t="s">
        <v>206</v>
      </c>
      <c r="K1241" s="290"/>
      <c r="L1241" s="1871">
        <v>44</v>
      </c>
      <c r="M1241" s="1875">
        <f t="shared" si="62"/>
        <v>12</v>
      </c>
      <c r="N1241" s="673">
        <v>3</v>
      </c>
      <c r="O1241" s="1856" t="s">
        <v>4056</v>
      </c>
      <c r="P1241" s="297"/>
      <c r="Q1241" s="1856" t="s">
        <v>4055</v>
      </c>
      <c r="R1241" s="297"/>
      <c r="S1241" s="2403" t="s">
        <v>4058</v>
      </c>
      <c r="T1241" s="297"/>
      <c r="U1241" s="297"/>
    </row>
    <row r="1242" spans="1:21" s="305" customFormat="1">
      <c r="A1242" s="2416" t="s">
        <v>4052</v>
      </c>
      <c r="B1242" s="1868" t="s">
        <v>631</v>
      </c>
      <c r="C1242" s="1869" t="s">
        <v>632</v>
      </c>
      <c r="D1242" s="1281"/>
      <c r="E1242" s="1851">
        <v>38</v>
      </c>
      <c r="F1242" s="303"/>
      <c r="G1242" s="1852" t="s">
        <v>420</v>
      </c>
      <c r="H1242" s="283"/>
      <c r="I1242" s="1871">
        <v>1.4</v>
      </c>
      <c r="J1242" s="2410" t="s">
        <v>206</v>
      </c>
      <c r="K1242" s="292"/>
      <c r="L1242" s="665">
        <v>57</v>
      </c>
      <c r="M1242" s="1875">
        <f t="shared" si="62"/>
        <v>19</v>
      </c>
      <c r="N1242" s="667">
        <v>3</v>
      </c>
      <c r="O1242" s="1856" t="s">
        <v>4056</v>
      </c>
      <c r="P1242" s="297"/>
      <c r="Q1242" s="1856" t="s">
        <v>4054</v>
      </c>
      <c r="R1242" s="297"/>
      <c r="S1242" s="2403" t="s">
        <v>4058</v>
      </c>
      <c r="T1242" s="297"/>
      <c r="U1242" s="297"/>
    </row>
    <row r="1243" spans="1:21" s="305" customFormat="1">
      <c r="A1243" s="2432" t="s">
        <v>4051</v>
      </c>
      <c r="B1243" s="1868" t="s">
        <v>631</v>
      </c>
      <c r="C1243" s="1869" t="s">
        <v>632</v>
      </c>
      <c r="D1243" s="1281"/>
      <c r="E1243" s="1851">
        <v>44</v>
      </c>
      <c r="F1243" s="303"/>
      <c r="G1243" s="1852" t="s">
        <v>420</v>
      </c>
      <c r="H1243" s="283"/>
      <c r="I1243" s="1871">
        <v>1.4</v>
      </c>
      <c r="J1243" s="2410" t="s">
        <v>206</v>
      </c>
      <c r="K1243" s="292"/>
      <c r="L1243" s="665">
        <v>66</v>
      </c>
      <c r="M1243" s="1875">
        <f t="shared" si="62"/>
        <v>22</v>
      </c>
      <c r="N1243" s="667">
        <v>3</v>
      </c>
      <c r="O1243" s="1856" t="s">
        <v>4056</v>
      </c>
      <c r="P1243" s="297"/>
      <c r="Q1243" s="1856" t="s">
        <v>4054</v>
      </c>
      <c r="R1243" s="297"/>
      <c r="S1243" s="2403" t="s">
        <v>4058</v>
      </c>
      <c r="T1243" s="297"/>
      <c r="U1243" s="297"/>
    </row>
    <row r="1244" spans="1:21" s="305" customFormat="1">
      <c r="A1244" s="2432" t="s">
        <v>4050</v>
      </c>
      <c r="B1244" s="1868" t="s">
        <v>631</v>
      </c>
      <c r="C1244" s="1869" t="s">
        <v>632</v>
      </c>
      <c r="D1244" s="1870"/>
      <c r="E1244" s="1872">
        <v>53</v>
      </c>
      <c r="F1244" s="303"/>
      <c r="G1244" s="1852" t="s">
        <v>420</v>
      </c>
      <c r="H1244" s="307"/>
      <c r="I1244" s="1871">
        <v>1.4</v>
      </c>
      <c r="J1244" s="2410" t="s">
        <v>206</v>
      </c>
      <c r="K1244" s="290"/>
      <c r="L1244" s="1871">
        <v>79</v>
      </c>
      <c r="M1244" s="1875">
        <f t="shared" si="62"/>
        <v>26</v>
      </c>
      <c r="N1244" s="673">
        <v>3</v>
      </c>
      <c r="O1244" s="1856" t="s">
        <v>4056</v>
      </c>
      <c r="P1244" s="297"/>
      <c r="Q1244" s="1856" t="s">
        <v>4054</v>
      </c>
      <c r="R1244" s="297"/>
      <c r="S1244" s="2403" t="s">
        <v>4058</v>
      </c>
      <c r="T1244" s="297"/>
      <c r="U1244" s="297"/>
    </row>
    <row r="1245" spans="1:21" s="305" customFormat="1">
      <c r="A1245" s="2432" t="s">
        <v>4053</v>
      </c>
      <c r="B1245" s="1868" t="s">
        <v>631</v>
      </c>
      <c r="C1245" s="1869" t="s">
        <v>632</v>
      </c>
      <c r="D1245" s="1870"/>
      <c r="E1245" s="1311"/>
      <c r="F1245" s="1875" t="s">
        <v>215</v>
      </c>
      <c r="G1245" s="1852" t="s">
        <v>420</v>
      </c>
      <c r="H1245" s="307"/>
      <c r="I1245" s="304"/>
      <c r="J1245" s="290"/>
      <c r="K1245" s="290"/>
      <c r="L1245" s="304"/>
      <c r="M1245" s="303"/>
      <c r="N1245" s="637"/>
      <c r="O1245" s="1856" t="s">
        <v>4056</v>
      </c>
      <c r="P1245" s="297"/>
      <c r="Q1245" s="1856" t="s">
        <v>4054</v>
      </c>
      <c r="R1245" s="297"/>
      <c r="S1245" s="2403" t="s">
        <v>4058</v>
      </c>
      <c r="T1245" s="297"/>
      <c r="U1245" s="297"/>
    </row>
    <row r="1246" spans="1:21" s="305" customFormat="1">
      <c r="A1246" s="2416" t="s">
        <v>4049</v>
      </c>
      <c r="B1246" s="1868" t="s">
        <v>631</v>
      </c>
      <c r="C1246" s="1869" t="s">
        <v>2203</v>
      </c>
      <c r="D1246" s="1870"/>
      <c r="E1246" s="1872">
        <v>46</v>
      </c>
      <c r="F1246" s="1875"/>
      <c r="G1246" s="1852" t="s">
        <v>420</v>
      </c>
      <c r="H1246" s="307"/>
      <c r="I1246" s="1871">
        <v>1</v>
      </c>
      <c r="J1246" s="2410" t="s">
        <v>206</v>
      </c>
      <c r="K1246" s="290"/>
      <c r="L1246" s="1871">
        <v>65</v>
      </c>
      <c r="M1246" s="1875">
        <f>L1246-E1246</f>
        <v>19</v>
      </c>
      <c r="N1246" s="673">
        <v>3</v>
      </c>
      <c r="O1246" s="1856" t="s">
        <v>4056</v>
      </c>
      <c r="P1246" s="297"/>
      <c r="Q1246" s="1856" t="s">
        <v>4055</v>
      </c>
      <c r="R1246" s="297"/>
      <c r="S1246" s="2403" t="s">
        <v>4058</v>
      </c>
      <c r="T1246" s="297"/>
      <c r="U1246" s="297"/>
    </row>
    <row r="1247" spans="1:21" s="305" customFormat="1">
      <c r="A1247" s="2416" t="s">
        <v>4052</v>
      </c>
      <c r="B1247" s="1868" t="s">
        <v>631</v>
      </c>
      <c r="C1247" s="1869" t="s">
        <v>2203</v>
      </c>
      <c r="D1247" s="1281"/>
      <c r="E1247" s="1851">
        <v>56</v>
      </c>
      <c r="F1247" s="1875"/>
      <c r="G1247" s="1852" t="s">
        <v>420</v>
      </c>
      <c r="H1247" s="283"/>
      <c r="I1247" s="1871">
        <v>1.4</v>
      </c>
      <c r="J1247" s="2410" t="s">
        <v>206</v>
      </c>
      <c r="K1247" s="292"/>
      <c r="L1247" s="665">
        <v>78</v>
      </c>
      <c r="M1247" s="1875">
        <f>L1247-E1247</f>
        <v>22</v>
      </c>
      <c r="N1247" s="667">
        <v>3</v>
      </c>
      <c r="O1247" s="1856" t="s">
        <v>4056</v>
      </c>
      <c r="P1247" s="297"/>
      <c r="Q1247" s="1856" t="s">
        <v>4054</v>
      </c>
      <c r="R1247" s="297"/>
      <c r="S1247" s="2403" t="s">
        <v>4058</v>
      </c>
      <c r="T1247" s="297"/>
      <c r="U1247" s="297"/>
    </row>
    <row r="1248" spans="1:21" s="305" customFormat="1">
      <c r="A1248" s="2432" t="s">
        <v>4051</v>
      </c>
      <c r="B1248" s="1868" t="s">
        <v>631</v>
      </c>
      <c r="C1248" s="1869" t="s">
        <v>2203</v>
      </c>
      <c r="D1248" s="1281"/>
      <c r="E1248" s="1851">
        <v>65</v>
      </c>
      <c r="F1248" s="1875"/>
      <c r="G1248" s="1852" t="s">
        <v>420</v>
      </c>
      <c r="H1248" s="283"/>
      <c r="I1248" s="1871">
        <v>1.4</v>
      </c>
      <c r="J1248" s="2410" t="s">
        <v>206</v>
      </c>
      <c r="K1248" s="292"/>
      <c r="L1248" s="665">
        <v>91</v>
      </c>
      <c r="M1248" s="1875">
        <f>L1248-E1248</f>
        <v>26</v>
      </c>
      <c r="N1248" s="667">
        <v>3</v>
      </c>
      <c r="O1248" s="1856" t="s">
        <v>4056</v>
      </c>
      <c r="P1248" s="297"/>
      <c r="Q1248" s="1856" t="s">
        <v>4054</v>
      </c>
      <c r="R1248" s="297"/>
      <c r="S1248" s="2403" t="s">
        <v>4058</v>
      </c>
      <c r="T1248" s="297"/>
      <c r="U1248" s="297"/>
    </row>
    <row r="1249" spans="1:21" s="305" customFormat="1">
      <c r="A1249" s="2432" t="s">
        <v>4050</v>
      </c>
      <c r="B1249" s="1868" t="s">
        <v>631</v>
      </c>
      <c r="C1249" s="1869" t="s">
        <v>2203</v>
      </c>
      <c r="D1249" s="1870"/>
      <c r="E1249" s="1872">
        <v>76</v>
      </c>
      <c r="F1249" s="1875"/>
      <c r="G1249" s="1852" t="s">
        <v>420</v>
      </c>
      <c r="H1249" s="307"/>
      <c r="I1249" s="1871">
        <v>1.4</v>
      </c>
      <c r="J1249" s="2410" t="s">
        <v>206</v>
      </c>
      <c r="K1249" s="290"/>
      <c r="L1249" s="1871">
        <v>114</v>
      </c>
      <c r="M1249" s="1875">
        <f>L1249-E1249</f>
        <v>38</v>
      </c>
      <c r="N1249" s="673">
        <v>3</v>
      </c>
      <c r="O1249" s="1856" t="s">
        <v>4056</v>
      </c>
      <c r="P1249" s="297"/>
      <c r="Q1249" s="1856" t="s">
        <v>4054</v>
      </c>
      <c r="R1249" s="297"/>
      <c r="S1249" s="2403" t="s">
        <v>4058</v>
      </c>
      <c r="T1249" s="297"/>
      <c r="U1249" s="297"/>
    </row>
    <row r="1250" spans="1:21" s="305" customFormat="1">
      <c r="A1250" s="2432" t="s">
        <v>4053</v>
      </c>
      <c r="B1250" s="1868" t="s">
        <v>631</v>
      </c>
      <c r="C1250" s="1869" t="s">
        <v>2203</v>
      </c>
      <c r="D1250" s="1870"/>
      <c r="E1250" s="1872"/>
      <c r="F1250" s="1875" t="s">
        <v>215</v>
      </c>
      <c r="G1250" s="1852" t="s">
        <v>420</v>
      </c>
      <c r="H1250" s="307"/>
      <c r="I1250" s="304"/>
      <c r="J1250" s="290"/>
      <c r="K1250" s="290"/>
      <c r="L1250" s="304"/>
      <c r="M1250" s="303"/>
      <c r="N1250" s="637"/>
      <c r="O1250" s="1856" t="s">
        <v>4056</v>
      </c>
      <c r="P1250" s="297"/>
      <c r="Q1250" s="1856" t="s">
        <v>4054</v>
      </c>
      <c r="R1250" s="297"/>
      <c r="S1250" s="2403" t="s">
        <v>4058</v>
      </c>
      <c r="T1250" s="297"/>
      <c r="U1250" s="297"/>
    </row>
    <row r="1251" spans="1:21" s="305" customFormat="1">
      <c r="A1251" s="2416" t="s">
        <v>4381</v>
      </c>
      <c r="B1251" s="1868" t="s">
        <v>631</v>
      </c>
      <c r="C1251" s="1869" t="s">
        <v>1789</v>
      </c>
      <c r="D1251" s="1326"/>
      <c r="E1251" s="1872">
        <v>41</v>
      </c>
      <c r="F1251" s="303"/>
      <c r="G1251" s="1852" t="s">
        <v>420</v>
      </c>
      <c r="H1251" s="307"/>
      <c r="I1251" s="1871">
        <v>1.4</v>
      </c>
      <c r="J1251" s="2410" t="s">
        <v>206</v>
      </c>
      <c r="K1251" s="290"/>
      <c r="L1251" s="1871">
        <v>58</v>
      </c>
      <c r="M1251" s="1875">
        <f t="shared" ref="M1251:M1270" si="63">L1251-E1251</f>
        <v>17</v>
      </c>
      <c r="N1251" s="673">
        <v>3</v>
      </c>
      <c r="O1251" s="1856" t="s">
        <v>4096</v>
      </c>
      <c r="P1251" s="297"/>
      <c r="Q1251" s="2403" t="s">
        <v>3946</v>
      </c>
      <c r="R1251" s="297"/>
      <c r="S1251" s="2403" t="s">
        <v>4386</v>
      </c>
      <c r="T1251" s="297"/>
      <c r="U1251" s="297"/>
    </row>
    <row r="1252" spans="1:21" s="305" customFormat="1">
      <c r="A1252" s="2416" t="s">
        <v>4382</v>
      </c>
      <c r="B1252" s="1868" t="s">
        <v>631</v>
      </c>
      <c r="C1252" s="1869" t="s">
        <v>1789</v>
      </c>
      <c r="D1252" s="1312"/>
      <c r="E1252" s="1851">
        <v>46</v>
      </c>
      <c r="F1252" s="303"/>
      <c r="G1252" s="1852" t="s">
        <v>420</v>
      </c>
      <c r="H1252" s="283"/>
      <c r="I1252" s="1871">
        <v>1.4</v>
      </c>
      <c r="J1252" s="2410" t="s">
        <v>206</v>
      </c>
      <c r="K1252" s="292"/>
      <c r="L1252" s="665">
        <v>66</v>
      </c>
      <c r="M1252" s="1875">
        <f t="shared" si="63"/>
        <v>20</v>
      </c>
      <c r="N1252" s="667">
        <v>3</v>
      </c>
      <c r="O1252" s="1856" t="s">
        <v>4096</v>
      </c>
      <c r="P1252" s="297"/>
      <c r="Q1252" s="2403" t="s">
        <v>3946</v>
      </c>
      <c r="R1252" s="297"/>
      <c r="S1252" s="2403" t="s">
        <v>4386</v>
      </c>
      <c r="T1252" s="297"/>
      <c r="U1252" s="297"/>
    </row>
    <row r="1253" spans="1:21" s="305" customFormat="1">
      <c r="A1253" s="2432" t="s">
        <v>4383</v>
      </c>
      <c r="B1253" s="1868" t="s">
        <v>631</v>
      </c>
      <c r="C1253" s="1869" t="s">
        <v>1789</v>
      </c>
      <c r="D1253" s="1312"/>
      <c r="E1253" s="1851">
        <v>54</v>
      </c>
      <c r="F1253" s="303"/>
      <c r="G1253" s="1852" t="s">
        <v>420</v>
      </c>
      <c r="H1253" s="283"/>
      <c r="I1253" s="1871">
        <v>1.4</v>
      </c>
      <c r="J1253" s="2410" t="s">
        <v>206</v>
      </c>
      <c r="K1253" s="292"/>
      <c r="L1253" s="665">
        <v>78</v>
      </c>
      <c r="M1253" s="1875">
        <f t="shared" si="63"/>
        <v>24</v>
      </c>
      <c r="N1253" s="667">
        <v>3</v>
      </c>
      <c r="O1253" s="1856" t="s">
        <v>4096</v>
      </c>
      <c r="P1253" s="297"/>
      <c r="Q1253" s="2403" t="s">
        <v>3946</v>
      </c>
      <c r="R1253" s="297"/>
      <c r="S1253" s="2403" t="s">
        <v>4386</v>
      </c>
      <c r="T1253" s="297"/>
      <c r="U1253" s="297"/>
    </row>
    <row r="1254" spans="1:21" s="305" customFormat="1">
      <c r="A1254" s="2432" t="s">
        <v>4384</v>
      </c>
      <c r="B1254" s="1868" t="s">
        <v>631</v>
      </c>
      <c r="C1254" s="1869" t="s">
        <v>1789</v>
      </c>
      <c r="D1254" s="1326"/>
      <c r="E1254" s="1872">
        <v>72</v>
      </c>
      <c r="F1254" s="303"/>
      <c r="G1254" s="1852" t="s">
        <v>420</v>
      </c>
      <c r="H1254" s="307"/>
      <c r="I1254" s="1871">
        <v>1.4</v>
      </c>
      <c r="J1254" s="2410" t="s">
        <v>206</v>
      </c>
      <c r="K1254" s="290"/>
      <c r="L1254" s="1871">
        <v>111</v>
      </c>
      <c r="M1254" s="1875">
        <f t="shared" si="63"/>
        <v>39</v>
      </c>
      <c r="N1254" s="673">
        <v>3</v>
      </c>
      <c r="O1254" s="1856" t="s">
        <v>4096</v>
      </c>
      <c r="P1254" s="297"/>
      <c r="Q1254" s="2403" t="s">
        <v>3946</v>
      </c>
      <c r="R1254" s="297"/>
      <c r="S1254" s="2403" t="s">
        <v>4386</v>
      </c>
      <c r="T1254" s="297"/>
      <c r="U1254" s="297"/>
    </row>
    <row r="1255" spans="1:21" s="305" customFormat="1">
      <c r="A1255" s="2432" t="s">
        <v>4385</v>
      </c>
      <c r="B1255" s="1868" t="s">
        <v>631</v>
      </c>
      <c r="C1255" s="1869" t="s">
        <v>1789</v>
      </c>
      <c r="D1255" s="1326"/>
      <c r="E1255" s="1872">
        <v>79</v>
      </c>
      <c r="F1255" s="303"/>
      <c r="G1255" s="1852" t="s">
        <v>420</v>
      </c>
      <c r="H1255" s="307"/>
      <c r="I1255" s="1871">
        <v>1.4</v>
      </c>
      <c r="J1255" s="2410" t="s">
        <v>206</v>
      </c>
      <c r="K1255" s="290"/>
      <c r="L1255" s="1871">
        <v>122</v>
      </c>
      <c r="M1255" s="1875">
        <f t="shared" si="63"/>
        <v>43</v>
      </c>
      <c r="N1255" s="673">
        <v>3</v>
      </c>
      <c r="O1255" s="1856" t="s">
        <v>4096</v>
      </c>
      <c r="P1255" s="297"/>
      <c r="Q1255" s="2403" t="s">
        <v>3946</v>
      </c>
      <c r="R1255" s="297"/>
      <c r="S1255" s="2403" t="s">
        <v>4386</v>
      </c>
      <c r="T1255" s="297"/>
      <c r="U1255" s="297"/>
    </row>
    <row r="1256" spans="1:21" s="305" customFormat="1">
      <c r="A1256" s="2416" t="s">
        <v>4185</v>
      </c>
      <c r="B1256" s="1868" t="s">
        <v>633</v>
      </c>
      <c r="C1256" s="1869" t="s">
        <v>668</v>
      </c>
      <c r="D1256" s="1326"/>
      <c r="E1256" s="1872">
        <v>40</v>
      </c>
      <c r="F1256" s="1875" t="s">
        <v>4477</v>
      </c>
      <c r="G1256" s="1852" t="s">
        <v>420</v>
      </c>
      <c r="H1256" s="2421" t="s">
        <v>669</v>
      </c>
      <c r="I1256" s="1871">
        <v>1.35</v>
      </c>
      <c r="J1256" s="2410" t="s">
        <v>2566</v>
      </c>
      <c r="K1256" s="290"/>
      <c r="L1256" s="1871">
        <v>56</v>
      </c>
      <c r="M1256" s="1875">
        <f t="shared" si="63"/>
        <v>16</v>
      </c>
      <c r="N1256" s="673">
        <v>2</v>
      </c>
      <c r="O1256" s="1856" t="s">
        <v>4184</v>
      </c>
      <c r="P1256" s="297"/>
      <c r="Q1256" s="1856" t="s">
        <v>4183</v>
      </c>
      <c r="R1256" s="297"/>
      <c r="S1256" s="297"/>
      <c r="T1256" s="297"/>
      <c r="U1256" s="297"/>
    </row>
    <row r="1257" spans="1:21" s="305" customFormat="1">
      <c r="A1257" s="2416" t="s">
        <v>4186</v>
      </c>
      <c r="B1257" s="1868" t="s">
        <v>633</v>
      </c>
      <c r="C1257" s="1869" t="s">
        <v>668</v>
      </c>
      <c r="D1257" s="1312"/>
      <c r="E1257" s="1851">
        <v>44</v>
      </c>
      <c r="F1257" s="1875" t="s">
        <v>4477</v>
      </c>
      <c r="G1257" s="1852" t="s">
        <v>420</v>
      </c>
      <c r="H1257" s="2421" t="s">
        <v>669</v>
      </c>
      <c r="I1257" s="1871">
        <v>1.35</v>
      </c>
      <c r="J1257" s="2410" t="s">
        <v>2566</v>
      </c>
      <c r="K1257" s="292"/>
      <c r="L1257" s="665">
        <v>61</v>
      </c>
      <c r="M1257" s="1875">
        <f t="shared" si="63"/>
        <v>17</v>
      </c>
      <c r="N1257" s="667">
        <v>2</v>
      </c>
      <c r="O1257" s="1856" t="s">
        <v>4184</v>
      </c>
      <c r="P1257" s="297"/>
      <c r="Q1257" s="1856" t="s">
        <v>4183</v>
      </c>
      <c r="R1257" s="297"/>
      <c r="S1257" s="297"/>
      <c r="T1257" s="297"/>
      <c r="U1257" s="297"/>
    </row>
    <row r="1258" spans="1:21" s="305" customFormat="1">
      <c r="A1258" s="2416" t="s">
        <v>4187</v>
      </c>
      <c r="B1258" s="1868" t="s">
        <v>633</v>
      </c>
      <c r="C1258" s="1869" t="s">
        <v>668</v>
      </c>
      <c r="D1258" s="1312"/>
      <c r="E1258" s="1851">
        <v>52</v>
      </c>
      <c r="F1258" s="1875" t="s">
        <v>4477</v>
      </c>
      <c r="G1258" s="1852" t="s">
        <v>420</v>
      </c>
      <c r="H1258" s="2421" t="s">
        <v>669</v>
      </c>
      <c r="I1258" s="1871">
        <v>1.35</v>
      </c>
      <c r="J1258" s="2410" t="s">
        <v>2566</v>
      </c>
      <c r="K1258" s="292"/>
      <c r="L1258" s="665">
        <v>72.5</v>
      </c>
      <c r="M1258" s="1875">
        <f t="shared" si="63"/>
        <v>20.5</v>
      </c>
      <c r="N1258" s="667">
        <v>2</v>
      </c>
      <c r="O1258" s="1856" t="s">
        <v>4184</v>
      </c>
      <c r="P1258" s="297"/>
      <c r="Q1258" s="1856" t="s">
        <v>4183</v>
      </c>
      <c r="R1258" s="297"/>
      <c r="S1258" s="297"/>
      <c r="T1258" s="297"/>
      <c r="U1258" s="297"/>
    </row>
    <row r="1259" spans="1:21" s="305" customFormat="1">
      <c r="A1259" s="2432" t="s">
        <v>4188</v>
      </c>
      <c r="B1259" s="1868" t="s">
        <v>633</v>
      </c>
      <c r="C1259" s="1869" t="s">
        <v>668</v>
      </c>
      <c r="D1259" s="1312"/>
      <c r="E1259" s="1851">
        <v>61</v>
      </c>
      <c r="F1259" s="1875" t="s">
        <v>4477</v>
      </c>
      <c r="G1259" s="1852" t="s">
        <v>420</v>
      </c>
      <c r="H1259" s="2421" t="s">
        <v>669</v>
      </c>
      <c r="I1259" s="1871">
        <v>1.35</v>
      </c>
      <c r="J1259" s="2410" t="s">
        <v>2566</v>
      </c>
      <c r="K1259" s="292"/>
      <c r="L1259" s="665">
        <v>85</v>
      </c>
      <c r="M1259" s="1875">
        <f t="shared" si="63"/>
        <v>24</v>
      </c>
      <c r="N1259" s="667">
        <v>2</v>
      </c>
      <c r="O1259" s="1856" t="s">
        <v>4184</v>
      </c>
      <c r="P1259" s="297"/>
      <c r="Q1259" s="1856" t="s">
        <v>4183</v>
      </c>
      <c r="R1259" s="297"/>
      <c r="S1259" s="297"/>
      <c r="T1259" s="297"/>
      <c r="U1259" s="297"/>
    </row>
    <row r="1260" spans="1:21" s="305" customFormat="1">
      <c r="A1260" s="2432" t="s">
        <v>4189</v>
      </c>
      <c r="B1260" s="1868" t="s">
        <v>633</v>
      </c>
      <c r="C1260" s="1869" t="s">
        <v>668</v>
      </c>
      <c r="D1260" s="1312"/>
      <c r="E1260" s="1851">
        <v>69</v>
      </c>
      <c r="F1260" s="1875" t="s">
        <v>4477</v>
      </c>
      <c r="G1260" s="1852" t="s">
        <v>420</v>
      </c>
      <c r="H1260" s="2421" t="s">
        <v>669</v>
      </c>
      <c r="I1260" s="1871">
        <v>1.35</v>
      </c>
      <c r="J1260" s="2410" t="s">
        <v>2566</v>
      </c>
      <c r="K1260" s="292"/>
      <c r="L1260" s="665">
        <v>97</v>
      </c>
      <c r="M1260" s="1875">
        <f t="shared" si="63"/>
        <v>28</v>
      </c>
      <c r="N1260" s="667">
        <v>2</v>
      </c>
      <c r="O1260" s="1856" t="s">
        <v>4184</v>
      </c>
      <c r="P1260" s="297"/>
      <c r="Q1260" s="1856" t="s">
        <v>4183</v>
      </c>
      <c r="R1260" s="297"/>
      <c r="S1260" s="297"/>
      <c r="T1260" s="297"/>
      <c r="U1260" s="297"/>
    </row>
    <row r="1261" spans="1:21" s="305" customFormat="1">
      <c r="A1261" s="2432" t="s">
        <v>4190</v>
      </c>
      <c r="B1261" s="1868" t="s">
        <v>633</v>
      </c>
      <c r="C1261" s="1869" t="s">
        <v>668</v>
      </c>
      <c r="D1261" s="1312"/>
      <c r="E1261" s="1851">
        <v>83</v>
      </c>
      <c r="F1261" s="1875" t="s">
        <v>4477</v>
      </c>
      <c r="G1261" s="1852" t="s">
        <v>420</v>
      </c>
      <c r="H1261" s="2421" t="s">
        <v>669</v>
      </c>
      <c r="I1261" s="1871">
        <v>1.35</v>
      </c>
      <c r="J1261" s="2410" t="s">
        <v>2566</v>
      </c>
      <c r="K1261" s="292"/>
      <c r="L1261" s="665">
        <v>117</v>
      </c>
      <c r="M1261" s="1875">
        <f t="shared" si="63"/>
        <v>34</v>
      </c>
      <c r="N1261" s="667">
        <v>2</v>
      </c>
      <c r="O1261" s="1856" t="s">
        <v>4184</v>
      </c>
      <c r="P1261" s="297"/>
      <c r="Q1261" s="1856" t="s">
        <v>4183</v>
      </c>
      <c r="R1261" s="297"/>
      <c r="S1261" s="297"/>
      <c r="T1261" s="297"/>
      <c r="U1261" s="297"/>
    </row>
    <row r="1262" spans="1:21" s="305" customFormat="1">
      <c r="A1262" s="2416" t="s">
        <v>4038</v>
      </c>
      <c r="B1262" s="1868" t="s">
        <v>633</v>
      </c>
      <c r="C1262" s="1869" t="s">
        <v>634</v>
      </c>
      <c r="D1262" s="1870"/>
      <c r="E1262" s="1872">
        <v>35</v>
      </c>
      <c r="F1262" s="371" t="s">
        <v>4648</v>
      </c>
      <c r="G1262" s="1852" t="s">
        <v>420</v>
      </c>
      <c r="H1262" s="2421" t="s">
        <v>4043</v>
      </c>
      <c r="I1262" s="1871">
        <v>1.35</v>
      </c>
      <c r="J1262" s="2410" t="s">
        <v>2566</v>
      </c>
      <c r="K1262" s="290"/>
      <c r="L1262" s="1871">
        <v>49</v>
      </c>
      <c r="M1262" s="1875">
        <f t="shared" si="63"/>
        <v>14</v>
      </c>
      <c r="N1262" s="673">
        <v>2</v>
      </c>
      <c r="O1262" s="1856" t="s">
        <v>4017</v>
      </c>
      <c r="P1262" s="297"/>
      <c r="Q1262" s="2403" t="s">
        <v>4210</v>
      </c>
      <c r="R1262" s="297"/>
      <c r="S1262" s="2403" t="s">
        <v>4211</v>
      </c>
      <c r="T1262" s="297"/>
      <c r="U1262" s="297"/>
    </row>
    <row r="1263" spans="1:21" s="305" customFormat="1">
      <c r="A1263" s="2416" t="s">
        <v>4039</v>
      </c>
      <c r="B1263" s="1868" t="s">
        <v>633</v>
      </c>
      <c r="C1263" s="1869" t="s">
        <v>634</v>
      </c>
      <c r="D1263" s="1281"/>
      <c r="E1263" s="1851">
        <v>44</v>
      </c>
      <c r="F1263" s="371" t="s">
        <v>4648</v>
      </c>
      <c r="G1263" s="1852" t="s">
        <v>420</v>
      </c>
      <c r="H1263" s="2421" t="s">
        <v>4043</v>
      </c>
      <c r="I1263" s="1871">
        <v>1.35</v>
      </c>
      <c r="J1263" s="2410" t="s">
        <v>2566</v>
      </c>
      <c r="K1263" s="292"/>
      <c r="L1263" s="1871">
        <v>56</v>
      </c>
      <c r="M1263" s="1875">
        <f t="shared" si="63"/>
        <v>12</v>
      </c>
      <c r="N1263" s="673">
        <v>2</v>
      </c>
      <c r="O1263" s="1856" t="s">
        <v>4017</v>
      </c>
      <c r="P1263" s="297"/>
      <c r="Q1263" s="2403" t="s">
        <v>4210</v>
      </c>
      <c r="R1263" s="297"/>
      <c r="S1263" s="2403" t="s">
        <v>4211</v>
      </c>
      <c r="T1263" s="297"/>
      <c r="U1263" s="297"/>
    </row>
    <row r="1264" spans="1:21" s="305" customFormat="1">
      <c r="A1264" s="2416" t="s">
        <v>4040</v>
      </c>
      <c r="B1264" s="1868" t="s">
        <v>633</v>
      </c>
      <c r="C1264" s="1869" t="s">
        <v>634</v>
      </c>
      <c r="D1264" s="1281"/>
      <c r="E1264" s="1851">
        <v>55</v>
      </c>
      <c r="F1264" s="371" t="s">
        <v>4648</v>
      </c>
      <c r="G1264" s="1852" t="s">
        <v>420</v>
      </c>
      <c r="H1264" s="2421" t="s">
        <v>4043</v>
      </c>
      <c r="I1264" s="1871">
        <v>1.35</v>
      </c>
      <c r="J1264" s="2410" t="s">
        <v>2566</v>
      </c>
      <c r="K1264" s="292"/>
      <c r="L1264" s="1871">
        <v>67</v>
      </c>
      <c r="M1264" s="1875">
        <f t="shared" si="63"/>
        <v>12</v>
      </c>
      <c r="N1264" s="673">
        <v>2</v>
      </c>
      <c r="O1264" s="1856" t="s">
        <v>4017</v>
      </c>
      <c r="P1264" s="297"/>
      <c r="Q1264" s="2403" t="s">
        <v>4210</v>
      </c>
      <c r="R1264" s="297"/>
      <c r="S1264" s="2403" t="s">
        <v>4211</v>
      </c>
      <c r="T1264" s="297"/>
      <c r="U1264" s="297"/>
    </row>
    <row r="1265" spans="1:21" s="305" customFormat="1">
      <c r="A1265" s="2432" t="s">
        <v>4042</v>
      </c>
      <c r="B1265" s="1868" t="s">
        <v>633</v>
      </c>
      <c r="C1265" s="1869" t="s">
        <v>634</v>
      </c>
      <c r="D1265" s="1281"/>
      <c r="E1265" s="1851">
        <v>71</v>
      </c>
      <c r="F1265" s="371" t="s">
        <v>4648</v>
      </c>
      <c r="G1265" s="1852" t="s">
        <v>420</v>
      </c>
      <c r="H1265" s="2421" t="s">
        <v>4043</v>
      </c>
      <c r="I1265" s="1871">
        <v>1.35</v>
      </c>
      <c r="J1265" s="2410" t="s">
        <v>2566</v>
      </c>
      <c r="K1265" s="292"/>
      <c r="L1265" s="1871">
        <v>85</v>
      </c>
      <c r="M1265" s="1875">
        <f t="shared" si="63"/>
        <v>14</v>
      </c>
      <c r="N1265" s="673">
        <v>2</v>
      </c>
      <c r="O1265" s="1856" t="s">
        <v>4017</v>
      </c>
      <c r="P1265" s="297"/>
      <c r="Q1265" s="2403" t="s">
        <v>4210</v>
      </c>
      <c r="R1265" s="297"/>
      <c r="S1265" s="2403" t="s">
        <v>4211</v>
      </c>
      <c r="T1265" s="297"/>
      <c r="U1265" s="297"/>
    </row>
    <row r="1266" spans="1:21" s="305" customFormat="1">
      <c r="A1266" s="2432" t="s">
        <v>4041</v>
      </c>
      <c r="B1266" s="1868" t="s">
        <v>633</v>
      </c>
      <c r="C1266" s="1869" t="s">
        <v>634</v>
      </c>
      <c r="D1266" s="1281"/>
      <c r="E1266" s="1851">
        <v>83</v>
      </c>
      <c r="F1266" s="371" t="s">
        <v>4648</v>
      </c>
      <c r="G1266" s="1852" t="s">
        <v>420</v>
      </c>
      <c r="H1266" s="2421" t="s">
        <v>4043</v>
      </c>
      <c r="I1266" s="1871">
        <v>1.35</v>
      </c>
      <c r="J1266" s="2410" t="s">
        <v>2566</v>
      </c>
      <c r="K1266" s="292"/>
      <c r="L1266" s="1871">
        <v>96</v>
      </c>
      <c r="M1266" s="1875">
        <f t="shared" si="63"/>
        <v>13</v>
      </c>
      <c r="N1266" s="673">
        <v>2</v>
      </c>
      <c r="O1266" s="1856" t="s">
        <v>4017</v>
      </c>
      <c r="P1266" s="297"/>
      <c r="Q1266" s="2403" t="s">
        <v>4210</v>
      </c>
      <c r="R1266" s="297"/>
      <c r="S1266" s="2403" t="s">
        <v>4211</v>
      </c>
      <c r="T1266" s="297"/>
      <c r="U1266" s="297"/>
    </row>
    <row r="1267" spans="1:21" s="791" customFormat="1">
      <c r="A1267" s="817" t="s">
        <v>1799</v>
      </c>
      <c r="B1267" s="1301" t="s">
        <v>633</v>
      </c>
      <c r="C1267" s="1302" t="s">
        <v>1798</v>
      </c>
      <c r="D1267" s="1303"/>
      <c r="E1267" s="1304">
        <v>51</v>
      </c>
      <c r="F1267" s="813"/>
      <c r="G1267" s="809" t="s">
        <v>420</v>
      </c>
      <c r="H1267" s="813" t="s">
        <v>682</v>
      </c>
      <c r="I1267" s="819"/>
      <c r="J1267" s="819"/>
      <c r="K1267" s="819"/>
      <c r="L1267" s="819">
        <v>76</v>
      </c>
      <c r="M1267" s="813">
        <f t="shared" si="63"/>
        <v>25</v>
      </c>
      <c r="N1267" s="815"/>
      <c r="O1267" s="803" t="s">
        <v>1796</v>
      </c>
      <c r="P1267" s="798"/>
      <c r="Q1267" s="798"/>
      <c r="R1267" s="798"/>
      <c r="S1267" s="798"/>
      <c r="T1267" s="798"/>
      <c r="U1267" s="798"/>
    </row>
    <row r="1268" spans="1:21" s="791" customFormat="1">
      <c r="A1268" s="818" t="s">
        <v>1800</v>
      </c>
      <c r="B1268" s="1301" t="s">
        <v>633</v>
      </c>
      <c r="C1268" s="1302" t="s">
        <v>1798</v>
      </c>
      <c r="D1268" s="1277"/>
      <c r="E1268" s="1278">
        <v>66</v>
      </c>
      <c r="F1268" s="813"/>
      <c r="G1268" s="809" t="s">
        <v>420</v>
      </c>
      <c r="H1268" s="813" t="s">
        <v>682</v>
      </c>
      <c r="I1268" s="796"/>
      <c r="J1268" s="796"/>
      <c r="K1268" s="796"/>
      <c r="L1268" s="796">
        <v>92</v>
      </c>
      <c r="M1268" s="813">
        <f t="shared" si="63"/>
        <v>26</v>
      </c>
      <c r="N1268" s="816"/>
      <c r="O1268" s="803" t="s">
        <v>1796</v>
      </c>
      <c r="P1268" s="798"/>
      <c r="Q1268" s="798"/>
      <c r="R1268" s="798"/>
      <c r="S1268" s="798"/>
      <c r="T1268" s="798"/>
      <c r="U1268" s="798"/>
    </row>
    <row r="1269" spans="1:21" s="791" customFormat="1">
      <c r="A1269" s="817" t="s">
        <v>1801</v>
      </c>
      <c r="B1269" s="1301" t="s">
        <v>633</v>
      </c>
      <c r="C1269" s="1302" t="s">
        <v>1798</v>
      </c>
      <c r="D1269" s="1277"/>
      <c r="E1269" s="1278">
        <v>74</v>
      </c>
      <c r="F1269" s="813"/>
      <c r="G1269" s="809" t="s">
        <v>420</v>
      </c>
      <c r="H1269" s="813" t="s">
        <v>682</v>
      </c>
      <c r="I1269" s="796"/>
      <c r="J1269" s="796"/>
      <c r="K1269" s="796"/>
      <c r="L1269" s="796">
        <v>100</v>
      </c>
      <c r="M1269" s="813">
        <f t="shared" si="63"/>
        <v>26</v>
      </c>
      <c r="N1269" s="816"/>
      <c r="O1269" s="803" t="s">
        <v>1796</v>
      </c>
      <c r="P1269" s="798"/>
      <c r="Q1269" s="798"/>
      <c r="R1269" s="798"/>
      <c r="S1269" s="798"/>
      <c r="T1269" s="798"/>
      <c r="U1269" s="798"/>
    </row>
    <row r="1270" spans="1:21" s="791" customFormat="1">
      <c r="A1270" s="817" t="s">
        <v>1802</v>
      </c>
      <c r="B1270" s="1301" t="s">
        <v>633</v>
      </c>
      <c r="C1270" s="1302" t="s">
        <v>1798</v>
      </c>
      <c r="D1270" s="1277"/>
      <c r="E1270" s="1278">
        <v>94</v>
      </c>
      <c r="F1270" s="813"/>
      <c r="G1270" s="809" t="s">
        <v>420</v>
      </c>
      <c r="H1270" s="813" t="s">
        <v>682</v>
      </c>
      <c r="I1270" s="796"/>
      <c r="J1270" s="796"/>
      <c r="K1270" s="796"/>
      <c r="L1270" s="796">
        <v>115</v>
      </c>
      <c r="M1270" s="813">
        <f t="shared" si="63"/>
        <v>21</v>
      </c>
      <c r="N1270" s="816"/>
      <c r="O1270" s="803"/>
      <c r="P1270" s="798"/>
      <c r="Q1270" s="798"/>
      <c r="R1270" s="798"/>
      <c r="S1270" s="798"/>
      <c r="T1270" s="798"/>
      <c r="U1270" s="798"/>
    </row>
    <row r="1271" spans="1:21" s="791" customFormat="1">
      <c r="A1271" s="817" t="s">
        <v>1790</v>
      </c>
      <c r="B1271" s="1301" t="s">
        <v>633</v>
      </c>
      <c r="C1271" s="1302" t="s">
        <v>1798</v>
      </c>
      <c r="D1271" s="1277"/>
      <c r="E1271" s="1278"/>
      <c r="F1271" s="813" t="s">
        <v>1795</v>
      </c>
      <c r="G1271" s="792"/>
      <c r="H1271" s="813"/>
      <c r="I1271" s="796"/>
      <c r="J1271" s="796"/>
      <c r="K1271" s="796"/>
      <c r="L1271" s="796"/>
      <c r="M1271" s="792"/>
      <c r="N1271" s="816"/>
      <c r="O1271" s="803"/>
      <c r="P1271" s="798"/>
      <c r="Q1271" s="798"/>
      <c r="R1271" s="798"/>
      <c r="S1271" s="798"/>
      <c r="T1271" s="798"/>
      <c r="U1271" s="798"/>
    </row>
    <row r="1272" spans="1:21" s="791" customFormat="1">
      <c r="A1272" s="2416" t="s">
        <v>4520</v>
      </c>
      <c r="B1272" s="1868" t="s">
        <v>633</v>
      </c>
      <c r="C1272" s="1869" t="s">
        <v>681</v>
      </c>
      <c r="D1272" s="1870"/>
      <c r="E1272" s="1872">
        <v>43</v>
      </c>
      <c r="F1272" s="1875" t="s">
        <v>4532</v>
      </c>
      <c r="G1272" s="1852" t="s">
        <v>420</v>
      </c>
      <c r="H1272" s="2421" t="s">
        <v>682</v>
      </c>
      <c r="I1272" s="2421">
        <v>1.34</v>
      </c>
      <c r="J1272" s="1871" t="s">
        <v>206</v>
      </c>
      <c r="K1272" s="794"/>
      <c r="L1272" s="1871">
        <v>62</v>
      </c>
      <c r="M1272" s="1875">
        <f t="shared" ref="M1272:M1278" si="64">L1272-E1272</f>
        <v>19</v>
      </c>
      <c r="N1272" s="802"/>
      <c r="O1272" s="1856" t="s">
        <v>3880</v>
      </c>
      <c r="P1272" s="798"/>
      <c r="Q1272" s="2403" t="s">
        <v>4514</v>
      </c>
      <c r="R1272" s="798"/>
      <c r="S1272" s="2403" t="s">
        <v>4524</v>
      </c>
      <c r="T1272" s="798"/>
      <c r="U1272" s="798"/>
    </row>
    <row r="1273" spans="1:21" s="791" customFormat="1">
      <c r="A1273" s="2416" t="s">
        <v>4521</v>
      </c>
      <c r="B1273" s="1868" t="s">
        <v>633</v>
      </c>
      <c r="C1273" s="1869" t="s">
        <v>681</v>
      </c>
      <c r="D1273" s="1281"/>
      <c r="E1273" s="1851">
        <v>45</v>
      </c>
      <c r="F1273" s="1875" t="s">
        <v>4532</v>
      </c>
      <c r="G1273" s="1852" t="s">
        <v>420</v>
      </c>
      <c r="H1273" s="2421" t="s">
        <v>682</v>
      </c>
      <c r="I1273" s="2421">
        <v>1.34</v>
      </c>
      <c r="J1273" s="1871" t="s">
        <v>206</v>
      </c>
      <c r="K1273" s="788"/>
      <c r="L1273" s="665">
        <v>66</v>
      </c>
      <c r="M1273" s="1875">
        <f t="shared" si="64"/>
        <v>21</v>
      </c>
      <c r="N1273" s="797"/>
      <c r="O1273" s="1856" t="s">
        <v>3880</v>
      </c>
      <c r="P1273" s="798"/>
      <c r="Q1273" s="2403" t="s">
        <v>4514</v>
      </c>
      <c r="R1273" s="798"/>
      <c r="S1273" s="2403" t="s">
        <v>4524</v>
      </c>
      <c r="T1273" s="798"/>
      <c r="U1273" s="798"/>
    </row>
    <row r="1274" spans="1:21" s="791" customFormat="1">
      <c r="A1274" s="2416" t="s">
        <v>4522</v>
      </c>
      <c r="B1274" s="1868" t="s">
        <v>633</v>
      </c>
      <c r="C1274" s="1869" t="s">
        <v>681</v>
      </c>
      <c r="D1274" s="1281"/>
      <c r="E1274" s="1851">
        <v>51</v>
      </c>
      <c r="F1274" s="1875" t="s">
        <v>4532</v>
      </c>
      <c r="G1274" s="1852" t="s">
        <v>420</v>
      </c>
      <c r="H1274" s="2421" t="s">
        <v>682</v>
      </c>
      <c r="I1274" s="2421">
        <v>1.34</v>
      </c>
      <c r="J1274" s="1871" t="s">
        <v>206</v>
      </c>
      <c r="K1274" s="788"/>
      <c r="L1274" s="665">
        <v>73</v>
      </c>
      <c r="M1274" s="1875">
        <f t="shared" si="64"/>
        <v>22</v>
      </c>
      <c r="N1274" s="797"/>
      <c r="O1274" s="1856" t="s">
        <v>3880</v>
      </c>
      <c r="P1274" s="798"/>
      <c r="Q1274" s="2403" t="s">
        <v>4514</v>
      </c>
      <c r="R1274" s="798"/>
      <c r="S1274" s="2403" t="s">
        <v>4524</v>
      </c>
      <c r="T1274" s="798"/>
      <c r="U1274" s="798"/>
    </row>
    <row r="1275" spans="1:21" s="791" customFormat="1">
      <c r="A1275" s="2432" t="s">
        <v>4510</v>
      </c>
      <c r="B1275" s="1868" t="s">
        <v>633</v>
      </c>
      <c r="C1275" s="1869" t="s">
        <v>681</v>
      </c>
      <c r="D1275" s="1281"/>
      <c r="E1275" s="1851">
        <v>54</v>
      </c>
      <c r="F1275" s="1875" t="s">
        <v>4532</v>
      </c>
      <c r="G1275" s="1852" t="s">
        <v>420</v>
      </c>
      <c r="H1275" s="2421" t="s">
        <v>682</v>
      </c>
      <c r="I1275" s="2421">
        <v>1.34</v>
      </c>
      <c r="J1275" s="1871" t="s">
        <v>206</v>
      </c>
      <c r="K1275" s="788"/>
      <c r="L1275" s="665">
        <v>77</v>
      </c>
      <c r="M1275" s="1875">
        <f t="shared" si="64"/>
        <v>23</v>
      </c>
      <c r="N1275" s="797"/>
      <c r="O1275" s="1856" t="s">
        <v>3880</v>
      </c>
      <c r="P1275" s="798"/>
      <c r="Q1275" s="2403" t="s">
        <v>4514</v>
      </c>
      <c r="R1275" s="798"/>
      <c r="S1275" s="2403" t="s">
        <v>4524</v>
      </c>
      <c r="T1275" s="798"/>
      <c r="U1275" s="798"/>
    </row>
    <row r="1276" spans="1:21" s="791" customFormat="1">
      <c r="A1276" s="2432" t="s">
        <v>4523</v>
      </c>
      <c r="B1276" s="1868" t="s">
        <v>633</v>
      </c>
      <c r="C1276" s="1869" t="s">
        <v>681</v>
      </c>
      <c r="D1276" s="1281"/>
      <c r="E1276" s="1851">
        <v>66</v>
      </c>
      <c r="F1276" s="1875" t="s">
        <v>4532</v>
      </c>
      <c r="G1276" s="1852" t="s">
        <v>420</v>
      </c>
      <c r="H1276" s="2421" t="s">
        <v>682</v>
      </c>
      <c r="I1276" s="2421">
        <v>1.34</v>
      </c>
      <c r="J1276" s="1871" t="s">
        <v>206</v>
      </c>
      <c r="K1276" s="788"/>
      <c r="L1276" s="665">
        <v>90</v>
      </c>
      <c r="M1276" s="663">
        <f t="shared" si="64"/>
        <v>24</v>
      </c>
      <c r="N1276" s="797"/>
      <c r="O1276" s="1856" t="s">
        <v>3880</v>
      </c>
      <c r="P1276" s="798"/>
      <c r="Q1276" s="2403" t="s">
        <v>4514</v>
      </c>
      <c r="R1276" s="798"/>
      <c r="S1276" s="2403" t="s">
        <v>4524</v>
      </c>
      <c r="T1276" s="798"/>
      <c r="U1276" s="798"/>
    </row>
    <row r="1277" spans="1:21" s="791" customFormat="1">
      <c r="A1277" s="2432" t="s">
        <v>4512</v>
      </c>
      <c r="B1277" s="1868" t="s">
        <v>633</v>
      </c>
      <c r="C1277" s="1869" t="s">
        <v>681</v>
      </c>
      <c r="D1277" s="1281"/>
      <c r="E1277" s="1851">
        <v>77</v>
      </c>
      <c r="F1277" s="1875" t="s">
        <v>4532</v>
      </c>
      <c r="G1277" s="1852" t="s">
        <v>420</v>
      </c>
      <c r="H1277" s="2421" t="s">
        <v>682</v>
      </c>
      <c r="I1277" s="2421">
        <v>1.34</v>
      </c>
      <c r="J1277" s="1871" t="s">
        <v>206</v>
      </c>
      <c r="K1277" s="788"/>
      <c r="L1277" s="665">
        <v>102</v>
      </c>
      <c r="M1277" s="663">
        <f t="shared" si="64"/>
        <v>25</v>
      </c>
      <c r="N1277" s="797"/>
      <c r="O1277" s="1856" t="s">
        <v>3880</v>
      </c>
      <c r="P1277" s="798"/>
      <c r="Q1277" s="2403" t="s">
        <v>4514</v>
      </c>
      <c r="R1277" s="798"/>
      <c r="S1277" s="2403" t="s">
        <v>4524</v>
      </c>
      <c r="T1277" s="798"/>
      <c r="U1277" s="798"/>
    </row>
    <row r="1278" spans="1:21" s="791" customFormat="1">
      <c r="A1278" s="2432" t="s">
        <v>4513</v>
      </c>
      <c r="B1278" s="1868" t="s">
        <v>633</v>
      </c>
      <c r="C1278" s="1869" t="s">
        <v>681</v>
      </c>
      <c r="D1278" s="1281"/>
      <c r="E1278" s="1851">
        <v>90</v>
      </c>
      <c r="F1278" s="1875" t="s">
        <v>4532</v>
      </c>
      <c r="G1278" s="1852" t="s">
        <v>420</v>
      </c>
      <c r="H1278" s="2421" t="s">
        <v>682</v>
      </c>
      <c r="I1278" s="2421">
        <v>1.34</v>
      </c>
      <c r="J1278" s="1871" t="s">
        <v>206</v>
      </c>
      <c r="K1278" s="788"/>
      <c r="L1278" s="665">
        <v>123</v>
      </c>
      <c r="M1278" s="663">
        <f t="shared" si="64"/>
        <v>33</v>
      </c>
      <c r="N1278" s="797"/>
      <c r="O1278" s="1856" t="s">
        <v>3880</v>
      </c>
      <c r="P1278" s="798"/>
      <c r="Q1278" s="2403" t="s">
        <v>4514</v>
      </c>
      <c r="R1278" s="798"/>
      <c r="S1278" s="2403" t="s">
        <v>4524</v>
      </c>
      <c r="T1278" s="798"/>
      <c r="U1278" s="798"/>
    </row>
    <row r="1279" spans="1:21" s="305" customFormat="1">
      <c r="A1279" s="2473" t="s">
        <v>4508</v>
      </c>
      <c r="B1279" s="1868" t="s">
        <v>633</v>
      </c>
      <c r="C1279" s="1869" t="s">
        <v>784</v>
      </c>
      <c r="D1279" s="1281"/>
      <c r="E1279" s="1851">
        <v>46</v>
      </c>
      <c r="F1279" s="303"/>
      <c r="G1279" s="1852" t="s">
        <v>420</v>
      </c>
      <c r="H1279" s="2421"/>
      <c r="I1279" s="2421">
        <v>1.34</v>
      </c>
      <c r="J1279" s="1871" t="s">
        <v>206</v>
      </c>
      <c r="K1279" s="292"/>
      <c r="L1279" s="665">
        <v>66</v>
      </c>
      <c r="M1279" s="663">
        <f t="shared" ref="M1279:M1284" si="65">L1279-E1279</f>
        <v>20</v>
      </c>
      <c r="N1279" s="634"/>
      <c r="O1279" s="1856" t="s">
        <v>3880</v>
      </c>
      <c r="P1279" s="297"/>
      <c r="Q1279" s="2403" t="s">
        <v>4514</v>
      </c>
      <c r="R1279" s="297"/>
      <c r="S1279" s="2403" t="s">
        <v>4524</v>
      </c>
      <c r="T1279" s="297"/>
      <c r="U1279" s="297"/>
    </row>
    <row r="1280" spans="1:21" s="305" customFormat="1">
      <c r="A1280" s="2416" t="s">
        <v>4509</v>
      </c>
      <c r="B1280" s="1868" t="s">
        <v>633</v>
      </c>
      <c r="C1280" s="1869" t="s">
        <v>784</v>
      </c>
      <c r="D1280" s="1281"/>
      <c r="E1280" s="1851">
        <v>52</v>
      </c>
      <c r="F1280" s="303"/>
      <c r="G1280" s="1852" t="s">
        <v>420</v>
      </c>
      <c r="H1280" s="2421"/>
      <c r="I1280" s="2421">
        <v>1.34</v>
      </c>
      <c r="J1280" s="1871" t="s">
        <v>206</v>
      </c>
      <c r="K1280" s="292"/>
      <c r="L1280" s="665">
        <v>73</v>
      </c>
      <c r="M1280" s="663">
        <f t="shared" si="65"/>
        <v>21</v>
      </c>
      <c r="N1280" s="634"/>
      <c r="O1280" s="1856" t="s">
        <v>3880</v>
      </c>
      <c r="P1280" s="297"/>
      <c r="Q1280" s="2403" t="s">
        <v>4514</v>
      </c>
      <c r="R1280" s="297"/>
      <c r="S1280" s="2403" t="s">
        <v>4524</v>
      </c>
      <c r="T1280" s="297"/>
      <c r="U1280" s="297"/>
    </row>
    <row r="1281" spans="1:21" s="305" customFormat="1">
      <c r="A1281" s="2416" t="s">
        <v>4510</v>
      </c>
      <c r="B1281" s="1868" t="s">
        <v>633</v>
      </c>
      <c r="C1281" s="1869" t="s">
        <v>784</v>
      </c>
      <c r="D1281" s="1281"/>
      <c r="E1281" s="1851">
        <v>55</v>
      </c>
      <c r="F1281" s="303"/>
      <c r="G1281" s="1852" t="s">
        <v>420</v>
      </c>
      <c r="H1281" s="2421"/>
      <c r="I1281" s="2421">
        <v>1.34</v>
      </c>
      <c r="J1281" s="1871" t="s">
        <v>206</v>
      </c>
      <c r="K1281" s="292"/>
      <c r="L1281" s="665">
        <v>78</v>
      </c>
      <c r="M1281" s="663">
        <f t="shared" si="65"/>
        <v>23</v>
      </c>
      <c r="N1281" s="634"/>
      <c r="O1281" s="1856" t="s">
        <v>3880</v>
      </c>
      <c r="P1281" s="297"/>
      <c r="Q1281" s="2403" t="s">
        <v>4514</v>
      </c>
      <c r="R1281" s="297"/>
      <c r="S1281" s="2403" t="s">
        <v>4524</v>
      </c>
      <c r="T1281" s="297"/>
      <c r="U1281" s="297"/>
    </row>
    <row r="1282" spans="1:21" s="305" customFormat="1">
      <c r="A1282" s="2432" t="s">
        <v>4511</v>
      </c>
      <c r="B1282" s="1868" t="s">
        <v>633</v>
      </c>
      <c r="C1282" s="1869" t="s">
        <v>784</v>
      </c>
      <c r="D1282" s="1281"/>
      <c r="E1282" s="1851">
        <v>67</v>
      </c>
      <c r="F1282" s="303"/>
      <c r="G1282" s="1852" t="s">
        <v>420</v>
      </c>
      <c r="H1282" s="2421"/>
      <c r="I1282" s="2421">
        <v>1.34</v>
      </c>
      <c r="J1282" s="1871" t="s">
        <v>206</v>
      </c>
      <c r="K1282" s="292"/>
      <c r="L1282" s="665">
        <v>92</v>
      </c>
      <c r="M1282" s="663">
        <f t="shared" si="65"/>
        <v>25</v>
      </c>
      <c r="N1282" s="634"/>
      <c r="O1282" s="1856" t="s">
        <v>3880</v>
      </c>
      <c r="P1282" s="297"/>
      <c r="Q1282" s="2403" t="s">
        <v>4514</v>
      </c>
      <c r="R1282" s="297"/>
      <c r="S1282" s="2403" t="s">
        <v>4524</v>
      </c>
      <c r="T1282" s="297"/>
      <c r="U1282" s="297"/>
    </row>
    <row r="1283" spans="1:21" s="305" customFormat="1">
      <c r="A1283" s="2495" t="s">
        <v>4512</v>
      </c>
      <c r="B1283" s="1868" t="s">
        <v>633</v>
      </c>
      <c r="C1283" s="1869" t="s">
        <v>784</v>
      </c>
      <c r="D1283" s="1281"/>
      <c r="E1283" s="1851">
        <v>78</v>
      </c>
      <c r="F1283" s="303"/>
      <c r="G1283" s="1852" t="s">
        <v>420</v>
      </c>
      <c r="H1283" s="2421"/>
      <c r="I1283" s="2421">
        <v>1.34</v>
      </c>
      <c r="J1283" s="1871" t="s">
        <v>206</v>
      </c>
      <c r="K1283" s="292"/>
      <c r="L1283" s="665">
        <v>103</v>
      </c>
      <c r="M1283" s="663">
        <f t="shared" si="65"/>
        <v>25</v>
      </c>
      <c r="N1283" s="634"/>
      <c r="O1283" s="1856" t="s">
        <v>3880</v>
      </c>
      <c r="P1283" s="297"/>
      <c r="Q1283" s="2403" t="s">
        <v>4514</v>
      </c>
      <c r="R1283" s="297"/>
      <c r="S1283" s="2403" t="s">
        <v>4524</v>
      </c>
      <c r="T1283" s="297"/>
      <c r="U1283" s="297"/>
    </row>
    <row r="1284" spans="1:21" s="305" customFormat="1">
      <c r="A1284" s="2495" t="s">
        <v>4513</v>
      </c>
      <c r="B1284" s="1868" t="s">
        <v>633</v>
      </c>
      <c r="C1284" s="1869" t="s">
        <v>784</v>
      </c>
      <c r="D1284" s="1281"/>
      <c r="E1284" s="1851">
        <v>91</v>
      </c>
      <c r="F1284" s="303"/>
      <c r="G1284" s="1852" t="s">
        <v>420</v>
      </c>
      <c r="H1284" s="2421"/>
      <c r="I1284" s="2421">
        <v>1.34</v>
      </c>
      <c r="J1284" s="1871" t="s">
        <v>206</v>
      </c>
      <c r="K1284" s="292"/>
      <c r="L1284" s="665">
        <v>125</v>
      </c>
      <c r="M1284" s="663">
        <f t="shared" si="65"/>
        <v>34</v>
      </c>
      <c r="N1284" s="634"/>
      <c r="O1284" s="1856" t="s">
        <v>3880</v>
      </c>
      <c r="P1284" s="297"/>
      <c r="Q1284" s="2403" t="s">
        <v>4514</v>
      </c>
      <c r="R1284" s="297"/>
      <c r="S1284" s="2403" t="s">
        <v>4524</v>
      </c>
      <c r="T1284" s="297"/>
      <c r="U1284" s="297"/>
    </row>
    <row r="1285" spans="1:21" s="305" customFormat="1">
      <c r="A1285" s="2416" t="s">
        <v>4525</v>
      </c>
      <c r="B1285" s="1868" t="s">
        <v>2748</v>
      </c>
      <c r="C1285" s="1869" t="s">
        <v>785</v>
      </c>
      <c r="D1285" s="1870"/>
      <c r="E1285" s="1872">
        <v>49</v>
      </c>
      <c r="F1285" s="1875" t="s">
        <v>4533</v>
      </c>
      <c r="G1285" s="671" t="s">
        <v>4540</v>
      </c>
      <c r="H1285" s="307"/>
      <c r="I1285" s="2421">
        <v>1.34</v>
      </c>
      <c r="J1285" s="1871" t="s">
        <v>206</v>
      </c>
      <c r="K1285" s="290"/>
      <c r="L1285" s="1871">
        <v>83</v>
      </c>
      <c r="M1285" s="1875">
        <v>34</v>
      </c>
      <c r="N1285" s="637"/>
      <c r="O1285" s="1856" t="s">
        <v>3880</v>
      </c>
      <c r="P1285" s="297"/>
      <c r="Q1285" s="2403" t="s">
        <v>4514</v>
      </c>
      <c r="R1285" s="297"/>
      <c r="S1285" s="2403" t="s">
        <v>4524</v>
      </c>
      <c r="T1285" s="297"/>
      <c r="U1285" s="297"/>
    </row>
    <row r="1286" spans="1:21" s="305" customFormat="1">
      <c r="A1286" s="2416" t="s">
        <v>4526</v>
      </c>
      <c r="B1286" s="1868" t="s">
        <v>633</v>
      </c>
      <c r="C1286" s="1869" t="s">
        <v>785</v>
      </c>
      <c r="D1286" s="1281"/>
      <c r="E1286" s="1851">
        <v>50</v>
      </c>
      <c r="F1286" s="1875" t="s">
        <v>4534</v>
      </c>
      <c r="G1286" s="671" t="s">
        <v>4541</v>
      </c>
      <c r="H1286" s="307"/>
      <c r="I1286" s="2421">
        <v>1.34</v>
      </c>
      <c r="J1286" s="1871" t="s">
        <v>206</v>
      </c>
      <c r="K1286" s="292"/>
      <c r="L1286" s="1871">
        <v>85</v>
      </c>
      <c r="M1286" s="1875">
        <v>35</v>
      </c>
      <c r="N1286" s="634"/>
      <c r="O1286" s="1856" t="s">
        <v>3880</v>
      </c>
      <c r="P1286" s="297"/>
      <c r="Q1286" s="297"/>
      <c r="R1286" s="297"/>
      <c r="S1286" s="297"/>
      <c r="T1286" s="297"/>
      <c r="U1286" s="297"/>
    </row>
    <row r="1287" spans="1:21" s="305" customFormat="1">
      <c r="A1287" s="2416" t="s">
        <v>4527</v>
      </c>
      <c r="B1287" s="1868" t="s">
        <v>633</v>
      </c>
      <c r="C1287" s="1869" t="s">
        <v>785</v>
      </c>
      <c r="D1287" s="1281"/>
      <c r="E1287" s="1851">
        <v>68</v>
      </c>
      <c r="F1287" s="1875" t="s">
        <v>4535</v>
      </c>
      <c r="G1287" s="671" t="s">
        <v>4541</v>
      </c>
      <c r="H1287" s="307"/>
      <c r="I1287" s="2421">
        <v>1.34</v>
      </c>
      <c r="J1287" s="1871" t="s">
        <v>206</v>
      </c>
      <c r="K1287" s="292"/>
      <c r="L1287" s="1871">
        <v>114</v>
      </c>
      <c r="M1287" s="1875">
        <v>46</v>
      </c>
      <c r="N1287" s="634"/>
      <c r="O1287" s="1856" t="s">
        <v>3880</v>
      </c>
      <c r="P1287" s="297"/>
      <c r="Q1287" s="297"/>
      <c r="R1287" s="297"/>
      <c r="S1287" s="297"/>
      <c r="T1287" s="297"/>
      <c r="U1287" s="297"/>
    </row>
    <row r="1288" spans="1:21" s="305" customFormat="1">
      <c r="A1288" s="2432" t="s">
        <v>4528</v>
      </c>
      <c r="B1288" s="1868" t="s">
        <v>633</v>
      </c>
      <c r="C1288" s="1869" t="s">
        <v>785</v>
      </c>
      <c r="D1288" s="1281"/>
      <c r="E1288" s="1851">
        <v>86.5</v>
      </c>
      <c r="F1288" s="1875" t="s">
        <v>4536</v>
      </c>
      <c r="G1288" s="671" t="s">
        <v>4541</v>
      </c>
      <c r="H1288" s="307"/>
      <c r="I1288" s="2421">
        <v>1.34</v>
      </c>
      <c r="J1288" s="1871" t="s">
        <v>206</v>
      </c>
      <c r="K1288" s="292"/>
      <c r="L1288" s="1871">
        <v>129</v>
      </c>
      <c r="M1288" s="1875">
        <v>42.5</v>
      </c>
      <c r="N1288" s="634"/>
      <c r="O1288" s="1856" t="s">
        <v>3880</v>
      </c>
      <c r="P1288" s="297"/>
      <c r="Q1288" s="297"/>
      <c r="R1288" s="297"/>
      <c r="S1288" s="297"/>
      <c r="T1288" s="297"/>
      <c r="U1288" s="297"/>
    </row>
    <row r="1289" spans="1:21" s="305" customFormat="1">
      <c r="A1289" s="2432" t="s">
        <v>4529</v>
      </c>
      <c r="B1289" s="1868" t="s">
        <v>633</v>
      </c>
      <c r="C1289" s="1869" t="s">
        <v>785</v>
      </c>
      <c r="D1289" s="1281"/>
      <c r="E1289" s="1851">
        <v>101.5</v>
      </c>
      <c r="F1289" s="1875" t="s">
        <v>4537</v>
      </c>
      <c r="G1289" s="671" t="s">
        <v>4541</v>
      </c>
      <c r="H1289" s="307"/>
      <c r="I1289" s="2421">
        <v>1.34</v>
      </c>
      <c r="J1289" s="1871" t="s">
        <v>206</v>
      </c>
      <c r="K1289" s="292"/>
      <c r="L1289" s="1871">
        <v>159</v>
      </c>
      <c r="M1289" s="1875">
        <v>57.5</v>
      </c>
      <c r="N1289" s="634"/>
      <c r="O1289" s="1856" t="s">
        <v>3880</v>
      </c>
      <c r="P1289" s="297"/>
      <c r="Q1289" s="297"/>
      <c r="R1289" s="297"/>
      <c r="S1289" s="297"/>
      <c r="T1289" s="297"/>
      <c r="U1289" s="297"/>
    </row>
    <row r="1290" spans="1:21" s="305" customFormat="1">
      <c r="A1290" s="2432" t="s">
        <v>4530</v>
      </c>
      <c r="B1290" s="1868" t="s">
        <v>633</v>
      </c>
      <c r="C1290" s="1869" t="s">
        <v>785</v>
      </c>
      <c r="D1290" s="1281"/>
      <c r="E1290" s="1851">
        <v>127.5</v>
      </c>
      <c r="F1290" s="1875" t="s">
        <v>4538</v>
      </c>
      <c r="G1290" s="671" t="s">
        <v>4541</v>
      </c>
      <c r="H1290" s="307"/>
      <c r="I1290" s="2421">
        <v>1.34</v>
      </c>
      <c r="J1290" s="1871" t="s">
        <v>206</v>
      </c>
      <c r="K1290" s="292"/>
      <c r="L1290" s="1871">
        <v>211</v>
      </c>
      <c r="M1290" s="1875">
        <v>83.5</v>
      </c>
      <c r="N1290" s="634"/>
      <c r="O1290" s="1856" t="s">
        <v>3880</v>
      </c>
      <c r="P1290" s="297"/>
      <c r="Q1290" s="297"/>
      <c r="R1290" s="297"/>
      <c r="S1290" s="297"/>
      <c r="T1290" s="297"/>
      <c r="U1290" s="297"/>
    </row>
    <row r="1291" spans="1:21" s="305" customFormat="1">
      <c r="A1291" s="2432" t="s">
        <v>4531</v>
      </c>
      <c r="B1291" s="1868" t="s">
        <v>633</v>
      </c>
      <c r="C1291" s="1869" t="s">
        <v>785</v>
      </c>
      <c r="D1291" s="1281"/>
      <c r="E1291" s="1851">
        <v>146.5</v>
      </c>
      <c r="F1291" s="1875" t="s">
        <v>4539</v>
      </c>
      <c r="G1291" s="671" t="s">
        <v>4541</v>
      </c>
      <c r="H1291" s="307"/>
      <c r="I1291" s="2421">
        <v>1.34</v>
      </c>
      <c r="J1291" s="1871" t="s">
        <v>206</v>
      </c>
      <c r="K1291" s="292"/>
      <c r="L1291" s="1871">
        <v>249</v>
      </c>
      <c r="M1291" s="1875">
        <v>102.5</v>
      </c>
      <c r="N1291" s="634"/>
      <c r="O1291" s="1856" t="s">
        <v>3880</v>
      </c>
      <c r="P1291" s="297"/>
      <c r="Q1291" s="297"/>
      <c r="R1291" s="297"/>
      <c r="S1291" s="297"/>
      <c r="T1291" s="297"/>
      <c r="U1291" s="297"/>
    </row>
    <row r="1292" spans="1:21" s="791" customFormat="1">
      <c r="A1292" s="2416" t="s">
        <v>4515</v>
      </c>
      <c r="B1292" s="1868" t="s">
        <v>633</v>
      </c>
      <c r="C1292" s="1869" t="s">
        <v>453</v>
      </c>
      <c r="D1292" s="1870"/>
      <c r="E1292" s="1872">
        <v>28</v>
      </c>
      <c r="F1292" s="800"/>
      <c r="G1292" s="1852" t="s">
        <v>420</v>
      </c>
      <c r="H1292" s="812"/>
      <c r="I1292" s="801"/>
      <c r="J1292" s="794"/>
      <c r="K1292" s="794"/>
      <c r="L1292" s="1871">
        <v>35</v>
      </c>
      <c r="M1292" s="1875">
        <f>L1292-E1292</f>
        <v>7</v>
      </c>
      <c r="N1292" s="802"/>
      <c r="O1292" s="1856" t="s">
        <v>3880</v>
      </c>
      <c r="P1292" s="798"/>
      <c r="Q1292" s="2403" t="s">
        <v>4518</v>
      </c>
      <c r="R1292" s="798"/>
      <c r="S1292" s="2403" t="s">
        <v>4519</v>
      </c>
      <c r="T1292" s="798"/>
      <c r="U1292" s="798"/>
    </row>
    <row r="1293" spans="1:21" s="791" customFormat="1">
      <c r="A1293" s="2416" t="s">
        <v>4516</v>
      </c>
      <c r="B1293" s="1868" t="s">
        <v>633</v>
      </c>
      <c r="C1293" s="1869" t="s">
        <v>453</v>
      </c>
      <c r="D1293" s="1281"/>
      <c r="E1293" s="1851">
        <v>31</v>
      </c>
      <c r="F1293" s="800"/>
      <c r="G1293" s="1852" t="s">
        <v>420</v>
      </c>
      <c r="H1293" s="786"/>
      <c r="I1293" s="787"/>
      <c r="J1293" s="788"/>
      <c r="K1293" s="788"/>
      <c r="L1293" s="665">
        <v>40</v>
      </c>
      <c r="M1293" s="1875">
        <f>L1293-E1293</f>
        <v>9</v>
      </c>
      <c r="N1293" s="797"/>
      <c r="O1293" s="1856" t="s">
        <v>3880</v>
      </c>
      <c r="P1293" s="798"/>
      <c r="Q1293" s="2403" t="s">
        <v>4518</v>
      </c>
      <c r="R1293" s="798"/>
      <c r="S1293" s="2403" t="s">
        <v>4519</v>
      </c>
      <c r="T1293" s="798"/>
      <c r="U1293" s="798"/>
    </row>
    <row r="1294" spans="1:21" s="791" customFormat="1">
      <c r="A1294" s="2416" t="s">
        <v>4517</v>
      </c>
      <c r="B1294" s="1868" t="s">
        <v>633</v>
      </c>
      <c r="C1294" s="1869" t="s">
        <v>453</v>
      </c>
      <c r="D1294" s="1281"/>
      <c r="E1294" s="1851">
        <v>36.5</v>
      </c>
      <c r="F1294" s="800"/>
      <c r="G1294" s="1852" t="s">
        <v>420</v>
      </c>
      <c r="H1294" s="786"/>
      <c r="I1294" s="787"/>
      <c r="J1294" s="788"/>
      <c r="K1294" s="788"/>
      <c r="L1294" s="665">
        <v>44</v>
      </c>
      <c r="M1294" s="1875">
        <f>L1294-E1294</f>
        <v>7.5</v>
      </c>
      <c r="N1294" s="797"/>
      <c r="O1294" s="1856" t="s">
        <v>3880</v>
      </c>
      <c r="P1294" s="798"/>
      <c r="Q1294" s="2403" t="s">
        <v>4518</v>
      </c>
      <c r="R1294" s="798"/>
      <c r="S1294" s="2403" t="s">
        <v>4519</v>
      </c>
      <c r="T1294" s="798"/>
      <c r="U1294" s="798"/>
    </row>
    <row r="1295" spans="1:21" s="791" customFormat="1">
      <c r="A1295" s="2416" t="s">
        <v>4046</v>
      </c>
      <c r="B1295" s="1868" t="s">
        <v>1787</v>
      </c>
      <c r="C1295" s="1869" t="s">
        <v>1788</v>
      </c>
      <c r="D1295" s="1281"/>
      <c r="E1295" s="1851">
        <v>36</v>
      </c>
      <c r="F1295" s="800"/>
      <c r="G1295" s="792"/>
      <c r="H1295" s="2421">
        <v>1.35</v>
      </c>
      <c r="I1295" s="1871" t="s">
        <v>206</v>
      </c>
      <c r="J1295" s="788"/>
      <c r="K1295" s="788"/>
      <c r="L1295" s="665">
        <f>E1295*1.5</f>
        <v>54</v>
      </c>
      <c r="M1295" s="1851">
        <v>36</v>
      </c>
      <c r="N1295" s="797"/>
      <c r="O1295" s="1856" t="s">
        <v>4154</v>
      </c>
      <c r="P1295" s="798"/>
      <c r="Q1295" s="2403" t="s">
        <v>4047</v>
      </c>
      <c r="R1295" s="798"/>
      <c r="S1295" s="798"/>
      <c r="T1295" s="798"/>
      <c r="U1295" s="798"/>
    </row>
    <row r="1296" spans="1:21" s="791" customFormat="1">
      <c r="A1296" s="2416" t="s">
        <v>4045</v>
      </c>
      <c r="B1296" s="1868" t="s">
        <v>1787</v>
      </c>
      <c r="C1296" s="1869" t="s">
        <v>1788</v>
      </c>
      <c r="D1296" s="1281"/>
      <c r="E1296" s="1851">
        <v>41</v>
      </c>
      <c r="F1296" s="800"/>
      <c r="G1296" s="792"/>
      <c r="H1296" s="2421">
        <v>1.35</v>
      </c>
      <c r="I1296" s="1871" t="s">
        <v>206</v>
      </c>
      <c r="J1296" s="788"/>
      <c r="K1296" s="788"/>
      <c r="L1296" s="665">
        <f>E1296*1.5</f>
        <v>61.5</v>
      </c>
      <c r="M1296" s="1851">
        <v>41</v>
      </c>
      <c r="N1296" s="797"/>
      <c r="O1296" s="1856" t="s">
        <v>4154</v>
      </c>
      <c r="P1296" s="798"/>
      <c r="Q1296" s="2403" t="s">
        <v>4047</v>
      </c>
      <c r="R1296" s="798"/>
      <c r="S1296" s="798"/>
      <c r="T1296" s="798"/>
      <c r="U1296" s="798"/>
    </row>
    <row r="1297" spans="1:21" s="791" customFormat="1">
      <c r="A1297" s="2416" t="s">
        <v>4044</v>
      </c>
      <c r="B1297" s="1868" t="s">
        <v>1787</v>
      </c>
      <c r="C1297" s="1869" t="s">
        <v>1788</v>
      </c>
      <c r="D1297" s="1281"/>
      <c r="E1297" s="1851">
        <v>46</v>
      </c>
      <c r="F1297" s="800"/>
      <c r="G1297" s="792"/>
      <c r="H1297" s="2421">
        <v>1.35</v>
      </c>
      <c r="I1297" s="1871" t="s">
        <v>206</v>
      </c>
      <c r="J1297" s="788"/>
      <c r="K1297" s="788"/>
      <c r="L1297" s="665">
        <f>E1297*1.5</f>
        <v>69</v>
      </c>
      <c r="M1297" s="1851">
        <v>46</v>
      </c>
      <c r="N1297" s="797"/>
      <c r="O1297" s="1856" t="s">
        <v>4154</v>
      </c>
      <c r="P1297" s="798"/>
      <c r="Q1297" s="2403" t="s">
        <v>4047</v>
      </c>
      <c r="R1297" s="798"/>
      <c r="S1297" s="798"/>
      <c r="T1297" s="798"/>
      <c r="U1297" s="798"/>
    </row>
    <row r="1298" spans="1:21" s="445" customFormat="1">
      <c r="A1298" s="2416" t="s">
        <v>3899</v>
      </c>
      <c r="B1298" s="1868" t="s">
        <v>635</v>
      </c>
      <c r="C1298" s="1869" t="s">
        <v>1075</v>
      </c>
      <c r="D1298" s="1784"/>
      <c r="E1298" s="1851">
        <v>32</v>
      </c>
      <c r="F1298" s="1804"/>
      <c r="G1298" s="1810"/>
      <c r="H1298" s="664">
        <v>2.2999999999999998</v>
      </c>
      <c r="I1298" s="665" t="s">
        <v>3903</v>
      </c>
      <c r="J1298" s="1797"/>
      <c r="K1298" s="1797"/>
      <c r="L1298" s="665">
        <v>62</v>
      </c>
      <c r="M1298" s="663">
        <f>L1298-E1298</f>
        <v>30</v>
      </c>
      <c r="N1298" s="667">
        <v>4</v>
      </c>
      <c r="O1298" s="1856" t="s">
        <v>3880</v>
      </c>
      <c r="P1298" s="487"/>
      <c r="Q1298" s="490" t="s">
        <v>3902</v>
      </c>
      <c r="R1298" s="487"/>
      <c r="S1298" s="490" t="s">
        <v>4257</v>
      </c>
      <c r="T1298" s="487"/>
      <c r="U1298" s="487"/>
    </row>
    <row r="1299" spans="1:21" s="456" customFormat="1">
      <c r="A1299" s="2416" t="s">
        <v>3900</v>
      </c>
      <c r="B1299" s="1868" t="s">
        <v>635</v>
      </c>
      <c r="C1299" s="1869" t="s">
        <v>1075</v>
      </c>
      <c r="D1299" s="1793"/>
      <c r="E1299" s="1872">
        <v>35</v>
      </c>
      <c r="F1299" s="1804"/>
      <c r="G1299" s="1810"/>
      <c r="H1299" s="664">
        <v>2.2999999999999998</v>
      </c>
      <c r="I1299" s="665" t="s">
        <v>3903</v>
      </c>
      <c r="J1299" s="1807"/>
      <c r="K1299" s="1807"/>
      <c r="L1299" s="1871">
        <v>65</v>
      </c>
      <c r="M1299" s="663">
        <f>L1299-E1299</f>
        <v>30</v>
      </c>
      <c r="N1299" s="667">
        <v>4</v>
      </c>
      <c r="O1299" s="1856" t="s">
        <v>3880</v>
      </c>
      <c r="P1299" s="479"/>
      <c r="Q1299" s="490" t="s">
        <v>3902</v>
      </c>
      <c r="R1299" s="479"/>
      <c r="S1299" s="490" t="s">
        <v>4257</v>
      </c>
      <c r="T1299" s="479"/>
      <c r="U1299" s="479"/>
    </row>
    <row r="1300" spans="1:21" s="456" customFormat="1">
      <c r="A1300" s="2416" t="s">
        <v>3901</v>
      </c>
      <c r="B1300" s="1868" t="s">
        <v>635</v>
      </c>
      <c r="C1300" s="1869" t="s">
        <v>1075</v>
      </c>
      <c r="D1300" s="1784"/>
      <c r="E1300" s="1872">
        <v>36</v>
      </c>
      <c r="F1300" s="1804"/>
      <c r="G1300" s="1810"/>
      <c r="H1300" s="664">
        <v>2.2999999999999998</v>
      </c>
      <c r="I1300" s="665" t="s">
        <v>3903</v>
      </c>
      <c r="J1300" s="1807"/>
      <c r="K1300" s="1807"/>
      <c r="L1300" s="1871">
        <v>67</v>
      </c>
      <c r="M1300" s="663">
        <f>L1300-E1300</f>
        <v>31</v>
      </c>
      <c r="N1300" s="667">
        <v>4</v>
      </c>
      <c r="O1300" s="1856" t="s">
        <v>3880</v>
      </c>
      <c r="P1300" s="479"/>
      <c r="Q1300" s="490" t="s">
        <v>3902</v>
      </c>
      <c r="R1300" s="479"/>
      <c r="S1300" s="490" t="s">
        <v>4257</v>
      </c>
      <c r="T1300" s="479"/>
      <c r="U1300" s="479"/>
    </row>
    <row r="1301" spans="1:21" s="305" customFormat="1">
      <c r="A1301" s="2432" t="s">
        <v>4219</v>
      </c>
      <c r="B1301" s="1868" t="s">
        <v>635</v>
      </c>
      <c r="C1301" s="1869" t="s">
        <v>850</v>
      </c>
      <c r="D1301" s="1312"/>
      <c r="E1301" s="1851">
        <v>52</v>
      </c>
      <c r="F1301" s="303"/>
      <c r="G1301" s="293"/>
      <c r="H1301" s="664">
        <v>1.4</v>
      </c>
      <c r="I1301" s="665" t="s">
        <v>206</v>
      </c>
      <c r="J1301" s="292"/>
      <c r="K1301" s="292"/>
      <c r="L1301" s="665">
        <f t="shared" ref="L1301:L1307" si="66">M1301+E1301</f>
        <v>94</v>
      </c>
      <c r="M1301" s="663">
        <v>42</v>
      </c>
      <c r="N1301" s="667">
        <v>2.5</v>
      </c>
      <c r="O1301" s="1856" t="s">
        <v>4227</v>
      </c>
      <c r="P1301" s="297"/>
      <c r="Q1301" s="2403" t="s">
        <v>4225</v>
      </c>
      <c r="R1301" s="297"/>
      <c r="S1301" s="2403"/>
      <c r="T1301" s="297"/>
      <c r="U1301" s="297"/>
    </row>
    <row r="1302" spans="1:21" s="305" customFormat="1">
      <c r="A1302" s="2432" t="s">
        <v>4224</v>
      </c>
      <c r="B1302" s="1868" t="s">
        <v>635</v>
      </c>
      <c r="C1302" s="1869" t="s">
        <v>850</v>
      </c>
      <c r="D1302" s="1326"/>
      <c r="E1302" s="1872">
        <v>43</v>
      </c>
      <c r="F1302" s="303"/>
      <c r="G1302" s="293"/>
      <c r="H1302" s="664">
        <v>1.4</v>
      </c>
      <c r="I1302" s="665" t="s">
        <v>206</v>
      </c>
      <c r="J1302" s="290"/>
      <c r="K1302" s="290"/>
      <c r="L1302" s="665">
        <f t="shared" si="66"/>
        <v>76</v>
      </c>
      <c r="M1302" s="1875">
        <v>33</v>
      </c>
      <c r="N1302" s="667">
        <v>2.5</v>
      </c>
      <c r="O1302" s="1856" t="s">
        <v>4227</v>
      </c>
      <c r="P1302" s="297"/>
      <c r="Q1302" s="2403" t="s">
        <v>4225</v>
      </c>
      <c r="R1302" s="297"/>
      <c r="S1302" s="2403"/>
      <c r="T1302" s="297"/>
      <c r="U1302" s="297"/>
    </row>
    <row r="1303" spans="1:21" s="305" customFormat="1">
      <c r="A1303" s="2416" t="s">
        <v>4220</v>
      </c>
      <c r="B1303" s="1868" t="s">
        <v>635</v>
      </c>
      <c r="C1303" s="1869" t="s">
        <v>850</v>
      </c>
      <c r="D1303" s="1312"/>
      <c r="E1303" s="1872">
        <v>41</v>
      </c>
      <c r="F1303" s="303"/>
      <c r="G1303" s="293"/>
      <c r="H1303" s="664">
        <v>1.4</v>
      </c>
      <c r="I1303" s="665" t="s">
        <v>206</v>
      </c>
      <c r="J1303" s="290"/>
      <c r="K1303" s="290"/>
      <c r="L1303" s="665">
        <f>M1303+E1303</f>
        <v>72</v>
      </c>
      <c r="M1303" s="1875">
        <v>31</v>
      </c>
      <c r="N1303" s="667">
        <v>2.5</v>
      </c>
      <c r="O1303" s="1856" t="s">
        <v>4227</v>
      </c>
      <c r="P1303" s="297"/>
      <c r="Q1303" s="2403" t="s">
        <v>4225</v>
      </c>
      <c r="R1303" s="297"/>
      <c r="S1303" s="2403"/>
      <c r="T1303" s="297"/>
      <c r="U1303" s="297"/>
    </row>
    <row r="1304" spans="1:21" s="305" customFormat="1">
      <c r="A1304" s="2473" t="s">
        <v>4221</v>
      </c>
      <c r="B1304" s="1868" t="s">
        <v>635</v>
      </c>
      <c r="C1304" s="1869" t="s">
        <v>850</v>
      </c>
      <c r="D1304" s="1312"/>
      <c r="E1304" s="1872">
        <v>51.5</v>
      </c>
      <c r="F1304" s="303"/>
      <c r="G1304" s="293"/>
      <c r="H1304" s="664">
        <v>1.4</v>
      </c>
      <c r="I1304" s="665" t="s">
        <v>206</v>
      </c>
      <c r="J1304" s="290"/>
      <c r="K1304" s="290"/>
      <c r="L1304" s="665">
        <f t="shared" si="66"/>
        <v>93</v>
      </c>
      <c r="M1304" s="1875">
        <v>41.5</v>
      </c>
      <c r="N1304" s="667">
        <v>2.5</v>
      </c>
      <c r="O1304" s="1856" t="s">
        <v>4227</v>
      </c>
      <c r="P1304" s="297"/>
      <c r="Q1304" s="2403" t="s">
        <v>4225</v>
      </c>
      <c r="R1304" s="297"/>
      <c r="S1304" s="2403"/>
      <c r="T1304" s="297"/>
      <c r="U1304" s="297"/>
    </row>
    <row r="1305" spans="1:21" s="305" customFormat="1">
      <c r="A1305" s="2432" t="s">
        <v>4222</v>
      </c>
      <c r="B1305" s="1868" t="s">
        <v>635</v>
      </c>
      <c r="C1305" s="1869" t="s">
        <v>606</v>
      </c>
      <c r="D1305" s="1312"/>
      <c r="E1305" s="1851">
        <v>50</v>
      </c>
      <c r="F1305" s="303"/>
      <c r="G1305" s="293"/>
      <c r="H1305" s="664">
        <v>1.4</v>
      </c>
      <c r="I1305" s="665" t="s">
        <v>206</v>
      </c>
      <c r="J1305" s="292"/>
      <c r="K1305" s="292"/>
      <c r="L1305" s="665">
        <f t="shared" si="66"/>
        <v>90</v>
      </c>
      <c r="M1305" s="663">
        <v>40</v>
      </c>
      <c r="N1305" s="667">
        <v>2.5</v>
      </c>
      <c r="O1305" s="1856" t="s">
        <v>4227</v>
      </c>
      <c r="P1305" s="297"/>
      <c r="Q1305" s="2403" t="s">
        <v>4225</v>
      </c>
      <c r="R1305" s="297"/>
      <c r="S1305" s="2403"/>
      <c r="T1305" s="297"/>
      <c r="U1305" s="297"/>
    </row>
    <row r="1306" spans="1:21" s="305" customFormat="1">
      <c r="A1306" s="2432" t="s">
        <v>4223</v>
      </c>
      <c r="B1306" s="1868" t="s">
        <v>635</v>
      </c>
      <c r="C1306" s="1869" t="s">
        <v>606</v>
      </c>
      <c r="D1306" s="1326"/>
      <c r="E1306" s="1872">
        <v>41</v>
      </c>
      <c r="F1306" s="303"/>
      <c r="G1306" s="293"/>
      <c r="H1306" s="664">
        <v>1.4</v>
      </c>
      <c r="I1306" s="665" t="s">
        <v>206</v>
      </c>
      <c r="J1306" s="290"/>
      <c r="K1306" s="290"/>
      <c r="L1306" s="665">
        <f t="shared" si="66"/>
        <v>72</v>
      </c>
      <c r="M1306" s="1875">
        <v>31</v>
      </c>
      <c r="N1306" s="667">
        <v>2.5</v>
      </c>
      <c r="O1306" s="1856" t="s">
        <v>4227</v>
      </c>
      <c r="P1306" s="297"/>
      <c r="Q1306" s="2403" t="s">
        <v>4225</v>
      </c>
      <c r="R1306" s="297"/>
      <c r="S1306" s="2403"/>
      <c r="T1306" s="297"/>
      <c r="U1306" s="297"/>
    </row>
    <row r="1307" spans="1:21" s="305" customFormat="1">
      <c r="A1307" s="2416" t="s">
        <v>4220</v>
      </c>
      <c r="B1307" s="1868" t="s">
        <v>635</v>
      </c>
      <c r="C1307" s="1869" t="s">
        <v>606</v>
      </c>
      <c r="D1307" s="1326"/>
      <c r="E1307" s="1872">
        <v>39</v>
      </c>
      <c r="F1307" s="303"/>
      <c r="G1307" s="293"/>
      <c r="H1307" s="664">
        <v>1.4</v>
      </c>
      <c r="I1307" s="665" t="s">
        <v>206</v>
      </c>
      <c r="J1307" s="290"/>
      <c r="K1307" s="290"/>
      <c r="L1307" s="665">
        <f t="shared" si="66"/>
        <v>68</v>
      </c>
      <c r="M1307" s="1875">
        <v>29</v>
      </c>
      <c r="N1307" s="667">
        <v>2.5</v>
      </c>
      <c r="O1307" s="1856" t="s">
        <v>4227</v>
      </c>
      <c r="P1307" s="297"/>
      <c r="Q1307" s="2403" t="s">
        <v>4225</v>
      </c>
      <c r="R1307" s="297"/>
      <c r="S1307" s="2403"/>
      <c r="T1307" s="297"/>
      <c r="U1307" s="297"/>
    </row>
    <row r="1308" spans="1:21" s="305" customFormat="1">
      <c r="A1308" s="2432" t="s">
        <v>4213</v>
      </c>
      <c r="B1308" s="1868" t="s">
        <v>635</v>
      </c>
      <c r="C1308" s="1869" t="s">
        <v>454</v>
      </c>
      <c r="D1308" s="1312"/>
      <c r="E1308" s="1851">
        <v>68</v>
      </c>
      <c r="F1308" s="303"/>
      <c r="G1308" s="293"/>
      <c r="H1308" s="664">
        <v>1.4</v>
      </c>
      <c r="I1308" s="665" t="s">
        <v>206</v>
      </c>
      <c r="J1308" s="292"/>
      <c r="K1308" s="292"/>
      <c r="L1308" s="665">
        <f t="shared" ref="L1308:L1313" si="67">M1308+E1308</f>
        <v>126</v>
      </c>
      <c r="M1308" s="663">
        <v>58</v>
      </c>
      <c r="N1308" s="667">
        <v>2.5</v>
      </c>
      <c r="O1308" s="1856" t="s">
        <v>4184</v>
      </c>
      <c r="P1308" s="2403" t="s">
        <v>4226</v>
      </c>
      <c r="Q1308" s="2403" t="s">
        <v>4225</v>
      </c>
      <c r="R1308" s="297"/>
      <c r="S1308" s="2403"/>
      <c r="T1308" s="297"/>
      <c r="U1308" s="297"/>
    </row>
    <row r="1309" spans="1:21" s="305" customFormat="1">
      <c r="A1309" s="2432" t="s">
        <v>4214</v>
      </c>
      <c r="B1309" s="1868" t="s">
        <v>635</v>
      </c>
      <c r="C1309" s="1869" t="s">
        <v>454</v>
      </c>
      <c r="D1309" s="1326"/>
      <c r="E1309" s="1872">
        <v>61.5</v>
      </c>
      <c r="F1309" s="303"/>
      <c r="G1309" s="293"/>
      <c r="H1309" s="664">
        <v>1.4</v>
      </c>
      <c r="I1309" s="665" t="s">
        <v>206</v>
      </c>
      <c r="J1309" s="290"/>
      <c r="K1309" s="290"/>
      <c r="L1309" s="665">
        <f t="shared" si="67"/>
        <v>113</v>
      </c>
      <c r="M1309" s="1875">
        <v>51.5</v>
      </c>
      <c r="N1309" s="667">
        <v>2.5</v>
      </c>
      <c r="O1309" s="1856" t="s">
        <v>4184</v>
      </c>
      <c r="P1309" s="2403" t="s">
        <v>4226</v>
      </c>
      <c r="Q1309" s="2403" t="s">
        <v>4225</v>
      </c>
      <c r="R1309" s="297"/>
      <c r="S1309" s="2403"/>
      <c r="T1309" s="297"/>
      <c r="U1309" s="297"/>
    </row>
    <row r="1310" spans="1:21" s="305" customFormat="1">
      <c r="A1310" s="2432" t="s">
        <v>4218</v>
      </c>
      <c r="B1310" s="1868" t="s">
        <v>635</v>
      </c>
      <c r="C1310" s="1869" t="s">
        <v>454</v>
      </c>
      <c r="D1310" s="1326"/>
      <c r="E1310" s="1872">
        <v>55</v>
      </c>
      <c r="F1310" s="303"/>
      <c r="G1310" s="293"/>
      <c r="H1310" s="664">
        <v>1.4</v>
      </c>
      <c r="I1310" s="665" t="s">
        <v>206</v>
      </c>
      <c r="J1310" s="290"/>
      <c r="K1310" s="290"/>
      <c r="L1310" s="665">
        <f t="shared" si="67"/>
        <v>100</v>
      </c>
      <c r="M1310" s="1875">
        <v>45</v>
      </c>
      <c r="N1310" s="667">
        <v>2.5</v>
      </c>
      <c r="O1310" s="1856" t="s">
        <v>4184</v>
      </c>
      <c r="P1310" s="2403" t="s">
        <v>4226</v>
      </c>
      <c r="Q1310" s="2403" t="s">
        <v>4225</v>
      </c>
      <c r="R1310" s="297"/>
      <c r="S1310" s="2403"/>
      <c r="T1310" s="297"/>
      <c r="U1310" s="297"/>
    </row>
    <row r="1311" spans="1:21" s="305" customFormat="1">
      <c r="A1311" s="2432" t="s">
        <v>4217</v>
      </c>
      <c r="B1311" s="1868" t="s">
        <v>635</v>
      </c>
      <c r="C1311" s="1869" t="s">
        <v>454</v>
      </c>
      <c r="D1311" s="1326"/>
      <c r="E1311" s="1872">
        <v>68</v>
      </c>
      <c r="F1311" s="303"/>
      <c r="G1311" s="293"/>
      <c r="H1311" s="664">
        <v>1.4</v>
      </c>
      <c r="I1311" s="665" t="s">
        <v>206</v>
      </c>
      <c r="J1311" s="290"/>
      <c r="K1311" s="290"/>
      <c r="L1311" s="665">
        <f t="shared" si="67"/>
        <v>126</v>
      </c>
      <c r="M1311" s="1875">
        <v>58</v>
      </c>
      <c r="N1311" s="667">
        <v>2.5</v>
      </c>
      <c r="O1311" s="1856" t="s">
        <v>4184</v>
      </c>
      <c r="P1311" s="2403" t="s">
        <v>4226</v>
      </c>
      <c r="Q1311" s="2403" t="s">
        <v>4225</v>
      </c>
      <c r="R1311" s="297"/>
      <c r="S1311" s="2403"/>
      <c r="T1311" s="297"/>
      <c r="U1311" s="297"/>
    </row>
    <row r="1312" spans="1:21" s="305" customFormat="1">
      <c r="A1312" s="2432" t="s">
        <v>4216</v>
      </c>
      <c r="B1312" s="1868" t="s">
        <v>635</v>
      </c>
      <c r="C1312" s="1869" t="s">
        <v>454</v>
      </c>
      <c r="D1312" s="1326"/>
      <c r="E1312" s="1872">
        <v>67</v>
      </c>
      <c r="F1312" s="303"/>
      <c r="G1312" s="293"/>
      <c r="H1312" s="664">
        <v>1.4</v>
      </c>
      <c r="I1312" s="665" t="s">
        <v>206</v>
      </c>
      <c r="J1312" s="290"/>
      <c r="K1312" s="290"/>
      <c r="L1312" s="665">
        <f t="shared" si="67"/>
        <v>124</v>
      </c>
      <c r="M1312" s="1875">
        <v>57</v>
      </c>
      <c r="N1312" s="667">
        <v>2.5</v>
      </c>
      <c r="O1312" s="1856" t="s">
        <v>4184</v>
      </c>
      <c r="P1312" s="2403" t="s">
        <v>4226</v>
      </c>
      <c r="Q1312" s="2403" t="s">
        <v>4225</v>
      </c>
      <c r="R1312" s="297"/>
      <c r="S1312" s="2403"/>
      <c r="T1312" s="297"/>
      <c r="U1312" s="297"/>
    </row>
    <row r="1313" spans="1:21" s="305" customFormat="1">
      <c r="A1313" s="2432" t="s">
        <v>4215</v>
      </c>
      <c r="B1313" s="1868" t="s">
        <v>635</v>
      </c>
      <c r="C1313" s="1869" t="s">
        <v>454</v>
      </c>
      <c r="D1313" s="1326"/>
      <c r="E1313" s="1872">
        <v>60.5</v>
      </c>
      <c r="F1313" s="303"/>
      <c r="G1313" s="293"/>
      <c r="H1313" s="664">
        <v>1.4</v>
      </c>
      <c r="I1313" s="665" t="s">
        <v>206</v>
      </c>
      <c r="J1313" s="290"/>
      <c r="K1313" s="290"/>
      <c r="L1313" s="665">
        <f t="shared" si="67"/>
        <v>111</v>
      </c>
      <c r="M1313" s="1875">
        <v>50.5</v>
      </c>
      <c r="N1313" s="667">
        <v>2.5</v>
      </c>
      <c r="O1313" s="1856" t="s">
        <v>4184</v>
      </c>
      <c r="P1313" s="2403" t="s">
        <v>4226</v>
      </c>
      <c r="Q1313" s="2403" t="s">
        <v>4225</v>
      </c>
      <c r="R1313" s="297"/>
      <c r="S1313" s="2403"/>
      <c r="T1313" s="297"/>
      <c r="U1313" s="297"/>
    </row>
    <row r="1314" spans="1:21" s="305" customFormat="1">
      <c r="A1314" s="2432" t="s">
        <v>4213</v>
      </c>
      <c r="B1314" s="1868" t="s">
        <v>635</v>
      </c>
      <c r="C1314" s="1869" t="s">
        <v>216</v>
      </c>
      <c r="D1314" s="1312"/>
      <c r="E1314" s="1851">
        <v>68</v>
      </c>
      <c r="F1314" s="303"/>
      <c r="G1314" s="293"/>
      <c r="H1314" s="664">
        <v>1.4</v>
      </c>
      <c r="I1314" s="665" t="s">
        <v>206</v>
      </c>
      <c r="J1314" s="292"/>
      <c r="K1314" s="292"/>
      <c r="L1314" s="665">
        <f t="shared" ref="L1314:L1319" si="68">M1314+E1314</f>
        <v>126</v>
      </c>
      <c r="M1314" s="663">
        <v>58</v>
      </c>
      <c r="N1314" s="667">
        <v>2.5</v>
      </c>
      <c r="O1314" s="1856" t="s">
        <v>4184</v>
      </c>
      <c r="P1314" s="2403" t="s">
        <v>2871</v>
      </c>
      <c r="Q1314" s="2403" t="s">
        <v>4225</v>
      </c>
      <c r="R1314" s="297"/>
      <c r="S1314" s="2403"/>
      <c r="T1314" s="297"/>
      <c r="U1314" s="297"/>
    </row>
    <row r="1315" spans="1:21" s="305" customFormat="1">
      <c r="A1315" s="2432" t="s">
        <v>4214</v>
      </c>
      <c r="B1315" s="1868" t="s">
        <v>635</v>
      </c>
      <c r="C1315" s="1869" t="s">
        <v>216</v>
      </c>
      <c r="D1315" s="1326"/>
      <c r="E1315" s="1872">
        <v>61.5</v>
      </c>
      <c r="F1315" s="303"/>
      <c r="G1315" s="293"/>
      <c r="H1315" s="664">
        <v>1.4</v>
      </c>
      <c r="I1315" s="665" t="s">
        <v>206</v>
      </c>
      <c r="J1315" s="290"/>
      <c r="K1315" s="290"/>
      <c r="L1315" s="665">
        <f t="shared" si="68"/>
        <v>113</v>
      </c>
      <c r="M1315" s="1875">
        <v>51.5</v>
      </c>
      <c r="N1315" s="667">
        <v>2.5</v>
      </c>
      <c r="O1315" s="1856" t="s">
        <v>4184</v>
      </c>
      <c r="P1315" s="2403" t="s">
        <v>2871</v>
      </c>
      <c r="Q1315" s="2403" t="s">
        <v>4225</v>
      </c>
      <c r="R1315" s="297"/>
      <c r="S1315" s="2403"/>
      <c r="T1315" s="297"/>
      <c r="U1315" s="297"/>
    </row>
    <row r="1316" spans="1:21" s="305" customFormat="1">
      <c r="A1316" s="2432" t="s">
        <v>4218</v>
      </c>
      <c r="B1316" s="1868" t="s">
        <v>635</v>
      </c>
      <c r="C1316" s="1869" t="s">
        <v>216</v>
      </c>
      <c r="D1316" s="1326"/>
      <c r="E1316" s="1872">
        <v>55</v>
      </c>
      <c r="F1316" s="303"/>
      <c r="G1316" s="293"/>
      <c r="H1316" s="664">
        <v>1.4</v>
      </c>
      <c r="I1316" s="665" t="s">
        <v>206</v>
      </c>
      <c r="J1316" s="290"/>
      <c r="K1316" s="290"/>
      <c r="L1316" s="665">
        <f t="shared" si="68"/>
        <v>100</v>
      </c>
      <c r="M1316" s="1875">
        <v>45</v>
      </c>
      <c r="N1316" s="667">
        <v>2.5</v>
      </c>
      <c r="O1316" s="1856" t="s">
        <v>4184</v>
      </c>
      <c r="P1316" s="2403" t="s">
        <v>2871</v>
      </c>
      <c r="Q1316" s="2403" t="s">
        <v>4225</v>
      </c>
      <c r="R1316" s="297"/>
      <c r="S1316" s="2403"/>
      <c r="T1316" s="297"/>
      <c r="U1316" s="297"/>
    </row>
    <row r="1317" spans="1:21" s="305" customFormat="1">
      <c r="A1317" s="2432" t="s">
        <v>4217</v>
      </c>
      <c r="B1317" s="1868" t="s">
        <v>635</v>
      </c>
      <c r="C1317" s="1869" t="s">
        <v>216</v>
      </c>
      <c r="D1317" s="1326"/>
      <c r="E1317" s="1872">
        <v>68</v>
      </c>
      <c r="F1317" s="303"/>
      <c r="G1317" s="293"/>
      <c r="H1317" s="664">
        <v>1.4</v>
      </c>
      <c r="I1317" s="665" t="s">
        <v>206</v>
      </c>
      <c r="J1317" s="290"/>
      <c r="K1317" s="290"/>
      <c r="L1317" s="665">
        <f t="shared" si="68"/>
        <v>126</v>
      </c>
      <c r="M1317" s="1875">
        <v>58</v>
      </c>
      <c r="N1317" s="667">
        <v>2.5</v>
      </c>
      <c r="O1317" s="1856" t="s">
        <v>4184</v>
      </c>
      <c r="P1317" s="2403" t="s">
        <v>2871</v>
      </c>
      <c r="Q1317" s="2403" t="s">
        <v>4225</v>
      </c>
      <c r="R1317" s="297"/>
      <c r="S1317" s="2403"/>
      <c r="T1317" s="297"/>
      <c r="U1317" s="297"/>
    </row>
    <row r="1318" spans="1:21" s="305" customFormat="1">
      <c r="A1318" s="2432" t="s">
        <v>4216</v>
      </c>
      <c r="B1318" s="1868" t="s">
        <v>635</v>
      </c>
      <c r="C1318" s="1869" t="s">
        <v>216</v>
      </c>
      <c r="D1318" s="1326"/>
      <c r="E1318" s="1872">
        <v>67</v>
      </c>
      <c r="F1318" s="303"/>
      <c r="G1318" s="293"/>
      <c r="H1318" s="664">
        <v>1.4</v>
      </c>
      <c r="I1318" s="665" t="s">
        <v>206</v>
      </c>
      <c r="J1318" s="290"/>
      <c r="K1318" s="290"/>
      <c r="L1318" s="665">
        <f t="shared" si="68"/>
        <v>124</v>
      </c>
      <c r="M1318" s="1875">
        <v>57</v>
      </c>
      <c r="N1318" s="667">
        <v>2.5</v>
      </c>
      <c r="O1318" s="1856" t="s">
        <v>4184</v>
      </c>
      <c r="P1318" s="2403" t="s">
        <v>2871</v>
      </c>
      <c r="Q1318" s="2403" t="s">
        <v>4225</v>
      </c>
      <c r="R1318" s="297"/>
      <c r="S1318" s="2403"/>
      <c r="T1318" s="297"/>
      <c r="U1318" s="297"/>
    </row>
    <row r="1319" spans="1:21" s="305" customFormat="1">
      <c r="A1319" s="2432" t="s">
        <v>4215</v>
      </c>
      <c r="B1319" s="1868" t="s">
        <v>635</v>
      </c>
      <c r="C1319" s="1869" t="s">
        <v>216</v>
      </c>
      <c r="D1319" s="1326"/>
      <c r="E1319" s="1872">
        <v>60.5</v>
      </c>
      <c r="F1319" s="303"/>
      <c r="G1319" s="293"/>
      <c r="H1319" s="664">
        <v>1.4</v>
      </c>
      <c r="I1319" s="665" t="s">
        <v>206</v>
      </c>
      <c r="J1319" s="290"/>
      <c r="K1319" s="290"/>
      <c r="L1319" s="665">
        <f t="shared" si="68"/>
        <v>111</v>
      </c>
      <c r="M1319" s="1875">
        <v>50.5</v>
      </c>
      <c r="N1319" s="667">
        <v>2.5</v>
      </c>
      <c r="O1319" s="1856" t="s">
        <v>4184</v>
      </c>
      <c r="P1319" s="2403" t="s">
        <v>2871</v>
      </c>
      <c r="Q1319" s="2403" t="s">
        <v>4225</v>
      </c>
      <c r="R1319" s="297"/>
      <c r="S1319" s="2403"/>
      <c r="T1319" s="297"/>
      <c r="U1319" s="297"/>
    </row>
    <row r="1320" spans="1:21" s="305" customFormat="1">
      <c r="A1320" s="2432"/>
      <c r="B1320" s="1868" t="s">
        <v>635</v>
      </c>
      <c r="C1320" s="1869" t="s">
        <v>4649</v>
      </c>
      <c r="D1320" s="1326"/>
      <c r="E1320" s="1872">
        <v>32.5</v>
      </c>
      <c r="F1320" s="371" t="s">
        <v>4650</v>
      </c>
      <c r="G1320" s="293"/>
      <c r="H1320" s="664">
        <v>1.4</v>
      </c>
      <c r="I1320" s="665" t="s">
        <v>206</v>
      </c>
      <c r="J1320" s="290"/>
      <c r="K1320" s="290"/>
      <c r="L1320" s="665">
        <v>55</v>
      </c>
      <c r="M1320" s="1875">
        <v>22.5</v>
      </c>
      <c r="N1320" s="667"/>
      <c r="O1320" s="1856"/>
      <c r="P1320" s="2403"/>
      <c r="Q1320" s="2403"/>
      <c r="R1320" s="297"/>
      <c r="S1320" s="2403"/>
      <c r="T1320" s="297"/>
      <c r="U1320" s="297"/>
    </row>
    <row r="1321" spans="1:21" s="456" customFormat="1">
      <c r="A1321" s="1811" t="s">
        <v>637</v>
      </c>
      <c r="B1321" s="1791" t="s">
        <v>635</v>
      </c>
      <c r="C1321" s="1792" t="s">
        <v>782</v>
      </c>
      <c r="D1321" s="1784"/>
      <c r="E1321" s="1785">
        <v>69</v>
      </c>
      <c r="F1321" s="1804"/>
      <c r="G1321" s="1810"/>
      <c r="H1321" s="1795"/>
      <c r="I1321" s="1796"/>
      <c r="J1321" s="1797"/>
      <c r="K1321" s="1797"/>
      <c r="L1321" s="1796">
        <v>120</v>
      </c>
      <c r="M1321" s="1786">
        <v>51</v>
      </c>
      <c r="N1321" s="1798">
        <v>5</v>
      </c>
      <c r="O1321" s="480"/>
      <c r="P1321" s="479"/>
      <c r="Q1321" s="479"/>
      <c r="R1321" s="479"/>
      <c r="S1321" s="479"/>
      <c r="T1321" s="479"/>
      <c r="U1321" s="479"/>
    </row>
    <row r="1322" spans="1:21" s="456" customFormat="1">
      <c r="A1322" s="1809" t="s">
        <v>486</v>
      </c>
      <c r="B1322" s="1791" t="s">
        <v>635</v>
      </c>
      <c r="C1322" s="1792" t="s">
        <v>782</v>
      </c>
      <c r="D1322" s="1793"/>
      <c r="E1322" s="1803">
        <v>75</v>
      </c>
      <c r="F1322" s="1804"/>
      <c r="G1322" s="1810"/>
      <c r="H1322" s="1805"/>
      <c r="I1322" s="1806"/>
      <c r="J1322" s="1807"/>
      <c r="K1322" s="1807"/>
      <c r="L1322" s="1806">
        <v>134</v>
      </c>
      <c r="M1322" s="1804">
        <v>59</v>
      </c>
      <c r="N1322" s="1808">
        <v>5</v>
      </c>
      <c r="O1322" s="480"/>
      <c r="P1322" s="479"/>
      <c r="Q1322" s="479"/>
      <c r="R1322" s="479"/>
      <c r="S1322" s="479"/>
      <c r="T1322" s="479"/>
      <c r="U1322" s="479"/>
    </row>
    <row r="1323" spans="1:21" s="456" customFormat="1">
      <c r="A1323" s="1809" t="s">
        <v>401</v>
      </c>
      <c r="B1323" s="1791" t="s">
        <v>635</v>
      </c>
      <c r="C1323" s="1792" t="s">
        <v>782</v>
      </c>
      <c r="D1323" s="1784"/>
      <c r="E1323" s="1785">
        <v>55</v>
      </c>
      <c r="F1323" s="1804"/>
      <c r="G1323" s="1810"/>
      <c r="H1323" s="1795"/>
      <c r="I1323" s="1796"/>
      <c r="J1323" s="1797"/>
      <c r="K1323" s="1797"/>
      <c r="L1323" s="1796">
        <v>93</v>
      </c>
      <c r="M1323" s="1786">
        <v>38</v>
      </c>
      <c r="N1323" s="1798">
        <v>5</v>
      </c>
      <c r="O1323" s="645"/>
      <c r="P1323" s="479"/>
      <c r="Q1323" s="479"/>
      <c r="R1323" s="479"/>
      <c r="S1323" s="479"/>
      <c r="T1323" s="479"/>
      <c r="U1323" s="479"/>
    </row>
    <row r="1324" spans="1:21" s="456" customFormat="1">
      <c r="A1324" s="698" t="s">
        <v>1961</v>
      </c>
      <c r="B1324" s="1299" t="s">
        <v>635</v>
      </c>
      <c r="C1324" s="1297" t="s">
        <v>782</v>
      </c>
      <c r="D1324" s="1274"/>
      <c r="E1324" s="1255">
        <v>71</v>
      </c>
      <c r="F1324" s="699" t="s">
        <v>1975</v>
      </c>
      <c r="G1324" s="682"/>
      <c r="H1324" s="683"/>
      <c r="I1324" s="689"/>
      <c r="J1324" s="685"/>
      <c r="K1324" s="685"/>
      <c r="L1324" s="689">
        <v>126</v>
      </c>
      <c r="M1324" s="681">
        <v>55</v>
      </c>
      <c r="N1324" s="706">
        <v>5</v>
      </c>
      <c r="O1324" s="644"/>
      <c r="P1324" s="479"/>
      <c r="Q1324" s="479"/>
      <c r="R1324" s="479"/>
      <c r="S1324" s="479"/>
      <c r="T1324" s="479"/>
      <c r="U1324" s="479"/>
    </row>
    <row r="1325" spans="1:21" s="456" customFormat="1">
      <c r="A1325" s="698" t="s">
        <v>1955</v>
      </c>
      <c r="B1325" s="1299" t="s">
        <v>635</v>
      </c>
      <c r="C1325" s="1297" t="s">
        <v>782</v>
      </c>
      <c r="D1325" s="1274"/>
      <c r="E1325" s="1255">
        <v>80</v>
      </c>
      <c r="F1325" s="699" t="s">
        <v>1975</v>
      </c>
      <c r="G1325" s="682"/>
      <c r="H1325" s="700"/>
      <c r="I1325" s="701"/>
      <c r="J1325" s="697"/>
      <c r="K1325" s="697"/>
      <c r="L1325" s="701">
        <v>145</v>
      </c>
      <c r="M1325" s="699">
        <v>65</v>
      </c>
      <c r="N1325" s="753">
        <v>5</v>
      </c>
      <c r="O1325" s="644"/>
      <c r="P1325" s="479"/>
      <c r="Q1325" s="479"/>
      <c r="R1325" s="479"/>
      <c r="S1325" s="479"/>
      <c r="T1325" s="479"/>
      <c r="U1325" s="479"/>
    </row>
    <row r="1326" spans="1:21" s="456" customFormat="1">
      <c r="A1326" s="698" t="s">
        <v>1962</v>
      </c>
      <c r="B1326" s="1299" t="s">
        <v>635</v>
      </c>
      <c r="C1326" s="1297" t="s">
        <v>782</v>
      </c>
      <c r="D1326" s="1274"/>
      <c r="E1326" s="1255">
        <v>73.5</v>
      </c>
      <c r="F1326" s="699" t="s">
        <v>1975</v>
      </c>
      <c r="G1326" s="682"/>
      <c r="H1326" s="700"/>
      <c r="I1326" s="701"/>
      <c r="J1326" s="697"/>
      <c r="K1326" s="697"/>
      <c r="L1326" s="701">
        <v>131</v>
      </c>
      <c r="M1326" s="699">
        <v>57.5</v>
      </c>
      <c r="N1326" s="753">
        <v>5</v>
      </c>
      <c r="O1326" s="644"/>
      <c r="P1326" s="479"/>
      <c r="Q1326" s="479"/>
      <c r="R1326" s="479"/>
      <c r="S1326" s="479"/>
      <c r="T1326" s="479"/>
      <c r="U1326" s="479"/>
    </row>
    <row r="1327" spans="1:21" s="305" customFormat="1">
      <c r="A1327" s="2441" t="s">
        <v>3982</v>
      </c>
      <c r="B1327" s="2438" t="s">
        <v>2667</v>
      </c>
      <c r="C1327" s="2439" t="s">
        <v>2668</v>
      </c>
      <c r="D1327" s="2440"/>
      <c r="E1327" s="1877">
        <v>50</v>
      </c>
      <c r="F1327" s="288"/>
      <c r="G1327" s="2443" t="s">
        <v>2669</v>
      </c>
      <c r="I1327" s="2444" t="s">
        <v>3986</v>
      </c>
      <c r="J1327" s="1879" t="s">
        <v>3985</v>
      </c>
      <c r="K1327" s="292"/>
      <c r="L1327" s="277">
        <v>72</v>
      </c>
      <c r="M1327" s="275">
        <f t="shared" ref="M1327:M1339" si="69">L1327-E1327</f>
        <v>22</v>
      </c>
      <c r="N1327" s="667" t="s">
        <v>4191</v>
      </c>
      <c r="O1327" s="1856" t="s">
        <v>3880</v>
      </c>
      <c r="Q1327" s="490" t="s">
        <v>1769</v>
      </c>
      <c r="S1327" s="297"/>
      <c r="T1327" s="297"/>
      <c r="U1327" s="297"/>
    </row>
    <row r="1328" spans="1:21" s="305" customFormat="1">
      <c r="A1328" s="2442" t="s">
        <v>3983</v>
      </c>
      <c r="B1328" s="2438" t="s">
        <v>2667</v>
      </c>
      <c r="C1328" s="2439" t="s">
        <v>2668</v>
      </c>
      <c r="D1328" s="2440"/>
      <c r="E1328" s="1877">
        <v>59</v>
      </c>
      <c r="F1328" s="288"/>
      <c r="G1328" s="2443" t="s">
        <v>2669</v>
      </c>
      <c r="I1328" s="2444" t="s">
        <v>3986</v>
      </c>
      <c r="J1328" s="1879" t="s">
        <v>3985</v>
      </c>
      <c r="K1328" s="292"/>
      <c r="L1328" s="277">
        <v>91</v>
      </c>
      <c r="M1328" s="275">
        <f t="shared" si="69"/>
        <v>32</v>
      </c>
      <c r="N1328" s="667" t="s">
        <v>4191</v>
      </c>
      <c r="O1328" s="1856" t="s">
        <v>3880</v>
      </c>
      <c r="Q1328" s="490" t="s">
        <v>1769</v>
      </c>
      <c r="S1328" s="297"/>
      <c r="T1328" s="297"/>
      <c r="U1328" s="297"/>
    </row>
    <row r="1329" spans="1:21" s="305" customFormat="1">
      <c r="A1329" s="2442" t="s">
        <v>3984</v>
      </c>
      <c r="B1329" s="2438" t="s">
        <v>2667</v>
      </c>
      <c r="C1329" s="2439" t="s">
        <v>2668</v>
      </c>
      <c r="D1329" s="2440"/>
      <c r="E1329" s="1877">
        <v>71</v>
      </c>
      <c r="F1329" s="288"/>
      <c r="G1329" s="2443" t="s">
        <v>2669</v>
      </c>
      <c r="I1329" s="2444" t="s">
        <v>3986</v>
      </c>
      <c r="J1329" s="1879" t="s">
        <v>3985</v>
      </c>
      <c r="K1329" s="292"/>
      <c r="L1329" s="277">
        <v>115</v>
      </c>
      <c r="M1329" s="275">
        <f t="shared" si="69"/>
        <v>44</v>
      </c>
      <c r="N1329" s="667" t="s">
        <v>4191</v>
      </c>
      <c r="O1329" s="1856" t="s">
        <v>3880</v>
      </c>
      <c r="P1329" s="479"/>
      <c r="Q1329" s="490" t="s">
        <v>1769</v>
      </c>
      <c r="S1329" s="297"/>
      <c r="T1329" s="297"/>
      <c r="U1329" s="297"/>
    </row>
    <row r="1330" spans="1:21" s="305" customFormat="1">
      <c r="A1330" s="2441" t="s">
        <v>3988</v>
      </c>
      <c r="B1330" s="2438" t="s">
        <v>457</v>
      </c>
      <c r="C1330" s="2439" t="s">
        <v>2679</v>
      </c>
      <c r="D1330" s="2440"/>
      <c r="E1330" s="1877">
        <v>60</v>
      </c>
      <c r="F1330" s="288"/>
      <c r="G1330" s="2511" t="s">
        <v>420</v>
      </c>
      <c r="H1330" s="276">
        <v>3.13</v>
      </c>
      <c r="I1330" s="1879" t="s">
        <v>206</v>
      </c>
      <c r="J1330" s="278">
        <v>1</v>
      </c>
      <c r="K1330" s="278" t="s">
        <v>1752</v>
      </c>
      <c r="L1330" s="277">
        <v>95</v>
      </c>
      <c r="M1330" s="275">
        <f t="shared" si="69"/>
        <v>35</v>
      </c>
      <c r="N1330" s="632">
        <v>3</v>
      </c>
      <c r="O1330" s="1856" t="s">
        <v>4017</v>
      </c>
      <c r="P1330" s="479"/>
      <c r="Q1330" s="490" t="s">
        <v>3990</v>
      </c>
      <c r="S1330" s="297"/>
      <c r="T1330" s="2530" t="s">
        <v>4688</v>
      </c>
      <c r="U1330" s="297"/>
    </row>
    <row r="1331" spans="1:21" s="305" customFormat="1">
      <c r="A1331" s="2441" t="s">
        <v>3987</v>
      </c>
      <c r="B1331" s="2438" t="s">
        <v>457</v>
      </c>
      <c r="C1331" s="2439" t="s">
        <v>2679</v>
      </c>
      <c r="D1331" s="2440"/>
      <c r="E1331" s="1877">
        <v>65</v>
      </c>
      <c r="F1331" s="288"/>
      <c r="G1331" s="2511" t="s">
        <v>420</v>
      </c>
      <c r="H1331" s="276">
        <v>3.13</v>
      </c>
      <c r="I1331" s="1879" t="s">
        <v>206</v>
      </c>
      <c r="J1331" s="278">
        <v>1</v>
      </c>
      <c r="K1331" s="278" t="s">
        <v>1752</v>
      </c>
      <c r="L1331" s="277">
        <v>100</v>
      </c>
      <c r="M1331" s="275">
        <f t="shared" si="69"/>
        <v>35</v>
      </c>
      <c r="N1331" s="632">
        <v>3</v>
      </c>
      <c r="O1331" s="1856" t="s">
        <v>4017</v>
      </c>
      <c r="P1331" s="479"/>
      <c r="Q1331" s="490" t="s">
        <v>3990</v>
      </c>
      <c r="S1331" s="297"/>
      <c r="T1331" s="2530" t="s">
        <v>4689</v>
      </c>
      <c r="U1331" s="297"/>
    </row>
    <row r="1332" spans="1:21" s="305" customFormat="1">
      <c r="A1332" s="2442" t="s">
        <v>3989</v>
      </c>
      <c r="B1332" s="2438" t="s">
        <v>457</v>
      </c>
      <c r="C1332" s="2439" t="s">
        <v>2679</v>
      </c>
      <c r="D1332" s="2440"/>
      <c r="E1332" s="1877">
        <v>70</v>
      </c>
      <c r="F1332" s="288"/>
      <c r="G1332" s="2511" t="s">
        <v>420</v>
      </c>
      <c r="H1332" s="276">
        <v>3.13</v>
      </c>
      <c r="I1332" s="1879" t="s">
        <v>206</v>
      </c>
      <c r="J1332" s="278">
        <v>1</v>
      </c>
      <c r="K1332" s="278" t="s">
        <v>1752</v>
      </c>
      <c r="L1332" s="277">
        <v>105</v>
      </c>
      <c r="M1332" s="275">
        <f t="shared" si="69"/>
        <v>35</v>
      </c>
      <c r="N1332" s="632">
        <v>3</v>
      </c>
      <c r="O1332" s="1856" t="s">
        <v>4017</v>
      </c>
      <c r="P1332" s="479"/>
      <c r="Q1332" s="490" t="s">
        <v>3990</v>
      </c>
      <c r="S1332" s="297"/>
      <c r="T1332" s="2530" t="s">
        <v>4689</v>
      </c>
      <c r="U1332" s="297"/>
    </row>
    <row r="1333" spans="1:21" s="305" customFormat="1">
      <c r="A1333" s="2441" t="s">
        <v>3988</v>
      </c>
      <c r="B1333" s="2438" t="s">
        <v>457</v>
      </c>
      <c r="C1333" s="2439" t="s">
        <v>2680</v>
      </c>
      <c r="D1333" s="2440"/>
      <c r="E1333" s="1877">
        <v>36</v>
      </c>
      <c r="F1333" s="2530" t="s">
        <v>2681</v>
      </c>
      <c r="G1333" s="293"/>
      <c r="H1333" s="276">
        <v>3.13</v>
      </c>
      <c r="I1333" s="1879" t="s">
        <v>206</v>
      </c>
      <c r="J1333" s="278">
        <v>1</v>
      </c>
      <c r="K1333" s="278" t="s">
        <v>1752</v>
      </c>
      <c r="L1333" s="277">
        <v>64</v>
      </c>
      <c r="M1333" s="275">
        <f t="shared" si="69"/>
        <v>28</v>
      </c>
      <c r="N1333" s="632">
        <v>3</v>
      </c>
      <c r="O1333" s="1856" t="s">
        <v>4017</v>
      </c>
      <c r="P1333" s="479"/>
      <c r="Q1333" s="490" t="s">
        <v>3990</v>
      </c>
      <c r="S1333" s="297"/>
      <c r="T1333" s="2412" t="s">
        <v>2681</v>
      </c>
      <c r="U1333" s="297"/>
    </row>
    <row r="1334" spans="1:21" s="305" customFormat="1">
      <c r="A1334" s="2441" t="s">
        <v>3987</v>
      </c>
      <c r="B1334" s="2438" t="s">
        <v>457</v>
      </c>
      <c r="C1334" s="2439" t="s">
        <v>2680</v>
      </c>
      <c r="D1334" s="2440"/>
      <c r="E1334" s="1877">
        <v>45</v>
      </c>
      <c r="F1334" s="2530" t="s">
        <v>2681</v>
      </c>
      <c r="G1334" s="293"/>
      <c r="H1334" s="276">
        <v>3.13</v>
      </c>
      <c r="I1334" s="1879" t="s">
        <v>206</v>
      </c>
      <c r="J1334" s="278">
        <v>1</v>
      </c>
      <c r="K1334" s="278" t="s">
        <v>1752</v>
      </c>
      <c r="L1334" s="277">
        <v>75</v>
      </c>
      <c r="M1334" s="275">
        <f t="shared" si="69"/>
        <v>30</v>
      </c>
      <c r="N1334" s="632">
        <v>3</v>
      </c>
      <c r="O1334" s="1856" t="s">
        <v>4017</v>
      </c>
      <c r="Q1334" s="490" t="s">
        <v>3990</v>
      </c>
      <c r="S1334" s="297"/>
      <c r="T1334" s="2412" t="s">
        <v>2681</v>
      </c>
      <c r="U1334" s="297"/>
    </row>
    <row r="1335" spans="1:21" s="305" customFormat="1">
      <c r="A1335" s="2442" t="s">
        <v>3989</v>
      </c>
      <c r="B1335" s="2438" t="s">
        <v>457</v>
      </c>
      <c r="C1335" s="2439" t="s">
        <v>2680</v>
      </c>
      <c r="D1335" s="2440"/>
      <c r="E1335" s="1877">
        <v>48</v>
      </c>
      <c r="F1335" s="2530" t="s">
        <v>2681</v>
      </c>
      <c r="G1335" s="293"/>
      <c r="H1335" s="276">
        <v>3.13</v>
      </c>
      <c r="I1335" s="1879" t="s">
        <v>206</v>
      </c>
      <c r="J1335" s="278">
        <v>1</v>
      </c>
      <c r="K1335" s="278" t="s">
        <v>1752</v>
      </c>
      <c r="L1335" s="277">
        <v>78</v>
      </c>
      <c r="M1335" s="275">
        <f t="shared" si="69"/>
        <v>30</v>
      </c>
      <c r="N1335" s="632">
        <v>3</v>
      </c>
      <c r="O1335" s="1856" t="s">
        <v>4017</v>
      </c>
      <c r="Q1335" s="490" t="s">
        <v>3990</v>
      </c>
      <c r="S1335" s="297"/>
      <c r="T1335" s="2412" t="s">
        <v>2681</v>
      </c>
      <c r="U1335" s="297"/>
    </row>
    <row r="1336" spans="1:21" s="305" customFormat="1">
      <c r="A1336" s="2441" t="s">
        <v>3988</v>
      </c>
      <c r="B1336" s="2438" t="s">
        <v>457</v>
      </c>
      <c r="C1336" s="2439" t="s">
        <v>683</v>
      </c>
      <c r="D1336" s="2440"/>
      <c r="E1336" s="1877">
        <v>54</v>
      </c>
      <c r="F1336" s="288"/>
      <c r="G1336" s="2511" t="s">
        <v>420</v>
      </c>
      <c r="H1336" s="276">
        <v>3.13</v>
      </c>
      <c r="I1336" s="1879" t="s">
        <v>206</v>
      </c>
      <c r="J1336" s="278">
        <v>1</v>
      </c>
      <c r="K1336" s="278" t="s">
        <v>1752</v>
      </c>
      <c r="L1336" s="277">
        <v>90</v>
      </c>
      <c r="M1336" s="275">
        <f t="shared" si="69"/>
        <v>36</v>
      </c>
      <c r="N1336" s="632">
        <v>3</v>
      </c>
      <c r="O1336" s="1856" t="s">
        <v>4017</v>
      </c>
      <c r="P1336" s="479"/>
      <c r="Q1336" s="490" t="s">
        <v>3990</v>
      </c>
      <c r="S1336" s="297"/>
      <c r="T1336" s="2530" t="s">
        <v>2682</v>
      </c>
      <c r="U1336" s="297"/>
    </row>
    <row r="1337" spans="1:21" s="305" customFormat="1">
      <c r="A1337" s="2441" t="s">
        <v>3987</v>
      </c>
      <c r="B1337" s="2438" t="s">
        <v>457</v>
      </c>
      <c r="C1337" s="2439" t="s">
        <v>683</v>
      </c>
      <c r="D1337" s="2440"/>
      <c r="E1337" s="1877">
        <v>60</v>
      </c>
      <c r="F1337" s="288"/>
      <c r="G1337" s="2511" t="s">
        <v>420</v>
      </c>
      <c r="H1337" s="276">
        <v>3.13</v>
      </c>
      <c r="I1337" s="1879" t="s">
        <v>206</v>
      </c>
      <c r="J1337" s="278">
        <v>1</v>
      </c>
      <c r="K1337" s="278" t="s">
        <v>1752</v>
      </c>
      <c r="L1337" s="277">
        <v>95</v>
      </c>
      <c r="M1337" s="275">
        <f t="shared" si="69"/>
        <v>35</v>
      </c>
      <c r="N1337" s="632">
        <v>3</v>
      </c>
      <c r="O1337" s="1856" t="s">
        <v>4017</v>
      </c>
      <c r="P1337" s="479"/>
      <c r="Q1337" s="490" t="s">
        <v>3990</v>
      </c>
      <c r="S1337" s="297"/>
      <c r="T1337" s="2530" t="s">
        <v>4688</v>
      </c>
      <c r="U1337" s="297"/>
    </row>
    <row r="1338" spans="1:21" s="305" customFormat="1">
      <c r="A1338" s="2442" t="s">
        <v>3989</v>
      </c>
      <c r="B1338" s="2438" t="s">
        <v>457</v>
      </c>
      <c r="C1338" s="2439" t="s">
        <v>683</v>
      </c>
      <c r="D1338" s="2440"/>
      <c r="E1338" s="1877">
        <v>65</v>
      </c>
      <c r="F1338" s="288"/>
      <c r="G1338" s="2511" t="s">
        <v>420</v>
      </c>
      <c r="H1338" s="276">
        <v>3.13</v>
      </c>
      <c r="I1338" s="1879" t="s">
        <v>206</v>
      </c>
      <c r="J1338" s="278">
        <v>1</v>
      </c>
      <c r="K1338" s="278" t="s">
        <v>1752</v>
      </c>
      <c r="L1338" s="277">
        <v>100</v>
      </c>
      <c r="M1338" s="275">
        <f t="shared" si="69"/>
        <v>35</v>
      </c>
      <c r="N1338" s="632">
        <v>3</v>
      </c>
      <c r="O1338" s="1856" t="s">
        <v>4017</v>
      </c>
      <c r="P1338" s="479"/>
      <c r="Q1338" s="490" t="s">
        <v>3990</v>
      </c>
      <c r="S1338" s="297"/>
      <c r="T1338" s="2530" t="s">
        <v>4690</v>
      </c>
      <c r="U1338" s="297"/>
    </row>
    <row r="1339" spans="1:21" s="305" customFormat="1">
      <c r="A1339" s="2416" t="s">
        <v>4371</v>
      </c>
      <c r="B1339" s="1868" t="s">
        <v>457</v>
      </c>
      <c r="C1339" s="1869" t="s">
        <v>458</v>
      </c>
      <c r="D1339" s="1326"/>
      <c r="E1339" s="1872">
        <v>46</v>
      </c>
      <c r="F1339" s="1875" t="s">
        <v>4378</v>
      </c>
      <c r="G1339" s="2510" t="s">
        <v>420</v>
      </c>
      <c r="H1339" s="664">
        <v>3.13</v>
      </c>
      <c r="I1339" s="1853" t="s">
        <v>206</v>
      </c>
      <c r="J1339" s="666">
        <v>1</v>
      </c>
      <c r="K1339" s="666" t="s">
        <v>1752</v>
      </c>
      <c r="L1339" s="1871">
        <v>72</v>
      </c>
      <c r="M1339" s="1875">
        <f t="shared" si="69"/>
        <v>26</v>
      </c>
      <c r="N1339" s="2466">
        <v>2</v>
      </c>
      <c r="O1339" s="2489" t="s">
        <v>3880</v>
      </c>
      <c r="P1339" s="490" t="s">
        <v>4444</v>
      </c>
      <c r="Q1339" s="2403" t="s">
        <v>4262</v>
      </c>
      <c r="S1339" s="2403" t="s">
        <v>4380</v>
      </c>
      <c r="T1339" s="297"/>
      <c r="U1339" s="297"/>
    </row>
    <row r="1340" spans="1:21" s="305" customFormat="1">
      <c r="A1340" s="2416" t="s">
        <v>4372</v>
      </c>
      <c r="B1340" s="1868" t="s">
        <v>457</v>
      </c>
      <c r="C1340" s="1869" t="s">
        <v>458</v>
      </c>
      <c r="D1340" s="1326"/>
      <c r="E1340" s="1851">
        <v>49</v>
      </c>
      <c r="F1340" s="1875" t="s">
        <v>4378</v>
      </c>
      <c r="G1340" s="2510" t="s">
        <v>420</v>
      </c>
      <c r="H1340" s="664">
        <v>3.13</v>
      </c>
      <c r="I1340" s="1853" t="s">
        <v>206</v>
      </c>
      <c r="J1340" s="666">
        <v>1</v>
      </c>
      <c r="K1340" s="666" t="s">
        <v>1752</v>
      </c>
      <c r="L1340" s="665">
        <v>75</v>
      </c>
      <c r="M1340" s="1875">
        <f t="shared" ref="M1340:M1353" si="70">L1340-E1340</f>
        <v>26</v>
      </c>
      <c r="N1340" s="2466">
        <v>2</v>
      </c>
      <c r="O1340" s="2489" t="s">
        <v>3880</v>
      </c>
      <c r="P1340" s="490" t="s">
        <v>4444</v>
      </c>
      <c r="Q1340" s="2403" t="s">
        <v>4262</v>
      </c>
      <c r="S1340" s="2403" t="s">
        <v>4380</v>
      </c>
      <c r="T1340" s="297"/>
      <c r="U1340" s="297"/>
    </row>
    <row r="1341" spans="1:21" s="305" customFormat="1">
      <c r="A1341" s="2432" t="s">
        <v>4373</v>
      </c>
      <c r="B1341" s="1868" t="s">
        <v>457</v>
      </c>
      <c r="C1341" s="1869" t="s">
        <v>458</v>
      </c>
      <c r="D1341" s="1326"/>
      <c r="E1341" s="1851">
        <v>58</v>
      </c>
      <c r="F1341" s="288"/>
      <c r="G1341" s="2510" t="s">
        <v>420</v>
      </c>
      <c r="H1341" s="664">
        <v>3.13</v>
      </c>
      <c r="I1341" s="1853" t="s">
        <v>206</v>
      </c>
      <c r="J1341" s="666">
        <v>1</v>
      </c>
      <c r="K1341" s="666" t="s">
        <v>1752</v>
      </c>
      <c r="L1341" s="665">
        <v>85</v>
      </c>
      <c r="M1341" s="1875">
        <f t="shared" si="70"/>
        <v>27</v>
      </c>
      <c r="N1341" s="2466">
        <v>2</v>
      </c>
      <c r="O1341" s="2489" t="s">
        <v>3880</v>
      </c>
      <c r="P1341" s="490" t="s">
        <v>4444</v>
      </c>
      <c r="Q1341" s="2403" t="s">
        <v>1769</v>
      </c>
      <c r="S1341" s="2403" t="s">
        <v>4380</v>
      </c>
      <c r="T1341" s="297"/>
      <c r="U1341" s="297"/>
    </row>
    <row r="1342" spans="1:21" s="305" customFormat="1">
      <c r="A1342" s="2432" t="s">
        <v>4374</v>
      </c>
      <c r="B1342" s="1868" t="s">
        <v>457</v>
      </c>
      <c r="C1342" s="1869" t="s">
        <v>458</v>
      </c>
      <c r="D1342" s="1326"/>
      <c r="E1342" s="1872">
        <v>62</v>
      </c>
      <c r="F1342" s="303"/>
      <c r="G1342" s="2510" t="s">
        <v>420</v>
      </c>
      <c r="H1342" s="664">
        <v>3.13</v>
      </c>
      <c r="I1342" s="1853" t="s">
        <v>206</v>
      </c>
      <c r="J1342" s="666">
        <v>1</v>
      </c>
      <c r="K1342" s="666" t="s">
        <v>1752</v>
      </c>
      <c r="L1342" s="1871">
        <v>89</v>
      </c>
      <c r="M1342" s="1875">
        <f t="shared" si="70"/>
        <v>27</v>
      </c>
      <c r="N1342" s="2466">
        <v>2</v>
      </c>
      <c r="O1342" s="2489" t="s">
        <v>3880</v>
      </c>
      <c r="P1342" s="490" t="s">
        <v>4444</v>
      </c>
      <c r="Q1342" s="2403" t="s">
        <v>1769</v>
      </c>
      <c r="S1342" s="2403" t="s">
        <v>4380</v>
      </c>
      <c r="T1342" s="297"/>
      <c r="U1342" s="297"/>
    </row>
    <row r="1343" spans="1:21" s="305" customFormat="1">
      <c r="A1343" s="2432" t="s">
        <v>4375</v>
      </c>
      <c r="B1343" s="1868" t="s">
        <v>457</v>
      </c>
      <c r="C1343" s="1869" t="s">
        <v>458</v>
      </c>
      <c r="D1343" s="1326"/>
      <c r="E1343" s="1872">
        <v>67</v>
      </c>
      <c r="F1343" s="1875" t="s">
        <v>4377</v>
      </c>
      <c r="G1343" s="2510" t="s">
        <v>420</v>
      </c>
      <c r="H1343" s="664">
        <v>3.13</v>
      </c>
      <c r="I1343" s="1853" t="s">
        <v>206</v>
      </c>
      <c r="J1343" s="666">
        <v>1</v>
      </c>
      <c r="K1343" s="666" t="s">
        <v>1752</v>
      </c>
      <c r="L1343" s="1871">
        <v>94</v>
      </c>
      <c r="M1343" s="1875">
        <f t="shared" si="70"/>
        <v>27</v>
      </c>
      <c r="N1343" s="2466">
        <v>2</v>
      </c>
      <c r="O1343" s="2489" t="s">
        <v>3880</v>
      </c>
      <c r="P1343" s="490" t="s">
        <v>4444</v>
      </c>
      <c r="Q1343" s="2403" t="s">
        <v>4379</v>
      </c>
      <c r="S1343" s="2403" t="s">
        <v>4380</v>
      </c>
      <c r="T1343" s="297"/>
      <c r="U1343" s="297"/>
    </row>
    <row r="1344" spans="1:21" s="305" customFormat="1">
      <c r="A1344" s="2432" t="s">
        <v>4376</v>
      </c>
      <c r="B1344" s="1868" t="s">
        <v>457</v>
      </c>
      <c r="C1344" s="1869" t="s">
        <v>458</v>
      </c>
      <c r="D1344" s="1326"/>
      <c r="E1344" s="1872">
        <v>71</v>
      </c>
      <c r="F1344" s="1875" t="s">
        <v>4377</v>
      </c>
      <c r="G1344" s="2510" t="s">
        <v>420</v>
      </c>
      <c r="H1344" s="664">
        <v>3.13</v>
      </c>
      <c r="I1344" s="1853" t="s">
        <v>206</v>
      </c>
      <c r="J1344" s="666">
        <v>1</v>
      </c>
      <c r="K1344" s="666" t="s">
        <v>1752</v>
      </c>
      <c r="L1344" s="1871">
        <v>98</v>
      </c>
      <c r="M1344" s="1875">
        <f t="shared" si="70"/>
        <v>27</v>
      </c>
      <c r="N1344" s="2466">
        <v>2</v>
      </c>
      <c r="O1344" s="2489" t="s">
        <v>3880</v>
      </c>
      <c r="P1344" s="490" t="s">
        <v>4444</v>
      </c>
      <c r="Q1344" s="2403" t="s">
        <v>4379</v>
      </c>
      <c r="S1344" s="2403" t="s">
        <v>4380</v>
      </c>
      <c r="T1344" s="297"/>
      <c r="U1344" s="297"/>
    </row>
    <row r="1345" spans="1:21" s="305" customFormat="1">
      <c r="A1345" s="2416" t="s">
        <v>4371</v>
      </c>
      <c r="B1345" s="1868" t="s">
        <v>457</v>
      </c>
      <c r="C1345" s="1869" t="s">
        <v>2678</v>
      </c>
      <c r="D1345" s="1326"/>
      <c r="E1345" s="1872">
        <v>48</v>
      </c>
      <c r="F1345" s="303"/>
      <c r="G1345" s="2510" t="s">
        <v>420</v>
      </c>
      <c r="H1345" s="664">
        <v>3.13</v>
      </c>
      <c r="I1345" s="1853" t="s">
        <v>206</v>
      </c>
      <c r="J1345" s="666">
        <v>1</v>
      </c>
      <c r="K1345" s="666" t="s">
        <v>1752</v>
      </c>
      <c r="L1345" s="1871">
        <v>75</v>
      </c>
      <c r="M1345" s="1875">
        <f t="shared" si="70"/>
        <v>27</v>
      </c>
      <c r="N1345" s="2466">
        <v>2</v>
      </c>
      <c r="O1345" s="2489" t="s">
        <v>3880</v>
      </c>
      <c r="P1345" s="490" t="s">
        <v>4444</v>
      </c>
      <c r="Q1345" s="2403" t="s">
        <v>4262</v>
      </c>
      <c r="S1345" s="2403" t="s">
        <v>4380</v>
      </c>
      <c r="T1345" s="297"/>
      <c r="U1345" s="297"/>
    </row>
    <row r="1346" spans="1:21" s="305" customFormat="1">
      <c r="A1346" s="2416" t="s">
        <v>4372</v>
      </c>
      <c r="B1346" s="1868" t="s">
        <v>457</v>
      </c>
      <c r="C1346" s="1869" t="s">
        <v>2678</v>
      </c>
      <c r="D1346" s="1326"/>
      <c r="E1346" s="1851">
        <v>51</v>
      </c>
      <c r="F1346" s="288"/>
      <c r="G1346" s="2510" t="s">
        <v>420</v>
      </c>
      <c r="H1346" s="664">
        <v>3.13</v>
      </c>
      <c r="I1346" s="1853" t="s">
        <v>206</v>
      </c>
      <c r="J1346" s="666">
        <v>1</v>
      </c>
      <c r="K1346" s="666" t="s">
        <v>1752</v>
      </c>
      <c r="L1346" s="665">
        <v>78</v>
      </c>
      <c r="M1346" s="1875">
        <f t="shared" si="70"/>
        <v>27</v>
      </c>
      <c r="N1346" s="2466">
        <v>2</v>
      </c>
      <c r="O1346" s="2489" t="s">
        <v>3880</v>
      </c>
      <c r="P1346" s="490" t="s">
        <v>4444</v>
      </c>
      <c r="Q1346" s="2403" t="s">
        <v>4262</v>
      </c>
      <c r="S1346" s="2403" t="s">
        <v>4380</v>
      </c>
      <c r="T1346" s="297"/>
      <c r="U1346" s="297"/>
    </row>
    <row r="1347" spans="1:21" s="305" customFormat="1">
      <c r="A1347" s="2432" t="s">
        <v>4373</v>
      </c>
      <c r="B1347" s="1868" t="s">
        <v>457</v>
      </c>
      <c r="C1347" s="1869" t="s">
        <v>2678</v>
      </c>
      <c r="D1347" s="1326"/>
      <c r="E1347" s="1851">
        <v>62</v>
      </c>
      <c r="F1347" s="288"/>
      <c r="G1347" s="2510" t="s">
        <v>420</v>
      </c>
      <c r="H1347" s="664">
        <v>3.13</v>
      </c>
      <c r="I1347" s="1853" t="s">
        <v>206</v>
      </c>
      <c r="J1347" s="666">
        <v>1</v>
      </c>
      <c r="K1347" s="666" t="s">
        <v>1752</v>
      </c>
      <c r="L1347" s="665">
        <v>89</v>
      </c>
      <c r="M1347" s="1875">
        <f t="shared" si="70"/>
        <v>27</v>
      </c>
      <c r="N1347" s="2466">
        <v>2</v>
      </c>
      <c r="O1347" s="2489" t="s">
        <v>3880</v>
      </c>
      <c r="P1347" s="490" t="s">
        <v>4444</v>
      </c>
      <c r="Q1347" s="2403" t="s">
        <v>1769</v>
      </c>
      <c r="S1347" s="2403" t="s">
        <v>4380</v>
      </c>
      <c r="T1347" s="297"/>
      <c r="U1347" s="297"/>
    </row>
    <row r="1348" spans="1:21" s="305" customFormat="1">
      <c r="A1348" s="2432" t="s">
        <v>4374</v>
      </c>
      <c r="B1348" s="1868" t="s">
        <v>457</v>
      </c>
      <c r="C1348" s="1869" t="s">
        <v>2678</v>
      </c>
      <c r="D1348" s="1326"/>
      <c r="E1348" s="1872">
        <v>66</v>
      </c>
      <c r="F1348" s="303"/>
      <c r="G1348" s="2510" t="s">
        <v>420</v>
      </c>
      <c r="H1348" s="664">
        <v>3.13</v>
      </c>
      <c r="I1348" s="1853" t="s">
        <v>206</v>
      </c>
      <c r="J1348" s="666">
        <v>1</v>
      </c>
      <c r="K1348" s="666" t="s">
        <v>1752</v>
      </c>
      <c r="L1348" s="1871">
        <v>93</v>
      </c>
      <c r="M1348" s="1875">
        <f t="shared" si="70"/>
        <v>27</v>
      </c>
      <c r="N1348" s="2466">
        <v>2</v>
      </c>
      <c r="O1348" s="2489" t="s">
        <v>3880</v>
      </c>
      <c r="P1348" s="490" t="s">
        <v>4444</v>
      </c>
      <c r="Q1348" s="2403" t="s">
        <v>1769</v>
      </c>
      <c r="S1348" s="2403" t="s">
        <v>4380</v>
      </c>
      <c r="T1348" s="297"/>
      <c r="U1348" s="297"/>
    </row>
    <row r="1349" spans="1:21" s="305" customFormat="1">
      <c r="A1349" s="2432" t="s">
        <v>4375</v>
      </c>
      <c r="B1349" s="1868" t="s">
        <v>457</v>
      </c>
      <c r="C1349" s="1869" t="s">
        <v>2678</v>
      </c>
      <c r="D1349" s="1326"/>
      <c r="E1349" s="1872">
        <v>72</v>
      </c>
      <c r="F1349" s="303"/>
      <c r="G1349" s="2510" t="s">
        <v>420</v>
      </c>
      <c r="H1349" s="664">
        <v>3.13</v>
      </c>
      <c r="I1349" s="1853" t="s">
        <v>206</v>
      </c>
      <c r="J1349" s="666">
        <v>1</v>
      </c>
      <c r="K1349" s="666" t="s">
        <v>1752</v>
      </c>
      <c r="L1349" s="1871">
        <v>99</v>
      </c>
      <c r="M1349" s="1875">
        <f t="shared" si="70"/>
        <v>27</v>
      </c>
      <c r="N1349" s="2466">
        <v>2</v>
      </c>
      <c r="O1349" s="2489" t="s">
        <v>3880</v>
      </c>
      <c r="P1349" s="490" t="s">
        <v>4444</v>
      </c>
      <c r="Q1349" s="2403" t="s">
        <v>4379</v>
      </c>
      <c r="S1349" s="2403" t="s">
        <v>4380</v>
      </c>
      <c r="T1349" s="297"/>
      <c r="U1349" s="297"/>
    </row>
    <row r="1350" spans="1:21" s="305" customFormat="1">
      <c r="A1350" s="2432" t="s">
        <v>4376</v>
      </c>
      <c r="B1350" s="1868" t="s">
        <v>457</v>
      </c>
      <c r="C1350" s="1869" t="s">
        <v>2678</v>
      </c>
      <c r="D1350" s="1326"/>
      <c r="E1350" s="1872">
        <v>76</v>
      </c>
      <c r="F1350" s="303"/>
      <c r="G1350" s="2510" t="s">
        <v>420</v>
      </c>
      <c r="H1350" s="664">
        <v>3.13</v>
      </c>
      <c r="I1350" s="1853" t="s">
        <v>206</v>
      </c>
      <c r="J1350" s="666">
        <v>1</v>
      </c>
      <c r="K1350" s="666" t="s">
        <v>1752</v>
      </c>
      <c r="L1350" s="1871">
        <v>103</v>
      </c>
      <c r="M1350" s="1875">
        <f t="shared" si="70"/>
        <v>27</v>
      </c>
      <c r="N1350" s="2466">
        <v>2</v>
      </c>
      <c r="O1350" s="2489" t="s">
        <v>3880</v>
      </c>
      <c r="P1350" s="490" t="s">
        <v>4444</v>
      </c>
      <c r="Q1350" s="2403" t="s">
        <v>4379</v>
      </c>
      <c r="S1350" s="2403" t="s">
        <v>4380</v>
      </c>
      <c r="T1350" s="297"/>
      <c r="U1350" s="297"/>
    </row>
    <row r="1351" spans="1:21" s="305" customFormat="1">
      <c r="A1351" s="2441" t="s">
        <v>3988</v>
      </c>
      <c r="B1351" s="2438" t="s">
        <v>457</v>
      </c>
      <c r="C1351" s="2439" t="s">
        <v>638</v>
      </c>
      <c r="D1351" s="2440"/>
      <c r="E1351" s="2445">
        <v>66</v>
      </c>
      <c r="F1351" s="303"/>
      <c r="G1351" s="2511" t="s">
        <v>420</v>
      </c>
      <c r="H1351" s="276">
        <v>3.13</v>
      </c>
      <c r="I1351" s="1879" t="s">
        <v>206</v>
      </c>
      <c r="J1351" s="278">
        <v>1</v>
      </c>
      <c r="K1351" s="278" t="s">
        <v>1752</v>
      </c>
      <c r="L1351" s="2417">
        <v>116</v>
      </c>
      <c r="M1351" s="275">
        <f t="shared" si="70"/>
        <v>50</v>
      </c>
      <c r="N1351" s="632">
        <v>3</v>
      </c>
      <c r="O1351" s="1856" t="s">
        <v>4017</v>
      </c>
      <c r="P1351" s="479"/>
      <c r="Q1351" s="490" t="s">
        <v>3990</v>
      </c>
      <c r="S1351" s="297"/>
      <c r="T1351" s="2530" t="s">
        <v>4691</v>
      </c>
      <c r="U1351" s="297"/>
    </row>
    <row r="1352" spans="1:21" s="305" customFormat="1">
      <c r="A1352" s="2441" t="s">
        <v>3987</v>
      </c>
      <c r="B1352" s="2438" t="s">
        <v>457</v>
      </c>
      <c r="C1352" s="2439" t="s">
        <v>638</v>
      </c>
      <c r="D1352" s="2440"/>
      <c r="E1352" s="1877">
        <v>72</v>
      </c>
      <c r="F1352" s="288"/>
      <c r="G1352" s="2511" t="s">
        <v>420</v>
      </c>
      <c r="H1352" s="276">
        <v>3.13</v>
      </c>
      <c r="I1352" s="1879" t="s">
        <v>206</v>
      </c>
      <c r="J1352" s="278">
        <v>1</v>
      </c>
      <c r="K1352" s="278" t="s">
        <v>1752</v>
      </c>
      <c r="L1352" s="277">
        <v>122</v>
      </c>
      <c r="M1352" s="275">
        <f t="shared" si="70"/>
        <v>50</v>
      </c>
      <c r="N1352" s="632">
        <v>3</v>
      </c>
      <c r="O1352" s="1856" t="s">
        <v>4017</v>
      </c>
      <c r="P1352" s="479"/>
      <c r="Q1352" s="490" t="s">
        <v>3990</v>
      </c>
      <c r="S1352" s="297"/>
      <c r="T1352" s="2530" t="s">
        <v>4691</v>
      </c>
      <c r="U1352" s="297"/>
    </row>
    <row r="1353" spans="1:21" s="305" customFormat="1">
      <c r="A1353" s="2442" t="s">
        <v>3989</v>
      </c>
      <c r="B1353" s="2438" t="s">
        <v>457</v>
      </c>
      <c r="C1353" s="2439" t="s">
        <v>638</v>
      </c>
      <c r="D1353" s="2440"/>
      <c r="E1353" s="1877">
        <v>76</v>
      </c>
      <c r="F1353" s="288"/>
      <c r="G1353" s="2511" t="s">
        <v>420</v>
      </c>
      <c r="H1353" s="276">
        <v>3.13</v>
      </c>
      <c r="I1353" s="1879" t="s">
        <v>206</v>
      </c>
      <c r="J1353" s="278">
        <v>1</v>
      </c>
      <c r="K1353" s="278" t="s">
        <v>1752</v>
      </c>
      <c r="L1353" s="277">
        <v>126</v>
      </c>
      <c r="M1353" s="275">
        <f t="shared" si="70"/>
        <v>50</v>
      </c>
      <c r="N1353" s="632">
        <v>3</v>
      </c>
      <c r="O1353" s="1856" t="s">
        <v>4017</v>
      </c>
      <c r="P1353" s="479"/>
      <c r="Q1353" s="490" t="s">
        <v>3990</v>
      </c>
      <c r="S1353" s="297"/>
      <c r="T1353" s="2530" t="s">
        <v>4691</v>
      </c>
      <c r="U1353" s="297"/>
    </row>
    <row r="1354" spans="1:21" s="791" customFormat="1">
      <c r="A1354" s="795" t="s">
        <v>1074</v>
      </c>
      <c r="B1354" s="1286" t="s">
        <v>220</v>
      </c>
      <c r="C1354" s="1280" t="s">
        <v>1073</v>
      </c>
      <c r="D1354" s="1281"/>
      <c r="E1354" s="1278">
        <v>50</v>
      </c>
      <c r="F1354" s="371" t="s">
        <v>4336</v>
      </c>
      <c r="G1354" s="785"/>
      <c r="H1354" s="283">
        <v>3.13</v>
      </c>
      <c r="I1354" s="289" t="s">
        <v>206</v>
      </c>
      <c r="J1354" s="788"/>
      <c r="K1354" s="788"/>
      <c r="L1354" s="787">
        <v>90</v>
      </c>
      <c r="M1354" s="785">
        <f t="shared" ref="M1354:M1359" si="71">L1354-E1354</f>
        <v>40</v>
      </c>
      <c r="N1354" s="797">
        <v>2</v>
      </c>
      <c r="O1354" s="803"/>
      <c r="P1354" s="305"/>
      <c r="Q1354" s="798"/>
      <c r="R1354" s="798"/>
      <c r="S1354" s="798"/>
      <c r="T1354" s="798"/>
      <c r="U1354" s="798"/>
    </row>
    <row r="1355" spans="1:21" s="791" customFormat="1">
      <c r="A1355" s="795" t="s">
        <v>228</v>
      </c>
      <c r="B1355" s="1286" t="s">
        <v>220</v>
      </c>
      <c r="C1355" s="1280" t="s">
        <v>1073</v>
      </c>
      <c r="D1355" s="1281"/>
      <c r="E1355" s="1278">
        <v>85.5</v>
      </c>
      <c r="F1355" s="371" t="s">
        <v>4336</v>
      </c>
      <c r="G1355" s="785" t="s">
        <v>2195</v>
      </c>
      <c r="H1355" s="283">
        <v>3.13</v>
      </c>
      <c r="I1355" s="289" t="s">
        <v>206</v>
      </c>
      <c r="J1355" s="788"/>
      <c r="K1355" s="788"/>
      <c r="L1355" s="787">
        <v>153</v>
      </c>
      <c r="M1355" s="785">
        <f t="shared" si="71"/>
        <v>67.5</v>
      </c>
      <c r="N1355" s="797">
        <v>2</v>
      </c>
      <c r="O1355" s="803"/>
      <c r="P1355" s="305"/>
      <c r="Q1355" s="798"/>
      <c r="R1355" s="798"/>
      <c r="S1355" s="798"/>
      <c r="T1355" s="798"/>
      <c r="U1355" s="798"/>
    </row>
    <row r="1356" spans="1:21" s="791" customFormat="1">
      <c r="A1356" s="795" t="s">
        <v>1074</v>
      </c>
      <c r="B1356" s="1286" t="s">
        <v>220</v>
      </c>
      <c r="C1356" s="1280" t="s">
        <v>639</v>
      </c>
      <c r="D1356" s="1281"/>
      <c r="E1356" s="1278">
        <v>50</v>
      </c>
      <c r="F1356" s="371" t="s">
        <v>4336</v>
      </c>
      <c r="G1356" s="785"/>
      <c r="H1356" s="283">
        <v>3.13</v>
      </c>
      <c r="I1356" s="289" t="s">
        <v>206</v>
      </c>
      <c r="J1356" s="788"/>
      <c r="K1356" s="788"/>
      <c r="L1356" s="787">
        <v>90</v>
      </c>
      <c r="M1356" s="785">
        <f t="shared" si="71"/>
        <v>40</v>
      </c>
      <c r="N1356" s="797">
        <v>2</v>
      </c>
      <c r="O1356" s="803"/>
      <c r="P1356" s="479"/>
      <c r="Q1356" s="798"/>
      <c r="R1356" s="798"/>
      <c r="S1356" s="798"/>
      <c r="T1356" s="798"/>
      <c r="U1356" s="798"/>
    </row>
    <row r="1357" spans="1:21" s="791" customFormat="1">
      <c r="A1357" s="795" t="s">
        <v>228</v>
      </c>
      <c r="B1357" s="1286" t="s">
        <v>220</v>
      </c>
      <c r="C1357" s="1280" t="s">
        <v>639</v>
      </c>
      <c r="D1357" s="1281"/>
      <c r="E1357" s="1278">
        <v>85.5</v>
      </c>
      <c r="F1357" s="371" t="s">
        <v>4336</v>
      </c>
      <c r="G1357" s="785" t="s">
        <v>2195</v>
      </c>
      <c r="H1357" s="283">
        <v>3.13</v>
      </c>
      <c r="I1357" s="289" t="s">
        <v>206</v>
      </c>
      <c r="J1357" s="788"/>
      <c r="K1357" s="788"/>
      <c r="L1357" s="787">
        <v>153</v>
      </c>
      <c r="M1357" s="785">
        <f t="shared" si="71"/>
        <v>67.5</v>
      </c>
      <c r="N1357" s="797">
        <v>2</v>
      </c>
      <c r="O1357" s="803"/>
      <c r="P1357" s="479"/>
      <c r="Q1357" s="798"/>
      <c r="R1357" s="798"/>
      <c r="S1357" s="798"/>
      <c r="T1357" s="798"/>
      <c r="U1357" s="798"/>
    </row>
    <row r="1358" spans="1:21" s="764" customFormat="1">
      <c r="A1358" s="2416" t="s">
        <v>4104</v>
      </c>
      <c r="B1358" s="1286" t="s">
        <v>220</v>
      </c>
      <c r="C1358" s="1280" t="s">
        <v>640</v>
      </c>
      <c r="D1358" s="1281"/>
      <c r="E1358" s="1851">
        <v>41.7</v>
      </c>
      <c r="F1358" s="760"/>
      <c r="G1358" s="663"/>
      <c r="H1358" s="664">
        <v>3.13</v>
      </c>
      <c r="I1358" s="665" t="s">
        <v>206</v>
      </c>
      <c r="J1358" s="763"/>
      <c r="K1358" s="763"/>
      <c r="L1358" s="665">
        <v>68.5</v>
      </c>
      <c r="M1358" s="663">
        <f t="shared" si="71"/>
        <v>26.799999999999997</v>
      </c>
      <c r="N1358" s="781">
        <v>5</v>
      </c>
      <c r="O1358" s="1856" t="s">
        <v>3880</v>
      </c>
      <c r="P1358" s="479"/>
      <c r="Q1358" s="776"/>
      <c r="R1358" s="776"/>
      <c r="S1358" s="776"/>
      <c r="T1358" s="776"/>
      <c r="U1358" s="776"/>
    </row>
    <row r="1359" spans="1:21" s="764" customFormat="1">
      <c r="A1359" s="2416" t="s">
        <v>4103</v>
      </c>
      <c r="B1359" s="1286" t="s">
        <v>220</v>
      </c>
      <c r="C1359" s="1280" t="s">
        <v>640</v>
      </c>
      <c r="D1359" s="1281"/>
      <c r="E1359" s="1851">
        <v>41.7</v>
      </c>
      <c r="F1359" s="760"/>
      <c r="G1359" s="663"/>
      <c r="H1359" s="664">
        <v>3.13</v>
      </c>
      <c r="I1359" s="665" t="s">
        <v>206</v>
      </c>
      <c r="J1359" s="763"/>
      <c r="K1359" s="763"/>
      <c r="L1359" s="665">
        <v>68.5</v>
      </c>
      <c r="M1359" s="663">
        <f t="shared" si="71"/>
        <v>26.799999999999997</v>
      </c>
      <c r="N1359" s="781">
        <v>5</v>
      </c>
      <c r="O1359" s="1856" t="s">
        <v>3880</v>
      </c>
      <c r="P1359" s="479"/>
      <c r="Q1359" s="776"/>
      <c r="R1359" s="776"/>
      <c r="S1359" s="776"/>
      <c r="T1359" s="776"/>
      <c r="U1359" s="776"/>
    </row>
    <row r="1360" spans="1:21" s="764" customFormat="1">
      <c r="A1360" s="2416" t="s">
        <v>4106</v>
      </c>
      <c r="B1360" s="1286" t="s">
        <v>220</v>
      </c>
      <c r="C1360" s="1280" t="s">
        <v>640</v>
      </c>
      <c r="D1360" s="1281"/>
      <c r="E1360" s="1851">
        <v>47.5</v>
      </c>
      <c r="F1360" s="760"/>
      <c r="G1360" s="663"/>
      <c r="H1360" s="664">
        <v>3.13</v>
      </c>
      <c r="I1360" s="665" t="s">
        <v>206</v>
      </c>
      <c r="J1360" s="763"/>
      <c r="K1360" s="763"/>
      <c r="L1360" s="665">
        <v>81</v>
      </c>
      <c r="M1360" s="663">
        <f>L1360-E1360</f>
        <v>33.5</v>
      </c>
      <c r="N1360" s="781">
        <v>5</v>
      </c>
      <c r="O1360" s="1856" t="s">
        <v>3880</v>
      </c>
      <c r="P1360" s="479"/>
      <c r="Q1360" s="776"/>
      <c r="R1360" s="776"/>
      <c r="S1360" s="776"/>
      <c r="T1360" s="776"/>
      <c r="U1360" s="776"/>
    </row>
    <row r="1361" spans="1:21" s="764" customFormat="1">
      <c r="A1361" s="2416" t="s">
        <v>4105</v>
      </c>
      <c r="B1361" s="1286" t="s">
        <v>220</v>
      </c>
      <c r="C1361" s="1280" t="s">
        <v>640</v>
      </c>
      <c r="D1361" s="1281"/>
      <c r="E1361" s="1851">
        <v>52.9</v>
      </c>
      <c r="F1361" s="760"/>
      <c r="G1361" s="663"/>
      <c r="H1361" s="664">
        <v>3.13</v>
      </c>
      <c r="I1361" s="665" t="s">
        <v>206</v>
      </c>
      <c r="J1361" s="763"/>
      <c r="K1361" s="763"/>
      <c r="L1361" s="665">
        <v>89.5</v>
      </c>
      <c r="M1361" s="663">
        <f>L1361-E1361</f>
        <v>36.6</v>
      </c>
      <c r="N1361" s="781">
        <v>5</v>
      </c>
      <c r="O1361" s="1856" t="s">
        <v>3880</v>
      </c>
      <c r="P1361" s="305"/>
      <c r="Q1361" s="776"/>
      <c r="R1361" s="776"/>
      <c r="S1361" s="776"/>
      <c r="T1361" s="776"/>
      <c r="U1361" s="776"/>
    </row>
    <row r="1362" spans="1:21" s="791" customFormat="1">
      <c r="A1362" s="795" t="s">
        <v>1074</v>
      </c>
      <c r="B1362" s="1275" t="s">
        <v>220</v>
      </c>
      <c r="C1362" s="1276" t="s">
        <v>868</v>
      </c>
      <c r="D1362" s="1277"/>
      <c r="E1362" s="1278">
        <v>40</v>
      </c>
      <c r="F1362" s="785"/>
      <c r="G1362" s="792"/>
      <c r="H1362" s="283">
        <v>3.13</v>
      </c>
      <c r="I1362" s="289" t="s">
        <v>206</v>
      </c>
      <c r="J1362" s="788"/>
      <c r="K1362" s="788"/>
      <c r="L1362" s="787">
        <v>90</v>
      </c>
      <c r="M1362" s="785">
        <f>L1362-E1362</f>
        <v>50</v>
      </c>
      <c r="N1362" s="797">
        <v>2</v>
      </c>
      <c r="O1362" s="803"/>
      <c r="P1362" s="798"/>
      <c r="Q1362" s="798"/>
      <c r="R1362" s="798"/>
      <c r="S1362" s="798"/>
      <c r="T1362" s="798"/>
      <c r="U1362" s="798"/>
    </row>
    <row r="1363" spans="1:21" s="791" customFormat="1">
      <c r="A1363" s="795" t="s">
        <v>228</v>
      </c>
      <c r="B1363" s="1275" t="s">
        <v>220</v>
      </c>
      <c r="C1363" s="1276" t="s">
        <v>868</v>
      </c>
      <c r="D1363" s="1277"/>
      <c r="E1363" s="1278">
        <v>50</v>
      </c>
      <c r="F1363" s="785"/>
      <c r="G1363" s="792"/>
      <c r="H1363" s="283">
        <v>3.13</v>
      </c>
      <c r="I1363" s="289" t="s">
        <v>206</v>
      </c>
      <c r="J1363" s="788"/>
      <c r="K1363" s="788"/>
      <c r="L1363" s="787">
        <v>120</v>
      </c>
      <c r="M1363" s="785">
        <f>L1363-E1363</f>
        <v>70</v>
      </c>
      <c r="N1363" s="797">
        <v>2</v>
      </c>
      <c r="O1363" s="803"/>
      <c r="P1363" s="798"/>
      <c r="Q1363" s="798"/>
      <c r="R1363" s="798"/>
      <c r="S1363" s="798"/>
      <c r="T1363" s="798"/>
      <c r="U1363" s="798"/>
    </row>
    <row r="1364" spans="1:21" s="305" customFormat="1">
      <c r="A1364" s="698" t="s">
        <v>1955</v>
      </c>
      <c r="B1364" s="1272" t="s">
        <v>220</v>
      </c>
      <c r="C1364" s="1273" t="s">
        <v>868</v>
      </c>
      <c r="D1364" s="1274"/>
      <c r="E1364" s="1255">
        <v>66.3</v>
      </c>
      <c r="F1364" s="699" t="s">
        <v>1975</v>
      </c>
      <c r="G1364" s="682"/>
      <c r="H1364" s="283">
        <v>3.13</v>
      </c>
      <c r="I1364" s="289" t="s">
        <v>206</v>
      </c>
      <c r="J1364" s="685"/>
      <c r="K1364" s="685"/>
      <c r="L1364" s="689">
        <v>111.3</v>
      </c>
      <c r="M1364" s="681">
        <v>45</v>
      </c>
      <c r="N1364" s="706">
        <v>2</v>
      </c>
      <c r="O1364" s="711" t="s">
        <v>1956</v>
      </c>
      <c r="P1364" s="297"/>
      <c r="Q1364" s="297"/>
      <c r="R1364" s="297"/>
      <c r="S1364" s="297"/>
      <c r="T1364" s="297"/>
      <c r="U1364" s="297"/>
    </row>
    <row r="1365" spans="1:21" s="305" customFormat="1">
      <c r="A1365" s="698" t="s">
        <v>1962</v>
      </c>
      <c r="B1365" s="1272" t="s">
        <v>220</v>
      </c>
      <c r="C1365" s="1273" t="s">
        <v>868</v>
      </c>
      <c r="D1365" s="1274"/>
      <c r="E1365" s="1255">
        <v>46.3</v>
      </c>
      <c r="F1365" s="699" t="s">
        <v>1975</v>
      </c>
      <c r="G1365" s="682"/>
      <c r="H1365" s="283">
        <v>3.13</v>
      </c>
      <c r="I1365" s="289" t="s">
        <v>206</v>
      </c>
      <c r="J1365" s="685"/>
      <c r="K1365" s="685"/>
      <c r="L1365" s="689">
        <v>77.3</v>
      </c>
      <c r="M1365" s="681">
        <v>31</v>
      </c>
      <c r="N1365" s="706">
        <v>2</v>
      </c>
      <c r="O1365" s="711" t="s">
        <v>1957</v>
      </c>
      <c r="P1365" s="297"/>
      <c r="Q1365" s="297"/>
      <c r="R1365" s="297"/>
      <c r="S1365" s="297"/>
      <c r="T1365" s="297"/>
      <c r="U1365" s="297"/>
    </row>
    <row r="1366" spans="1:21" s="305" customFormat="1">
      <c r="A1366" s="698" t="s">
        <v>1980</v>
      </c>
      <c r="B1366" s="1272" t="s">
        <v>220</v>
      </c>
      <c r="C1366" s="1273" t="s">
        <v>868</v>
      </c>
      <c r="D1366" s="1274"/>
      <c r="E1366" s="1255">
        <v>53.8</v>
      </c>
      <c r="F1366" s="699" t="s">
        <v>1975</v>
      </c>
      <c r="G1366" s="682"/>
      <c r="H1366" s="283">
        <v>3.13</v>
      </c>
      <c r="I1366" s="289" t="s">
        <v>206</v>
      </c>
      <c r="J1366" s="685"/>
      <c r="K1366" s="685"/>
      <c r="L1366" s="689">
        <v>91.3</v>
      </c>
      <c r="M1366" s="681">
        <v>37.5</v>
      </c>
      <c r="N1366" s="706">
        <v>2</v>
      </c>
      <c r="O1366" s="711" t="s">
        <v>1957</v>
      </c>
      <c r="P1366" s="297"/>
      <c r="Q1366" s="297"/>
      <c r="R1366" s="297"/>
      <c r="S1366" s="297"/>
      <c r="T1366" s="297"/>
      <c r="U1366" s="297"/>
    </row>
    <row r="1367" spans="1:21" s="305" customFormat="1">
      <c r="A1367" s="698" t="s">
        <v>1959</v>
      </c>
      <c r="B1367" s="1272" t="s">
        <v>220</v>
      </c>
      <c r="C1367" s="1273" t="s">
        <v>868</v>
      </c>
      <c r="D1367" s="1274"/>
      <c r="E1367" s="1255">
        <v>71.3</v>
      </c>
      <c r="F1367" s="699" t="s">
        <v>1975</v>
      </c>
      <c r="G1367" s="682"/>
      <c r="H1367" s="283">
        <v>3.13</v>
      </c>
      <c r="I1367" s="289" t="s">
        <v>206</v>
      </c>
      <c r="J1367" s="685"/>
      <c r="K1367" s="685"/>
      <c r="L1367" s="689">
        <v>111.3</v>
      </c>
      <c r="M1367" s="681">
        <v>40</v>
      </c>
      <c r="N1367" s="706">
        <v>2</v>
      </c>
      <c r="O1367" s="711" t="s">
        <v>1956</v>
      </c>
      <c r="P1367" s="297"/>
      <c r="Q1367" s="297"/>
      <c r="R1367" s="297"/>
      <c r="S1367" s="297"/>
      <c r="T1367" s="297"/>
      <c r="U1367" s="297"/>
    </row>
    <row r="1368" spans="1:21" s="305" customFormat="1">
      <c r="A1368" s="703" t="s">
        <v>1982</v>
      </c>
      <c r="B1368" s="1286" t="s">
        <v>220</v>
      </c>
      <c r="C1368" s="1280" t="s">
        <v>1981</v>
      </c>
      <c r="D1368" s="1274"/>
      <c r="E1368" s="1255">
        <v>41.3</v>
      </c>
      <c r="F1368" s="371" t="s">
        <v>4336</v>
      </c>
      <c r="G1368" s="713"/>
      <c r="H1368" s="664">
        <v>3.13</v>
      </c>
      <c r="I1368" s="665" t="s">
        <v>206</v>
      </c>
      <c r="J1368" s="685"/>
      <c r="K1368" s="685"/>
      <c r="L1368" s="689">
        <v>66.3</v>
      </c>
      <c r="M1368" s="681">
        <v>25</v>
      </c>
      <c r="N1368" s="706"/>
      <c r="O1368" s="1855" t="s">
        <v>4227</v>
      </c>
      <c r="P1368" s="297"/>
      <c r="Q1368" s="297"/>
      <c r="R1368" s="297"/>
      <c r="S1368" s="297"/>
      <c r="T1368" s="297"/>
      <c r="U1368" s="297"/>
    </row>
    <row r="1369" spans="1:21" s="305" customFormat="1">
      <c r="A1369" s="703" t="s">
        <v>1980</v>
      </c>
      <c r="B1369" s="1286" t="s">
        <v>220</v>
      </c>
      <c r="C1369" s="1280" t="s">
        <v>1981</v>
      </c>
      <c r="D1369" s="1274"/>
      <c r="E1369" s="1255">
        <v>36.299999999999997</v>
      </c>
      <c r="F1369" s="371" t="s">
        <v>4336</v>
      </c>
      <c r="G1369" s="713"/>
      <c r="H1369" s="664">
        <v>3.13</v>
      </c>
      <c r="I1369" s="665" t="s">
        <v>206</v>
      </c>
      <c r="J1369" s="685"/>
      <c r="K1369" s="685"/>
      <c r="L1369" s="689">
        <v>61.3</v>
      </c>
      <c r="M1369" s="681">
        <v>25</v>
      </c>
      <c r="N1369" s="706"/>
      <c r="O1369" s="1855" t="s">
        <v>4227</v>
      </c>
      <c r="P1369" s="297"/>
      <c r="Q1369" s="297"/>
      <c r="R1369" s="297"/>
      <c r="S1369" s="297"/>
      <c r="T1369" s="297"/>
      <c r="U1369" s="297"/>
    </row>
    <row r="1370" spans="1:21" s="305" customFormat="1">
      <c r="A1370" s="1327" t="s">
        <v>2670</v>
      </c>
      <c r="B1370" s="1314" t="s">
        <v>220</v>
      </c>
      <c r="C1370" s="1316" t="s">
        <v>2674</v>
      </c>
      <c r="D1370" s="1312"/>
      <c r="E1370" s="1300">
        <v>65</v>
      </c>
      <c r="F1370" s="303"/>
      <c r="G1370" s="1319">
        <v>14</v>
      </c>
      <c r="H1370" s="283">
        <v>3.13</v>
      </c>
      <c r="I1370" s="289" t="s">
        <v>206</v>
      </c>
      <c r="J1370" s="292"/>
      <c r="K1370" s="292"/>
      <c r="L1370" s="289">
        <v>101.3</v>
      </c>
      <c r="M1370" s="288">
        <v>40</v>
      </c>
      <c r="N1370" s="634">
        <v>2</v>
      </c>
      <c r="O1370" s="645" t="s">
        <v>2634</v>
      </c>
      <c r="P1370" s="297"/>
      <c r="Q1370" s="297" t="s">
        <v>2676</v>
      </c>
      <c r="R1370" s="297"/>
      <c r="S1370" s="297"/>
      <c r="T1370" s="297"/>
      <c r="U1370" s="297"/>
    </row>
    <row r="1371" spans="1:21" s="305" customFormat="1">
      <c r="A1371" s="1327" t="s">
        <v>2671</v>
      </c>
      <c r="B1371" s="1314" t="s">
        <v>220</v>
      </c>
      <c r="C1371" s="1316" t="s">
        <v>2674</v>
      </c>
      <c r="D1371" s="1312"/>
      <c r="E1371" s="1300">
        <v>61</v>
      </c>
      <c r="F1371" s="303"/>
      <c r="G1371" s="1319">
        <v>14</v>
      </c>
      <c r="H1371" s="283">
        <v>3.13</v>
      </c>
      <c r="I1371" s="289" t="s">
        <v>206</v>
      </c>
      <c r="J1371" s="292"/>
      <c r="K1371" s="292"/>
      <c r="L1371" s="289">
        <v>96.3</v>
      </c>
      <c r="M1371" s="288">
        <v>37.5</v>
      </c>
      <c r="N1371" s="634">
        <v>2</v>
      </c>
      <c r="O1371" s="645" t="s">
        <v>2634</v>
      </c>
      <c r="P1371" s="297"/>
      <c r="Q1371" s="297" t="s">
        <v>2676</v>
      </c>
      <c r="R1371" s="297"/>
      <c r="S1371" s="297"/>
      <c r="T1371" s="297"/>
      <c r="U1371" s="297"/>
    </row>
    <row r="1372" spans="1:21" s="305" customFormat="1">
      <c r="A1372" s="1327" t="s">
        <v>2672</v>
      </c>
      <c r="B1372" s="1314" t="s">
        <v>220</v>
      </c>
      <c r="C1372" s="1316" t="s">
        <v>2674</v>
      </c>
      <c r="D1372" s="1312"/>
      <c r="E1372" s="1300">
        <v>96</v>
      </c>
      <c r="F1372" s="303"/>
      <c r="G1372" s="1319">
        <v>18</v>
      </c>
      <c r="H1372" s="283">
        <v>3.13</v>
      </c>
      <c r="I1372" s="289" t="s">
        <v>206</v>
      </c>
      <c r="J1372" s="292"/>
      <c r="K1372" s="292"/>
      <c r="L1372" s="289">
        <v>86.3</v>
      </c>
      <c r="M1372" s="288">
        <v>32.5</v>
      </c>
      <c r="N1372" s="634">
        <v>2</v>
      </c>
      <c r="O1372" s="645" t="s">
        <v>2634</v>
      </c>
      <c r="P1372" s="297"/>
      <c r="Q1372" s="297" t="s">
        <v>2677</v>
      </c>
      <c r="R1372" s="297"/>
      <c r="S1372" s="297"/>
      <c r="T1372" s="297"/>
      <c r="U1372" s="297"/>
    </row>
    <row r="1373" spans="1:21" s="305" customFormat="1">
      <c r="A1373" s="1327" t="s">
        <v>2673</v>
      </c>
      <c r="B1373" s="1314" t="s">
        <v>220</v>
      </c>
      <c r="C1373" s="1316" t="s">
        <v>2674</v>
      </c>
      <c r="D1373" s="1312"/>
      <c r="E1373" s="1300">
        <v>82</v>
      </c>
      <c r="F1373" s="303"/>
      <c r="G1373" s="1319">
        <v>18</v>
      </c>
      <c r="H1373" s="283">
        <v>3.13</v>
      </c>
      <c r="I1373" s="289" t="s">
        <v>206</v>
      </c>
      <c r="J1373" s="292"/>
      <c r="K1373" s="292"/>
      <c r="L1373" s="289">
        <v>116.3</v>
      </c>
      <c r="M1373" s="288">
        <v>47.5</v>
      </c>
      <c r="N1373" s="634">
        <v>2</v>
      </c>
      <c r="O1373" s="645" t="s">
        <v>2634</v>
      </c>
      <c r="P1373" s="297"/>
      <c r="Q1373" s="297" t="s">
        <v>2677</v>
      </c>
      <c r="R1373" s="297"/>
      <c r="S1373" s="297"/>
      <c r="T1373" s="297"/>
      <c r="U1373" s="297"/>
    </row>
    <row r="1374" spans="1:21" s="305" customFormat="1">
      <c r="A1374" s="1327" t="s">
        <v>2670</v>
      </c>
      <c r="B1374" s="1314" t="s">
        <v>220</v>
      </c>
      <c r="C1374" s="1316" t="s">
        <v>2675</v>
      </c>
      <c r="D1374" s="1312"/>
      <c r="E1374" s="1300">
        <v>43</v>
      </c>
      <c r="F1374" s="303"/>
      <c r="G1374" s="1319">
        <v>14</v>
      </c>
      <c r="H1374" s="283">
        <v>3.13</v>
      </c>
      <c r="I1374" s="289" t="s">
        <v>206</v>
      </c>
      <c r="J1374" s="292"/>
      <c r="K1374" s="292"/>
      <c r="L1374" s="289">
        <v>101.3</v>
      </c>
      <c r="M1374" s="288">
        <v>40</v>
      </c>
      <c r="N1374" s="634">
        <v>2</v>
      </c>
      <c r="O1374" s="645" t="s">
        <v>2634</v>
      </c>
      <c r="P1374" s="297"/>
      <c r="Q1374" s="297" t="s">
        <v>2676</v>
      </c>
      <c r="R1374" s="297"/>
      <c r="S1374" s="297"/>
      <c r="T1374" s="297"/>
      <c r="U1374" s="297"/>
    </row>
    <row r="1375" spans="1:21" s="305" customFormat="1">
      <c r="A1375" s="1327" t="s">
        <v>2671</v>
      </c>
      <c r="B1375" s="1314" t="s">
        <v>220</v>
      </c>
      <c r="C1375" s="1316" t="s">
        <v>2675</v>
      </c>
      <c r="D1375" s="1312"/>
      <c r="E1375" s="1300">
        <v>41</v>
      </c>
      <c r="F1375" s="303"/>
      <c r="G1375" s="1319">
        <v>14</v>
      </c>
      <c r="H1375" s="283">
        <v>3.13</v>
      </c>
      <c r="I1375" s="289" t="s">
        <v>206</v>
      </c>
      <c r="J1375" s="292"/>
      <c r="K1375" s="292"/>
      <c r="L1375" s="289">
        <v>96.3</v>
      </c>
      <c r="M1375" s="288">
        <v>37.5</v>
      </c>
      <c r="N1375" s="634">
        <v>2</v>
      </c>
      <c r="O1375" s="645" t="s">
        <v>2634</v>
      </c>
      <c r="P1375" s="297"/>
      <c r="Q1375" s="297" t="s">
        <v>2676</v>
      </c>
      <c r="R1375" s="297"/>
      <c r="S1375" s="297"/>
      <c r="T1375" s="297"/>
      <c r="U1375" s="297"/>
    </row>
    <row r="1376" spans="1:21" s="305" customFormat="1">
      <c r="A1376" s="1327" t="s">
        <v>2672</v>
      </c>
      <c r="B1376" s="1314" t="s">
        <v>220</v>
      </c>
      <c r="C1376" s="1316" t="s">
        <v>2675</v>
      </c>
      <c r="D1376" s="1312"/>
      <c r="E1376" s="1300">
        <v>58</v>
      </c>
      <c r="F1376" s="303"/>
      <c r="G1376" s="1319">
        <v>18</v>
      </c>
      <c r="H1376" s="283">
        <v>3.13</v>
      </c>
      <c r="I1376" s="289" t="s">
        <v>206</v>
      </c>
      <c r="J1376" s="292"/>
      <c r="K1376" s="292"/>
      <c r="L1376" s="289">
        <v>86.3</v>
      </c>
      <c r="M1376" s="288">
        <v>32.5</v>
      </c>
      <c r="N1376" s="634">
        <v>2</v>
      </c>
      <c r="O1376" s="645" t="s">
        <v>2634</v>
      </c>
      <c r="P1376" s="297"/>
      <c r="Q1376" s="297" t="s">
        <v>2677</v>
      </c>
      <c r="R1376" s="297"/>
      <c r="S1376" s="297"/>
      <c r="T1376" s="297"/>
      <c r="U1376" s="297"/>
    </row>
    <row r="1377" spans="1:21" s="305" customFormat="1">
      <c r="A1377" s="1327" t="s">
        <v>2673</v>
      </c>
      <c r="B1377" s="1314" t="s">
        <v>220</v>
      </c>
      <c r="C1377" s="1316" t="s">
        <v>2675</v>
      </c>
      <c r="D1377" s="1312"/>
      <c r="E1377" s="1300">
        <v>51</v>
      </c>
      <c r="F1377" s="303"/>
      <c r="G1377" s="1319">
        <v>18</v>
      </c>
      <c r="H1377" s="283">
        <v>3.13</v>
      </c>
      <c r="I1377" s="289" t="s">
        <v>206</v>
      </c>
      <c r="J1377" s="292"/>
      <c r="K1377" s="292"/>
      <c r="L1377" s="289">
        <v>116.3</v>
      </c>
      <c r="M1377" s="288">
        <v>47.5</v>
      </c>
      <c r="N1377" s="634">
        <v>2</v>
      </c>
      <c r="O1377" s="645" t="s">
        <v>2634</v>
      </c>
      <c r="P1377" s="297"/>
      <c r="Q1377" s="297" t="s">
        <v>2677</v>
      </c>
      <c r="R1377" s="297"/>
      <c r="S1377" s="297"/>
      <c r="T1377" s="297"/>
      <c r="U1377" s="297"/>
    </row>
    <row r="1378" spans="1:21" s="791" customFormat="1">
      <c r="A1378" s="799" t="s">
        <v>569</v>
      </c>
      <c r="B1378" s="1275" t="s">
        <v>220</v>
      </c>
      <c r="C1378" s="1276" t="s">
        <v>1446</v>
      </c>
      <c r="D1378" s="1277"/>
      <c r="E1378" s="1278">
        <v>36</v>
      </c>
      <c r="F1378" s="800" t="s">
        <v>1975</v>
      </c>
      <c r="G1378" s="805">
        <v>14</v>
      </c>
      <c r="H1378" s="283">
        <v>3.13</v>
      </c>
      <c r="I1378" s="289" t="s">
        <v>206</v>
      </c>
      <c r="J1378" s="788"/>
      <c r="K1378" s="788"/>
      <c r="L1378" s="787">
        <v>62</v>
      </c>
      <c r="M1378" s="785">
        <f>L1378-E1378</f>
        <v>26</v>
      </c>
      <c r="N1378" s="797">
        <v>2</v>
      </c>
      <c r="O1378" s="803" t="s">
        <v>1983</v>
      </c>
      <c r="P1378" s="798"/>
      <c r="Q1378" s="798"/>
      <c r="R1378" s="798"/>
      <c r="S1378" s="798"/>
      <c r="T1378" s="798"/>
      <c r="U1378" s="798"/>
    </row>
    <row r="1379" spans="1:21" s="791" customFormat="1">
      <c r="A1379" s="799" t="s">
        <v>2205</v>
      </c>
      <c r="B1379" s="1275" t="s">
        <v>220</v>
      </c>
      <c r="C1379" s="1276" t="s">
        <v>1446</v>
      </c>
      <c r="D1379" s="1277"/>
      <c r="E1379" s="1278">
        <v>42</v>
      </c>
      <c r="F1379" s="800" t="s">
        <v>1975</v>
      </c>
      <c r="G1379" s="805">
        <v>14</v>
      </c>
      <c r="H1379" s="283">
        <v>3.13</v>
      </c>
      <c r="I1379" s="289" t="s">
        <v>206</v>
      </c>
      <c r="J1379" s="788"/>
      <c r="K1379" s="788"/>
      <c r="L1379" s="787">
        <v>70</v>
      </c>
      <c r="M1379" s="785">
        <f>L1379-E1379</f>
        <v>28</v>
      </c>
      <c r="N1379" s="797">
        <v>2</v>
      </c>
      <c r="O1379" s="803" t="s">
        <v>1983</v>
      </c>
      <c r="P1379" s="798"/>
      <c r="Q1379" s="798"/>
      <c r="R1379" s="798"/>
      <c r="S1379" s="798"/>
      <c r="T1379" s="798"/>
      <c r="U1379" s="798"/>
    </row>
    <row r="1380" spans="1:21" s="791" customFormat="1">
      <c r="A1380" s="799" t="s">
        <v>2207</v>
      </c>
      <c r="B1380" s="1275" t="s">
        <v>220</v>
      </c>
      <c r="C1380" s="1276" t="s">
        <v>1446</v>
      </c>
      <c r="D1380" s="1277"/>
      <c r="E1380" s="1278">
        <v>42</v>
      </c>
      <c r="F1380" s="800" t="s">
        <v>1975</v>
      </c>
      <c r="G1380" s="805">
        <v>14</v>
      </c>
      <c r="H1380" s="283">
        <v>3.13</v>
      </c>
      <c r="I1380" s="289" t="s">
        <v>206</v>
      </c>
      <c r="J1380" s="788"/>
      <c r="K1380" s="788"/>
      <c r="L1380" s="787">
        <v>70</v>
      </c>
      <c r="M1380" s="785">
        <f>L1380-E1380</f>
        <v>28</v>
      </c>
      <c r="N1380" s="797">
        <v>2</v>
      </c>
      <c r="O1380" s="803" t="s">
        <v>1983</v>
      </c>
      <c r="P1380" s="798"/>
      <c r="Q1380" s="798"/>
      <c r="R1380" s="798"/>
      <c r="S1380" s="798"/>
      <c r="T1380" s="798"/>
      <c r="U1380" s="798"/>
    </row>
    <row r="1381" spans="1:21" s="791" customFormat="1">
      <c r="A1381" s="799" t="s">
        <v>2206</v>
      </c>
      <c r="B1381" s="1275" t="s">
        <v>220</v>
      </c>
      <c r="C1381" s="1276" t="s">
        <v>1446</v>
      </c>
      <c r="D1381" s="1277"/>
      <c r="E1381" s="1278">
        <v>48</v>
      </c>
      <c r="F1381" s="800" t="s">
        <v>1975</v>
      </c>
      <c r="G1381" s="805">
        <v>14</v>
      </c>
      <c r="H1381" s="283">
        <v>3.13</v>
      </c>
      <c r="I1381" s="289" t="s">
        <v>206</v>
      </c>
      <c r="J1381" s="788"/>
      <c r="K1381" s="788"/>
      <c r="L1381" s="787">
        <v>80</v>
      </c>
      <c r="M1381" s="785">
        <f>L1381-E1381</f>
        <v>32</v>
      </c>
      <c r="N1381" s="797">
        <v>2</v>
      </c>
      <c r="O1381" s="803" t="s">
        <v>1956</v>
      </c>
      <c r="P1381" s="798"/>
      <c r="Q1381" s="798"/>
      <c r="R1381" s="798"/>
      <c r="S1381" s="798"/>
      <c r="T1381" s="798"/>
      <c r="U1381" s="798"/>
    </row>
    <row r="1382" spans="1:21" s="305" customFormat="1">
      <c r="A1382" s="2435" t="s">
        <v>3964</v>
      </c>
      <c r="B1382" s="1286" t="s">
        <v>975</v>
      </c>
      <c r="C1382" s="1280" t="s">
        <v>976</v>
      </c>
      <c r="D1382" s="1281"/>
      <c r="E1382" s="1851">
        <v>71</v>
      </c>
      <c r="F1382" s="1787"/>
      <c r="G1382" s="2510" t="s">
        <v>3967</v>
      </c>
      <c r="H1382" s="1787"/>
      <c r="I1382" s="1801"/>
      <c r="J1382" s="1801"/>
      <c r="K1382" s="1801"/>
      <c r="L1382" s="1853">
        <v>93</v>
      </c>
      <c r="M1382" s="1852">
        <f>L1382-E1382</f>
        <v>22</v>
      </c>
      <c r="N1382" s="1789"/>
      <c r="O1382" s="646" t="s">
        <v>4154</v>
      </c>
      <c r="P1382" s="297"/>
      <c r="Q1382" s="297"/>
      <c r="R1382" s="297"/>
      <c r="S1382" s="297"/>
      <c r="T1382" s="297"/>
      <c r="U1382" s="297"/>
    </row>
    <row r="1383" spans="1:21" s="305" customFormat="1">
      <c r="A1383" s="2435" t="s">
        <v>3965</v>
      </c>
      <c r="B1383" s="1286" t="s">
        <v>975</v>
      </c>
      <c r="C1383" s="1280" t="s">
        <v>976</v>
      </c>
      <c r="D1383" s="1281"/>
      <c r="E1383" s="1851">
        <v>78</v>
      </c>
      <c r="F1383" s="1787"/>
      <c r="G1383" s="2510" t="s">
        <v>3967</v>
      </c>
      <c r="H1383" s="1787"/>
      <c r="I1383" s="1801"/>
      <c r="J1383" s="1801"/>
      <c r="K1383" s="1801"/>
      <c r="L1383" s="1853">
        <v>100</v>
      </c>
      <c r="M1383" s="1852">
        <f t="shared" ref="M1383:M1391" si="72">L1383-E1383</f>
        <v>22</v>
      </c>
      <c r="N1383" s="1789"/>
      <c r="O1383" s="646" t="s">
        <v>4154</v>
      </c>
      <c r="P1383" s="297"/>
      <c r="Q1383" s="297"/>
      <c r="R1383" s="297"/>
      <c r="S1383" s="297"/>
      <c r="T1383" s="297"/>
      <c r="U1383" s="297"/>
    </row>
    <row r="1384" spans="1:21" s="305" customFormat="1">
      <c r="A1384" s="2435" t="s">
        <v>3969</v>
      </c>
      <c r="B1384" s="1286" t="s">
        <v>975</v>
      </c>
      <c r="C1384" s="1280" t="s">
        <v>976</v>
      </c>
      <c r="D1384" s="1281"/>
      <c r="E1384" s="1851">
        <v>88</v>
      </c>
      <c r="F1384" s="1787"/>
      <c r="G1384" s="2510" t="s">
        <v>3967</v>
      </c>
      <c r="H1384" s="1787"/>
      <c r="I1384" s="1801"/>
      <c r="J1384" s="1801"/>
      <c r="K1384" s="1801"/>
      <c r="L1384" s="1853">
        <v>118</v>
      </c>
      <c r="M1384" s="1852">
        <f t="shared" si="72"/>
        <v>30</v>
      </c>
      <c r="N1384" s="1789"/>
      <c r="O1384" s="646" t="s">
        <v>4154</v>
      </c>
      <c r="P1384" s="297"/>
      <c r="Q1384" s="297"/>
      <c r="R1384" s="297"/>
      <c r="S1384" s="297"/>
      <c r="T1384" s="297"/>
      <c r="U1384" s="297"/>
    </row>
    <row r="1385" spans="1:21" s="305" customFormat="1">
      <c r="A1385" s="2435" t="s">
        <v>3970</v>
      </c>
      <c r="B1385" s="1286" t="s">
        <v>975</v>
      </c>
      <c r="C1385" s="1280" t="s">
        <v>976</v>
      </c>
      <c r="D1385" s="1281"/>
      <c r="E1385" s="1851">
        <v>100</v>
      </c>
      <c r="F1385" s="1787"/>
      <c r="G1385" s="2510" t="s">
        <v>3967</v>
      </c>
      <c r="H1385" s="1787"/>
      <c r="I1385" s="1801"/>
      <c r="J1385" s="1801"/>
      <c r="K1385" s="1801"/>
      <c r="L1385" s="1853">
        <v>130</v>
      </c>
      <c r="M1385" s="1852">
        <f t="shared" si="72"/>
        <v>30</v>
      </c>
      <c r="N1385" s="1789"/>
      <c r="O1385" s="646" t="s">
        <v>4154</v>
      </c>
      <c r="P1385" s="297"/>
      <c r="Q1385" s="297"/>
      <c r="R1385" s="297"/>
      <c r="S1385" s="297"/>
      <c r="T1385" s="297"/>
      <c r="U1385" s="297"/>
    </row>
    <row r="1386" spans="1:21" s="305" customFormat="1">
      <c r="A1386" s="2435" t="s">
        <v>3966</v>
      </c>
      <c r="B1386" s="1286" t="s">
        <v>975</v>
      </c>
      <c r="C1386" s="1280" t="s">
        <v>976</v>
      </c>
      <c r="D1386" s="1281"/>
      <c r="E1386" s="1851">
        <v>128</v>
      </c>
      <c r="F1386" s="1787"/>
      <c r="G1386" s="2510" t="s">
        <v>3967</v>
      </c>
      <c r="H1386" s="1787"/>
      <c r="I1386" s="1801"/>
      <c r="J1386" s="1801"/>
      <c r="K1386" s="1801"/>
      <c r="L1386" s="1853">
        <v>163</v>
      </c>
      <c r="M1386" s="1852">
        <f t="shared" si="72"/>
        <v>35</v>
      </c>
      <c r="N1386" s="1789"/>
      <c r="O1386" s="646" t="s">
        <v>4154</v>
      </c>
      <c r="P1386" s="297"/>
      <c r="Q1386" s="297"/>
      <c r="R1386" s="297"/>
      <c r="S1386" s="297"/>
      <c r="T1386" s="297"/>
      <c r="U1386" s="297"/>
    </row>
    <row r="1387" spans="1:21" s="445" customFormat="1">
      <c r="A1387" s="2435" t="s">
        <v>3964</v>
      </c>
      <c r="B1387" s="1286" t="s">
        <v>975</v>
      </c>
      <c r="C1387" s="1280" t="s">
        <v>977</v>
      </c>
      <c r="D1387" s="1281"/>
      <c r="E1387" s="1851">
        <v>53</v>
      </c>
      <c r="F1387" s="1787"/>
      <c r="G1387" s="2510" t="s">
        <v>3968</v>
      </c>
      <c r="H1387" s="1787"/>
      <c r="I1387" s="1801"/>
      <c r="J1387" s="1801"/>
      <c r="K1387" s="1801"/>
      <c r="L1387" s="1853">
        <v>75</v>
      </c>
      <c r="M1387" s="1852">
        <f t="shared" si="72"/>
        <v>22</v>
      </c>
      <c r="N1387" s="1789"/>
      <c r="O1387" s="646" t="s">
        <v>4154</v>
      </c>
      <c r="P1387" s="487"/>
      <c r="Q1387" s="487"/>
      <c r="R1387" s="487"/>
      <c r="S1387" s="487"/>
      <c r="T1387" s="487"/>
      <c r="U1387" s="487"/>
    </row>
    <row r="1388" spans="1:21" s="445" customFormat="1">
      <c r="A1388" s="2435" t="s">
        <v>3965</v>
      </c>
      <c r="B1388" s="1286" t="s">
        <v>975</v>
      </c>
      <c r="C1388" s="1280" t="s">
        <v>977</v>
      </c>
      <c r="D1388" s="1281"/>
      <c r="E1388" s="1851">
        <v>58</v>
      </c>
      <c r="F1388" s="1787"/>
      <c r="G1388" s="2510" t="s">
        <v>3968</v>
      </c>
      <c r="H1388" s="1787"/>
      <c r="I1388" s="1801"/>
      <c r="J1388" s="1801"/>
      <c r="K1388" s="1801"/>
      <c r="L1388" s="1853">
        <v>80</v>
      </c>
      <c r="M1388" s="1852">
        <f t="shared" si="72"/>
        <v>22</v>
      </c>
      <c r="N1388" s="1789"/>
      <c r="O1388" s="646" t="s">
        <v>4154</v>
      </c>
      <c r="P1388" s="487"/>
      <c r="Q1388" s="487"/>
      <c r="R1388" s="487"/>
      <c r="S1388" s="487"/>
      <c r="T1388" s="487"/>
      <c r="U1388" s="487"/>
    </row>
    <row r="1389" spans="1:21" s="445" customFormat="1" ht="16.5" customHeight="1">
      <c r="A1389" s="2435" t="s">
        <v>3969</v>
      </c>
      <c r="B1389" s="1286" t="s">
        <v>975</v>
      </c>
      <c r="C1389" s="1280" t="s">
        <v>977</v>
      </c>
      <c r="D1389" s="1281"/>
      <c r="E1389" s="1851">
        <v>65</v>
      </c>
      <c r="F1389" s="1787"/>
      <c r="G1389" s="2510" t="s">
        <v>3968</v>
      </c>
      <c r="H1389" s="1787"/>
      <c r="I1389" s="1801"/>
      <c r="J1389" s="1801"/>
      <c r="K1389" s="1801"/>
      <c r="L1389" s="1853">
        <v>92</v>
      </c>
      <c r="M1389" s="1852">
        <f t="shared" si="72"/>
        <v>27</v>
      </c>
      <c r="N1389" s="1789"/>
      <c r="O1389" s="646" t="s">
        <v>4154</v>
      </c>
      <c r="P1389" s="487"/>
      <c r="Q1389" s="487"/>
      <c r="R1389" s="487"/>
      <c r="S1389" s="487"/>
      <c r="T1389" s="487"/>
      <c r="U1389" s="487"/>
    </row>
    <row r="1390" spans="1:21" s="445" customFormat="1" ht="16.5" customHeight="1">
      <c r="A1390" s="2435" t="s">
        <v>3971</v>
      </c>
      <c r="B1390" s="1286" t="s">
        <v>975</v>
      </c>
      <c r="C1390" s="1280" t="s">
        <v>977</v>
      </c>
      <c r="D1390" s="1281"/>
      <c r="E1390" s="1851">
        <v>77</v>
      </c>
      <c r="F1390" s="1787"/>
      <c r="G1390" s="2510" t="s">
        <v>3968</v>
      </c>
      <c r="H1390" s="1787"/>
      <c r="I1390" s="1801"/>
      <c r="J1390" s="1801"/>
      <c r="K1390" s="1801"/>
      <c r="L1390" s="1853">
        <v>104</v>
      </c>
      <c r="M1390" s="1852">
        <f t="shared" si="72"/>
        <v>27</v>
      </c>
      <c r="N1390" s="1789"/>
      <c r="O1390" s="646" t="s">
        <v>4154</v>
      </c>
      <c r="P1390" s="487"/>
      <c r="Q1390" s="487"/>
      <c r="R1390" s="487"/>
      <c r="S1390" s="487"/>
      <c r="T1390" s="487"/>
      <c r="U1390" s="487"/>
    </row>
    <row r="1391" spans="1:21" s="305" customFormat="1" ht="16.5" customHeight="1">
      <c r="A1391" s="2435" t="s">
        <v>3966</v>
      </c>
      <c r="B1391" s="1286" t="s">
        <v>975</v>
      </c>
      <c r="C1391" s="1280" t="s">
        <v>977</v>
      </c>
      <c r="D1391" s="1281"/>
      <c r="E1391" s="1851">
        <v>91</v>
      </c>
      <c r="F1391" s="1787"/>
      <c r="G1391" s="2510" t="s">
        <v>3968</v>
      </c>
      <c r="H1391" s="1787"/>
      <c r="I1391" s="1801"/>
      <c r="J1391" s="1801"/>
      <c r="K1391" s="1801"/>
      <c r="L1391" s="1853">
        <v>126</v>
      </c>
      <c r="M1391" s="1852">
        <f t="shared" si="72"/>
        <v>35</v>
      </c>
      <c r="N1391" s="1789"/>
      <c r="O1391" s="646" t="s">
        <v>4154</v>
      </c>
      <c r="P1391" s="297"/>
      <c r="Q1391" s="297"/>
      <c r="R1391" s="297"/>
      <c r="S1391" s="297"/>
      <c r="T1391" s="297"/>
      <c r="U1391" s="297"/>
    </row>
    <row r="1392" spans="1:21" s="305" customFormat="1">
      <c r="A1392" s="1813" t="s">
        <v>1063</v>
      </c>
      <c r="B1392" s="1790" t="s">
        <v>975</v>
      </c>
      <c r="C1392" s="1783" t="s">
        <v>1062</v>
      </c>
      <c r="D1392" s="1784"/>
      <c r="E1392" s="1785">
        <v>50</v>
      </c>
      <c r="F1392" s="1787"/>
      <c r="G1392" s="1787" t="s">
        <v>420</v>
      </c>
      <c r="H1392" s="1787"/>
      <c r="I1392" s="1801"/>
      <c r="J1392" s="1801"/>
      <c r="K1392" s="1801"/>
      <c r="L1392" s="1801">
        <v>70</v>
      </c>
      <c r="M1392" s="1787">
        <v>20</v>
      </c>
      <c r="N1392" s="1789"/>
      <c r="O1392" s="645"/>
      <c r="P1392" s="297"/>
      <c r="Q1392" s="297"/>
      <c r="R1392" s="297"/>
      <c r="S1392" s="297"/>
      <c r="T1392" s="297"/>
      <c r="U1392" s="297"/>
    </row>
    <row r="1393" spans="1:21" s="305" customFormat="1">
      <c r="A1393" s="1813" t="s">
        <v>1064</v>
      </c>
      <c r="B1393" s="1790" t="s">
        <v>975</v>
      </c>
      <c r="C1393" s="1783" t="s">
        <v>1062</v>
      </c>
      <c r="D1393" s="1784"/>
      <c r="E1393" s="1785">
        <v>55</v>
      </c>
      <c r="F1393" s="1787"/>
      <c r="G1393" s="1787" t="s">
        <v>420</v>
      </c>
      <c r="H1393" s="1787"/>
      <c r="I1393" s="1801"/>
      <c r="J1393" s="1801"/>
      <c r="K1393" s="1801"/>
      <c r="L1393" s="1801">
        <v>75</v>
      </c>
      <c r="M1393" s="1787">
        <v>20</v>
      </c>
      <c r="N1393" s="1789"/>
      <c r="O1393" s="645"/>
      <c r="P1393" s="297"/>
      <c r="Q1393" s="297"/>
      <c r="R1393" s="297"/>
      <c r="S1393" s="297"/>
      <c r="T1393" s="297"/>
      <c r="U1393" s="297"/>
    </row>
    <row r="1394" spans="1:21" s="305" customFormat="1">
      <c r="A1394" s="1813" t="s">
        <v>1065</v>
      </c>
      <c r="B1394" s="1790" t="s">
        <v>975</v>
      </c>
      <c r="C1394" s="1783" t="s">
        <v>1062</v>
      </c>
      <c r="D1394" s="1784"/>
      <c r="E1394" s="1785">
        <v>60</v>
      </c>
      <c r="F1394" s="1787"/>
      <c r="G1394" s="1787" t="s">
        <v>420</v>
      </c>
      <c r="H1394" s="1787"/>
      <c r="I1394" s="1801"/>
      <c r="J1394" s="1801"/>
      <c r="K1394" s="1801"/>
      <c r="L1394" s="1801">
        <v>80</v>
      </c>
      <c r="M1394" s="1787">
        <v>20</v>
      </c>
      <c r="N1394" s="1789"/>
      <c r="O1394" s="645"/>
      <c r="P1394" s="297"/>
      <c r="Q1394" s="297"/>
      <c r="R1394" s="297"/>
      <c r="S1394" s="297"/>
      <c r="T1394" s="297"/>
      <c r="U1394" s="297"/>
    </row>
    <row r="1395" spans="1:21" s="305" customFormat="1" ht="16.5" customHeight="1">
      <c r="A1395" s="1813" t="s">
        <v>1066</v>
      </c>
      <c r="B1395" s="1790" t="s">
        <v>975</v>
      </c>
      <c r="C1395" s="1783" t="s">
        <v>1062</v>
      </c>
      <c r="D1395" s="1784"/>
      <c r="E1395" s="1785">
        <v>70</v>
      </c>
      <c r="F1395" s="1787"/>
      <c r="G1395" s="1787" t="s">
        <v>420</v>
      </c>
      <c r="H1395" s="1787"/>
      <c r="I1395" s="1801"/>
      <c r="J1395" s="1801"/>
      <c r="K1395" s="1801"/>
      <c r="L1395" s="1801">
        <v>100</v>
      </c>
      <c r="M1395" s="1787">
        <v>30</v>
      </c>
      <c r="N1395" s="1789"/>
      <c r="O1395" s="644"/>
      <c r="P1395" s="297"/>
      <c r="Q1395" s="297"/>
      <c r="R1395" s="297"/>
      <c r="S1395" s="297"/>
      <c r="T1395" s="297"/>
      <c r="U1395" s="297"/>
    </row>
    <row r="1396" spans="1:21" s="305" customFormat="1">
      <c r="A1396" s="1813" t="s">
        <v>1067</v>
      </c>
      <c r="B1396" s="1790" t="s">
        <v>975</v>
      </c>
      <c r="C1396" s="1783" t="s">
        <v>1062</v>
      </c>
      <c r="D1396" s="1784"/>
      <c r="E1396" s="1785">
        <v>85</v>
      </c>
      <c r="F1396" s="1787"/>
      <c r="G1396" s="1787" t="s">
        <v>420</v>
      </c>
      <c r="H1396" s="1787"/>
      <c r="I1396" s="1801"/>
      <c r="J1396" s="1801"/>
      <c r="K1396" s="1801"/>
      <c r="L1396" s="1801">
        <v>115</v>
      </c>
      <c r="M1396" s="1787">
        <v>30</v>
      </c>
      <c r="N1396" s="1789"/>
      <c r="O1396" s="644"/>
      <c r="P1396" s="297"/>
      <c r="Q1396" s="297"/>
      <c r="R1396" s="297"/>
      <c r="S1396" s="297"/>
      <c r="T1396" s="297"/>
      <c r="U1396" s="297"/>
    </row>
    <row r="1397" spans="1:21" s="305" customFormat="1">
      <c r="A1397" s="852" t="s">
        <v>1953</v>
      </c>
      <c r="B1397" s="1272" t="s">
        <v>975</v>
      </c>
      <c r="C1397" s="1273" t="s">
        <v>1062</v>
      </c>
      <c r="D1397" s="1274"/>
      <c r="E1397" s="1255">
        <v>71.3</v>
      </c>
      <c r="F1397" s="713"/>
      <c r="G1397" s="713" t="s">
        <v>420</v>
      </c>
      <c r="H1397" s="713"/>
      <c r="I1397" s="714"/>
      <c r="J1397" s="714"/>
      <c r="K1397" s="714"/>
      <c r="L1397" s="714">
        <v>101.3</v>
      </c>
      <c r="M1397" s="713">
        <v>30</v>
      </c>
      <c r="N1397" s="669"/>
      <c r="O1397" s="644"/>
      <c r="P1397" s="297"/>
      <c r="Q1397" s="297"/>
      <c r="R1397" s="297"/>
      <c r="S1397" s="297"/>
      <c r="T1397" s="297"/>
      <c r="U1397" s="297"/>
    </row>
    <row r="1398" spans="1:21" s="305" customFormat="1">
      <c r="A1398" s="1813"/>
      <c r="B1398" s="1790" t="s">
        <v>1478</v>
      </c>
      <c r="C1398" s="1783" t="s">
        <v>1479</v>
      </c>
      <c r="D1398" s="1784"/>
      <c r="E1398" s="1785"/>
      <c r="F1398" s="1787"/>
      <c r="G1398" s="1787"/>
      <c r="H1398" s="1787"/>
      <c r="I1398" s="1801"/>
      <c r="J1398" s="1801"/>
      <c r="K1398" s="1801"/>
      <c r="L1398" s="1801"/>
      <c r="M1398" s="1787"/>
      <c r="N1398" s="1789"/>
      <c r="O1398" s="644"/>
      <c r="P1398" s="297"/>
      <c r="Q1398" s="297"/>
      <c r="R1398" s="297"/>
      <c r="S1398" s="297"/>
      <c r="T1398" s="297"/>
      <c r="U1398" s="297"/>
    </row>
    <row r="1399" spans="1:21" s="688" customFormat="1">
      <c r="A1399" s="2432" t="s">
        <v>3992</v>
      </c>
      <c r="B1399" s="1286" t="s">
        <v>1076</v>
      </c>
      <c r="C1399" s="1280" t="s">
        <v>1618</v>
      </c>
      <c r="D1399" s="1277"/>
      <c r="E1399" s="1851">
        <v>44</v>
      </c>
      <c r="F1399" s="785"/>
      <c r="G1399" s="1852" t="s">
        <v>3912</v>
      </c>
      <c r="H1399" s="664">
        <v>2</v>
      </c>
      <c r="I1399" s="665" t="s">
        <v>206</v>
      </c>
      <c r="J1399" s="788"/>
      <c r="K1399" s="788"/>
      <c r="L1399" s="665">
        <v>65</v>
      </c>
      <c r="M1399" s="663">
        <f>L1399-E1399</f>
        <v>21</v>
      </c>
      <c r="N1399" s="706"/>
      <c r="O1399" s="711"/>
      <c r="P1399" s="696"/>
      <c r="Q1399" s="696"/>
      <c r="R1399" s="696"/>
      <c r="S1399" s="696"/>
      <c r="T1399" s="696"/>
      <c r="U1399" s="696"/>
    </row>
    <row r="1400" spans="1:21" s="688" customFormat="1">
      <c r="A1400" s="2432" t="s">
        <v>3993</v>
      </c>
      <c r="B1400" s="1286" t="s">
        <v>1076</v>
      </c>
      <c r="C1400" s="1280" t="s">
        <v>1618</v>
      </c>
      <c r="D1400" s="1277"/>
      <c r="E1400" s="1851">
        <v>56</v>
      </c>
      <c r="F1400" s="785"/>
      <c r="G1400" s="1852" t="s">
        <v>3912</v>
      </c>
      <c r="H1400" s="664">
        <v>2</v>
      </c>
      <c r="I1400" s="665" t="s">
        <v>206</v>
      </c>
      <c r="J1400" s="788"/>
      <c r="K1400" s="788"/>
      <c r="L1400" s="665">
        <v>81</v>
      </c>
      <c r="M1400" s="663">
        <f>L1400-E1400</f>
        <v>25</v>
      </c>
      <c r="N1400" s="706"/>
      <c r="O1400" s="711"/>
      <c r="P1400" s="696"/>
      <c r="Q1400" s="696"/>
      <c r="R1400" s="696"/>
      <c r="S1400" s="696"/>
      <c r="T1400" s="696"/>
      <c r="U1400" s="696"/>
    </row>
    <row r="1401" spans="1:21" s="688" customFormat="1">
      <c r="A1401" s="2432" t="s">
        <v>3994</v>
      </c>
      <c r="B1401" s="1286" t="s">
        <v>1076</v>
      </c>
      <c r="C1401" s="1280" t="s">
        <v>1618</v>
      </c>
      <c r="D1401" s="1277"/>
      <c r="E1401" s="1851">
        <v>66</v>
      </c>
      <c r="F1401" s="785"/>
      <c r="G1401" s="1852" t="s">
        <v>3912</v>
      </c>
      <c r="H1401" s="664">
        <v>2</v>
      </c>
      <c r="I1401" s="665" t="s">
        <v>206</v>
      </c>
      <c r="J1401" s="788"/>
      <c r="K1401" s="788"/>
      <c r="L1401" s="665">
        <v>91</v>
      </c>
      <c r="M1401" s="663">
        <f>L1401-E1401</f>
        <v>25</v>
      </c>
      <c r="N1401" s="706"/>
      <c r="O1401" s="711"/>
      <c r="P1401" s="696"/>
      <c r="Q1401" s="696"/>
      <c r="R1401" s="696"/>
      <c r="S1401" s="696"/>
      <c r="T1401" s="696"/>
      <c r="U1401" s="696"/>
    </row>
    <row r="1402" spans="1:21" s="688" customFormat="1">
      <c r="A1402" s="2432" t="s">
        <v>3959</v>
      </c>
      <c r="B1402" s="1286" t="s">
        <v>765</v>
      </c>
      <c r="C1402" s="1280" t="s">
        <v>968</v>
      </c>
      <c r="D1402" s="1277"/>
      <c r="E1402" s="1851">
        <v>40</v>
      </c>
      <c r="F1402" s="785"/>
      <c r="G1402" s="805"/>
      <c r="H1402" s="2433">
        <v>2.5</v>
      </c>
      <c r="I1402" s="2434" t="s">
        <v>2566</v>
      </c>
      <c r="J1402" s="2431"/>
      <c r="K1402" s="788"/>
      <c r="L1402" s="665">
        <v>60</v>
      </c>
      <c r="M1402" s="663">
        <f>L1402-E1402</f>
        <v>20</v>
      </c>
      <c r="N1402" s="667">
        <v>2</v>
      </c>
      <c r="O1402" s="1856" t="s">
        <v>3880</v>
      </c>
      <c r="P1402" s="696"/>
      <c r="Q1402" s="2403" t="s">
        <v>3961</v>
      </c>
      <c r="R1402" s="696"/>
      <c r="S1402" s="696"/>
      <c r="T1402" s="696"/>
      <c r="U1402" s="696"/>
    </row>
    <row r="1403" spans="1:21" s="688" customFormat="1">
      <c r="A1403" s="2432" t="s">
        <v>3960</v>
      </c>
      <c r="B1403" s="1286" t="s">
        <v>765</v>
      </c>
      <c r="C1403" s="1280" t="s">
        <v>968</v>
      </c>
      <c r="D1403" s="1277"/>
      <c r="E1403" s="1851">
        <v>43</v>
      </c>
      <c r="F1403" s="785"/>
      <c r="G1403" s="805"/>
      <c r="H1403" s="2433">
        <v>2.5</v>
      </c>
      <c r="I1403" s="2434" t="s">
        <v>2566</v>
      </c>
      <c r="J1403" s="2431"/>
      <c r="K1403" s="788"/>
      <c r="L1403" s="665">
        <v>65</v>
      </c>
      <c r="M1403" s="663">
        <f>L1403-E1403</f>
        <v>22</v>
      </c>
      <c r="N1403" s="667">
        <v>2</v>
      </c>
      <c r="O1403" s="1856" t="s">
        <v>3880</v>
      </c>
      <c r="P1403" s="696"/>
      <c r="Q1403" s="2403" t="s">
        <v>3961</v>
      </c>
      <c r="R1403" s="696"/>
      <c r="S1403" s="696"/>
      <c r="T1403" s="696"/>
      <c r="U1403" s="696"/>
    </row>
    <row r="1404" spans="1:21" s="305" customFormat="1">
      <c r="A1404" s="1333" t="s">
        <v>2665</v>
      </c>
      <c r="B1404" s="1314" t="s">
        <v>765</v>
      </c>
      <c r="C1404" s="1334" t="s">
        <v>2663</v>
      </c>
      <c r="D1404" s="1313"/>
      <c r="E1404" s="1335">
        <v>49</v>
      </c>
      <c r="F1404" s="1336"/>
      <c r="G1404" s="298" t="s">
        <v>420</v>
      </c>
      <c r="H1404" s="1337">
        <v>2.6</v>
      </c>
      <c r="I1404" s="1338" t="s">
        <v>2566</v>
      </c>
      <c r="J1404" s="1339"/>
      <c r="K1404" s="1339"/>
      <c r="L1404" s="1338">
        <f t="shared" ref="L1404:L1409" si="73">M1404+E1404</f>
        <v>65</v>
      </c>
      <c r="M1404" s="1336">
        <v>16</v>
      </c>
      <c r="N1404" s="638">
        <v>2</v>
      </c>
      <c r="O1404" s="645" t="s">
        <v>2634</v>
      </c>
      <c r="P1404" s="297"/>
      <c r="Q1404" s="297"/>
      <c r="R1404" s="297"/>
      <c r="S1404" s="297"/>
      <c r="T1404" s="297"/>
      <c r="U1404" s="297"/>
    </row>
    <row r="1405" spans="1:21" s="305" customFormat="1">
      <c r="A1405" s="1333" t="s">
        <v>2666</v>
      </c>
      <c r="B1405" s="1314" t="s">
        <v>765</v>
      </c>
      <c r="C1405" s="1334" t="s">
        <v>2663</v>
      </c>
      <c r="D1405" s="1313"/>
      <c r="E1405" s="1335">
        <v>55</v>
      </c>
      <c r="F1405" s="1336"/>
      <c r="G1405" s="298" t="s">
        <v>420</v>
      </c>
      <c r="H1405" s="1337">
        <v>2.6</v>
      </c>
      <c r="I1405" s="1338" t="s">
        <v>2566</v>
      </c>
      <c r="J1405" s="1339"/>
      <c r="K1405" s="1339"/>
      <c r="L1405" s="1338">
        <f t="shared" si="73"/>
        <v>71</v>
      </c>
      <c r="M1405" s="1336">
        <v>16</v>
      </c>
      <c r="N1405" s="638">
        <v>2</v>
      </c>
      <c r="O1405" s="645" t="s">
        <v>2634</v>
      </c>
      <c r="P1405" s="297"/>
      <c r="Q1405" s="297"/>
      <c r="R1405" s="297"/>
      <c r="S1405" s="297"/>
      <c r="T1405" s="297"/>
      <c r="U1405" s="297"/>
    </row>
    <row r="1406" spans="1:21" s="305" customFormat="1">
      <c r="A1406" s="1333" t="s">
        <v>2665</v>
      </c>
      <c r="B1406" s="1314" t="s">
        <v>765</v>
      </c>
      <c r="C1406" s="1334" t="s">
        <v>2664</v>
      </c>
      <c r="D1406" s="1313"/>
      <c r="E1406" s="1335">
        <v>54</v>
      </c>
      <c r="F1406" s="1336"/>
      <c r="G1406" s="298" t="s">
        <v>420</v>
      </c>
      <c r="H1406" s="1337">
        <v>2.6</v>
      </c>
      <c r="I1406" s="1338" t="s">
        <v>2566</v>
      </c>
      <c r="J1406" s="1339"/>
      <c r="K1406" s="1339"/>
      <c r="L1406" s="1338">
        <f t="shared" si="73"/>
        <v>70</v>
      </c>
      <c r="M1406" s="1336">
        <v>16</v>
      </c>
      <c r="N1406" s="638">
        <v>2</v>
      </c>
      <c r="O1406" s="645" t="s">
        <v>2634</v>
      </c>
      <c r="P1406" s="297"/>
      <c r="Q1406" s="297"/>
      <c r="R1406" s="297"/>
      <c r="S1406" s="297"/>
      <c r="T1406" s="297"/>
      <c r="U1406" s="297"/>
    </row>
    <row r="1407" spans="1:21" s="305" customFormat="1">
      <c r="A1407" s="1333" t="s">
        <v>2666</v>
      </c>
      <c r="B1407" s="1314" t="s">
        <v>765</v>
      </c>
      <c r="C1407" s="1334" t="s">
        <v>2664</v>
      </c>
      <c r="D1407" s="1313"/>
      <c r="E1407" s="1335">
        <v>60</v>
      </c>
      <c r="F1407" s="1336"/>
      <c r="G1407" s="298" t="s">
        <v>420</v>
      </c>
      <c r="H1407" s="1337">
        <v>2.6</v>
      </c>
      <c r="I1407" s="1338" t="s">
        <v>2566</v>
      </c>
      <c r="J1407" s="1339"/>
      <c r="K1407" s="1339"/>
      <c r="L1407" s="1338">
        <f t="shared" si="73"/>
        <v>76</v>
      </c>
      <c r="M1407" s="1336">
        <v>16</v>
      </c>
      <c r="N1407" s="638">
        <v>2</v>
      </c>
      <c r="O1407" s="645" t="s">
        <v>2634</v>
      </c>
      <c r="P1407" s="297"/>
      <c r="Q1407" s="297"/>
      <c r="R1407" s="297"/>
      <c r="S1407" s="297"/>
      <c r="T1407" s="297"/>
      <c r="U1407" s="297"/>
    </row>
    <row r="1408" spans="1:21" s="305" customFormat="1">
      <c r="A1408" s="1333" t="s">
        <v>2665</v>
      </c>
      <c r="B1408" s="1314" t="s">
        <v>765</v>
      </c>
      <c r="C1408" s="1334" t="s">
        <v>2662</v>
      </c>
      <c r="D1408" s="1313"/>
      <c r="E1408" s="1335">
        <v>37</v>
      </c>
      <c r="F1408" s="1336"/>
      <c r="G1408" s="298" t="s">
        <v>420</v>
      </c>
      <c r="H1408" s="1337">
        <v>2.6</v>
      </c>
      <c r="I1408" s="1338" t="s">
        <v>2566</v>
      </c>
      <c r="J1408" s="1339"/>
      <c r="K1408" s="1339"/>
      <c r="L1408" s="1338">
        <f t="shared" si="73"/>
        <v>51</v>
      </c>
      <c r="M1408" s="1336">
        <v>14</v>
      </c>
      <c r="N1408" s="638">
        <v>2</v>
      </c>
      <c r="O1408" s="645" t="s">
        <v>2634</v>
      </c>
      <c r="P1408" s="297"/>
      <c r="Q1408" s="297"/>
      <c r="R1408" s="297"/>
      <c r="S1408" s="297"/>
      <c r="T1408" s="297"/>
      <c r="U1408" s="297"/>
    </row>
    <row r="1409" spans="1:21" s="305" customFormat="1">
      <c r="A1409" s="1333" t="s">
        <v>2666</v>
      </c>
      <c r="B1409" s="1314" t="s">
        <v>765</v>
      </c>
      <c r="C1409" s="1334" t="s">
        <v>2662</v>
      </c>
      <c r="D1409" s="1313"/>
      <c r="E1409" s="1335">
        <v>43</v>
      </c>
      <c r="F1409" s="1336"/>
      <c r="G1409" s="298" t="s">
        <v>420</v>
      </c>
      <c r="H1409" s="1337">
        <v>2.6</v>
      </c>
      <c r="I1409" s="1338" t="s">
        <v>2566</v>
      </c>
      <c r="J1409" s="1339"/>
      <c r="K1409" s="1339"/>
      <c r="L1409" s="1338">
        <f t="shared" si="73"/>
        <v>57</v>
      </c>
      <c r="M1409" s="1336">
        <v>14</v>
      </c>
      <c r="N1409" s="638">
        <v>2</v>
      </c>
      <c r="O1409" s="645" t="s">
        <v>2634</v>
      </c>
      <c r="P1409" s="297"/>
      <c r="Q1409" s="297"/>
      <c r="R1409" s="297"/>
      <c r="S1409" s="297"/>
      <c r="T1409" s="297"/>
      <c r="U1409" s="297"/>
    </row>
    <row r="1410" spans="1:21" s="305" customFormat="1">
      <c r="A1410" s="1874" t="s">
        <v>4451</v>
      </c>
      <c r="B1410" s="2447" t="s">
        <v>1274</v>
      </c>
      <c r="C1410" s="2448" t="s">
        <v>4449</v>
      </c>
      <c r="D1410" s="1313"/>
      <c r="E1410" s="2450">
        <v>38</v>
      </c>
      <c r="F1410" s="1336"/>
      <c r="G1410" s="2512" t="s">
        <v>3912</v>
      </c>
      <c r="H1410" s="2433">
        <v>1</v>
      </c>
      <c r="I1410" s="2434" t="s">
        <v>2566</v>
      </c>
      <c r="J1410" s="1339"/>
      <c r="K1410" s="1339"/>
      <c r="L1410" s="2434">
        <f>M1410+E1410</f>
        <v>95</v>
      </c>
      <c r="M1410" s="2490">
        <f>E1410*1.5</f>
        <v>57</v>
      </c>
      <c r="N1410" s="638"/>
      <c r="O1410" s="645"/>
      <c r="P1410" s="297"/>
      <c r="Q1410" s="297"/>
      <c r="R1410" s="297"/>
      <c r="S1410" s="297"/>
      <c r="T1410" s="297"/>
      <c r="U1410" s="297"/>
    </row>
    <row r="1411" spans="1:21" s="305" customFormat="1">
      <c r="A1411" s="1874" t="s">
        <v>4450</v>
      </c>
      <c r="B1411" s="2447" t="s">
        <v>1274</v>
      </c>
      <c r="C1411" s="2448" t="s">
        <v>4449</v>
      </c>
      <c r="D1411" s="1313"/>
      <c r="E1411" s="2450">
        <v>33</v>
      </c>
      <c r="F1411" s="1336"/>
      <c r="G1411" s="2512" t="s">
        <v>3912</v>
      </c>
      <c r="H1411" s="2433">
        <v>1</v>
      </c>
      <c r="I1411" s="2434" t="s">
        <v>2566</v>
      </c>
      <c r="J1411" s="1339"/>
      <c r="K1411" s="1339"/>
      <c r="L1411" s="2434">
        <f t="shared" ref="L1411:L1413" si="74">M1411+E1411</f>
        <v>82.5</v>
      </c>
      <c r="M1411" s="2490">
        <f t="shared" ref="M1411:M1413" si="75">E1411*1.5</f>
        <v>49.5</v>
      </c>
      <c r="N1411" s="638"/>
      <c r="O1411" s="645"/>
      <c r="P1411" s="297"/>
      <c r="Q1411" s="297"/>
      <c r="R1411" s="297"/>
      <c r="S1411" s="297"/>
      <c r="T1411" s="297"/>
      <c r="U1411" s="297"/>
    </row>
    <row r="1412" spans="1:21" s="305" customFormat="1">
      <c r="A1412" s="1874" t="s">
        <v>4452</v>
      </c>
      <c r="B1412" s="2447" t="s">
        <v>1274</v>
      </c>
      <c r="C1412" s="2448" t="s">
        <v>4449</v>
      </c>
      <c r="D1412" s="1313"/>
      <c r="E1412" s="2450">
        <v>30</v>
      </c>
      <c r="F1412" s="1336"/>
      <c r="G1412" s="2512" t="s">
        <v>3912</v>
      </c>
      <c r="H1412" s="2433">
        <v>1</v>
      </c>
      <c r="I1412" s="2434" t="s">
        <v>2566</v>
      </c>
      <c r="J1412" s="1339"/>
      <c r="K1412" s="1339"/>
      <c r="L1412" s="2434">
        <f t="shared" si="74"/>
        <v>75</v>
      </c>
      <c r="M1412" s="2490">
        <f t="shared" si="75"/>
        <v>45</v>
      </c>
      <c r="N1412" s="638"/>
      <c r="O1412" s="645"/>
      <c r="P1412" s="297"/>
      <c r="Q1412" s="297"/>
      <c r="R1412" s="297"/>
      <c r="S1412" s="297"/>
      <c r="T1412" s="297"/>
      <c r="U1412" s="297"/>
    </row>
    <row r="1413" spans="1:21" s="305" customFormat="1">
      <c r="A1413" s="1874" t="s">
        <v>4453</v>
      </c>
      <c r="B1413" s="2447" t="s">
        <v>1274</v>
      </c>
      <c r="C1413" s="2448" t="s">
        <v>4449</v>
      </c>
      <c r="D1413" s="1313"/>
      <c r="E1413" s="2450">
        <v>27</v>
      </c>
      <c r="F1413" s="1336"/>
      <c r="G1413" s="2512" t="s">
        <v>3912</v>
      </c>
      <c r="H1413" s="2433">
        <v>1</v>
      </c>
      <c r="I1413" s="2434" t="s">
        <v>2566</v>
      </c>
      <c r="J1413" s="1339"/>
      <c r="K1413" s="1339"/>
      <c r="L1413" s="2434">
        <f t="shared" si="74"/>
        <v>67.5</v>
      </c>
      <c r="M1413" s="2490">
        <f t="shared" si="75"/>
        <v>40.5</v>
      </c>
      <c r="N1413" s="638"/>
      <c r="O1413" s="645"/>
      <c r="P1413" s="297"/>
      <c r="Q1413" s="297"/>
      <c r="R1413" s="297"/>
      <c r="S1413" s="297"/>
      <c r="T1413" s="297"/>
      <c r="U1413" s="297"/>
    </row>
    <row r="1414" spans="1:21" s="305" customFormat="1">
      <c r="A1414" s="1874" t="s">
        <v>4020</v>
      </c>
      <c r="B1414" s="2447" t="s">
        <v>1274</v>
      </c>
      <c r="C1414" s="2448" t="s">
        <v>4018</v>
      </c>
      <c r="D1414" s="2449"/>
      <c r="E1414" s="2450">
        <v>54</v>
      </c>
      <c r="F1414" s="1336"/>
      <c r="G1414" s="2512" t="s">
        <v>3912</v>
      </c>
      <c r="H1414" s="2433">
        <v>1</v>
      </c>
      <c r="I1414" s="2434" t="s">
        <v>2566</v>
      </c>
      <c r="J1414" s="1339"/>
      <c r="K1414" s="1339"/>
      <c r="L1414" s="2451">
        <f>E1414*1.5</f>
        <v>81</v>
      </c>
      <c r="M1414" s="2451">
        <f>L1414-E1414</f>
        <v>27</v>
      </c>
      <c r="N1414" s="2454">
        <v>2</v>
      </c>
      <c r="O1414" s="1856" t="s">
        <v>3880</v>
      </c>
      <c r="P1414" s="297"/>
      <c r="Q1414" s="2403" t="s">
        <v>4048</v>
      </c>
      <c r="R1414" s="297"/>
      <c r="S1414" s="297"/>
      <c r="T1414" s="297"/>
      <c r="U1414" s="297"/>
    </row>
    <row r="1415" spans="1:21" s="305" customFormat="1">
      <c r="A1415" s="1874" t="s">
        <v>4021</v>
      </c>
      <c r="B1415" s="2447" t="s">
        <v>1274</v>
      </c>
      <c r="C1415" s="2448" t="s">
        <v>4018</v>
      </c>
      <c r="D1415" s="2449"/>
      <c r="E1415" s="2450">
        <v>48</v>
      </c>
      <c r="F1415" s="1336"/>
      <c r="G1415" s="2512" t="s">
        <v>3912</v>
      </c>
      <c r="H1415" s="2433">
        <v>1</v>
      </c>
      <c r="I1415" s="2434" t="s">
        <v>2566</v>
      </c>
      <c r="J1415" s="1339"/>
      <c r="K1415" s="1339"/>
      <c r="L1415" s="2451">
        <f>E1415*1.5</f>
        <v>72</v>
      </c>
      <c r="M1415" s="2451">
        <f>L1415-E1415</f>
        <v>24</v>
      </c>
      <c r="N1415" s="2454">
        <v>2</v>
      </c>
      <c r="O1415" s="1856" t="s">
        <v>3880</v>
      </c>
      <c r="P1415" s="297"/>
      <c r="Q1415" s="2403" t="s">
        <v>4048</v>
      </c>
      <c r="R1415" s="297"/>
      <c r="S1415" s="297"/>
      <c r="T1415" s="297"/>
      <c r="U1415" s="297"/>
    </row>
    <row r="1416" spans="1:21" s="305" customFormat="1">
      <c r="A1416" s="1874" t="s">
        <v>4022</v>
      </c>
      <c r="B1416" s="2447" t="s">
        <v>1274</v>
      </c>
      <c r="C1416" s="2448" t="s">
        <v>4018</v>
      </c>
      <c r="D1416" s="2449"/>
      <c r="E1416" s="2450">
        <v>42</v>
      </c>
      <c r="F1416" s="1336"/>
      <c r="G1416" s="2512" t="s">
        <v>3912</v>
      </c>
      <c r="H1416" s="2453" t="s">
        <v>4026</v>
      </c>
      <c r="I1416" s="2434" t="s">
        <v>2566</v>
      </c>
      <c r="J1416" s="1339"/>
      <c r="K1416" s="1339"/>
      <c r="L1416" s="2451">
        <f>E1416*1.5</f>
        <v>63</v>
      </c>
      <c r="M1416" s="2451">
        <f>L1416-E1416</f>
        <v>21</v>
      </c>
      <c r="N1416" s="2454">
        <v>2</v>
      </c>
      <c r="O1416" s="1856" t="s">
        <v>3880</v>
      </c>
      <c r="P1416" s="297"/>
      <c r="Q1416" s="2403" t="s">
        <v>4048</v>
      </c>
      <c r="R1416" s="297"/>
      <c r="S1416" s="297"/>
      <c r="T1416" s="297"/>
      <c r="U1416" s="297"/>
    </row>
    <row r="1417" spans="1:21" s="305" customFormat="1">
      <c r="A1417" s="1874" t="s">
        <v>4023</v>
      </c>
      <c r="B1417" s="2447" t="s">
        <v>1274</v>
      </c>
      <c r="C1417" s="2448" t="s">
        <v>4018</v>
      </c>
      <c r="D1417" s="2449"/>
      <c r="E1417" s="2450">
        <v>38</v>
      </c>
      <c r="F1417" s="1336"/>
      <c r="G1417" s="2512" t="s">
        <v>3912</v>
      </c>
      <c r="H1417" s="2453" t="s">
        <v>4025</v>
      </c>
      <c r="I1417" s="2434" t="s">
        <v>2566</v>
      </c>
      <c r="J1417" s="1339"/>
      <c r="K1417" s="1339"/>
      <c r="L1417" s="2451">
        <f>E1417*1.5</f>
        <v>57</v>
      </c>
      <c r="M1417" s="2451">
        <f>L1417-E1417</f>
        <v>19</v>
      </c>
      <c r="N1417" s="2454">
        <v>2</v>
      </c>
      <c r="O1417" s="1856" t="s">
        <v>3880</v>
      </c>
      <c r="P1417" s="297"/>
      <c r="Q1417" s="2403" t="s">
        <v>4048</v>
      </c>
      <c r="R1417" s="297"/>
      <c r="S1417" s="297"/>
      <c r="T1417" s="297"/>
      <c r="U1417" s="297"/>
    </row>
    <row r="1418" spans="1:21" s="305" customFormat="1">
      <c r="A1418" s="1874" t="s">
        <v>4019</v>
      </c>
      <c r="B1418" s="2447" t="s">
        <v>1274</v>
      </c>
      <c r="C1418" s="2448" t="s">
        <v>4018</v>
      </c>
      <c r="D1418" s="2449"/>
      <c r="E1418" s="2450">
        <v>34</v>
      </c>
      <c r="F1418" s="1336"/>
      <c r="G1418" s="2510" t="s">
        <v>3912</v>
      </c>
      <c r="H1418" s="2452" t="s">
        <v>4025</v>
      </c>
      <c r="I1418" s="2434" t="s">
        <v>2566</v>
      </c>
      <c r="J1418" s="1339"/>
      <c r="K1418" s="1339"/>
      <c r="L1418" s="2451">
        <f>E1418*1.5</f>
        <v>51</v>
      </c>
      <c r="M1418" s="2451">
        <f>L1418-E1418</f>
        <v>17</v>
      </c>
      <c r="N1418" s="2454">
        <v>2</v>
      </c>
      <c r="O1418" s="1856" t="s">
        <v>3880</v>
      </c>
      <c r="P1418" s="297"/>
      <c r="Q1418" s="2403" t="s">
        <v>4048</v>
      </c>
      <c r="R1418" s="297"/>
      <c r="S1418" s="297"/>
      <c r="T1418" s="297"/>
      <c r="U1418" s="297"/>
    </row>
    <row r="1419" spans="1:21" s="445" customFormat="1">
      <c r="A1419" s="1810"/>
      <c r="B1419" s="1817" t="s">
        <v>766</v>
      </c>
      <c r="C1419" s="1818" t="s">
        <v>571</v>
      </c>
      <c r="D1419" s="1819"/>
      <c r="E1419" s="1820">
        <v>37</v>
      </c>
      <c r="F1419" s="1821"/>
      <c r="G1419" s="1821"/>
      <c r="H1419" s="1814"/>
      <c r="I1419" s="1815"/>
      <c r="J1419" s="1816"/>
      <c r="K1419" s="1816"/>
      <c r="L1419" s="1815">
        <v>44</v>
      </c>
      <c r="M1419" s="1821">
        <v>7</v>
      </c>
      <c r="N1419" s="1822"/>
      <c r="O1419" s="645"/>
      <c r="P1419" s="487"/>
      <c r="Q1419" s="487"/>
      <c r="R1419" s="487"/>
      <c r="S1419" s="487"/>
      <c r="T1419" s="487"/>
      <c r="U1419" s="487"/>
    </row>
    <row r="1420" spans="1:21" s="305" customFormat="1">
      <c r="A1420" s="1810"/>
      <c r="B1420" s="1817" t="s">
        <v>766</v>
      </c>
      <c r="C1420" s="1818" t="s">
        <v>1447</v>
      </c>
      <c r="D1420" s="1819"/>
      <c r="E1420" s="1820">
        <v>37</v>
      </c>
      <c r="F1420" s="1821"/>
      <c r="G1420" s="1821"/>
      <c r="H1420" s="1814"/>
      <c r="I1420" s="1815"/>
      <c r="J1420" s="1816"/>
      <c r="K1420" s="1816"/>
      <c r="L1420" s="1815">
        <v>44</v>
      </c>
      <c r="M1420" s="1821">
        <v>7</v>
      </c>
      <c r="N1420" s="1822"/>
      <c r="O1420" s="645"/>
      <c r="P1420" s="297"/>
      <c r="Q1420" s="297"/>
      <c r="R1420" s="297"/>
      <c r="S1420" s="297"/>
      <c r="T1420" s="297"/>
      <c r="U1420" s="297"/>
    </row>
    <row r="1421" spans="1:21" s="305" customFormat="1">
      <c r="A1421" s="1809" t="s">
        <v>769</v>
      </c>
      <c r="B1421" s="1817" t="s">
        <v>767</v>
      </c>
      <c r="C1421" s="1818" t="s">
        <v>768</v>
      </c>
      <c r="D1421" s="1819"/>
      <c r="E1421" s="1820">
        <v>43.5</v>
      </c>
      <c r="F1421" s="1821"/>
      <c r="G1421" s="1794" t="s">
        <v>420</v>
      </c>
      <c r="H1421" s="1814"/>
      <c r="I1421" s="1815"/>
      <c r="J1421" s="1816"/>
      <c r="K1421" s="1816"/>
      <c r="L1421" s="1815">
        <v>59.5</v>
      </c>
      <c r="M1421" s="1821">
        <v>16</v>
      </c>
      <c r="N1421" s="1822"/>
      <c r="O1421" s="644"/>
      <c r="P1421" s="297"/>
      <c r="Q1421" s="297"/>
      <c r="R1421" s="297"/>
      <c r="S1421" s="297"/>
      <c r="T1421" s="297"/>
      <c r="U1421" s="297"/>
    </row>
    <row r="1422" spans="1:21" s="305" customFormat="1">
      <c r="A1422" s="1809" t="s">
        <v>770</v>
      </c>
      <c r="B1422" s="1817" t="s">
        <v>767</v>
      </c>
      <c r="C1422" s="1818" t="s">
        <v>768</v>
      </c>
      <c r="D1422" s="1819"/>
      <c r="E1422" s="1820">
        <v>55.5</v>
      </c>
      <c r="F1422" s="1821"/>
      <c r="G1422" s="1821"/>
      <c r="H1422" s="1814"/>
      <c r="I1422" s="1815"/>
      <c r="J1422" s="1816"/>
      <c r="K1422" s="1816"/>
      <c r="L1422" s="1815">
        <v>78.5</v>
      </c>
      <c r="M1422" s="1821">
        <v>23</v>
      </c>
      <c r="N1422" s="1822"/>
      <c r="O1422" s="644"/>
      <c r="P1422" s="297"/>
      <c r="Q1422" s="297"/>
      <c r="R1422" s="297"/>
      <c r="S1422" s="297"/>
      <c r="T1422" s="297"/>
      <c r="U1422" s="297"/>
    </row>
    <row r="1423" spans="1:21" s="305" customFormat="1">
      <c r="A1423" s="1809" t="s">
        <v>771</v>
      </c>
      <c r="B1423" s="1817" t="s">
        <v>767</v>
      </c>
      <c r="C1423" s="1818" t="s">
        <v>768</v>
      </c>
      <c r="D1423" s="1819"/>
      <c r="E1423" s="1820">
        <v>74.5</v>
      </c>
      <c r="F1423" s="1821"/>
      <c r="G1423" s="1821"/>
      <c r="H1423" s="1814"/>
      <c r="I1423" s="1815"/>
      <c r="J1423" s="1816"/>
      <c r="K1423" s="1816"/>
      <c r="L1423" s="1815">
        <v>109.5</v>
      </c>
      <c r="M1423" s="1821">
        <v>35</v>
      </c>
      <c r="N1423" s="1822"/>
      <c r="O1423" s="644"/>
      <c r="P1423" s="297"/>
      <c r="Q1423" s="297"/>
      <c r="R1423" s="297"/>
      <c r="S1423" s="297"/>
      <c r="T1423" s="297"/>
      <c r="U1423" s="297"/>
    </row>
    <row r="1424" spans="1:21" s="445" customFormat="1">
      <c r="A1424" s="1809" t="s">
        <v>772</v>
      </c>
      <c r="B1424" s="1817" t="s">
        <v>767</v>
      </c>
      <c r="C1424" s="1818" t="s">
        <v>768</v>
      </c>
      <c r="D1424" s="1819"/>
      <c r="E1424" s="1820">
        <v>98.5</v>
      </c>
      <c r="F1424" s="1821"/>
      <c r="G1424" s="1821"/>
      <c r="H1424" s="1814"/>
      <c r="I1424" s="1815"/>
      <c r="J1424" s="1816"/>
      <c r="K1424" s="1816"/>
      <c r="L1424" s="1815">
        <v>153.5</v>
      </c>
      <c r="M1424" s="1821">
        <v>55</v>
      </c>
      <c r="N1424" s="1822"/>
      <c r="O1424" s="645"/>
      <c r="P1424" s="487"/>
      <c r="Q1424" s="487"/>
      <c r="R1424" s="487"/>
      <c r="S1424" s="487"/>
      <c r="T1424" s="487"/>
      <c r="U1424" s="487"/>
    </row>
    <row r="1425" spans="1:221" s="445" customFormat="1">
      <c r="A1425" s="1809"/>
      <c r="B1425" s="1817" t="s">
        <v>767</v>
      </c>
      <c r="C1425" s="1818" t="s">
        <v>1448</v>
      </c>
      <c r="D1425" s="1819"/>
      <c r="E1425" s="1820"/>
      <c r="F1425" s="1821"/>
      <c r="G1425" s="1821"/>
      <c r="H1425" s="1814"/>
      <c r="I1425" s="1815"/>
      <c r="J1425" s="1816"/>
      <c r="K1425" s="1816"/>
      <c r="L1425" s="1815"/>
      <c r="M1425" s="1821"/>
      <c r="N1425" s="1822"/>
      <c r="O1425" s="645"/>
      <c r="P1425" s="487"/>
      <c r="Q1425" s="487"/>
      <c r="R1425" s="487"/>
      <c r="S1425" s="487"/>
      <c r="T1425" s="487"/>
      <c r="U1425" s="487"/>
    </row>
    <row r="1426" spans="1:221" s="445" customFormat="1">
      <c r="A1426" s="1823" t="s">
        <v>823</v>
      </c>
      <c r="B1426" s="1817" t="s">
        <v>821</v>
      </c>
      <c r="C1426" s="1818" t="s">
        <v>822</v>
      </c>
      <c r="D1426" s="1819"/>
      <c r="E1426" s="1820">
        <v>32</v>
      </c>
      <c r="F1426" s="1824"/>
      <c r="G1426" s="1824"/>
      <c r="H1426" s="1824"/>
      <c r="I1426" s="1825"/>
      <c r="J1426" s="1825"/>
      <c r="K1426" s="1825"/>
      <c r="L1426" s="1825">
        <v>52</v>
      </c>
      <c r="M1426" s="1824">
        <v>20</v>
      </c>
      <c r="N1426" s="1826"/>
      <c r="O1426" s="655"/>
      <c r="P1426" s="487"/>
      <c r="Q1426" s="487"/>
      <c r="R1426" s="487"/>
      <c r="S1426" s="487"/>
      <c r="T1426" s="487"/>
      <c r="U1426" s="487"/>
    </row>
    <row r="1427" spans="1:221" s="445" customFormat="1">
      <c r="A1427" s="1823" t="s">
        <v>15</v>
      </c>
      <c r="B1427" s="1817" t="s">
        <v>821</v>
      </c>
      <c r="C1427" s="1818" t="s">
        <v>822</v>
      </c>
      <c r="D1427" s="1819"/>
      <c r="E1427" s="1820">
        <v>38</v>
      </c>
      <c r="F1427" s="1824"/>
      <c r="G1427" s="1824"/>
      <c r="H1427" s="1824"/>
      <c r="I1427" s="1825"/>
      <c r="J1427" s="1825"/>
      <c r="K1427" s="1825"/>
      <c r="L1427" s="1825">
        <v>62</v>
      </c>
      <c r="M1427" s="1824">
        <v>16</v>
      </c>
      <c r="N1427" s="1826"/>
      <c r="O1427" s="655"/>
      <c r="P1427" s="487"/>
      <c r="Q1427" s="487"/>
      <c r="R1427" s="487"/>
      <c r="S1427" s="487"/>
      <c r="T1427" s="487"/>
      <c r="U1427" s="487"/>
    </row>
    <row r="1428" spans="1:221" s="445" customFormat="1">
      <c r="A1428" s="1823"/>
      <c r="B1428" s="1817" t="s">
        <v>821</v>
      </c>
      <c r="C1428" s="1818" t="s">
        <v>824</v>
      </c>
      <c r="D1428" s="1819"/>
      <c r="E1428" s="1820">
        <v>42</v>
      </c>
      <c r="F1428" s="1824"/>
      <c r="G1428" s="1824"/>
      <c r="H1428" s="1824"/>
      <c r="I1428" s="1825"/>
      <c r="J1428" s="1825"/>
      <c r="K1428" s="1825"/>
      <c r="L1428" s="1825">
        <v>62</v>
      </c>
      <c r="M1428" s="1824">
        <v>20</v>
      </c>
      <c r="N1428" s="1826"/>
      <c r="O1428" s="655"/>
      <c r="P1428" s="487"/>
      <c r="Q1428" s="487"/>
      <c r="R1428" s="487"/>
      <c r="S1428" s="487"/>
      <c r="T1428" s="487"/>
      <c r="U1428" s="487"/>
    </row>
    <row r="1429" spans="1:221" s="305" customFormat="1">
      <c r="A1429" s="1823"/>
      <c r="B1429" s="1817" t="s">
        <v>821</v>
      </c>
      <c r="C1429" s="1818" t="s">
        <v>825</v>
      </c>
      <c r="D1429" s="1819"/>
      <c r="E1429" s="1820">
        <v>42</v>
      </c>
      <c r="F1429" s="1824"/>
      <c r="G1429" s="1824"/>
      <c r="H1429" s="1824"/>
      <c r="I1429" s="1825"/>
      <c r="J1429" s="1825"/>
      <c r="K1429" s="1825"/>
      <c r="L1429" s="1825">
        <v>64</v>
      </c>
      <c r="M1429" s="1824">
        <v>22</v>
      </c>
      <c r="N1429" s="1826"/>
      <c r="O1429" s="655"/>
      <c r="P1429" s="297"/>
      <c r="Q1429" s="297"/>
      <c r="R1429" s="297"/>
      <c r="S1429" s="297"/>
      <c r="T1429" s="297"/>
      <c r="U1429" s="297"/>
    </row>
    <row r="1430" spans="1:221" s="481" customFormat="1">
      <c r="A1430" s="1823"/>
      <c r="B1430" s="1817" t="s">
        <v>821</v>
      </c>
      <c r="C1430" s="1818" t="s">
        <v>826</v>
      </c>
      <c r="D1430" s="1819"/>
      <c r="E1430" s="1820">
        <v>40</v>
      </c>
      <c r="F1430" s="1824"/>
      <c r="G1430" s="1824"/>
      <c r="H1430" s="1824"/>
      <c r="I1430" s="1825"/>
      <c r="J1430" s="1825"/>
      <c r="K1430" s="1825"/>
      <c r="L1430" s="1825">
        <v>67</v>
      </c>
      <c r="M1430" s="1824">
        <v>37</v>
      </c>
      <c r="N1430" s="1826"/>
      <c r="O1430" s="480"/>
      <c r="P1430" s="296"/>
      <c r="Q1430" s="296"/>
      <c r="R1430" s="296"/>
      <c r="S1430" s="296"/>
      <c r="T1430" s="296"/>
      <c r="U1430" s="296"/>
    </row>
    <row r="1431" spans="1:221" s="481" customFormat="1">
      <c r="A1431" s="1823" t="s">
        <v>828</v>
      </c>
      <c r="B1431" s="1817" t="s">
        <v>821</v>
      </c>
      <c r="C1431" s="1818" t="s">
        <v>827</v>
      </c>
      <c r="D1431" s="1819"/>
      <c r="E1431" s="1820">
        <v>59.5</v>
      </c>
      <c r="F1431" s="1824"/>
      <c r="G1431" s="1824"/>
      <c r="H1431" s="1824"/>
      <c r="I1431" s="1825"/>
      <c r="J1431" s="1825"/>
      <c r="K1431" s="1825"/>
      <c r="L1431" s="1825">
        <v>102</v>
      </c>
      <c r="M1431" s="1824">
        <v>42.5</v>
      </c>
      <c r="N1431" s="1826"/>
      <c r="O1431" s="480"/>
      <c r="P1431" s="296"/>
      <c r="Q1431" s="296"/>
      <c r="R1431" s="296"/>
      <c r="S1431" s="296"/>
      <c r="T1431" s="296"/>
      <c r="U1431" s="296"/>
    </row>
    <row r="1432" spans="1:221" s="481" customFormat="1">
      <c r="A1432" s="1823" t="s">
        <v>829</v>
      </c>
      <c r="B1432" s="1817" t="s">
        <v>821</v>
      </c>
      <c r="C1432" s="1818" t="s">
        <v>827</v>
      </c>
      <c r="D1432" s="1819"/>
      <c r="E1432" s="1820">
        <v>72</v>
      </c>
      <c r="F1432" s="1824"/>
      <c r="G1432" s="1824"/>
      <c r="H1432" s="1824"/>
      <c r="I1432" s="1825"/>
      <c r="J1432" s="1825"/>
      <c r="K1432" s="1825"/>
      <c r="L1432" s="1825">
        <v>127</v>
      </c>
      <c r="M1432" s="1824">
        <v>55</v>
      </c>
      <c r="N1432" s="1826"/>
      <c r="O1432" s="480"/>
      <c r="P1432" s="296"/>
      <c r="Q1432" s="296"/>
      <c r="R1432" s="296"/>
      <c r="S1432" s="296"/>
      <c r="T1432" s="296"/>
      <c r="U1432" s="296"/>
    </row>
    <row r="1433" spans="1:221" s="296" customFormat="1">
      <c r="A1433" s="1823" t="s">
        <v>38</v>
      </c>
      <c r="B1433" s="1817" t="s">
        <v>821</v>
      </c>
      <c r="C1433" s="1818" t="s">
        <v>830</v>
      </c>
      <c r="D1433" s="1819"/>
      <c r="E1433" s="1820">
        <v>68</v>
      </c>
      <c r="F1433" s="1824"/>
      <c r="G1433" s="1824"/>
      <c r="H1433" s="1824"/>
      <c r="I1433" s="1825"/>
      <c r="J1433" s="1825"/>
      <c r="K1433" s="1825"/>
      <c r="L1433" s="1825">
        <v>108</v>
      </c>
      <c r="M1433" s="1824">
        <v>40</v>
      </c>
      <c r="N1433" s="1826"/>
      <c r="O1433" s="480"/>
    </row>
    <row r="1434" spans="1:221" s="296" customFormat="1">
      <c r="A1434" s="1823" t="s">
        <v>228</v>
      </c>
      <c r="B1434" s="1817" t="s">
        <v>821</v>
      </c>
      <c r="C1434" s="1818" t="s">
        <v>830</v>
      </c>
      <c r="D1434" s="1819"/>
      <c r="E1434" s="1820">
        <v>88</v>
      </c>
      <c r="F1434" s="1824"/>
      <c r="G1434" s="1824"/>
      <c r="H1434" s="1824"/>
      <c r="I1434" s="1825"/>
      <c r="J1434" s="1825"/>
      <c r="K1434" s="1825"/>
      <c r="L1434" s="1825">
        <v>140</v>
      </c>
      <c r="M1434" s="1824">
        <v>52</v>
      </c>
      <c r="N1434" s="1826"/>
      <c r="O1434" s="480"/>
    </row>
    <row r="1435" spans="1:221" s="479" customFormat="1">
      <c r="A1435" s="2805" t="s">
        <v>1129</v>
      </c>
      <c r="B1435" s="2805"/>
      <c r="C1435" s="2805"/>
      <c r="D1435" s="2805"/>
      <c r="E1435" s="2805"/>
      <c r="F1435" s="2805"/>
      <c r="G1435" s="2805"/>
      <c r="H1435" s="2805"/>
      <c r="I1435" s="2805"/>
      <c r="J1435" s="2805"/>
      <c r="K1435" s="2805"/>
      <c r="L1435" s="2805"/>
      <c r="M1435" s="2805"/>
      <c r="N1435" s="2805"/>
      <c r="O1435" s="480"/>
      <c r="Q1435" s="482"/>
    </row>
    <row r="1436" spans="1:221" s="479" customFormat="1">
      <c r="A1436" s="1865" t="s">
        <v>3409</v>
      </c>
      <c r="B1436" s="1865" t="s">
        <v>3410</v>
      </c>
      <c r="C1436" s="1866" t="s">
        <v>3411</v>
      </c>
      <c r="D1436" s="1864"/>
      <c r="E1436" s="1867">
        <v>75</v>
      </c>
      <c r="F1436" s="1862"/>
      <c r="G1436" s="1852" t="s">
        <v>420</v>
      </c>
      <c r="H1436" s="1862"/>
      <c r="I1436" s="1862"/>
      <c r="J1436" s="1862"/>
      <c r="K1436" s="1862"/>
      <c r="L1436" s="1867">
        <v>95</v>
      </c>
      <c r="M1436" s="1867">
        <f>L1436-E1436</f>
        <v>20</v>
      </c>
      <c r="N1436" s="1863"/>
      <c r="O1436" s="1897" t="s">
        <v>3880</v>
      </c>
      <c r="Q1436" s="482"/>
    </row>
    <row r="1437" spans="1:221" s="479" customFormat="1">
      <c r="A1437" s="1865" t="s">
        <v>3806</v>
      </c>
      <c r="B1437" s="1865" t="s">
        <v>3410</v>
      </c>
      <c r="C1437" s="1866" t="s">
        <v>3411</v>
      </c>
      <c r="D1437" s="1864"/>
      <c r="E1437" s="1867">
        <v>70</v>
      </c>
      <c r="F1437" s="1862"/>
      <c r="G1437" s="1852" t="s">
        <v>420</v>
      </c>
      <c r="H1437" s="1862"/>
      <c r="I1437" s="1862"/>
      <c r="J1437" s="1862"/>
      <c r="K1437" s="1862"/>
      <c r="L1437" s="1867">
        <v>90</v>
      </c>
      <c r="M1437" s="1867">
        <f>L1437-E1437</f>
        <v>20</v>
      </c>
      <c r="N1437" s="1863"/>
      <c r="O1437" s="1897" t="s">
        <v>3880</v>
      </c>
      <c r="Q1437" s="482"/>
    </row>
    <row r="1438" spans="1:221" s="696" customFormat="1">
      <c r="A1438" s="1244" t="s">
        <v>2378</v>
      </c>
      <c r="B1438" s="1299" t="s">
        <v>2376</v>
      </c>
      <c r="C1438" s="1297" t="s">
        <v>2375</v>
      </c>
      <c r="D1438" s="1298"/>
      <c r="E1438" s="1296">
        <v>47</v>
      </c>
      <c r="F1438" s="897"/>
      <c r="G1438" s="897"/>
      <c r="H1438" s="897"/>
      <c r="I1438" s="1243"/>
      <c r="J1438" s="1243"/>
      <c r="K1438" s="1243"/>
      <c r="L1438" s="1243">
        <f>47+20</f>
        <v>67</v>
      </c>
      <c r="M1438" s="897">
        <v>20</v>
      </c>
      <c r="N1438" s="1245">
        <v>5</v>
      </c>
      <c r="O1438" s="711"/>
    </row>
    <row r="1439" spans="1:221" s="696" customFormat="1">
      <c r="A1439" s="1244" t="s">
        <v>2377</v>
      </c>
      <c r="B1439" s="1299" t="s">
        <v>2376</v>
      </c>
      <c r="C1439" s="1297" t="s">
        <v>2375</v>
      </c>
      <c r="D1439" s="1298"/>
      <c r="E1439" s="1296">
        <f>43+14</f>
        <v>57</v>
      </c>
      <c r="F1439" s="897"/>
      <c r="G1439" s="897"/>
      <c r="H1439" s="897"/>
      <c r="I1439" s="1243"/>
      <c r="J1439" s="1243"/>
      <c r="K1439" s="1243"/>
      <c r="L1439" s="1243">
        <f>57+20</f>
        <v>77</v>
      </c>
      <c r="M1439" s="897">
        <v>20</v>
      </c>
      <c r="N1439" s="1245">
        <v>5</v>
      </c>
      <c r="O1439" s="711"/>
    </row>
    <row r="1440" spans="1:221" s="479" customFormat="1">
      <c r="A1440" s="1244" t="s">
        <v>2379</v>
      </c>
      <c r="B1440" s="1299" t="s">
        <v>409</v>
      </c>
      <c r="C1440" s="1297" t="s">
        <v>877</v>
      </c>
      <c r="D1440" s="1298"/>
      <c r="E1440" s="1296">
        <v>46</v>
      </c>
      <c r="F1440" s="1362" t="s">
        <v>2735</v>
      </c>
      <c r="G1440" s="897"/>
      <c r="H1440" s="897">
        <v>3.2</v>
      </c>
      <c r="I1440" s="1243" t="s">
        <v>206</v>
      </c>
      <c r="J1440" s="1243"/>
      <c r="K1440" s="1243"/>
      <c r="L1440" s="1243">
        <f>46+22</f>
        <v>68</v>
      </c>
      <c r="M1440" s="897">
        <v>22</v>
      </c>
      <c r="N1440" s="1245">
        <v>3.5</v>
      </c>
      <c r="O1440" s="480"/>
      <c r="P1440" s="297"/>
      <c r="Q1440" s="297"/>
      <c r="R1440" s="297"/>
      <c r="S1440" s="297"/>
      <c r="T1440" s="297"/>
      <c r="U1440" s="297"/>
      <c r="V1440" s="297"/>
      <c r="W1440" s="297"/>
      <c r="X1440" s="297"/>
      <c r="Y1440" s="297"/>
      <c r="Z1440" s="297"/>
      <c r="AA1440" s="297"/>
      <c r="AB1440" s="297"/>
      <c r="AC1440" s="297"/>
      <c r="AD1440" s="297"/>
      <c r="AE1440" s="297"/>
      <c r="AF1440" s="297"/>
      <c r="AG1440" s="297"/>
      <c r="AH1440" s="297"/>
      <c r="AI1440" s="297"/>
      <c r="AJ1440" s="297"/>
      <c r="AK1440" s="297"/>
      <c r="AL1440" s="297"/>
      <c r="AM1440" s="297"/>
      <c r="AN1440" s="297"/>
      <c r="AO1440" s="297"/>
      <c r="AP1440" s="297"/>
      <c r="AQ1440" s="297"/>
      <c r="AR1440" s="297"/>
      <c r="AS1440" s="297"/>
      <c r="AT1440" s="297"/>
      <c r="AU1440" s="297"/>
      <c r="AV1440" s="297"/>
      <c r="AW1440" s="297"/>
      <c r="AX1440" s="297"/>
      <c r="AY1440" s="297"/>
      <c r="AZ1440" s="297"/>
      <c r="BA1440" s="297"/>
      <c r="BB1440" s="297"/>
      <c r="BC1440" s="297"/>
      <c r="BD1440" s="297"/>
      <c r="BE1440" s="297"/>
      <c r="BF1440" s="297"/>
      <c r="BG1440" s="297"/>
      <c r="BH1440" s="297"/>
      <c r="BI1440" s="297"/>
      <c r="BJ1440" s="297"/>
      <c r="BK1440" s="297"/>
      <c r="BL1440" s="297"/>
      <c r="BM1440" s="297"/>
      <c r="BN1440" s="297"/>
      <c r="BO1440" s="297"/>
      <c r="BP1440" s="297"/>
      <c r="BQ1440" s="297"/>
      <c r="BR1440" s="297"/>
      <c r="BS1440" s="297"/>
      <c r="BT1440" s="297"/>
      <c r="BU1440" s="297"/>
      <c r="BV1440" s="297"/>
      <c r="BW1440" s="297"/>
      <c r="BX1440" s="297"/>
      <c r="BY1440" s="297"/>
      <c r="BZ1440" s="297"/>
      <c r="CA1440" s="297"/>
      <c r="CB1440" s="297"/>
      <c r="CC1440" s="297"/>
      <c r="CD1440" s="297"/>
      <c r="CE1440" s="297"/>
      <c r="CF1440" s="297"/>
      <c r="CG1440" s="297"/>
      <c r="CH1440" s="297"/>
      <c r="CI1440" s="297"/>
      <c r="CJ1440" s="297"/>
      <c r="CK1440" s="297"/>
      <c r="CL1440" s="297"/>
      <c r="CM1440" s="297"/>
      <c r="CN1440" s="297"/>
      <c r="CO1440" s="297"/>
      <c r="CP1440" s="297"/>
      <c r="CQ1440" s="297"/>
      <c r="CR1440" s="297"/>
      <c r="CS1440" s="297"/>
      <c r="CT1440" s="297"/>
      <c r="CU1440" s="297"/>
      <c r="CV1440" s="297"/>
      <c r="CW1440" s="297"/>
      <c r="CX1440" s="297"/>
      <c r="CY1440" s="297"/>
      <c r="CZ1440" s="297"/>
      <c r="DA1440" s="297"/>
      <c r="DB1440" s="297"/>
      <c r="DC1440" s="297"/>
      <c r="DD1440" s="297"/>
      <c r="DE1440" s="297"/>
      <c r="DF1440" s="297"/>
      <c r="DG1440" s="297"/>
      <c r="DH1440" s="297"/>
      <c r="DI1440" s="297"/>
      <c r="DJ1440" s="297"/>
      <c r="DK1440" s="297"/>
      <c r="DL1440" s="297"/>
      <c r="DM1440" s="297"/>
      <c r="DN1440" s="297"/>
      <c r="DO1440" s="297"/>
      <c r="DP1440" s="297"/>
      <c r="DQ1440" s="297"/>
      <c r="DR1440" s="297"/>
      <c r="DS1440" s="297"/>
      <c r="DT1440" s="297"/>
      <c r="DU1440" s="297"/>
      <c r="DV1440" s="297"/>
      <c r="DW1440" s="297"/>
      <c r="DX1440" s="297"/>
      <c r="DY1440" s="297"/>
      <c r="DZ1440" s="297"/>
      <c r="EA1440" s="297"/>
      <c r="EB1440" s="297"/>
      <c r="EC1440" s="297"/>
      <c r="ED1440" s="297"/>
      <c r="EE1440" s="297"/>
      <c r="EF1440" s="297"/>
      <c r="EG1440" s="297"/>
      <c r="EH1440" s="297"/>
      <c r="EI1440" s="297"/>
      <c r="EJ1440" s="297"/>
      <c r="EK1440" s="297"/>
      <c r="EL1440" s="297"/>
      <c r="EM1440" s="297"/>
      <c r="EN1440" s="297"/>
      <c r="EO1440" s="297"/>
      <c r="EP1440" s="297"/>
      <c r="EQ1440" s="297"/>
      <c r="ER1440" s="297"/>
      <c r="ES1440" s="297"/>
      <c r="ET1440" s="297"/>
      <c r="EU1440" s="297"/>
      <c r="EV1440" s="297"/>
      <c r="EW1440" s="297"/>
      <c r="EX1440" s="297"/>
      <c r="EY1440" s="297"/>
      <c r="EZ1440" s="297"/>
      <c r="FA1440" s="297"/>
      <c r="FB1440" s="297"/>
      <c r="FC1440" s="297"/>
      <c r="FD1440" s="297"/>
      <c r="FE1440" s="297"/>
      <c r="FF1440" s="297"/>
      <c r="FG1440" s="297"/>
      <c r="FH1440" s="297"/>
      <c r="FI1440" s="297"/>
      <c r="FJ1440" s="297"/>
      <c r="FK1440" s="297"/>
      <c r="FL1440" s="297"/>
      <c r="FM1440" s="297"/>
      <c r="FN1440" s="297"/>
      <c r="FO1440" s="297"/>
      <c r="FP1440" s="297"/>
      <c r="FQ1440" s="297"/>
      <c r="FR1440" s="297"/>
      <c r="FS1440" s="297"/>
      <c r="FT1440" s="297"/>
      <c r="FU1440" s="297"/>
      <c r="FV1440" s="297"/>
      <c r="FW1440" s="297"/>
      <c r="FX1440" s="297"/>
      <c r="FY1440" s="297"/>
      <c r="FZ1440" s="297"/>
      <c r="GA1440" s="297"/>
      <c r="GB1440" s="297"/>
      <c r="GC1440" s="297"/>
      <c r="GD1440" s="297"/>
      <c r="GE1440" s="297"/>
      <c r="GF1440" s="297"/>
      <c r="GG1440" s="297"/>
      <c r="GH1440" s="297"/>
      <c r="GI1440" s="297"/>
      <c r="GJ1440" s="297"/>
      <c r="GK1440" s="297"/>
      <c r="GL1440" s="297"/>
      <c r="GM1440" s="297"/>
      <c r="GN1440" s="297"/>
      <c r="GO1440" s="297"/>
      <c r="GP1440" s="297"/>
      <c r="GQ1440" s="297"/>
      <c r="GR1440" s="297"/>
      <c r="GS1440" s="297"/>
      <c r="GT1440" s="297"/>
      <c r="GU1440" s="297"/>
      <c r="GV1440" s="297"/>
      <c r="GW1440" s="297"/>
      <c r="GX1440" s="297"/>
      <c r="GY1440" s="297"/>
      <c r="GZ1440" s="297"/>
      <c r="HA1440" s="297"/>
      <c r="HB1440" s="297"/>
      <c r="HC1440" s="297"/>
      <c r="HD1440" s="297"/>
      <c r="HE1440" s="297"/>
      <c r="HF1440" s="297"/>
      <c r="HG1440" s="297"/>
      <c r="HH1440" s="297"/>
      <c r="HI1440" s="297"/>
      <c r="HJ1440" s="297"/>
      <c r="HK1440" s="297"/>
      <c r="HL1440" s="297"/>
      <c r="HM1440" s="297"/>
    </row>
    <row r="1441" spans="1:221" s="479" customFormat="1">
      <c r="A1441" s="1244" t="s">
        <v>1921</v>
      </c>
      <c r="B1441" s="1299" t="s">
        <v>409</v>
      </c>
      <c r="C1441" s="1297" t="s">
        <v>877</v>
      </c>
      <c r="D1441" s="1298"/>
      <c r="E1441" s="1296">
        <v>65</v>
      </c>
      <c r="F1441" s="1362" t="s">
        <v>2735</v>
      </c>
      <c r="G1441" s="897"/>
      <c r="H1441" s="897">
        <v>3.2</v>
      </c>
      <c r="I1441" s="1243" t="s">
        <v>206</v>
      </c>
      <c r="J1441" s="1243"/>
      <c r="K1441" s="1243"/>
      <c r="L1441" s="1243">
        <f>65+35</f>
        <v>100</v>
      </c>
      <c r="M1441" s="897">
        <v>35</v>
      </c>
      <c r="N1441" s="1245">
        <v>3.5</v>
      </c>
      <c r="O1441" s="480"/>
      <c r="P1441" s="297"/>
      <c r="Q1441" s="297"/>
      <c r="R1441" s="297"/>
      <c r="S1441" s="297"/>
      <c r="T1441" s="297"/>
      <c r="U1441" s="297"/>
      <c r="V1441" s="297"/>
      <c r="W1441" s="297"/>
      <c r="X1441" s="297"/>
      <c r="Y1441" s="297"/>
      <c r="Z1441" s="297"/>
      <c r="AA1441" s="297"/>
      <c r="AB1441" s="297"/>
      <c r="AC1441" s="297"/>
      <c r="AD1441" s="297"/>
      <c r="AE1441" s="297"/>
      <c r="AF1441" s="297"/>
      <c r="AG1441" s="297"/>
      <c r="AH1441" s="297"/>
      <c r="AI1441" s="297"/>
      <c r="AJ1441" s="297"/>
      <c r="AK1441" s="297"/>
      <c r="AL1441" s="297"/>
      <c r="AM1441" s="297"/>
      <c r="AN1441" s="297"/>
      <c r="AO1441" s="297"/>
      <c r="AP1441" s="297"/>
      <c r="AQ1441" s="297"/>
      <c r="AR1441" s="297"/>
      <c r="AS1441" s="297"/>
      <c r="AT1441" s="297"/>
      <c r="AU1441" s="297"/>
      <c r="AV1441" s="297"/>
      <c r="AW1441" s="297"/>
      <c r="AX1441" s="297"/>
      <c r="AY1441" s="297"/>
      <c r="AZ1441" s="297"/>
      <c r="BA1441" s="297"/>
      <c r="BB1441" s="297"/>
      <c r="BC1441" s="297"/>
      <c r="BD1441" s="297"/>
      <c r="BE1441" s="297"/>
      <c r="BF1441" s="297"/>
      <c r="BG1441" s="297"/>
      <c r="BH1441" s="297"/>
      <c r="BI1441" s="297"/>
      <c r="BJ1441" s="297"/>
      <c r="BK1441" s="297"/>
      <c r="BL1441" s="297"/>
      <c r="BM1441" s="297"/>
      <c r="BN1441" s="297"/>
      <c r="BO1441" s="297"/>
      <c r="BP1441" s="297"/>
      <c r="BQ1441" s="297"/>
      <c r="BR1441" s="297"/>
      <c r="BS1441" s="297"/>
      <c r="BT1441" s="297"/>
      <c r="BU1441" s="297"/>
      <c r="BV1441" s="297"/>
      <c r="BW1441" s="297"/>
      <c r="BX1441" s="297"/>
      <c r="BY1441" s="297"/>
      <c r="BZ1441" s="297"/>
      <c r="CA1441" s="297"/>
      <c r="CB1441" s="297"/>
      <c r="CC1441" s="297"/>
      <c r="CD1441" s="297"/>
      <c r="CE1441" s="297"/>
      <c r="CF1441" s="297"/>
      <c r="CG1441" s="297"/>
      <c r="CH1441" s="297"/>
      <c r="CI1441" s="297"/>
      <c r="CJ1441" s="297"/>
      <c r="CK1441" s="297"/>
      <c r="CL1441" s="297"/>
      <c r="CM1441" s="297"/>
      <c r="CN1441" s="297"/>
      <c r="CO1441" s="297"/>
      <c r="CP1441" s="297"/>
      <c r="CQ1441" s="297"/>
      <c r="CR1441" s="297"/>
      <c r="CS1441" s="297"/>
      <c r="CT1441" s="297"/>
      <c r="CU1441" s="297"/>
      <c r="CV1441" s="297"/>
      <c r="CW1441" s="297"/>
      <c r="CX1441" s="297"/>
      <c r="CY1441" s="297"/>
      <c r="CZ1441" s="297"/>
      <c r="DA1441" s="297"/>
      <c r="DB1441" s="297"/>
      <c r="DC1441" s="297"/>
      <c r="DD1441" s="297"/>
      <c r="DE1441" s="297"/>
      <c r="DF1441" s="297"/>
      <c r="DG1441" s="297"/>
      <c r="DH1441" s="297"/>
      <c r="DI1441" s="297"/>
      <c r="DJ1441" s="297"/>
      <c r="DK1441" s="297"/>
      <c r="DL1441" s="297"/>
      <c r="DM1441" s="297"/>
      <c r="DN1441" s="297"/>
      <c r="DO1441" s="297"/>
      <c r="DP1441" s="297"/>
      <c r="DQ1441" s="297"/>
      <c r="DR1441" s="297"/>
      <c r="DS1441" s="297"/>
      <c r="DT1441" s="297"/>
      <c r="DU1441" s="297"/>
      <c r="DV1441" s="297"/>
      <c r="DW1441" s="297"/>
      <c r="DX1441" s="297"/>
      <c r="DY1441" s="297"/>
      <c r="DZ1441" s="297"/>
      <c r="EA1441" s="297"/>
      <c r="EB1441" s="297"/>
      <c r="EC1441" s="297"/>
      <c r="ED1441" s="297"/>
      <c r="EE1441" s="297"/>
      <c r="EF1441" s="297"/>
      <c r="EG1441" s="297"/>
      <c r="EH1441" s="297"/>
      <c r="EI1441" s="297"/>
      <c r="EJ1441" s="297"/>
      <c r="EK1441" s="297"/>
      <c r="EL1441" s="297"/>
      <c r="EM1441" s="297"/>
      <c r="EN1441" s="297"/>
      <c r="EO1441" s="297"/>
      <c r="EP1441" s="297"/>
      <c r="EQ1441" s="297"/>
      <c r="ER1441" s="297"/>
      <c r="ES1441" s="297"/>
      <c r="ET1441" s="297"/>
      <c r="EU1441" s="297"/>
      <c r="EV1441" s="297"/>
      <c r="EW1441" s="297"/>
      <c r="EX1441" s="297"/>
      <c r="EY1441" s="297"/>
      <c r="EZ1441" s="297"/>
      <c r="FA1441" s="297"/>
      <c r="FB1441" s="297"/>
      <c r="FC1441" s="297"/>
      <c r="FD1441" s="297"/>
      <c r="FE1441" s="297"/>
      <c r="FF1441" s="297"/>
      <c r="FG1441" s="297"/>
      <c r="FH1441" s="297"/>
      <c r="FI1441" s="297"/>
      <c r="FJ1441" s="297"/>
      <c r="FK1441" s="297"/>
      <c r="FL1441" s="297"/>
      <c r="FM1441" s="297"/>
      <c r="FN1441" s="297"/>
      <c r="FO1441" s="297"/>
      <c r="FP1441" s="297"/>
      <c r="FQ1441" s="297"/>
      <c r="FR1441" s="297"/>
      <c r="FS1441" s="297"/>
      <c r="FT1441" s="297"/>
      <c r="FU1441" s="297"/>
      <c r="FV1441" s="297"/>
      <c r="FW1441" s="297"/>
      <c r="FX1441" s="297"/>
      <c r="FY1441" s="297"/>
      <c r="FZ1441" s="297"/>
      <c r="GA1441" s="297"/>
      <c r="GB1441" s="297"/>
      <c r="GC1441" s="297"/>
      <c r="GD1441" s="297"/>
      <c r="GE1441" s="297"/>
      <c r="GF1441" s="297"/>
      <c r="GG1441" s="297"/>
      <c r="GH1441" s="297"/>
      <c r="GI1441" s="297"/>
      <c r="GJ1441" s="297"/>
      <c r="GK1441" s="297"/>
      <c r="GL1441" s="297"/>
      <c r="GM1441" s="297"/>
      <c r="GN1441" s="297"/>
      <c r="GO1441" s="297"/>
      <c r="GP1441" s="297"/>
      <c r="GQ1441" s="297"/>
      <c r="GR1441" s="297"/>
      <c r="GS1441" s="297"/>
      <c r="GT1441" s="297"/>
      <c r="GU1441" s="297"/>
      <c r="GV1441" s="297"/>
      <c r="GW1441" s="297"/>
      <c r="GX1441" s="297"/>
      <c r="GY1441" s="297"/>
      <c r="GZ1441" s="297"/>
      <c r="HA1441" s="297"/>
      <c r="HB1441" s="297"/>
      <c r="HC1441" s="297"/>
      <c r="HD1441" s="297"/>
      <c r="HE1441" s="297"/>
      <c r="HF1441" s="297"/>
      <c r="HG1441" s="297"/>
      <c r="HH1441" s="297"/>
      <c r="HI1441" s="297"/>
      <c r="HJ1441" s="297"/>
      <c r="HK1441" s="297"/>
      <c r="HL1441" s="297"/>
      <c r="HM1441" s="297"/>
    </row>
    <row r="1442" spans="1:221" s="479" customFormat="1">
      <c r="A1442" s="852" t="s">
        <v>2204</v>
      </c>
      <c r="B1442" s="1299" t="s">
        <v>409</v>
      </c>
      <c r="C1442" s="1297" t="s">
        <v>878</v>
      </c>
      <c r="D1442" s="1274"/>
      <c r="E1442" s="1255">
        <v>38.5</v>
      </c>
      <c r="F1442" s="713"/>
      <c r="G1442" s="713"/>
      <c r="H1442" s="713">
        <v>3.2</v>
      </c>
      <c r="I1442" s="714" t="s">
        <v>206</v>
      </c>
      <c r="J1442" s="1243"/>
      <c r="K1442" s="714"/>
      <c r="L1442" s="714">
        <f>38.5+15</f>
        <v>53.5</v>
      </c>
      <c r="M1442" s="713">
        <v>15</v>
      </c>
      <c r="N1442" s="723">
        <v>3</v>
      </c>
      <c r="O1442" s="480"/>
      <c r="P1442" s="487"/>
      <c r="Q1442" s="487"/>
      <c r="R1442" s="487"/>
      <c r="S1442" s="487"/>
      <c r="T1442" s="487"/>
      <c r="U1442" s="487"/>
      <c r="V1442" s="487"/>
      <c r="W1442" s="487"/>
      <c r="X1442" s="487"/>
      <c r="Y1442" s="487"/>
      <c r="Z1442" s="487"/>
      <c r="AA1442" s="487"/>
      <c r="AB1442" s="487"/>
      <c r="AC1442" s="487"/>
      <c r="AD1442" s="487"/>
      <c r="AE1442" s="487"/>
      <c r="AF1442" s="487"/>
      <c r="AG1442" s="487"/>
      <c r="AH1442" s="487"/>
      <c r="AI1442" s="487"/>
      <c r="AJ1442" s="487"/>
      <c r="AK1442" s="487"/>
      <c r="AL1442" s="487"/>
      <c r="AM1442" s="487"/>
      <c r="AN1442" s="487"/>
      <c r="AO1442" s="487"/>
      <c r="AP1442" s="487"/>
      <c r="AQ1442" s="487"/>
      <c r="AR1442" s="487"/>
      <c r="AS1442" s="487"/>
      <c r="AT1442" s="487"/>
      <c r="AU1442" s="487"/>
      <c r="AV1442" s="487"/>
      <c r="AW1442" s="487"/>
      <c r="AX1442" s="487"/>
      <c r="AY1442" s="487"/>
      <c r="AZ1442" s="487"/>
      <c r="BA1442" s="487"/>
      <c r="BB1442" s="487"/>
      <c r="BC1442" s="487"/>
      <c r="BD1442" s="487"/>
      <c r="BE1442" s="487"/>
      <c r="BF1442" s="487"/>
      <c r="BG1442" s="487"/>
      <c r="BH1442" s="487"/>
      <c r="BI1442" s="487"/>
      <c r="BJ1442" s="487"/>
      <c r="BK1442" s="487"/>
      <c r="BL1442" s="487"/>
      <c r="BM1442" s="487"/>
      <c r="BN1442" s="487"/>
      <c r="BO1442" s="487"/>
      <c r="BP1442" s="487"/>
      <c r="BQ1442" s="487"/>
      <c r="BR1442" s="487"/>
      <c r="BS1442" s="487"/>
      <c r="BT1442" s="487"/>
      <c r="BU1442" s="487"/>
      <c r="BV1442" s="487"/>
      <c r="BW1442" s="487"/>
      <c r="BX1442" s="487"/>
      <c r="BY1442" s="487"/>
      <c r="BZ1442" s="487"/>
      <c r="CA1442" s="487"/>
      <c r="CB1442" s="487"/>
      <c r="CC1442" s="487"/>
      <c r="CD1442" s="487"/>
      <c r="CE1442" s="487"/>
      <c r="CF1442" s="487"/>
      <c r="CG1442" s="487"/>
      <c r="CH1442" s="487"/>
      <c r="CI1442" s="487"/>
      <c r="CJ1442" s="487"/>
      <c r="CK1442" s="487"/>
      <c r="CL1442" s="487"/>
      <c r="CM1442" s="487"/>
      <c r="CN1442" s="487"/>
      <c r="CO1442" s="487"/>
      <c r="CP1442" s="487"/>
      <c r="CQ1442" s="487"/>
      <c r="CR1442" s="487"/>
      <c r="CS1442" s="487"/>
      <c r="CT1442" s="487"/>
      <c r="CU1442" s="487"/>
      <c r="CV1442" s="487"/>
      <c r="CW1442" s="487"/>
      <c r="CX1442" s="487"/>
      <c r="CY1442" s="487"/>
      <c r="CZ1442" s="487"/>
      <c r="DA1442" s="487"/>
      <c r="DB1442" s="487"/>
      <c r="DC1442" s="487"/>
      <c r="DD1442" s="487"/>
      <c r="DE1442" s="487"/>
      <c r="DF1442" s="487"/>
      <c r="DG1442" s="487"/>
      <c r="DH1442" s="487"/>
      <c r="DI1442" s="487"/>
      <c r="DJ1442" s="487"/>
      <c r="DK1442" s="487"/>
      <c r="DL1442" s="487"/>
      <c r="DM1442" s="487"/>
      <c r="DN1442" s="487"/>
      <c r="DO1442" s="487"/>
      <c r="DP1442" s="487"/>
      <c r="DQ1442" s="487"/>
      <c r="DR1442" s="487"/>
      <c r="DS1442" s="487"/>
      <c r="DT1442" s="487"/>
      <c r="DU1442" s="487"/>
      <c r="DV1442" s="487"/>
      <c r="DW1442" s="487"/>
      <c r="DX1442" s="487"/>
      <c r="DY1442" s="487"/>
      <c r="DZ1442" s="487"/>
      <c r="EA1442" s="487"/>
      <c r="EB1442" s="487"/>
      <c r="EC1442" s="487"/>
      <c r="ED1442" s="487"/>
      <c r="EE1442" s="487"/>
      <c r="EF1442" s="487"/>
      <c r="EG1442" s="487"/>
      <c r="EH1442" s="487"/>
      <c r="EI1442" s="487"/>
      <c r="EJ1442" s="487"/>
      <c r="EK1442" s="487"/>
      <c r="EL1442" s="487"/>
      <c r="EM1442" s="487"/>
      <c r="EN1442" s="487"/>
      <c r="EO1442" s="487"/>
      <c r="EP1442" s="487"/>
      <c r="EQ1442" s="487"/>
      <c r="ER1442" s="487"/>
      <c r="ES1442" s="487"/>
      <c r="ET1442" s="487"/>
      <c r="EU1442" s="487"/>
      <c r="EV1442" s="487"/>
      <c r="EW1442" s="487"/>
      <c r="EX1442" s="487"/>
      <c r="EY1442" s="487"/>
      <c r="EZ1442" s="487"/>
      <c r="FA1442" s="487"/>
      <c r="FB1442" s="487"/>
      <c r="FC1442" s="487"/>
      <c r="FD1442" s="487"/>
      <c r="FE1442" s="487"/>
      <c r="FF1442" s="487"/>
      <c r="FG1442" s="487"/>
      <c r="FH1442" s="487"/>
      <c r="FI1442" s="487"/>
      <c r="FJ1442" s="487"/>
      <c r="FK1442" s="487"/>
      <c r="FL1442" s="487"/>
      <c r="FM1442" s="487"/>
      <c r="FN1442" s="487"/>
      <c r="FO1442" s="487"/>
      <c r="FP1442" s="487"/>
      <c r="FQ1442" s="487"/>
      <c r="FR1442" s="487"/>
      <c r="FS1442" s="487"/>
      <c r="FT1442" s="487"/>
      <c r="FU1442" s="487"/>
      <c r="FV1442" s="487"/>
      <c r="FW1442" s="487"/>
      <c r="FX1442" s="487"/>
      <c r="FY1442" s="487"/>
      <c r="FZ1442" s="487"/>
      <c r="GA1442" s="487"/>
      <c r="GB1442" s="487"/>
      <c r="GC1442" s="487"/>
      <c r="GD1442" s="487"/>
      <c r="GE1442" s="487"/>
      <c r="GF1442" s="487"/>
      <c r="GG1442" s="487"/>
      <c r="GH1442" s="487"/>
      <c r="GI1442" s="487"/>
      <c r="GJ1442" s="487"/>
      <c r="GK1442" s="487"/>
      <c r="GL1442" s="487"/>
      <c r="GM1442" s="487"/>
      <c r="GN1442" s="487"/>
      <c r="GO1442" s="487"/>
      <c r="GP1442" s="487"/>
      <c r="GQ1442" s="487"/>
      <c r="GR1442" s="487"/>
      <c r="GS1442" s="487"/>
      <c r="GT1442" s="487"/>
      <c r="GU1442" s="487"/>
      <c r="GV1442" s="487"/>
      <c r="GW1442" s="487"/>
      <c r="GX1442" s="487"/>
      <c r="GY1442" s="487"/>
      <c r="GZ1442" s="487"/>
      <c r="HA1442" s="487"/>
      <c r="HB1442" s="487"/>
      <c r="HC1442" s="487"/>
      <c r="HD1442" s="487"/>
      <c r="HE1442" s="487"/>
      <c r="HF1442" s="487"/>
      <c r="HG1442" s="487"/>
      <c r="HH1442" s="487"/>
      <c r="HI1442" s="487"/>
      <c r="HJ1442" s="487"/>
      <c r="HK1442" s="487"/>
      <c r="HL1442" s="487"/>
      <c r="HM1442" s="487"/>
    </row>
    <row r="1443" spans="1:221" s="479" customFormat="1">
      <c r="A1443" s="1244" t="s">
        <v>2380</v>
      </c>
      <c r="B1443" s="1299" t="s">
        <v>409</v>
      </c>
      <c r="C1443" s="1297" t="s">
        <v>878</v>
      </c>
      <c r="D1443" s="1298"/>
      <c r="E1443" s="1296">
        <v>52</v>
      </c>
      <c r="F1443" s="897"/>
      <c r="G1443" s="897"/>
      <c r="H1443" s="897">
        <v>3.2</v>
      </c>
      <c r="I1443" s="1243" t="s">
        <v>206</v>
      </c>
      <c r="J1443" s="1243"/>
      <c r="K1443" s="1243"/>
      <c r="L1443" s="1243">
        <f>52+15</f>
        <v>67</v>
      </c>
      <c r="M1443" s="897">
        <v>15</v>
      </c>
      <c r="N1443" s="1245">
        <v>3</v>
      </c>
      <c r="O1443" s="480"/>
    </row>
    <row r="1444" spans="1:221" s="297" customFormat="1">
      <c r="A1444" s="2420" t="s">
        <v>3887</v>
      </c>
      <c r="B1444" s="1868" t="s">
        <v>1777</v>
      </c>
      <c r="C1444" s="1869" t="s">
        <v>1778</v>
      </c>
      <c r="D1444" s="1870"/>
      <c r="E1444" s="1872">
        <v>39</v>
      </c>
      <c r="F1444" s="303"/>
      <c r="G1444" s="303"/>
      <c r="H1444" s="307"/>
      <c r="I1444" s="1871">
        <v>2.4</v>
      </c>
      <c r="J1444" s="2410" t="s">
        <v>206</v>
      </c>
      <c r="K1444" s="290"/>
      <c r="L1444" s="1871">
        <v>54</v>
      </c>
      <c r="M1444" s="2421">
        <f>L1444-E1444</f>
        <v>15</v>
      </c>
      <c r="N1444" s="673">
        <v>4</v>
      </c>
      <c r="O1444" s="1856" t="s">
        <v>4282</v>
      </c>
      <c r="Q1444" s="2412" t="s">
        <v>3888</v>
      </c>
      <c r="V1444" s="305"/>
      <c r="W1444" s="305"/>
      <c r="X1444" s="305"/>
      <c r="Y1444" s="305"/>
      <c r="Z1444" s="305"/>
      <c r="AA1444" s="305"/>
      <c r="AB1444" s="305"/>
      <c r="AC1444" s="305"/>
      <c r="AD1444" s="305"/>
      <c r="AE1444" s="305"/>
      <c r="AF1444" s="305"/>
      <c r="AG1444" s="305"/>
      <c r="AH1444" s="305"/>
      <c r="AI1444" s="305"/>
      <c r="AJ1444" s="305"/>
      <c r="AK1444" s="305"/>
      <c r="AL1444" s="305"/>
      <c r="AM1444" s="305"/>
      <c r="AN1444" s="305"/>
      <c r="AO1444" s="305"/>
      <c r="AP1444" s="305"/>
      <c r="AQ1444" s="305"/>
      <c r="AR1444" s="305"/>
      <c r="AS1444" s="305"/>
      <c r="AT1444" s="305"/>
      <c r="AU1444" s="305"/>
      <c r="AV1444" s="305"/>
      <c r="AW1444" s="305"/>
      <c r="AX1444" s="305"/>
      <c r="AY1444" s="305"/>
      <c r="AZ1444" s="305"/>
      <c r="BA1444" s="305"/>
      <c r="BB1444" s="305"/>
      <c r="BC1444" s="305"/>
      <c r="BD1444" s="305"/>
      <c r="BE1444" s="305"/>
      <c r="BF1444" s="305"/>
      <c r="BG1444" s="305"/>
      <c r="BH1444" s="305"/>
      <c r="BI1444" s="305"/>
      <c r="BJ1444" s="305"/>
      <c r="BK1444" s="305"/>
      <c r="BL1444" s="305"/>
      <c r="BM1444" s="305"/>
      <c r="BN1444" s="305"/>
      <c r="BO1444" s="305"/>
      <c r="BP1444" s="305"/>
      <c r="BQ1444" s="305"/>
      <c r="BR1444" s="305"/>
      <c r="BS1444" s="305"/>
      <c r="BT1444" s="305"/>
      <c r="BU1444" s="305"/>
      <c r="BV1444" s="305"/>
      <c r="BW1444" s="305"/>
      <c r="BX1444" s="305"/>
      <c r="BY1444" s="305"/>
      <c r="BZ1444" s="305"/>
      <c r="CA1444" s="305"/>
      <c r="CB1444" s="305"/>
      <c r="CC1444" s="305"/>
      <c r="CD1444" s="305"/>
      <c r="CE1444" s="305"/>
      <c r="CF1444" s="305"/>
      <c r="CG1444" s="305"/>
      <c r="CH1444" s="305"/>
      <c r="CI1444" s="305"/>
      <c r="CJ1444" s="305"/>
      <c r="CK1444" s="305"/>
      <c r="CL1444" s="305"/>
      <c r="CM1444" s="305"/>
      <c r="CN1444" s="305"/>
      <c r="CO1444" s="305"/>
      <c r="CP1444" s="305"/>
      <c r="CQ1444" s="305"/>
      <c r="CR1444" s="305"/>
      <c r="CS1444" s="305"/>
      <c r="CT1444" s="305"/>
      <c r="CU1444" s="305"/>
      <c r="CV1444" s="305"/>
      <c r="CW1444" s="305"/>
      <c r="CX1444" s="305"/>
      <c r="CY1444" s="305"/>
      <c r="CZ1444" s="305"/>
      <c r="DA1444" s="305"/>
      <c r="DB1444" s="305"/>
      <c r="DC1444" s="305"/>
      <c r="DD1444" s="305"/>
      <c r="DE1444" s="305"/>
      <c r="DF1444" s="305"/>
      <c r="DG1444" s="305"/>
      <c r="DH1444" s="305"/>
      <c r="DI1444" s="305"/>
      <c r="DJ1444" s="305"/>
      <c r="DK1444" s="305"/>
      <c r="DL1444" s="305"/>
      <c r="DM1444" s="305"/>
      <c r="DN1444" s="305"/>
      <c r="DO1444" s="305"/>
      <c r="DP1444" s="305"/>
      <c r="DQ1444" s="305"/>
      <c r="DR1444" s="305"/>
      <c r="DS1444" s="305"/>
      <c r="DT1444" s="305"/>
      <c r="DU1444" s="305"/>
      <c r="DV1444" s="305"/>
      <c r="DW1444" s="305"/>
      <c r="DX1444" s="305"/>
      <c r="DY1444" s="305"/>
      <c r="DZ1444" s="305"/>
      <c r="EA1444" s="305"/>
      <c r="EB1444" s="305"/>
      <c r="EC1444" s="305"/>
      <c r="ED1444" s="305"/>
      <c r="EE1444" s="305"/>
      <c r="EF1444" s="305"/>
      <c r="EG1444" s="305"/>
      <c r="EH1444" s="305"/>
      <c r="EI1444" s="305"/>
      <c r="EJ1444" s="305"/>
      <c r="EK1444" s="305"/>
      <c r="EL1444" s="305"/>
      <c r="EM1444" s="305"/>
      <c r="EN1444" s="305"/>
      <c r="EO1444" s="305"/>
      <c r="EP1444" s="305"/>
      <c r="EQ1444" s="305"/>
      <c r="ER1444" s="305"/>
      <c r="ES1444" s="305"/>
      <c r="ET1444" s="305"/>
      <c r="EU1444" s="305"/>
      <c r="EV1444" s="305"/>
      <c r="EW1444" s="305"/>
      <c r="EX1444" s="305"/>
      <c r="EY1444" s="305"/>
      <c r="EZ1444" s="305"/>
      <c r="FA1444" s="305"/>
      <c r="FB1444" s="305"/>
      <c r="FC1444" s="305"/>
      <c r="FD1444" s="305"/>
      <c r="FE1444" s="305"/>
      <c r="FF1444" s="305"/>
      <c r="FG1444" s="305"/>
      <c r="FH1444" s="305"/>
      <c r="FI1444" s="305"/>
      <c r="FJ1444" s="305"/>
      <c r="FK1444" s="305"/>
      <c r="FL1444" s="305"/>
      <c r="FM1444" s="305"/>
      <c r="FN1444" s="305"/>
      <c r="FO1444" s="305"/>
      <c r="FP1444" s="305"/>
      <c r="FQ1444" s="305"/>
      <c r="FR1444" s="305"/>
      <c r="FS1444" s="305"/>
      <c r="FT1444" s="305"/>
      <c r="FU1444" s="305"/>
      <c r="FV1444" s="305"/>
      <c r="FW1444" s="305"/>
      <c r="FX1444" s="305"/>
      <c r="FY1444" s="305"/>
      <c r="FZ1444" s="305"/>
      <c r="GA1444" s="305"/>
      <c r="GB1444" s="305"/>
      <c r="GC1444" s="305"/>
      <c r="GD1444" s="305"/>
      <c r="GE1444" s="305"/>
      <c r="GF1444" s="305"/>
      <c r="GG1444" s="305"/>
      <c r="GH1444" s="305"/>
      <c r="GI1444" s="305"/>
      <c r="GJ1444" s="305"/>
      <c r="GK1444" s="305"/>
      <c r="GL1444" s="305"/>
      <c r="GM1444" s="305"/>
      <c r="GN1444" s="305"/>
      <c r="GO1444" s="305"/>
      <c r="GP1444" s="305"/>
      <c r="GQ1444" s="305"/>
      <c r="GR1444" s="305"/>
      <c r="GS1444" s="305"/>
      <c r="GT1444" s="305"/>
      <c r="GU1444" s="305"/>
      <c r="GV1444" s="305"/>
      <c r="GW1444" s="305"/>
      <c r="GX1444" s="305"/>
      <c r="GY1444" s="305"/>
      <c r="GZ1444" s="305"/>
      <c r="HA1444" s="305"/>
      <c r="HB1444" s="305"/>
      <c r="HC1444" s="305"/>
      <c r="HD1444" s="305"/>
      <c r="HE1444" s="305"/>
      <c r="HF1444" s="305"/>
      <c r="HG1444" s="305"/>
      <c r="HH1444" s="305"/>
      <c r="HI1444" s="305"/>
      <c r="HJ1444" s="305"/>
      <c r="HK1444" s="305"/>
      <c r="HL1444" s="305"/>
      <c r="HM1444" s="305"/>
    </row>
    <row r="1445" spans="1:221" s="297" customFormat="1">
      <c r="A1445" s="852"/>
      <c r="B1445" s="1299" t="s">
        <v>872</v>
      </c>
      <c r="C1445" s="1273" t="s">
        <v>2455</v>
      </c>
      <c r="D1445" s="1274"/>
      <c r="E1445" s="1255">
        <v>133.5</v>
      </c>
      <c r="F1445" s="713"/>
      <c r="G1445" s="713"/>
      <c r="H1445" s="713"/>
      <c r="I1445" s="714"/>
      <c r="J1445" s="1243" t="s">
        <v>876</v>
      </c>
      <c r="K1445" s="714"/>
      <c r="L1445" s="714">
        <v>133</v>
      </c>
      <c r="M1445" s="713">
        <v>0</v>
      </c>
      <c r="N1445" s="723">
        <v>5</v>
      </c>
      <c r="O1445" s="645"/>
      <c r="P1445" s="479"/>
      <c r="Q1445" s="479"/>
      <c r="R1445" s="479"/>
      <c r="S1445" s="479"/>
      <c r="T1445" s="479"/>
      <c r="U1445" s="479"/>
      <c r="V1445" s="479"/>
      <c r="W1445" s="479"/>
      <c r="X1445" s="479"/>
      <c r="Y1445" s="479"/>
      <c r="Z1445" s="479"/>
      <c r="AA1445" s="479"/>
      <c r="AB1445" s="479"/>
      <c r="AC1445" s="479"/>
      <c r="AD1445" s="479"/>
      <c r="AE1445" s="479"/>
      <c r="AF1445" s="479"/>
      <c r="AG1445" s="479"/>
      <c r="AH1445" s="479"/>
      <c r="AI1445" s="479"/>
      <c r="AJ1445" s="479"/>
      <c r="AK1445" s="479"/>
      <c r="AL1445" s="479"/>
      <c r="AM1445" s="479"/>
      <c r="AN1445" s="479"/>
      <c r="AO1445" s="479"/>
      <c r="AP1445" s="479"/>
      <c r="AQ1445" s="479"/>
      <c r="AR1445" s="479"/>
      <c r="AS1445" s="479"/>
      <c r="AT1445" s="479"/>
      <c r="AU1445" s="479"/>
      <c r="AV1445" s="479"/>
      <c r="AW1445" s="479"/>
      <c r="AX1445" s="479"/>
      <c r="AY1445" s="479"/>
      <c r="AZ1445" s="479"/>
      <c r="BA1445" s="479"/>
      <c r="BB1445" s="479"/>
      <c r="BC1445" s="479"/>
      <c r="BD1445" s="479"/>
      <c r="BE1445" s="479"/>
      <c r="BF1445" s="479"/>
      <c r="BG1445" s="479"/>
      <c r="BH1445" s="479"/>
      <c r="BI1445" s="479"/>
      <c r="BJ1445" s="479"/>
      <c r="BK1445" s="479"/>
      <c r="BL1445" s="479"/>
      <c r="BM1445" s="479"/>
      <c r="BN1445" s="479"/>
      <c r="BO1445" s="479"/>
      <c r="BP1445" s="479"/>
      <c r="BQ1445" s="479"/>
      <c r="BR1445" s="479"/>
      <c r="BS1445" s="479"/>
      <c r="BT1445" s="479"/>
      <c r="BU1445" s="479"/>
      <c r="BV1445" s="479"/>
      <c r="BW1445" s="479"/>
      <c r="BX1445" s="479"/>
      <c r="BY1445" s="479"/>
      <c r="BZ1445" s="479"/>
      <c r="CA1445" s="479"/>
      <c r="CB1445" s="479"/>
      <c r="CC1445" s="479"/>
      <c r="CD1445" s="479"/>
      <c r="CE1445" s="479"/>
      <c r="CF1445" s="479"/>
      <c r="CG1445" s="479"/>
      <c r="CH1445" s="479"/>
      <c r="CI1445" s="479"/>
      <c r="CJ1445" s="479"/>
      <c r="CK1445" s="479"/>
      <c r="CL1445" s="479"/>
      <c r="CM1445" s="479"/>
      <c r="CN1445" s="479"/>
      <c r="CO1445" s="479"/>
      <c r="CP1445" s="479"/>
      <c r="CQ1445" s="479"/>
      <c r="CR1445" s="479"/>
      <c r="CS1445" s="479"/>
      <c r="CT1445" s="479"/>
      <c r="CU1445" s="479"/>
      <c r="CV1445" s="479"/>
      <c r="CW1445" s="479"/>
      <c r="CX1445" s="479"/>
      <c r="CY1445" s="479"/>
      <c r="CZ1445" s="479"/>
      <c r="DA1445" s="479"/>
      <c r="DB1445" s="479"/>
      <c r="DC1445" s="479"/>
      <c r="DD1445" s="479"/>
      <c r="DE1445" s="479"/>
      <c r="DF1445" s="479"/>
      <c r="DG1445" s="479"/>
      <c r="DH1445" s="479"/>
      <c r="DI1445" s="479"/>
      <c r="DJ1445" s="479"/>
      <c r="DK1445" s="479"/>
      <c r="DL1445" s="479"/>
      <c r="DM1445" s="479"/>
      <c r="DN1445" s="479"/>
      <c r="DO1445" s="479"/>
      <c r="DP1445" s="479"/>
      <c r="DQ1445" s="479"/>
      <c r="DR1445" s="479"/>
      <c r="DS1445" s="479"/>
      <c r="DT1445" s="479"/>
      <c r="DU1445" s="479"/>
      <c r="DV1445" s="479"/>
      <c r="DW1445" s="479"/>
      <c r="DX1445" s="479"/>
      <c r="DY1445" s="479"/>
      <c r="DZ1445" s="479"/>
      <c r="EA1445" s="479"/>
      <c r="EB1445" s="479"/>
      <c r="EC1445" s="479"/>
      <c r="ED1445" s="479"/>
      <c r="EE1445" s="479"/>
      <c r="EF1445" s="479"/>
      <c r="EG1445" s="479"/>
      <c r="EH1445" s="479"/>
      <c r="EI1445" s="479"/>
      <c r="EJ1445" s="479"/>
      <c r="EK1445" s="479"/>
      <c r="EL1445" s="479"/>
      <c r="EM1445" s="479"/>
      <c r="EN1445" s="479"/>
      <c r="EO1445" s="479"/>
      <c r="EP1445" s="479"/>
      <c r="EQ1445" s="479"/>
      <c r="ER1445" s="479"/>
      <c r="ES1445" s="479"/>
      <c r="ET1445" s="479"/>
      <c r="EU1445" s="479"/>
      <c r="EV1445" s="479"/>
      <c r="EW1445" s="479"/>
      <c r="EX1445" s="479"/>
      <c r="EY1445" s="479"/>
      <c r="EZ1445" s="479"/>
      <c r="FA1445" s="479"/>
      <c r="FB1445" s="479"/>
      <c r="FC1445" s="479"/>
      <c r="FD1445" s="479"/>
      <c r="FE1445" s="479"/>
      <c r="FF1445" s="479"/>
      <c r="FG1445" s="479"/>
      <c r="FH1445" s="479"/>
      <c r="FI1445" s="479"/>
      <c r="FJ1445" s="479"/>
      <c r="FK1445" s="479"/>
      <c r="FL1445" s="479"/>
      <c r="FM1445" s="479"/>
      <c r="FN1445" s="479"/>
      <c r="FO1445" s="479"/>
      <c r="FP1445" s="479"/>
      <c r="FQ1445" s="479"/>
      <c r="FR1445" s="479"/>
      <c r="FS1445" s="479"/>
      <c r="FT1445" s="479"/>
      <c r="FU1445" s="479"/>
      <c r="FV1445" s="479"/>
      <c r="FW1445" s="479"/>
      <c r="FX1445" s="479"/>
      <c r="FY1445" s="479"/>
      <c r="FZ1445" s="479"/>
      <c r="GA1445" s="479"/>
      <c r="GB1445" s="479"/>
      <c r="GC1445" s="479"/>
      <c r="GD1445" s="479"/>
      <c r="GE1445" s="479"/>
      <c r="GF1445" s="479"/>
      <c r="GG1445" s="479"/>
      <c r="GH1445" s="479"/>
      <c r="GI1445" s="479"/>
      <c r="GJ1445" s="479"/>
      <c r="GK1445" s="479"/>
      <c r="GL1445" s="479"/>
      <c r="GM1445" s="479"/>
      <c r="GN1445" s="479"/>
      <c r="GO1445" s="479"/>
      <c r="GP1445" s="479"/>
      <c r="GQ1445" s="479"/>
      <c r="GR1445" s="479"/>
      <c r="GS1445" s="479"/>
      <c r="GT1445" s="479"/>
      <c r="GU1445" s="479"/>
      <c r="GV1445" s="479"/>
      <c r="GW1445" s="479"/>
      <c r="GX1445" s="479"/>
      <c r="GY1445" s="479"/>
      <c r="GZ1445" s="479"/>
      <c r="HA1445" s="479"/>
      <c r="HB1445" s="479"/>
      <c r="HC1445" s="479"/>
      <c r="HD1445" s="479"/>
      <c r="HE1445" s="479"/>
      <c r="HF1445" s="479"/>
      <c r="HG1445" s="479"/>
      <c r="HH1445" s="479"/>
      <c r="HI1445" s="479"/>
      <c r="HJ1445" s="479"/>
      <c r="HK1445" s="479"/>
      <c r="HL1445" s="479"/>
      <c r="HM1445" s="479"/>
    </row>
    <row r="1446" spans="1:221" s="297" customFormat="1">
      <c r="A1446" s="852" t="s">
        <v>7</v>
      </c>
      <c r="B1446" s="1299" t="s">
        <v>872</v>
      </c>
      <c r="C1446" s="1273" t="s">
        <v>875</v>
      </c>
      <c r="D1446" s="1274"/>
      <c r="E1446" s="1255">
        <v>76</v>
      </c>
      <c r="F1446" s="713" t="s">
        <v>1909</v>
      </c>
      <c r="G1446" s="713"/>
      <c r="H1446" s="713">
        <v>3.5</v>
      </c>
      <c r="I1446" s="714" t="s">
        <v>206</v>
      </c>
      <c r="J1446" s="1243" t="s">
        <v>876</v>
      </c>
      <c r="K1446" s="714"/>
      <c r="L1446" s="714">
        <v>105</v>
      </c>
      <c r="M1446" s="713">
        <v>29</v>
      </c>
      <c r="N1446" s="723">
        <v>3.5</v>
      </c>
      <c r="O1446" s="645"/>
      <c r="P1446" s="479"/>
      <c r="Q1446" s="479"/>
      <c r="R1446" s="479"/>
      <c r="S1446" s="479"/>
      <c r="T1446" s="479"/>
      <c r="U1446" s="479"/>
      <c r="V1446" s="479"/>
      <c r="W1446" s="479"/>
      <c r="X1446" s="479"/>
      <c r="Y1446" s="479"/>
      <c r="Z1446" s="479"/>
      <c r="AA1446" s="479"/>
      <c r="AB1446" s="479"/>
      <c r="AC1446" s="479"/>
      <c r="AD1446" s="479"/>
      <c r="AE1446" s="479"/>
      <c r="AF1446" s="479"/>
      <c r="AG1446" s="479"/>
      <c r="AH1446" s="479"/>
      <c r="AI1446" s="479"/>
      <c r="AJ1446" s="479"/>
      <c r="AK1446" s="479"/>
      <c r="AL1446" s="479"/>
      <c r="AM1446" s="479"/>
      <c r="AN1446" s="479"/>
      <c r="AO1446" s="479"/>
      <c r="AP1446" s="479"/>
      <c r="AQ1446" s="479"/>
      <c r="AR1446" s="479"/>
      <c r="AS1446" s="479"/>
      <c r="AT1446" s="479"/>
      <c r="AU1446" s="479"/>
      <c r="AV1446" s="479"/>
      <c r="AW1446" s="479"/>
      <c r="AX1446" s="479"/>
      <c r="AY1446" s="479"/>
      <c r="AZ1446" s="479"/>
      <c r="BA1446" s="479"/>
      <c r="BB1446" s="479"/>
      <c r="BC1446" s="479"/>
      <c r="BD1446" s="479"/>
      <c r="BE1446" s="479"/>
      <c r="BF1446" s="479"/>
      <c r="BG1446" s="479"/>
      <c r="BH1446" s="479"/>
      <c r="BI1446" s="479"/>
      <c r="BJ1446" s="479"/>
      <c r="BK1446" s="479"/>
      <c r="BL1446" s="479"/>
      <c r="BM1446" s="479"/>
      <c r="BN1446" s="479"/>
      <c r="BO1446" s="479"/>
      <c r="BP1446" s="479"/>
      <c r="BQ1446" s="479"/>
      <c r="BR1446" s="479"/>
      <c r="BS1446" s="479"/>
      <c r="BT1446" s="479"/>
      <c r="BU1446" s="479"/>
      <c r="BV1446" s="479"/>
      <c r="BW1446" s="479"/>
      <c r="BX1446" s="479"/>
      <c r="BY1446" s="479"/>
      <c r="BZ1446" s="479"/>
      <c r="CA1446" s="479"/>
      <c r="CB1446" s="479"/>
      <c r="CC1446" s="479"/>
      <c r="CD1446" s="479"/>
      <c r="CE1446" s="479"/>
      <c r="CF1446" s="479"/>
      <c r="CG1446" s="479"/>
      <c r="CH1446" s="479"/>
      <c r="CI1446" s="479"/>
      <c r="CJ1446" s="479"/>
      <c r="CK1446" s="479"/>
      <c r="CL1446" s="479"/>
      <c r="CM1446" s="479"/>
      <c r="CN1446" s="479"/>
      <c r="CO1446" s="479"/>
      <c r="CP1446" s="479"/>
      <c r="CQ1446" s="479"/>
      <c r="CR1446" s="479"/>
      <c r="CS1446" s="479"/>
      <c r="CT1446" s="479"/>
      <c r="CU1446" s="479"/>
      <c r="CV1446" s="479"/>
      <c r="CW1446" s="479"/>
      <c r="CX1446" s="479"/>
      <c r="CY1446" s="479"/>
      <c r="CZ1446" s="479"/>
      <c r="DA1446" s="479"/>
      <c r="DB1446" s="479"/>
      <c r="DC1446" s="479"/>
      <c r="DD1446" s="479"/>
      <c r="DE1446" s="479"/>
      <c r="DF1446" s="479"/>
      <c r="DG1446" s="479"/>
      <c r="DH1446" s="479"/>
      <c r="DI1446" s="479"/>
      <c r="DJ1446" s="479"/>
      <c r="DK1446" s="479"/>
      <c r="DL1446" s="479"/>
      <c r="DM1446" s="479"/>
      <c r="DN1446" s="479"/>
      <c r="DO1446" s="479"/>
      <c r="DP1446" s="479"/>
      <c r="DQ1446" s="479"/>
      <c r="DR1446" s="479"/>
      <c r="DS1446" s="479"/>
      <c r="DT1446" s="479"/>
      <c r="DU1446" s="479"/>
      <c r="DV1446" s="479"/>
      <c r="DW1446" s="479"/>
      <c r="DX1446" s="479"/>
      <c r="DY1446" s="479"/>
      <c r="DZ1446" s="479"/>
      <c r="EA1446" s="479"/>
      <c r="EB1446" s="479"/>
      <c r="EC1446" s="479"/>
      <c r="ED1446" s="479"/>
      <c r="EE1446" s="479"/>
      <c r="EF1446" s="479"/>
      <c r="EG1446" s="479"/>
      <c r="EH1446" s="479"/>
      <c r="EI1446" s="479"/>
      <c r="EJ1446" s="479"/>
      <c r="EK1446" s="479"/>
      <c r="EL1446" s="479"/>
      <c r="EM1446" s="479"/>
      <c r="EN1446" s="479"/>
      <c r="EO1446" s="479"/>
      <c r="EP1446" s="479"/>
      <c r="EQ1446" s="479"/>
      <c r="ER1446" s="479"/>
      <c r="ES1446" s="479"/>
      <c r="ET1446" s="479"/>
      <c r="EU1446" s="479"/>
      <c r="EV1446" s="479"/>
      <c r="EW1446" s="479"/>
      <c r="EX1446" s="479"/>
      <c r="EY1446" s="479"/>
      <c r="EZ1446" s="479"/>
      <c r="FA1446" s="479"/>
      <c r="FB1446" s="479"/>
      <c r="FC1446" s="479"/>
      <c r="FD1446" s="479"/>
      <c r="FE1446" s="479"/>
      <c r="FF1446" s="479"/>
      <c r="FG1446" s="479"/>
      <c r="FH1446" s="479"/>
      <c r="FI1446" s="479"/>
      <c r="FJ1446" s="479"/>
      <c r="FK1446" s="479"/>
      <c r="FL1446" s="479"/>
      <c r="FM1446" s="479"/>
      <c r="FN1446" s="479"/>
      <c r="FO1446" s="479"/>
      <c r="FP1446" s="479"/>
      <c r="FQ1446" s="479"/>
      <c r="FR1446" s="479"/>
      <c r="FS1446" s="479"/>
      <c r="FT1446" s="479"/>
      <c r="FU1446" s="479"/>
      <c r="FV1446" s="479"/>
      <c r="FW1446" s="479"/>
      <c r="FX1446" s="479"/>
      <c r="FY1446" s="479"/>
      <c r="FZ1446" s="479"/>
      <c r="GA1446" s="479"/>
      <c r="GB1446" s="479"/>
      <c r="GC1446" s="479"/>
      <c r="GD1446" s="479"/>
      <c r="GE1446" s="479"/>
      <c r="GF1446" s="479"/>
      <c r="GG1446" s="479"/>
      <c r="GH1446" s="479"/>
      <c r="GI1446" s="479"/>
      <c r="GJ1446" s="479"/>
      <c r="GK1446" s="479"/>
      <c r="GL1446" s="479"/>
      <c r="GM1446" s="479"/>
      <c r="GN1446" s="479"/>
      <c r="GO1446" s="479"/>
      <c r="GP1446" s="479"/>
      <c r="GQ1446" s="479"/>
      <c r="GR1446" s="479"/>
      <c r="GS1446" s="479"/>
      <c r="GT1446" s="479"/>
      <c r="GU1446" s="479"/>
      <c r="GV1446" s="479"/>
      <c r="GW1446" s="479"/>
      <c r="GX1446" s="479"/>
      <c r="GY1446" s="479"/>
      <c r="GZ1446" s="479"/>
      <c r="HA1446" s="479"/>
      <c r="HB1446" s="479"/>
      <c r="HC1446" s="479"/>
      <c r="HD1446" s="479"/>
      <c r="HE1446" s="479"/>
      <c r="HF1446" s="479"/>
      <c r="HG1446" s="479"/>
      <c r="HH1446" s="479"/>
      <c r="HI1446" s="479"/>
      <c r="HJ1446" s="479"/>
      <c r="HK1446" s="479"/>
      <c r="HL1446" s="479"/>
      <c r="HM1446" s="479"/>
    </row>
    <row r="1447" spans="1:221" s="297" customFormat="1">
      <c r="A1447" s="852" t="s">
        <v>7</v>
      </c>
      <c r="B1447" s="1299" t="s">
        <v>872</v>
      </c>
      <c r="C1447" s="1273" t="s">
        <v>879</v>
      </c>
      <c r="D1447" s="1274"/>
      <c r="E1447" s="1255">
        <v>46</v>
      </c>
      <c r="F1447" s="713" t="s">
        <v>1909</v>
      </c>
      <c r="G1447" s="713"/>
      <c r="H1447" s="713">
        <v>3.5</v>
      </c>
      <c r="I1447" s="714" t="s">
        <v>206</v>
      </c>
      <c r="J1447" s="1243" t="s">
        <v>876</v>
      </c>
      <c r="K1447" s="714"/>
      <c r="L1447" s="714">
        <v>86</v>
      </c>
      <c r="M1447" s="713">
        <v>40</v>
      </c>
      <c r="N1447" s="723">
        <v>4</v>
      </c>
      <c r="O1447" s="645"/>
      <c r="P1447" s="479"/>
      <c r="Q1447" s="479"/>
      <c r="R1447" s="479"/>
      <c r="S1447" s="479"/>
      <c r="T1447" s="479"/>
      <c r="U1447" s="479"/>
      <c r="V1447" s="479"/>
      <c r="W1447" s="479"/>
      <c r="X1447" s="479"/>
      <c r="Y1447" s="479"/>
      <c r="Z1447" s="479"/>
      <c r="AA1447" s="479"/>
      <c r="AB1447" s="479"/>
      <c r="AC1447" s="479"/>
      <c r="AD1447" s="479"/>
      <c r="AE1447" s="479"/>
      <c r="AF1447" s="479"/>
      <c r="AG1447" s="479"/>
      <c r="AH1447" s="479"/>
      <c r="AI1447" s="479"/>
      <c r="AJ1447" s="479"/>
      <c r="AK1447" s="479"/>
      <c r="AL1447" s="479"/>
      <c r="AM1447" s="479"/>
      <c r="AN1447" s="479"/>
      <c r="AO1447" s="479"/>
      <c r="AP1447" s="479"/>
      <c r="AQ1447" s="479"/>
      <c r="AR1447" s="479"/>
      <c r="AS1447" s="479"/>
      <c r="AT1447" s="479"/>
      <c r="AU1447" s="479"/>
      <c r="AV1447" s="479"/>
      <c r="AW1447" s="479"/>
      <c r="AX1447" s="479"/>
      <c r="AY1447" s="479"/>
      <c r="AZ1447" s="479"/>
      <c r="BA1447" s="479"/>
      <c r="BB1447" s="479"/>
      <c r="BC1447" s="479"/>
      <c r="BD1447" s="479"/>
      <c r="BE1447" s="479"/>
      <c r="BF1447" s="479"/>
      <c r="BG1447" s="479"/>
      <c r="BH1447" s="479"/>
      <c r="BI1447" s="479"/>
      <c r="BJ1447" s="479"/>
      <c r="BK1447" s="479"/>
      <c r="BL1447" s="479"/>
      <c r="BM1447" s="479"/>
      <c r="BN1447" s="479"/>
      <c r="BO1447" s="479"/>
      <c r="BP1447" s="479"/>
      <c r="BQ1447" s="479"/>
      <c r="BR1447" s="479"/>
      <c r="BS1447" s="479"/>
      <c r="BT1447" s="479"/>
      <c r="BU1447" s="479"/>
      <c r="BV1447" s="479"/>
      <c r="BW1447" s="479"/>
      <c r="BX1447" s="479"/>
      <c r="BY1447" s="479"/>
      <c r="BZ1447" s="479"/>
      <c r="CA1447" s="479"/>
      <c r="CB1447" s="479"/>
      <c r="CC1447" s="479"/>
      <c r="CD1447" s="479"/>
      <c r="CE1447" s="479"/>
      <c r="CF1447" s="479"/>
      <c r="CG1447" s="479"/>
      <c r="CH1447" s="479"/>
      <c r="CI1447" s="479"/>
      <c r="CJ1447" s="479"/>
      <c r="CK1447" s="479"/>
      <c r="CL1447" s="479"/>
      <c r="CM1447" s="479"/>
      <c r="CN1447" s="479"/>
      <c r="CO1447" s="479"/>
      <c r="CP1447" s="479"/>
      <c r="CQ1447" s="479"/>
      <c r="CR1447" s="479"/>
      <c r="CS1447" s="479"/>
      <c r="CT1447" s="479"/>
      <c r="CU1447" s="479"/>
      <c r="CV1447" s="479"/>
      <c r="CW1447" s="479"/>
      <c r="CX1447" s="479"/>
      <c r="CY1447" s="479"/>
      <c r="CZ1447" s="479"/>
      <c r="DA1447" s="479"/>
      <c r="DB1447" s="479"/>
      <c r="DC1447" s="479"/>
      <c r="DD1447" s="479"/>
      <c r="DE1447" s="479"/>
      <c r="DF1447" s="479"/>
      <c r="DG1447" s="479"/>
      <c r="DH1447" s="479"/>
      <c r="DI1447" s="479"/>
      <c r="DJ1447" s="479"/>
      <c r="DK1447" s="479"/>
      <c r="DL1447" s="479"/>
      <c r="DM1447" s="479"/>
      <c r="DN1447" s="479"/>
      <c r="DO1447" s="479"/>
      <c r="DP1447" s="479"/>
      <c r="DQ1447" s="479"/>
      <c r="DR1447" s="479"/>
      <c r="DS1447" s="479"/>
      <c r="DT1447" s="479"/>
      <c r="DU1447" s="479"/>
      <c r="DV1447" s="479"/>
      <c r="DW1447" s="479"/>
      <c r="DX1447" s="479"/>
      <c r="DY1447" s="479"/>
      <c r="DZ1447" s="479"/>
      <c r="EA1447" s="479"/>
      <c r="EB1447" s="479"/>
      <c r="EC1447" s="479"/>
      <c r="ED1447" s="479"/>
      <c r="EE1447" s="479"/>
      <c r="EF1447" s="479"/>
      <c r="EG1447" s="479"/>
      <c r="EH1447" s="479"/>
      <c r="EI1447" s="479"/>
      <c r="EJ1447" s="479"/>
      <c r="EK1447" s="479"/>
      <c r="EL1447" s="479"/>
      <c r="EM1447" s="479"/>
      <c r="EN1447" s="479"/>
      <c r="EO1447" s="479"/>
      <c r="EP1447" s="479"/>
      <c r="EQ1447" s="479"/>
      <c r="ER1447" s="479"/>
      <c r="ES1447" s="479"/>
      <c r="ET1447" s="479"/>
      <c r="EU1447" s="479"/>
      <c r="EV1447" s="479"/>
      <c r="EW1447" s="479"/>
      <c r="EX1447" s="479"/>
      <c r="EY1447" s="479"/>
      <c r="EZ1447" s="479"/>
      <c r="FA1447" s="479"/>
      <c r="FB1447" s="479"/>
      <c r="FC1447" s="479"/>
      <c r="FD1447" s="479"/>
      <c r="FE1447" s="479"/>
      <c r="FF1447" s="479"/>
      <c r="FG1447" s="479"/>
      <c r="FH1447" s="479"/>
      <c r="FI1447" s="479"/>
      <c r="FJ1447" s="479"/>
      <c r="FK1447" s="479"/>
      <c r="FL1447" s="479"/>
      <c r="FM1447" s="479"/>
      <c r="FN1447" s="479"/>
      <c r="FO1447" s="479"/>
      <c r="FP1447" s="479"/>
      <c r="FQ1447" s="479"/>
      <c r="FR1447" s="479"/>
      <c r="FS1447" s="479"/>
      <c r="FT1447" s="479"/>
      <c r="FU1447" s="479"/>
      <c r="FV1447" s="479"/>
      <c r="FW1447" s="479"/>
      <c r="FX1447" s="479"/>
      <c r="FY1447" s="479"/>
      <c r="FZ1447" s="479"/>
      <c r="GA1447" s="479"/>
      <c r="GB1447" s="479"/>
      <c r="GC1447" s="479"/>
      <c r="GD1447" s="479"/>
      <c r="GE1447" s="479"/>
      <c r="GF1447" s="479"/>
      <c r="GG1447" s="479"/>
      <c r="GH1447" s="479"/>
      <c r="GI1447" s="479"/>
      <c r="GJ1447" s="479"/>
      <c r="GK1447" s="479"/>
      <c r="GL1447" s="479"/>
      <c r="GM1447" s="479"/>
      <c r="GN1447" s="479"/>
      <c r="GO1447" s="479"/>
      <c r="GP1447" s="479"/>
      <c r="GQ1447" s="479"/>
      <c r="GR1447" s="479"/>
      <c r="GS1447" s="479"/>
      <c r="GT1447" s="479"/>
      <c r="GU1447" s="479"/>
      <c r="GV1447" s="479"/>
      <c r="GW1447" s="479"/>
      <c r="GX1447" s="479"/>
      <c r="GY1447" s="479"/>
      <c r="GZ1447" s="479"/>
      <c r="HA1447" s="479"/>
      <c r="HB1447" s="479"/>
      <c r="HC1447" s="479"/>
      <c r="HD1447" s="479"/>
      <c r="HE1447" s="479"/>
      <c r="HF1447" s="479"/>
      <c r="HG1447" s="479"/>
      <c r="HH1447" s="479"/>
      <c r="HI1447" s="479"/>
      <c r="HJ1447" s="479"/>
      <c r="HK1447" s="479"/>
      <c r="HL1447" s="479"/>
      <c r="HM1447" s="479"/>
    </row>
    <row r="1448" spans="1:221" s="297" customFormat="1" ht="17">
      <c r="A1448" s="852" t="s">
        <v>7</v>
      </c>
      <c r="B1448" s="1299" t="s">
        <v>872</v>
      </c>
      <c r="C1448" s="1273" t="s">
        <v>873</v>
      </c>
      <c r="D1448" s="1274"/>
      <c r="E1448" s="1255">
        <v>62.5</v>
      </c>
      <c r="F1448" s="713" t="s">
        <v>1909</v>
      </c>
      <c r="G1448" s="713"/>
      <c r="H1448" s="713">
        <v>3.5</v>
      </c>
      <c r="I1448" s="714" t="s">
        <v>206</v>
      </c>
      <c r="J1448" s="1243" t="s">
        <v>876</v>
      </c>
      <c r="K1448" s="714"/>
      <c r="L1448" s="714">
        <v>102</v>
      </c>
      <c r="M1448" s="713">
        <v>39.5</v>
      </c>
      <c r="N1448" s="723">
        <v>3.5</v>
      </c>
      <c r="O1448" s="656"/>
      <c r="P1448" s="479"/>
      <c r="Q1448" s="479"/>
      <c r="R1448" s="479"/>
      <c r="S1448" s="479"/>
      <c r="T1448" s="479"/>
      <c r="U1448" s="479"/>
      <c r="V1448" s="479"/>
      <c r="W1448" s="479"/>
      <c r="X1448" s="479"/>
      <c r="Y1448" s="479"/>
      <c r="Z1448" s="479"/>
      <c r="AA1448" s="479"/>
      <c r="AB1448" s="479"/>
      <c r="AC1448" s="479"/>
      <c r="AD1448" s="479"/>
      <c r="AE1448" s="479"/>
      <c r="AF1448" s="479"/>
      <c r="AG1448" s="479"/>
      <c r="AH1448" s="479"/>
      <c r="AI1448" s="479"/>
      <c r="AJ1448" s="479"/>
      <c r="AK1448" s="479"/>
      <c r="AL1448" s="479"/>
      <c r="AM1448" s="479"/>
      <c r="AN1448" s="479"/>
      <c r="AO1448" s="479"/>
      <c r="AP1448" s="479"/>
      <c r="AQ1448" s="479"/>
      <c r="AR1448" s="479"/>
      <c r="AS1448" s="479"/>
      <c r="AT1448" s="479"/>
      <c r="AU1448" s="479"/>
      <c r="AV1448" s="479"/>
      <c r="AW1448" s="479"/>
      <c r="AX1448" s="479"/>
      <c r="AY1448" s="479"/>
      <c r="AZ1448" s="479"/>
      <c r="BA1448" s="479"/>
      <c r="BB1448" s="479"/>
      <c r="BC1448" s="479"/>
      <c r="BD1448" s="479"/>
      <c r="BE1448" s="479"/>
      <c r="BF1448" s="479"/>
      <c r="BG1448" s="479"/>
      <c r="BH1448" s="479"/>
      <c r="BI1448" s="479"/>
      <c r="BJ1448" s="479"/>
      <c r="BK1448" s="479"/>
      <c r="BL1448" s="479"/>
      <c r="BM1448" s="479"/>
      <c r="BN1448" s="479"/>
      <c r="BO1448" s="479"/>
      <c r="BP1448" s="479"/>
      <c r="BQ1448" s="479"/>
      <c r="BR1448" s="479"/>
      <c r="BS1448" s="479"/>
      <c r="BT1448" s="479"/>
      <c r="BU1448" s="479"/>
      <c r="BV1448" s="479"/>
      <c r="BW1448" s="479"/>
      <c r="BX1448" s="479"/>
      <c r="BY1448" s="479"/>
      <c r="BZ1448" s="479"/>
      <c r="CA1448" s="479"/>
      <c r="CB1448" s="479"/>
      <c r="CC1448" s="479"/>
      <c r="CD1448" s="479"/>
      <c r="CE1448" s="479"/>
      <c r="CF1448" s="479"/>
      <c r="CG1448" s="479"/>
      <c r="CH1448" s="479"/>
      <c r="CI1448" s="479"/>
      <c r="CJ1448" s="479"/>
      <c r="CK1448" s="479"/>
      <c r="CL1448" s="479"/>
      <c r="CM1448" s="479"/>
      <c r="CN1448" s="479"/>
      <c r="CO1448" s="479"/>
      <c r="CP1448" s="479"/>
      <c r="CQ1448" s="479"/>
      <c r="CR1448" s="479"/>
      <c r="CS1448" s="479"/>
      <c r="CT1448" s="479"/>
      <c r="CU1448" s="479"/>
      <c r="CV1448" s="479"/>
      <c r="CW1448" s="479"/>
      <c r="CX1448" s="479"/>
      <c r="CY1448" s="479"/>
      <c r="CZ1448" s="479"/>
      <c r="DA1448" s="479"/>
      <c r="DB1448" s="479"/>
      <c r="DC1448" s="479"/>
      <c r="DD1448" s="479"/>
      <c r="DE1448" s="479"/>
      <c r="DF1448" s="479"/>
      <c r="DG1448" s="479"/>
      <c r="DH1448" s="479"/>
      <c r="DI1448" s="479"/>
      <c r="DJ1448" s="479"/>
      <c r="DK1448" s="479"/>
      <c r="DL1448" s="479"/>
      <c r="DM1448" s="479"/>
      <c r="DN1448" s="479"/>
      <c r="DO1448" s="479"/>
      <c r="DP1448" s="479"/>
      <c r="DQ1448" s="479"/>
      <c r="DR1448" s="479"/>
      <c r="DS1448" s="479"/>
      <c r="DT1448" s="479"/>
      <c r="DU1448" s="479"/>
      <c r="DV1448" s="479"/>
      <c r="DW1448" s="479"/>
      <c r="DX1448" s="479"/>
      <c r="DY1448" s="479"/>
      <c r="DZ1448" s="479"/>
      <c r="EA1448" s="479"/>
      <c r="EB1448" s="479"/>
      <c r="EC1448" s="479"/>
      <c r="ED1448" s="479"/>
      <c r="EE1448" s="479"/>
      <c r="EF1448" s="479"/>
      <c r="EG1448" s="479"/>
      <c r="EH1448" s="479"/>
      <c r="EI1448" s="479"/>
      <c r="EJ1448" s="479"/>
      <c r="EK1448" s="479"/>
      <c r="EL1448" s="479"/>
      <c r="EM1448" s="479"/>
      <c r="EN1448" s="479"/>
      <c r="EO1448" s="479"/>
      <c r="EP1448" s="479"/>
      <c r="EQ1448" s="479"/>
      <c r="ER1448" s="479"/>
      <c r="ES1448" s="479"/>
      <c r="ET1448" s="479"/>
      <c r="EU1448" s="479"/>
      <c r="EV1448" s="479"/>
      <c r="EW1448" s="479"/>
      <c r="EX1448" s="479"/>
      <c r="EY1448" s="479"/>
      <c r="EZ1448" s="479"/>
      <c r="FA1448" s="479"/>
      <c r="FB1448" s="479"/>
      <c r="FC1448" s="479"/>
      <c r="FD1448" s="479"/>
      <c r="FE1448" s="479"/>
      <c r="FF1448" s="479"/>
      <c r="FG1448" s="479"/>
      <c r="FH1448" s="479"/>
      <c r="FI1448" s="479"/>
      <c r="FJ1448" s="479"/>
      <c r="FK1448" s="479"/>
      <c r="FL1448" s="479"/>
      <c r="FM1448" s="479"/>
      <c r="FN1448" s="479"/>
      <c r="FO1448" s="479"/>
      <c r="FP1448" s="479"/>
      <c r="FQ1448" s="479"/>
      <c r="FR1448" s="479"/>
      <c r="FS1448" s="479"/>
      <c r="FT1448" s="479"/>
      <c r="FU1448" s="479"/>
      <c r="FV1448" s="479"/>
      <c r="FW1448" s="479"/>
      <c r="FX1448" s="479"/>
      <c r="FY1448" s="479"/>
      <c r="FZ1448" s="479"/>
      <c r="GA1448" s="479"/>
      <c r="GB1448" s="479"/>
      <c r="GC1448" s="479"/>
      <c r="GD1448" s="479"/>
      <c r="GE1448" s="479"/>
      <c r="GF1448" s="479"/>
      <c r="GG1448" s="479"/>
      <c r="GH1448" s="479"/>
      <c r="GI1448" s="479"/>
      <c r="GJ1448" s="479"/>
      <c r="GK1448" s="479"/>
      <c r="GL1448" s="479"/>
      <c r="GM1448" s="479"/>
      <c r="GN1448" s="479"/>
      <c r="GO1448" s="479"/>
      <c r="GP1448" s="479"/>
      <c r="GQ1448" s="479"/>
      <c r="GR1448" s="479"/>
      <c r="GS1448" s="479"/>
      <c r="GT1448" s="479"/>
      <c r="GU1448" s="479"/>
      <c r="GV1448" s="479"/>
      <c r="GW1448" s="479"/>
      <c r="GX1448" s="479"/>
      <c r="GY1448" s="479"/>
      <c r="GZ1448" s="479"/>
      <c r="HA1448" s="479"/>
      <c r="HB1448" s="479"/>
      <c r="HC1448" s="479"/>
      <c r="HD1448" s="479"/>
      <c r="HE1448" s="479"/>
      <c r="HF1448" s="479"/>
      <c r="HG1448" s="479"/>
      <c r="HH1448" s="479"/>
      <c r="HI1448" s="479"/>
      <c r="HJ1448" s="479"/>
      <c r="HK1448" s="479"/>
      <c r="HL1448" s="479"/>
      <c r="HM1448" s="479"/>
    </row>
    <row r="1449" spans="1:221" s="297" customFormat="1">
      <c r="A1449" s="852" t="s">
        <v>324</v>
      </c>
      <c r="B1449" s="1272" t="s">
        <v>872</v>
      </c>
      <c r="C1449" s="1273" t="s">
        <v>873</v>
      </c>
      <c r="D1449" s="1274"/>
      <c r="E1449" s="1255">
        <v>55</v>
      </c>
      <c r="F1449" s="713" t="s">
        <v>1909</v>
      </c>
      <c r="G1449" s="713"/>
      <c r="H1449" s="713">
        <v>3.5</v>
      </c>
      <c r="I1449" s="714" t="s">
        <v>206</v>
      </c>
      <c r="J1449" s="1243" t="s">
        <v>876</v>
      </c>
      <c r="K1449" s="714"/>
      <c r="L1449" s="714">
        <v>89</v>
      </c>
      <c r="M1449" s="713">
        <v>34</v>
      </c>
      <c r="N1449" s="723">
        <v>3.5</v>
      </c>
      <c r="O1449" s="648"/>
      <c r="P1449" s="479"/>
      <c r="Q1449" s="479"/>
      <c r="R1449" s="479"/>
      <c r="S1449" s="479"/>
      <c r="T1449" s="479"/>
      <c r="U1449" s="479"/>
      <c r="V1449" s="479"/>
      <c r="W1449" s="479"/>
      <c r="X1449" s="479"/>
      <c r="Y1449" s="479"/>
      <c r="Z1449" s="479"/>
      <c r="AA1449" s="479"/>
      <c r="AB1449" s="479"/>
      <c r="AC1449" s="479"/>
      <c r="AD1449" s="479"/>
      <c r="AE1449" s="479"/>
      <c r="AF1449" s="479"/>
      <c r="AG1449" s="479"/>
      <c r="AH1449" s="479"/>
      <c r="AI1449" s="479"/>
      <c r="AJ1449" s="479"/>
      <c r="AK1449" s="479"/>
      <c r="AL1449" s="479"/>
      <c r="AM1449" s="479"/>
      <c r="AN1449" s="479"/>
      <c r="AO1449" s="479"/>
      <c r="AP1449" s="479"/>
      <c r="AQ1449" s="479"/>
      <c r="AR1449" s="479"/>
      <c r="AS1449" s="479"/>
      <c r="AT1449" s="479"/>
      <c r="AU1449" s="479"/>
      <c r="AV1449" s="479"/>
      <c r="AW1449" s="479"/>
      <c r="AX1449" s="479"/>
      <c r="AY1449" s="479"/>
      <c r="AZ1449" s="479"/>
      <c r="BA1449" s="479"/>
      <c r="BB1449" s="479"/>
      <c r="BC1449" s="479"/>
      <c r="BD1449" s="479"/>
      <c r="BE1449" s="479"/>
      <c r="BF1449" s="479"/>
      <c r="BG1449" s="479"/>
      <c r="BH1449" s="479"/>
      <c r="BI1449" s="479"/>
      <c r="BJ1449" s="479"/>
      <c r="BK1449" s="479"/>
      <c r="BL1449" s="479"/>
      <c r="BM1449" s="479"/>
      <c r="BN1449" s="479"/>
      <c r="BO1449" s="479"/>
      <c r="BP1449" s="479"/>
      <c r="BQ1449" s="479"/>
      <c r="BR1449" s="479"/>
      <c r="BS1449" s="479"/>
      <c r="BT1449" s="479"/>
      <c r="BU1449" s="479"/>
      <c r="BV1449" s="479"/>
      <c r="BW1449" s="479"/>
      <c r="BX1449" s="479"/>
      <c r="BY1449" s="479"/>
      <c r="BZ1449" s="479"/>
      <c r="CA1449" s="479"/>
      <c r="CB1449" s="479"/>
      <c r="CC1449" s="479"/>
      <c r="CD1449" s="479"/>
      <c r="CE1449" s="479"/>
      <c r="CF1449" s="479"/>
      <c r="CG1449" s="479"/>
      <c r="CH1449" s="479"/>
      <c r="CI1449" s="479"/>
      <c r="CJ1449" s="479"/>
      <c r="CK1449" s="479"/>
      <c r="CL1449" s="479"/>
      <c r="CM1449" s="479"/>
      <c r="CN1449" s="479"/>
      <c r="CO1449" s="479"/>
      <c r="CP1449" s="479"/>
      <c r="CQ1449" s="479"/>
      <c r="CR1449" s="479"/>
      <c r="CS1449" s="479"/>
      <c r="CT1449" s="479"/>
      <c r="CU1449" s="479"/>
      <c r="CV1449" s="479"/>
      <c r="CW1449" s="479"/>
      <c r="CX1449" s="479"/>
      <c r="CY1449" s="479"/>
      <c r="CZ1449" s="479"/>
      <c r="DA1449" s="479"/>
      <c r="DB1449" s="479"/>
      <c r="DC1449" s="479"/>
      <c r="DD1449" s="479"/>
      <c r="DE1449" s="479"/>
      <c r="DF1449" s="479"/>
      <c r="DG1449" s="479"/>
      <c r="DH1449" s="479"/>
      <c r="DI1449" s="479"/>
      <c r="DJ1449" s="479"/>
      <c r="DK1449" s="479"/>
      <c r="DL1449" s="479"/>
      <c r="DM1449" s="479"/>
      <c r="DN1449" s="479"/>
      <c r="DO1449" s="479"/>
      <c r="DP1449" s="479"/>
      <c r="DQ1449" s="479"/>
      <c r="DR1449" s="479"/>
      <c r="DS1449" s="479"/>
      <c r="DT1449" s="479"/>
      <c r="DU1449" s="479"/>
      <c r="DV1449" s="479"/>
      <c r="DW1449" s="479"/>
      <c r="DX1449" s="479"/>
      <c r="DY1449" s="479"/>
      <c r="DZ1449" s="479"/>
      <c r="EA1449" s="479"/>
      <c r="EB1449" s="479"/>
      <c r="EC1449" s="479"/>
      <c r="ED1449" s="479"/>
      <c r="EE1449" s="479"/>
      <c r="EF1449" s="479"/>
      <c r="EG1449" s="479"/>
      <c r="EH1449" s="479"/>
      <c r="EI1449" s="479"/>
      <c r="EJ1449" s="479"/>
      <c r="EK1449" s="479"/>
      <c r="EL1449" s="479"/>
      <c r="EM1449" s="479"/>
      <c r="EN1449" s="479"/>
      <c r="EO1449" s="479"/>
      <c r="EP1449" s="479"/>
      <c r="EQ1449" s="479"/>
      <c r="ER1449" s="479"/>
      <c r="ES1449" s="479"/>
      <c r="ET1449" s="479"/>
      <c r="EU1449" s="479"/>
      <c r="EV1449" s="479"/>
      <c r="EW1449" s="479"/>
      <c r="EX1449" s="479"/>
      <c r="EY1449" s="479"/>
      <c r="EZ1449" s="479"/>
      <c r="FA1449" s="479"/>
      <c r="FB1449" s="479"/>
      <c r="FC1449" s="479"/>
      <c r="FD1449" s="479"/>
      <c r="FE1449" s="479"/>
      <c r="FF1449" s="479"/>
      <c r="FG1449" s="479"/>
      <c r="FH1449" s="479"/>
      <c r="FI1449" s="479"/>
      <c r="FJ1449" s="479"/>
      <c r="FK1449" s="479"/>
      <c r="FL1449" s="479"/>
      <c r="FM1449" s="479"/>
      <c r="FN1449" s="479"/>
      <c r="FO1449" s="479"/>
      <c r="FP1449" s="479"/>
      <c r="FQ1449" s="479"/>
      <c r="FR1449" s="479"/>
      <c r="FS1449" s="479"/>
      <c r="FT1449" s="479"/>
      <c r="FU1449" s="479"/>
      <c r="FV1449" s="479"/>
      <c r="FW1449" s="479"/>
      <c r="FX1449" s="479"/>
      <c r="FY1449" s="479"/>
      <c r="FZ1449" s="479"/>
      <c r="GA1449" s="479"/>
      <c r="GB1449" s="479"/>
      <c r="GC1449" s="479"/>
      <c r="GD1449" s="479"/>
      <c r="GE1449" s="479"/>
      <c r="GF1449" s="479"/>
      <c r="GG1449" s="479"/>
      <c r="GH1449" s="479"/>
      <c r="GI1449" s="479"/>
      <c r="GJ1449" s="479"/>
      <c r="GK1449" s="479"/>
      <c r="GL1449" s="479"/>
      <c r="GM1449" s="479"/>
      <c r="GN1449" s="479"/>
      <c r="GO1449" s="479"/>
      <c r="GP1449" s="479"/>
      <c r="GQ1449" s="479"/>
      <c r="GR1449" s="479"/>
      <c r="GS1449" s="479"/>
      <c r="GT1449" s="479"/>
      <c r="GU1449" s="479"/>
      <c r="GV1449" s="479"/>
      <c r="GW1449" s="479"/>
      <c r="GX1449" s="479"/>
      <c r="GY1449" s="479"/>
      <c r="GZ1449" s="479"/>
      <c r="HA1449" s="479"/>
      <c r="HB1449" s="479"/>
      <c r="HC1449" s="479"/>
      <c r="HD1449" s="479"/>
      <c r="HE1449" s="479"/>
      <c r="HF1449" s="479"/>
      <c r="HG1449" s="479"/>
      <c r="HH1449" s="479"/>
      <c r="HI1449" s="479"/>
      <c r="HJ1449" s="479"/>
      <c r="HK1449" s="479"/>
      <c r="HL1449" s="479"/>
      <c r="HM1449" s="479"/>
    </row>
    <row r="1450" spans="1:221" s="487" customFormat="1">
      <c r="A1450" s="852"/>
      <c r="B1450" s="1272" t="s">
        <v>872</v>
      </c>
      <c r="C1450" s="1273" t="s">
        <v>52</v>
      </c>
      <c r="D1450" s="1274"/>
      <c r="E1450" s="1255">
        <v>82.5</v>
      </c>
      <c r="F1450" s="713" t="s">
        <v>1909</v>
      </c>
      <c r="G1450" s="713"/>
      <c r="H1450" s="713">
        <v>3.5</v>
      </c>
      <c r="I1450" s="714" t="s">
        <v>206</v>
      </c>
      <c r="J1450" s="1243" t="s">
        <v>876</v>
      </c>
      <c r="K1450" s="714"/>
      <c r="L1450" s="714">
        <v>107</v>
      </c>
      <c r="M1450" s="713">
        <v>24.5</v>
      </c>
      <c r="N1450" s="723">
        <v>3.5</v>
      </c>
      <c r="O1450" s="480"/>
      <c r="P1450" s="297"/>
      <c r="Q1450" s="297"/>
      <c r="R1450" s="297"/>
      <c r="S1450" s="297"/>
      <c r="T1450" s="297"/>
      <c r="U1450" s="297"/>
      <c r="V1450" s="297"/>
      <c r="W1450" s="297"/>
      <c r="X1450" s="297"/>
      <c r="Y1450" s="297"/>
      <c r="Z1450" s="297"/>
      <c r="AA1450" s="297"/>
      <c r="AB1450" s="297"/>
      <c r="AC1450" s="297"/>
      <c r="AD1450" s="297"/>
      <c r="AE1450" s="297"/>
      <c r="AF1450" s="297"/>
      <c r="AG1450" s="297"/>
      <c r="AH1450" s="297"/>
      <c r="AI1450" s="297"/>
      <c r="AJ1450" s="297"/>
      <c r="AK1450" s="297"/>
      <c r="AL1450" s="297"/>
      <c r="AM1450" s="297"/>
      <c r="AN1450" s="297"/>
      <c r="AO1450" s="297"/>
      <c r="AP1450" s="297"/>
      <c r="AQ1450" s="297"/>
      <c r="AR1450" s="297"/>
      <c r="AS1450" s="297"/>
      <c r="AT1450" s="297"/>
      <c r="AU1450" s="297"/>
      <c r="AV1450" s="297"/>
      <c r="AW1450" s="297"/>
      <c r="AX1450" s="297"/>
      <c r="AY1450" s="297"/>
      <c r="AZ1450" s="297"/>
      <c r="BA1450" s="297"/>
      <c r="BB1450" s="297"/>
      <c r="BC1450" s="297"/>
      <c r="BD1450" s="297"/>
      <c r="BE1450" s="297"/>
      <c r="BF1450" s="297"/>
      <c r="BG1450" s="297"/>
      <c r="BH1450" s="297"/>
      <c r="BI1450" s="297"/>
      <c r="BJ1450" s="297"/>
      <c r="BK1450" s="297"/>
      <c r="BL1450" s="297"/>
      <c r="BM1450" s="297"/>
      <c r="BN1450" s="297"/>
      <c r="BO1450" s="297"/>
      <c r="BP1450" s="297"/>
      <c r="BQ1450" s="297"/>
      <c r="BR1450" s="297"/>
      <c r="BS1450" s="297"/>
      <c r="BT1450" s="297"/>
      <c r="BU1450" s="297"/>
      <c r="BV1450" s="297"/>
      <c r="BW1450" s="297"/>
      <c r="BX1450" s="297"/>
      <c r="BY1450" s="297"/>
      <c r="BZ1450" s="297"/>
      <c r="CA1450" s="297"/>
      <c r="CB1450" s="297"/>
      <c r="CC1450" s="297"/>
      <c r="CD1450" s="297"/>
      <c r="CE1450" s="297"/>
      <c r="CF1450" s="297"/>
      <c r="CG1450" s="297"/>
      <c r="CH1450" s="297"/>
      <c r="CI1450" s="297"/>
      <c r="CJ1450" s="297"/>
      <c r="CK1450" s="297"/>
      <c r="CL1450" s="297"/>
      <c r="CM1450" s="297"/>
      <c r="CN1450" s="297"/>
      <c r="CO1450" s="297"/>
      <c r="CP1450" s="297"/>
      <c r="CQ1450" s="297"/>
      <c r="CR1450" s="297"/>
      <c r="CS1450" s="297"/>
      <c r="CT1450" s="297"/>
      <c r="CU1450" s="297"/>
      <c r="CV1450" s="297"/>
      <c r="CW1450" s="297"/>
      <c r="CX1450" s="297"/>
      <c r="CY1450" s="297"/>
      <c r="CZ1450" s="297"/>
      <c r="DA1450" s="297"/>
      <c r="DB1450" s="297"/>
      <c r="DC1450" s="297"/>
      <c r="DD1450" s="297"/>
      <c r="DE1450" s="297"/>
      <c r="DF1450" s="297"/>
      <c r="DG1450" s="297"/>
      <c r="DH1450" s="297"/>
      <c r="DI1450" s="297"/>
      <c r="DJ1450" s="297"/>
      <c r="DK1450" s="297"/>
      <c r="DL1450" s="297"/>
      <c r="DM1450" s="297"/>
      <c r="DN1450" s="297"/>
      <c r="DO1450" s="297"/>
      <c r="DP1450" s="297"/>
      <c r="DQ1450" s="297"/>
      <c r="DR1450" s="297"/>
      <c r="DS1450" s="297"/>
      <c r="DT1450" s="297"/>
      <c r="DU1450" s="297"/>
      <c r="DV1450" s="297"/>
      <c r="DW1450" s="297"/>
      <c r="DX1450" s="297"/>
      <c r="DY1450" s="297"/>
      <c r="DZ1450" s="297"/>
      <c r="EA1450" s="297"/>
      <c r="EB1450" s="297"/>
      <c r="EC1450" s="297"/>
      <c r="ED1450" s="297"/>
      <c r="EE1450" s="297"/>
      <c r="EF1450" s="297"/>
      <c r="EG1450" s="297"/>
      <c r="EH1450" s="297"/>
      <c r="EI1450" s="297"/>
      <c r="EJ1450" s="297"/>
      <c r="EK1450" s="297"/>
      <c r="EL1450" s="297"/>
      <c r="EM1450" s="297"/>
      <c r="EN1450" s="297"/>
      <c r="EO1450" s="297"/>
      <c r="EP1450" s="297"/>
      <c r="EQ1450" s="297"/>
      <c r="ER1450" s="297"/>
      <c r="ES1450" s="297"/>
      <c r="ET1450" s="297"/>
      <c r="EU1450" s="297"/>
      <c r="EV1450" s="297"/>
      <c r="EW1450" s="297"/>
      <c r="EX1450" s="297"/>
      <c r="EY1450" s="297"/>
      <c r="EZ1450" s="297"/>
      <c r="FA1450" s="297"/>
      <c r="FB1450" s="297"/>
      <c r="FC1450" s="297"/>
      <c r="FD1450" s="297"/>
      <c r="FE1450" s="297"/>
      <c r="FF1450" s="297"/>
      <c r="FG1450" s="297"/>
      <c r="FH1450" s="297"/>
      <c r="FI1450" s="297"/>
      <c r="FJ1450" s="297"/>
      <c r="FK1450" s="297"/>
      <c r="FL1450" s="297"/>
      <c r="FM1450" s="297"/>
      <c r="FN1450" s="297"/>
      <c r="FO1450" s="297"/>
      <c r="FP1450" s="297"/>
      <c r="FQ1450" s="297"/>
      <c r="FR1450" s="297"/>
      <c r="FS1450" s="297"/>
      <c r="FT1450" s="297"/>
      <c r="FU1450" s="297"/>
      <c r="FV1450" s="297"/>
      <c r="FW1450" s="297"/>
      <c r="FX1450" s="297"/>
      <c r="FY1450" s="297"/>
      <c r="FZ1450" s="297"/>
      <c r="GA1450" s="297"/>
      <c r="GB1450" s="297"/>
      <c r="GC1450" s="297"/>
      <c r="GD1450" s="297"/>
      <c r="GE1450" s="297"/>
      <c r="GF1450" s="297"/>
      <c r="GG1450" s="297"/>
      <c r="GH1450" s="297"/>
      <c r="GI1450" s="297"/>
      <c r="GJ1450" s="297"/>
      <c r="GK1450" s="297"/>
      <c r="GL1450" s="297"/>
      <c r="GM1450" s="297"/>
      <c r="GN1450" s="297"/>
      <c r="GO1450" s="297"/>
      <c r="GP1450" s="297"/>
      <c r="GQ1450" s="297"/>
      <c r="GR1450" s="297"/>
      <c r="GS1450" s="297"/>
      <c r="GT1450" s="297"/>
      <c r="GU1450" s="297"/>
      <c r="GV1450" s="297"/>
      <c r="GW1450" s="297"/>
      <c r="GX1450" s="297"/>
      <c r="GY1450" s="297"/>
      <c r="GZ1450" s="297"/>
      <c r="HA1450" s="297"/>
      <c r="HB1450" s="297"/>
      <c r="HC1450" s="297"/>
      <c r="HD1450" s="297"/>
      <c r="HE1450" s="297"/>
      <c r="HF1450" s="297"/>
      <c r="HG1450" s="297"/>
      <c r="HH1450" s="297"/>
      <c r="HI1450" s="297"/>
      <c r="HJ1450" s="297"/>
      <c r="HK1450" s="297"/>
      <c r="HL1450" s="297"/>
      <c r="HM1450" s="297"/>
    </row>
    <row r="1451" spans="1:221" s="479" customFormat="1">
      <c r="A1451" s="852" t="s">
        <v>324</v>
      </c>
      <c r="B1451" s="1272" t="s">
        <v>872</v>
      </c>
      <c r="C1451" s="1273" t="s">
        <v>52</v>
      </c>
      <c r="D1451" s="1274"/>
      <c r="E1451" s="1255">
        <v>60</v>
      </c>
      <c r="F1451" s="713" t="s">
        <v>1909</v>
      </c>
      <c r="G1451" s="713"/>
      <c r="H1451" s="713">
        <v>3.5</v>
      </c>
      <c r="I1451" s="714" t="s">
        <v>206</v>
      </c>
      <c r="J1451" s="1243" t="s">
        <v>876</v>
      </c>
      <c r="K1451" s="714"/>
      <c r="L1451" s="714">
        <v>85</v>
      </c>
      <c r="M1451" s="713">
        <v>25</v>
      </c>
      <c r="N1451" s="723">
        <v>3.5</v>
      </c>
      <c r="O1451" s="480"/>
      <c r="P1451" s="297"/>
      <c r="Q1451" s="297"/>
      <c r="R1451" s="297"/>
      <c r="S1451" s="297"/>
      <c r="T1451" s="297"/>
      <c r="U1451" s="297"/>
      <c r="V1451" s="297"/>
      <c r="W1451" s="297"/>
      <c r="X1451" s="297"/>
      <c r="Y1451" s="297"/>
      <c r="Z1451" s="297"/>
      <c r="AA1451" s="297"/>
      <c r="AB1451" s="297"/>
      <c r="AC1451" s="297"/>
      <c r="AD1451" s="297"/>
      <c r="AE1451" s="297"/>
      <c r="AF1451" s="297"/>
      <c r="AG1451" s="297"/>
      <c r="AH1451" s="297"/>
      <c r="AI1451" s="297"/>
      <c r="AJ1451" s="297"/>
      <c r="AK1451" s="297"/>
      <c r="AL1451" s="297"/>
      <c r="AM1451" s="297"/>
      <c r="AN1451" s="297"/>
      <c r="AO1451" s="297"/>
      <c r="AP1451" s="297"/>
      <c r="AQ1451" s="297"/>
      <c r="AR1451" s="297"/>
      <c r="AS1451" s="297"/>
      <c r="AT1451" s="297"/>
      <c r="AU1451" s="297"/>
      <c r="AV1451" s="297"/>
      <c r="AW1451" s="297"/>
      <c r="AX1451" s="297"/>
      <c r="AY1451" s="297"/>
      <c r="AZ1451" s="297"/>
      <c r="BA1451" s="297"/>
      <c r="BB1451" s="297"/>
      <c r="BC1451" s="297"/>
      <c r="BD1451" s="297"/>
      <c r="BE1451" s="297"/>
      <c r="BF1451" s="297"/>
      <c r="BG1451" s="297"/>
      <c r="BH1451" s="297"/>
      <c r="BI1451" s="297"/>
      <c r="BJ1451" s="297"/>
      <c r="BK1451" s="297"/>
      <c r="BL1451" s="297"/>
      <c r="BM1451" s="297"/>
      <c r="BN1451" s="297"/>
      <c r="BO1451" s="297"/>
      <c r="BP1451" s="297"/>
      <c r="BQ1451" s="297"/>
      <c r="BR1451" s="297"/>
      <c r="BS1451" s="297"/>
      <c r="BT1451" s="297"/>
      <c r="BU1451" s="297"/>
      <c r="BV1451" s="297"/>
      <c r="BW1451" s="297"/>
      <c r="BX1451" s="297"/>
      <c r="BY1451" s="297"/>
      <c r="BZ1451" s="297"/>
      <c r="CA1451" s="297"/>
      <c r="CB1451" s="297"/>
      <c r="CC1451" s="297"/>
      <c r="CD1451" s="297"/>
      <c r="CE1451" s="297"/>
      <c r="CF1451" s="297"/>
      <c r="CG1451" s="297"/>
      <c r="CH1451" s="297"/>
      <c r="CI1451" s="297"/>
      <c r="CJ1451" s="297"/>
      <c r="CK1451" s="297"/>
      <c r="CL1451" s="297"/>
      <c r="CM1451" s="297"/>
      <c r="CN1451" s="297"/>
      <c r="CO1451" s="297"/>
      <c r="CP1451" s="297"/>
      <c r="CQ1451" s="297"/>
      <c r="CR1451" s="297"/>
      <c r="CS1451" s="297"/>
      <c r="CT1451" s="297"/>
      <c r="CU1451" s="297"/>
      <c r="CV1451" s="297"/>
      <c r="CW1451" s="297"/>
      <c r="CX1451" s="297"/>
      <c r="CY1451" s="297"/>
      <c r="CZ1451" s="297"/>
      <c r="DA1451" s="297"/>
      <c r="DB1451" s="297"/>
      <c r="DC1451" s="297"/>
      <c r="DD1451" s="297"/>
      <c r="DE1451" s="297"/>
      <c r="DF1451" s="297"/>
      <c r="DG1451" s="297"/>
      <c r="DH1451" s="297"/>
      <c r="DI1451" s="297"/>
      <c r="DJ1451" s="297"/>
      <c r="DK1451" s="297"/>
      <c r="DL1451" s="297"/>
      <c r="DM1451" s="297"/>
      <c r="DN1451" s="297"/>
      <c r="DO1451" s="297"/>
      <c r="DP1451" s="297"/>
      <c r="DQ1451" s="297"/>
      <c r="DR1451" s="297"/>
      <c r="DS1451" s="297"/>
      <c r="DT1451" s="297"/>
      <c r="DU1451" s="297"/>
      <c r="DV1451" s="297"/>
      <c r="DW1451" s="297"/>
      <c r="DX1451" s="297"/>
      <c r="DY1451" s="297"/>
      <c r="DZ1451" s="297"/>
      <c r="EA1451" s="297"/>
      <c r="EB1451" s="297"/>
      <c r="EC1451" s="297"/>
      <c r="ED1451" s="297"/>
      <c r="EE1451" s="297"/>
      <c r="EF1451" s="297"/>
      <c r="EG1451" s="297"/>
      <c r="EH1451" s="297"/>
      <c r="EI1451" s="297"/>
      <c r="EJ1451" s="297"/>
      <c r="EK1451" s="297"/>
      <c r="EL1451" s="297"/>
      <c r="EM1451" s="297"/>
      <c r="EN1451" s="297"/>
      <c r="EO1451" s="297"/>
      <c r="EP1451" s="297"/>
      <c r="EQ1451" s="297"/>
      <c r="ER1451" s="297"/>
      <c r="ES1451" s="297"/>
      <c r="ET1451" s="297"/>
      <c r="EU1451" s="297"/>
      <c r="EV1451" s="297"/>
      <c r="EW1451" s="297"/>
      <c r="EX1451" s="297"/>
      <c r="EY1451" s="297"/>
      <c r="EZ1451" s="297"/>
      <c r="FA1451" s="297"/>
      <c r="FB1451" s="297"/>
      <c r="FC1451" s="297"/>
      <c r="FD1451" s="297"/>
      <c r="FE1451" s="297"/>
      <c r="FF1451" s="297"/>
      <c r="FG1451" s="297"/>
      <c r="FH1451" s="297"/>
      <c r="FI1451" s="297"/>
      <c r="FJ1451" s="297"/>
      <c r="FK1451" s="297"/>
      <c r="FL1451" s="297"/>
      <c r="FM1451" s="297"/>
      <c r="FN1451" s="297"/>
      <c r="FO1451" s="297"/>
      <c r="FP1451" s="297"/>
      <c r="FQ1451" s="297"/>
      <c r="FR1451" s="297"/>
      <c r="FS1451" s="297"/>
      <c r="FT1451" s="297"/>
      <c r="FU1451" s="297"/>
      <c r="FV1451" s="297"/>
      <c r="FW1451" s="297"/>
      <c r="FX1451" s="297"/>
      <c r="FY1451" s="297"/>
      <c r="FZ1451" s="297"/>
      <c r="GA1451" s="297"/>
      <c r="GB1451" s="297"/>
      <c r="GC1451" s="297"/>
      <c r="GD1451" s="297"/>
      <c r="GE1451" s="297"/>
      <c r="GF1451" s="297"/>
      <c r="GG1451" s="297"/>
      <c r="GH1451" s="297"/>
      <c r="GI1451" s="297"/>
      <c r="GJ1451" s="297"/>
      <c r="GK1451" s="297"/>
      <c r="GL1451" s="297"/>
      <c r="GM1451" s="297"/>
      <c r="GN1451" s="297"/>
      <c r="GO1451" s="297"/>
      <c r="GP1451" s="297"/>
      <c r="GQ1451" s="297"/>
      <c r="GR1451" s="297"/>
      <c r="GS1451" s="297"/>
      <c r="GT1451" s="297"/>
      <c r="GU1451" s="297"/>
      <c r="GV1451" s="297"/>
      <c r="GW1451" s="297"/>
      <c r="GX1451" s="297"/>
      <c r="GY1451" s="297"/>
      <c r="GZ1451" s="297"/>
      <c r="HA1451" s="297"/>
      <c r="HB1451" s="297"/>
      <c r="HC1451" s="297"/>
      <c r="HD1451" s="297"/>
      <c r="HE1451" s="297"/>
      <c r="HF1451" s="297"/>
      <c r="HG1451" s="297"/>
      <c r="HH1451" s="297"/>
      <c r="HI1451" s="297"/>
      <c r="HJ1451" s="297"/>
      <c r="HK1451" s="297"/>
      <c r="HL1451" s="297"/>
      <c r="HM1451" s="297"/>
    </row>
    <row r="1452" spans="1:221" s="479" customFormat="1">
      <c r="A1452" s="852"/>
      <c r="B1452" s="1272" t="s">
        <v>872</v>
      </c>
      <c r="C1452" s="1273" t="s">
        <v>874</v>
      </c>
      <c r="D1452" s="1274"/>
      <c r="E1452" s="1255">
        <v>54</v>
      </c>
      <c r="F1452" s="713" t="s">
        <v>1909</v>
      </c>
      <c r="G1452" s="713"/>
      <c r="H1452" s="713">
        <v>3.5</v>
      </c>
      <c r="I1452" s="714" t="s">
        <v>206</v>
      </c>
      <c r="J1452" s="1243" t="s">
        <v>876</v>
      </c>
      <c r="K1452" s="714"/>
      <c r="L1452" s="714">
        <v>90</v>
      </c>
      <c r="M1452" s="713">
        <v>46</v>
      </c>
      <c r="N1452" s="723">
        <v>3.5</v>
      </c>
      <c r="O1452" s="480"/>
      <c r="P1452" s="297"/>
      <c r="Q1452" s="297"/>
      <c r="R1452" s="297"/>
      <c r="S1452" s="297"/>
      <c r="T1452" s="297"/>
      <c r="U1452" s="297"/>
      <c r="V1452" s="297"/>
      <c r="W1452" s="297"/>
      <c r="X1452" s="297"/>
      <c r="Y1452" s="297"/>
      <c r="Z1452" s="297"/>
      <c r="AA1452" s="297"/>
      <c r="AB1452" s="297"/>
      <c r="AC1452" s="297"/>
      <c r="AD1452" s="297"/>
      <c r="AE1452" s="297"/>
      <c r="AF1452" s="297"/>
      <c r="AG1452" s="297"/>
      <c r="AH1452" s="297"/>
      <c r="AI1452" s="297"/>
      <c r="AJ1452" s="297"/>
      <c r="AK1452" s="297"/>
      <c r="AL1452" s="297"/>
      <c r="AM1452" s="297"/>
      <c r="AN1452" s="297"/>
      <c r="AO1452" s="297"/>
      <c r="AP1452" s="297"/>
      <c r="AQ1452" s="297"/>
      <c r="AR1452" s="297"/>
      <c r="AS1452" s="297"/>
      <c r="AT1452" s="297"/>
      <c r="AU1452" s="297"/>
      <c r="AV1452" s="297"/>
      <c r="AW1452" s="297"/>
      <c r="AX1452" s="297"/>
      <c r="AY1452" s="297"/>
      <c r="AZ1452" s="297"/>
      <c r="BA1452" s="297"/>
      <c r="BB1452" s="297"/>
      <c r="BC1452" s="297"/>
      <c r="BD1452" s="297"/>
      <c r="BE1452" s="297"/>
      <c r="BF1452" s="297"/>
      <c r="BG1452" s="297"/>
      <c r="BH1452" s="297"/>
      <c r="BI1452" s="297"/>
      <c r="BJ1452" s="297"/>
      <c r="BK1452" s="297"/>
      <c r="BL1452" s="297"/>
      <c r="BM1452" s="297"/>
      <c r="BN1452" s="297"/>
      <c r="BO1452" s="297"/>
      <c r="BP1452" s="297"/>
      <c r="BQ1452" s="297"/>
      <c r="BR1452" s="297"/>
      <c r="BS1452" s="297"/>
      <c r="BT1452" s="297"/>
      <c r="BU1452" s="297"/>
      <c r="BV1452" s="297"/>
      <c r="BW1452" s="297"/>
      <c r="BX1452" s="297"/>
      <c r="BY1452" s="297"/>
      <c r="BZ1452" s="297"/>
      <c r="CA1452" s="297"/>
      <c r="CB1452" s="297"/>
      <c r="CC1452" s="297"/>
      <c r="CD1452" s="297"/>
      <c r="CE1452" s="297"/>
      <c r="CF1452" s="297"/>
      <c r="CG1452" s="297"/>
      <c r="CH1452" s="297"/>
      <c r="CI1452" s="297"/>
      <c r="CJ1452" s="297"/>
      <c r="CK1452" s="297"/>
      <c r="CL1452" s="297"/>
      <c r="CM1452" s="297"/>
      <c r="CN1452" s="297"/>
      <c r="CO1452" s="297"/>
      <c r="CP1452" s="297"/>
      <c r="CQ1452" s="297"/>
      <c r="CR1452" s="297"/>
      <c r="CS1452" s="297"/>
      <c r="CT1452" s="297"/>
      <c r="CU1452" s="297"/>
      <c r="CV1452" s="297"/>
      <c r="CW1452" s="297"/>
      <c r="CX1452" s="297"/>
      <c r="CY1452" s="297"/>
      <c r="CZ1452" s="297"/>
      <c r="DA1452" s="297"/>
      <c r="DB1452" s="297"/>
      <c r="DC1452" s="297"/>
      <c r="DD1452" s="297"/>
      <c r="DE1452" s="297"/>
      <c r="DF1452" s="297"/>
      <c r="DG1452" s="297"/>
      <c r="DH1452" s="297"/>
      <c r="DI1452" s="297"/>
      <c r="DJ1452" s="297"/>
      <c r="DK1452" s="297"/>
      <c r="DL1452" s="297"/>
      <c r="DM1452" s="297"/>
      <c r="DN1452" s="297"/>
      <c r="DO1452" s="297"/>
      <c r="DP1452" s="297"/>
      <c r="DQ1452" s="297"/>
      <c r="DR1452" s="297"/>
      <c r="DS1452" s="297"/>
      <c r="DT1452" s="297"/>
      <c r="DU1452" s="297"/>
      <c r="DV1452" s="297"/>
      <c r="DW1452" s="297"/>
      <c r="DX1452" s="297"/>
      <c r="DY1452" s="297"/>
      <c r="DZ1452" s="297"/>
      <c r="EA1452" s="297"/>
      <c r="EB1452" s="297"/>
      <c r="EC1452" s="297"/>
      <c r="ED1452" s="297"/>
      <c r="EE1452" s="297"/>
      <c r="EF1452" s="297"/>
      <c r="EG1452" s="297"/>
      <c r="EH1452" s="297"/>
      <c r="EI1452" s="297"/>
      <c r="EJ1452" s="297"/>
      <c r="EK1452" s="297"/>
      <c r="EL1452" s="297"/>
      <c r="EM1452" s="297"/>
      <c r="EN1452" s="297"/>
      <c r="EO1452" s="297"/>
      <c r="EP1452" s="297"/>
      <c r="EQ1452" s="297"/>
      <c r="ER1452" s="297"/>
      <c r="ES1452" s="297"/>
      <c r="ET1452" s="297"/>
      <c r="EU1452" s="297"/>
      <c r="EV1452" s="297"/>
      <c r="EW1452" s="297"/>
      <c r="EX1452" s="297"/>
      <c r="EY1452" s="297"/>
      <c r="EZ1452" s="297"/>
      <c r="FA1452" s="297"/>
      <c r="FB1452" s="297"/>
      <c r="FC1452" s="297"/>
      <c r="FD1452" s="297"/>
      <c r="FE1452" s="297"/>
      <c r="FF1452" s="297"/>
      <c r="FG1452" s="297"/>
      <c r="FH1452" s="297"/>
      <c r="FI1452" s="297"/>
      <c r="FJ1452" s="297"/>
      <c r="FK1452" s="297"/>
      <c r="FL1452" s="297"/>
      <c r="FM1452" s="297"/>
      <c r="FN1452" s="297"/>
      <c r="FO1452" s="297"/>
      <c r="FP1452" s="297"/>
      <c r="FQ1452" s="297"/>
      <c r="FR1452" s="297"/>
      <c r="FS1452" s="297"/>
      <c r="FT1452" s="297"/>
      <c r="FU1452" s="297"/>
      <c r="FV1452" s="297"/>
      <c r="FW1452" s="297"/>
      <c r="FX1452" s="297"/>
      <c r="FY1452" s="297"/>
      <c r="FZ1452" s="297"/>
      <c r="GA1452" s="297"/>
      <c r="GB1452" s="297"/>
      <c r="GC1452" s="297"/>
      <c r="GD1452" s="297"/>
      <c r="GE1452" s="297"/>
      <c r="GF1452" s="297"/>
      <c r="GG1452" s="297"/>
      <c r="GH1452" s="297"/>
      <c r="GI1452" s="297"/>
      <c r="GJ1452" s="297"/>
      <c r="GK1452" s="297"/>
      <c r="GL1452" s="297"/>
      <c r="GM1452" s="297"/>
      <c r="GN1452" s="297"/>
      <c r="GO1452" s="297"/>
      <c r="GP1452" s="297"/>
      <c r="GQ1452" s="297"/>
      <c r="GR1452" s="297"/>
      <c r="GS1452" s="297"/>
      <c r="GT1452" s="297"/>
      <c r="GU1452" s="297"/>
      <c r="GV1452" s="297"/>
      <c r="GW1452" s="297"/>
      <c r="GX1452" s="297"/>
      <c r="GY1452" s="297"/>
      <c r="GZ1452" s="297"/>
      <c r="HA1452" s="297"/>
      <c r="HB1452" s="297"/>
      <c r="HC1452" s="297"/>
      <c r="HD1452" s="297"/>
      <c r="HE1452" s="297"/>
      <c r="HF1452" s="297"/>
      <c r="HG1452" s="297"/>
      <c r="HH1452" s="297"/>
      <c r="HI1452" s="297"/>
      <c r="HJ1452" s="297"/>
      <c r="HK1452" s="297"/>
      <c r="HL1452" s="297"/>
      <c r="HM1452" s="297"/>
    </row>
    <row r="1453" spans="1:221" s="479" customFormat="1">
      <c r="A1453" s="679"/>
      <c r="B1453" s="1272" t="s">
        <v>2382</v>
      </c>
      <c r="C1453" s="1273" t="s">
        <v>2381</v>
      </c>
      <c r="D1453" s="1274"/>
      <c r="E1453" s="1255">
        <v>65</v>
      </c>
      <c r="F1453" s="681"/>
      <c r="G1453" s="681"/>
      <c r="H1453" s="683"/>
      <c r="I1453" s="689"/>
      <c r="J1453" s="697"/>
      <c r="K1453" s="685"/>
      <c r="L1453" s="689">
        <f>65+30</f>
        <v>95</v>
      </c>
      <c r="M1453" s="683">
        <v>30</v>
      </c>
      <c r="N1453" s="632"/>
      <c r="O1453" s="480"/>
      <c r="P1453" s="297"/>
      <c r="Q1453" s="297"/>
      <c r="R1453" s="297"/>
      <c r="S1453" s="297"/>
      <c r="T1453" s="297"/>
      <c r="U1453" s="297"/>
      <c r="V1453" s="305"/>
      <c r="W1453" s="305"/>
      <c r="X1453" s="305"/>
      <c r="Y1453" s="305"/>
      <c r="Z1453" s="305"/>
      <c r="AA1453" s="305"/>
      <c r="AB1453" s="305"/>
      <c r="AC1453" s="305"/>
      <c r="AD1453" s="305"/>
      <c r="AE1453" s="305"/>
      <c r="AF1453" s="305"/>
      <c r="AG1453" s="305"/>
      <c r="AH1453" s="305"/>
      <c r="AI1453" s="305"/>
      <c r="AJ1453" s="305"/>
      <c r="AK1453" s="305"/>
      <c r="AL1453" s="305"/>
      <c r="AM1453" s="305"/>
      <c r="AN1453" s="305"/>
      <c r="AO1453" s="305"/>
      <c r="AP1453" s="305"/>
      <c r="AQ1453" s="305"/>
      <c r="AR1453" s="305"/>
      <c r="AS1453" s="305"/>
      <c r="AT1453" s="305"/>
      <c r="AU1453" s="305"/>
      <c r="AV1453" s="305"/>
      <c r="AW1453" s="305"/>
      <c r="AX1453" s="305"/>
      <c r="AY1453" s="305"/>
      <c r="AZ1453" s="305"/>
      <c r="BA1453" s="305"/>
      <c r="BB1453" s="305"/>
      <c r="BC1453" s="305"/>
      <c r="BD1453" s="305"/>
      <c r="BE1453" s="305"/>
      <c r="BF1453" s="305"/>
      <c r="BG1453" s="305"/>
      <c r="BH1453" s="305"/>
      <c r="BI1453" s="305"/>
      <c r="BJ1453" s="305"/>
      <c r="BK1453" s="305"/>
      <c r="BL1453" s="305"/>
      <c r="BM1453" s="305"/>
      <c r="BN1453" s="305"/>
      <c r="BO1453" s="305"/>
      <c r="BP1453" s="305"/>
      <c r="BQ1453" s="305"/>
      <c r="BR1453" s="305"/>
      <c r="BS1453" s="305"/>
      <c r="BT1453" s="305"/>
      <c r="BU1453" s="305"/>
      <c r="BV1453" s="305"/>
      <c r="BW1453" s="305"/>
      <c r="BX1453" s="305"/>
      <c r="BY1453" s="305"/>
      <c r="BZ1453" s="305"/>
      <c r="CA1453" s="305"/>
      <c r="CB1453" s="305"/>
      <c r="CC1453" s="305"/>
      <c r="CD1453" s="305"/>
      <c r="CE1453" s="305"/>
      <c r="CF1453" s="305"/>
      <c r="CG1453" s="305"/>
      <c r="CH1453" s="305"/>
      <c r="CI1453" s="305"/>
      <c r="CJ1453" s="305"/>
      <c r="CK1453" s="305"/>
      <c r="CL1453" s="305"/>
      <c r="CM1453" s="305"/>
      <c r="CN1453" s="305"/>
      <c r="CO1453" s="305"/>
      <c r="CP1453" s="305"/>
      <c r="CQ1453" s="305"/>
      <c r="CR1453" s="305"/>
      <c r="CS1453" s="305"/>
      <c r="CT1453" s="305"/>
      <c r="CU1453" s="305"/>
      <c r="CV1453" s="305"/>
      <c r="CW1453" s="305"/>
      <c r="CX1453" s="305"/>
      <c r="CY1453" s="305"/>
      <c r="CZ1453" s="305"/>
      <c r="DA1453" s="305"/>
      <c r="DB1453" s="305"/>
      <c r="DC1453" s="305"/>
      <c r="DD1453" s="305"/>
      <c r="DE1453" s="305"/>
      <c r="DF1453" s="305"/>
      <c r="DG1453" s="305"/>
      <c r="DH1453" s="305"/>
      <c r="DI1453" s="305"/>
      <c r="DJ1453" s="305"/>
      <c r="DK1453" s="305"/>
      <c r="DL1453" s="305"/>
      <c r="DM1453" s="305"/>
      <c r="DN1453" s="305"/>
      <c r="DO1453" s="305"/>
      <c r="DP1453" s="305"/>
      <c r="DQ1453" s="305"/>
      <c r="DR1453" s="305"/>
      <c r="DS1453" s="305"/>
      <c r="DT1453" s="305"/>
      <c r="DU1453" s="305"/>
      <c r="DV1453" s="305"/>
      <c r="DW1453" s="305"/>
      <c r="DX1453" s="305"/>
      <c r="DY1453" s="305"/>
      <c r="DZ1453" s="305"/>
      <c r="EA1453" s="305"/>
      <c r="EB1453" s="305"/>
      <c r="EC1453" s="305"/>
      <c r="ED1453" s="305"/>
      <c r="EE1453" s="305"/>
      <c r="EF1453" s="305"/>
      <c r="EG1453" s="305"/>
      <c r="EH1453" s="305"/>
      <c r="EI1453" s="305"/>
      <c r="EJ1453" s="305"/>
      <c r="EK1453" s="305"/>
      <c r="EL1453" s="305"/>
      <c r="EM1453" s="305"/>
      <c r="EN1453" s="305"/>
      <c r="EO1453" s="305"/>
      <c r="EP1453" s="305"/>
      <c r="EQ1453" s="305"/>
      <c r="ER1453" s="305"/>
      <c r="ES1453" s="305"/>
      <c r="ET1453" s="305"/>
      <c r="EU1453" s="305"/>
      <c r="EV1453" s="305"/>
      <c r="EW1453" s="305"/>
      <c r="EX1453" s="305"/>
      <c r="EY1453" s="305"/>
      <c r="EZ1453" s="305"/>
      <c r="FA1453" s="305"/>
      <c r="FB1453" s="305"/>
      <c r="FC1453" s="305"/>
      <c r="FD1453" s="305"/>
      <c r="FE1453" s="305"/>
      <c r="FF1453" s="305"/>
      <c r="FG1453" s="305"/>
      <c r="FH1453" s="305"/>
      <c r="FI1453" s="305"/>
      <c r="FJ1453" s="305"/>
      <c r="FK1453" s="305"/>
      <c r="FL1453" s="305"/>
      <c r="FM1453" s="305"/>
      <c r="FN1453" s="305"/>
      <c r="FO1453" s="305"/>
      <c r="FP1453" s="305"/>
      <c r="FQ1453" s="305"/>
      <c r="FR1453" s="305"/>
      <c r="FS1453" s="305"/>
      <c r="FT1453" s="305"/>
      <c r="FU1453" s="305"/>
      <c r="FV1453" s="305"/>
      <c r="FW1453" s="305"/>
      <c r="FX1453" s="305"/>
      <c r="FY1453" s="305"/>
      <c r="FZ1453" s="305"/>
      <c r="GA1453" s="305"/>
      <c r="GB1453" s="305"/>
      <c r="GC1453" s="305"/>
      <c r="GD1453" s="305"/>
      <c r="GE1453" s="305"/>
      <c r="GF1453" s="305"/>
      <c r="GG1453" s="305"/>
      <c r="GH1453" s="305"/>
      <c r="GI1453" s="305"/>
      <c r="GJ1453" s="305"/>
      <c r="GK1453" s="305"/>
      <c r="GL1453" s="305"/>
      <c r="GM1453" s="305"/>
      <c r="GN1453" s="305"/>
      <c r="GO1453" s="305"/>
      <c r="GP1453" s="305"/>
      <c r="GQ1453" s="305"/>
      <c r="GR1453" s="305"/>
      <c r="GS1453" s="305"/>
      <c r="GT1453" s="305"/>
      <c r="GU1453" s="305"/>
      <c r="GV1453" s="305"/>
      <c r="GW1453" s="305"/>
      <c r="GX1453" s="305"/>
      <c r="GY1453" s="305"/>
      <c r="GZ1453" s="305"/>
      <c r="HA1453" s="305"/>
      <c r="HB1453" s="305"/>
      <c r="HC1453" s="305"/>
      <c r="HD1453" s="305"/>
      <c r="HE1453" s="305"/>
      <c r="HF1453" s="305"/>
      <c r="HG1453" s="305"/>
      <c r="HH1453" s="305"/>
      <c r="HI1453" s="305"/>
      <c r="HJ1453" s="305"/>
      <c r="HK1453" s="305"/>
      <c r="HL1453" s="305"/>
      <c r="HM1453" s="305"/>
    </row>
    <row r="1454" spans="1:221" s="696" customFormat="1">
      <c r="A1454" s="679" t="s">
        <v>2456</v>
      </c>
      <c r="B1454" s="1272" t="s">
        <v>2382</v>
      </c>
      <c r="C1454" s="1273" t="s">
        <v>2457</v>
      </c>
      <c r="D1454" s="1274"/>
      <c r="E1454" s="1255">
        <v>62.5</v>
      </c>
      <c r="F1454" s="681"/>
      <c r="G1454" s="681"/>
      <c r="H1454" s="683"/>
      <c r="I1454" s="689"/>
      <c r="J1454" s="1243" t="s">
        <v>876</v>
      </c>
      <c r="K1454" s="685"/>
      <c r="L1454" s="689">
        <v>78.5</v>
      </c>
      <c r="M1454" s="683">
        <f>L1454-E1454</f>
        <v>16</v>
      </c>
      <c r="N1454" s="706"/>
      <c r="O1454" s="711"/>
      <c r="V1454" s="688"/>
      <c r="W1454" s="688"/>
      <c r="X1454" s="688"/>
      <c r="Y1454" s="688"/>
      <c r="Z1454" s="688"/>
      <c r="AA1454" s="688"/>
      <c r="AB1454" s="688"/>
      <c r="AC1454" s="688"/>
      <c r="AD1454" s="688"/>
      <c r="AE1454" s="688"/>
      <c r="AF1454" s="688"/>
      <c r="AG1454" s="688"/>
      <c r="AH1454" s="688"/>
      <c r="AI1454" s="688"/>
      <c r="AJ1454" s="688"/>
      <c r="AK1454" s="688"/>
      <c r="AL1454" s="688"/>
      <c r="AM1454" s="688"/>
      <c r="AN1454" s="688"/>
      <c r="AO1454" s="688"/>
      <c r="AP1454" s="688"/>
      <c r="AQ1454" s="688"/>
      <c r="AR1454" s="688"/>
      <c r="AS1454" s="688"/>
      <c r="AT1454" s="688"/>
      <c r="AU1454" s="688"/>
      <c r="AV1454" s="688"/>
      <c r="AW1454" s="688"/>
      <c r="AX1454" s="688"/>
      <c r="AY1454" s="688"/>
      <c r="AZ1454" s="688"/>
      <c r="BA1454" s="688"/>
      <c r="BB1454" s="688"/>
      <c r="BC1454" s="688"/>
      <c r="BD1454" s="688"/>
      <c r="BE1454" s="688"/>
      <c r="BF1454" s="688"/>
      <c r="BG1454" s="688"/>
      <c r="BH1454" s="688"/>
      <c r="BI1454" s="688"/>
      <c r="BJ1454" s="688"/>
      <c r="BK1454" s="688"/>
      <c r="BL1454" s="688"/>
      <c r="BM1454" s="688"/>
      <c r="BN1454" s="688"/>
      <c r="BO1454" s="688"/>
      <c r="BP1454" s="688"/>
      <c r="BQ1454" s="688"/>
      <c r="BR1454" s="688"/>
      <c r="BS1454" s="688"/>
      <c r="BT1454" s="688"/>
      <c r="BU1454" s="688"/>
      <c r="BV1454" s="688"/>
      <c r="BW1454" s="688"/>
      <c r="BX1454" s="688"/>
      <c r="BY1454" s="688"/>
      <c r="BZ1454" s="688"/>
      <c r="CA1454" s="688"/>
      <c r="CB1454" s="688"/>
      <c r="CC1454" s="688"/>
      <c r="CD1454" s="688"/>
      <c r="CE1454" s="688"/>
      <c r="CF1454" s="688"/>
      <c r="CG1454" s="688"/>
      <c r="CH1454" s="688"/>
      <c r="CI1454" s="688"/>
      <c r="CJ1454" s="688"/>
      <c r="CK1454" s="688"/>
      <c r="CL1454" s="688"/>
      <c r="CM1454" s="688"/>
      <c r="CN1454" s="688"/>
      <c r="CO1454" s="688"/>
      <c r="CP1454" s="688"/>
      <c r="CQ1454" s="688"/>
      <c r="CR1454" s="688"/>
      <c r="CS1454" s="688"/>
      <c r="CT1454" s="688"/>
      <c r="CU1454" s="688"/>
      <c r="CV1454" s="688"/>
      <c r="CW1454" s="688"/>
      <c r="CX1454" s="688"/>
      <c r="CY1454" s="688"/>
      <c r="CZ1454" s="688"/>
      <c r="DA1454" s="688"/>
      <c r="DB1454" s="688"/>
      <c r="DC1454" s="688"/>
      <c r="DD1454" s="688"/>
      <c r="DE1454" s="688"/>
      <c r="DF1454" s="688"/>
      <c r="DG1454" s="688"/>
      <c r="DH1454" s="688"/>
      <c r="DI1454" s="688"/>
      <c r="DJ1454" s="688"/>
      <c r="DK1454" s="688"/>
      <c r="DL1454" s="688"/>
      <c r="DM1454" s="688"/>
      <c r="DN1454" s="688"/>
      <c r="DO1454" s="688"/>
      <c r="DP1454" s="688"/>
      <c r="DQ1454" s="688"/>
      <c r="DR1454" s="688"/>
      <c r="DS1454" s="688"/>
      <c r="DT1454" s="688"/>
      <c r="DU1454" s="688"/>
      <c r="DV1454" s="688"/>
      <c r="DW1454" s="688"/>
      <c r="DX1454" s="688"/>
      <c r="DY1454" s="688"/>
      <c r="DZ1454" s="688"/>
      <c r="EA1454" s="688"/>
      <c r="EB1454" s="688"/>
      <c r="EC1454" s="688"/>
      <c r="ED1454" s="688"/>
      <c r="EE1454" s="688"/>
      <c r="EF1454" s="688"/>
      <c r="EG1454" s="688"/>
      <c r="EH1454" s="688"/>
      <c r="EI1454" s="688"/>
      <c r="EJ1454" s="688"/>
      <c r="EK1454" s="688"/>
      <c r="EL1454" s="688"/>
      <c r="EM1454" s="688"/>
      <c r="EN1454" s="688"/>
      <c r="EO1454" s="688"/>
      <c r="EP1454" s="688"/>
      <c r="EQ1454" s="688"/>
      <c r="ER1454" s="688"/>
      <c r="ES1454" s="688"/>
      <c r="ET1454" s="688"/>
      <c r="EU1454" s="688"/>
      <c r="EV1454" s="688"/>
      <c r="EW1454" s="688"/>
      <c r="EX1454" s="688"/>
      <c r="EY1454" s="688"/>
      <c r="EZ1454" s="688"/>
      <c r="FA1454" s="688"/>
      <c r="FB1454" s="688"/>
      <c r="FC1454" s="688"/>
      <c r="FD1454" s="688"/>
      <c r="FE1454" s="688"/>
      <c r="FF1454" s="688"/>
      <c r="FG1454" s="688"/>
      <c r="FH1454" s="688"/>
      <c r="FI1454" s="688"/>
      <c r="FJ1454" s="688"/>
      <c r="FK1454" s="688"/>
      <c r="FL1454" s="688"/>
      <c r="FM1454" s="688"/>
      <c r="FN1454" s="688"/>
      <c r="FO1454" s="688"/>
      <c r="FP1454" s="688"/>
      <c r="FQ1454" s="688"/>
      <c r="FR1454" s="688"/>
      <c r="FS1454" s="688"/>
      <c r="FT1454" s="688"/>
      <c r="FU1454" s="688"/>
      <c r="FV1454" s="688"/>
      <c r="FW1454" s="688"/>
      <c r="FX1454" s="688"/>
      <c r="FY1454" s="688"/>
      <c r="FZ1454" s="688"/>
      <c r="GA1454" s="688"/>
      <c r="GB1454" s="688"/>
      <c r="GC1454" s="688"/>
      <c r="GD1454" s="688"/>
      <c r="GE1454" s="688"/>
      <c r="GF1454" s="688"/>
      <c r="GG1454" s="688"/>
      <c r="GH1454" s="688"/>
      <c r="GI1454" s="688"/>
      <c r="GJ1454" s="688"/>
      <c r="GK1454" s="688"/>
      <c r="GL1454" s="688"/>
      <c r="GM1454" s="688"/>
      <c r="GN1454" s="688"/>
      <c r="GO1454" s="688"/>
      <c r="GP1454" s="688"/>
      <c r="GQ1454" s="688"/>
      <c r="GR1454" s="688"/>
      <c r="GS1454" s="688"/>
      <c r="GT1454" s="688"/>
      <c r="GU1454" s="688"/>
      <c r="GV1454" s="688"/>
      <c r="GW1454" s="688"/>
      <c r="GX1454" s="688"/>
      <c r="GY1454" s="688"/>
      <c r="GZ1454" s="688"/>
      <c r="HA1454" s="688"/>
      <c r="HB1454" s="688"/>
      <c r="HC1454" s="688"/>
      <c r="HD1454" s="688"/>
      <c r="HE1454" s="688"/>
      <c r="HF1454" s="688"/>
      <c r="HG1454" s="688"/>
      <c r="HH1454" s="688"/>
      <c r="HI1454" s="688"/>
      <c r="HJ1454" s="688"/>
      <c r="HK1454" s="688"/>
      <c r="HL1454" s="688"/>
      <c r="HM1454" s="688"/>
    </row>
    <row r="1455" spans="1:221" s="297" customFormat="1">
      <c r="A1455" s="1315" t="s">
        <v>2701</v>
      </c>
      <c r="B1455" s="1314" t="s">
        <v>113</v>
      </c>
      <c r="C1455" s="1316" t="s">
        <v>2383</v>
      </c>
      <c r="D1455" s="1312"/>
      <c r="E1455" s="1300">
        <v>34</v>
      </c>
      <c r="F1455" s="288"/>
      <c r="G1455" s="288"/>
      <c r="H1455" s="283"/>
      <c r="I1455" s="289"/>
      <c r="J1455" s="290"/>
      <c r="K1455" s="292"/>
      <c r="L1455" s="289">
        <f>42.5+23</f>
        <v>65.5</v>
      </c>
      <c r="M1455" s="283">
        <v>23</v>
      </c>
      <c r="N1455" s="634"/>
      <c r="O1455" s="645" t="s">
        <v>2634</v>
      </c>
      <c r="V1455" s="305"/>
      <c r="W1455" s="305"/>
      <c r="X1455" s="305"/>
      <c r="Y1455" s="305"/>
      <c r="Z1455" s="305"/>
      <c r="AA1455" s="305"/>
      <c r="AB1455" s="305"/>
      <c r="AC1455" s="305"/>
      <c r="AD1455" s="305"/>
      <c r="AE1455" s="305"/>
      <c r="AF1455" s="305"/>
      <c r="AG1455" s="305"/>
      <c r="AH1455" s="305"/>
      <c r="AI1455" s="305"/>
      <c r="AJ1455" s="305"/>
      <c r="AK1455" s="305"/>
      <c r="AL1455" s="305"/>
      <c r="AM1455" s="305"/>
      <c r="AN1455" s="305"/>
      <c r="AO1455" s="305"/>
      <c r="AP1455" s="305"/>
      <c r="AQ1455" s="305"/>
      <c r="AR1455" s="305"/>
      <c r="AS1455" s="305"/>
      <c r="AT1455" s="305"/>
      <c r="AU1455" s="305"/>
      <c r="AV1455" s="305"/>
      <c r="AW1455" s="305"/>
      <c r="AX1455" s="305"/>
      <c r="AY1455" s="305"/>
      <c r="AZ1455" s="305"/>
      <c r="BA1455" s="305"/>
      <c r="BB1455" s="305"/>
      <c r="BC1455" s="305"/>
      <c r="BD1455" s="305"/>
      <c r="BE1455" s="305"/>
      <c r="BF1455" s="305"/>
      <c r="BG1455" s="305"/>
      <c r="BH1455" s="305"/>
      <c r="BI1455" s="305"/>
      <c r="BJ1455" s="305"/>
      <c r="BK1455" s="305"/>
      <c r="BL1455" s="305"/>
      <c r="BM1455" s="305"/>
      <c r="BN1455" s="305"/>
      <c r="BO1455" s="305"/>
      <c r="BP1455" s="305"/>
      <c r="BQ1455" s="305"/>
      <c r="BR1455" s="305"/>
      <c r="BS1455" s="305"/>
      <c r="BT1455" s="305"/>
      <c r="BU1455" s="305"/>
      <c r="BV1455" s="305"/>
      <c r="BW1455" s="305"/>
      <c r="BX1455" s="305"/>
      <c r="BY1455" s="305"/>
      <c r="BZ1455" s="305"/>
      <c r="CA1455" s="305"/>
      <c r="CB1455" s="305"/>
      <c r="CC1455" s="305"/>
      <c r="CD1455" s="305"/>
      <c r="CE1455" s="305"/>
      <c r="CF1455" s="305"/>
      <c r="CG1455" s="305"/>
      <c r="CH1455" s="305"/>
      <c r="CI1455" s="305"/>
      <c r="CJ1455" s="305"/>
      <c r="CK1455" s="305"/>
      <c r="CL1455" s="305"/>
      <c r="CM1455" s="305"/>
      <c r="CN1455" s="305"/>
      <c r="CO1455" s="305"/>
      <c r="CP1455" s="305"/>
      <c r="CQ1455" s="305"/>
      <c r="CR1455" s="305"/>
      <c r="CS1455" s="305"/>
      <c r="CT1455" s="305"/>
      <c r="CU1455" s="305"/>
      <c r="CV1455" s="305"/>
      <c r="CW1455" s="305"/>
      <c r="CX1455" s="305"/>
      <c r="CY1455" s="305"/>
      <c r="CZ1455" s="305"/>
      <c r="DA1455" s="305"/>
      <c r="DB1455" s="305"/>
      <c r="DC1455" s="305"/>
      <c r="DD1455" s="305"/>
      <c r="DE1455" s="305"/>
      <c r="DF1455" s="305"/>
      <c r="DG1455" s="305"/>
      <c r="DH1455" s="305"/>
      <c r="DI1455" s="305"/>
      <c r="DJ1455" s="305"/>
      <c r="DK1455" s="305"/>
      <c r="DL1455" s="305"/>
      <c r="DM1455" s="305"/>
      <c r="DN1455" s="305"/>
      <c r="DO1455" s="305"/>
      <c r="DP1455" s="305"/>
      <c r="DQ1455" s="305"/>
      <c r="DR1455" s="305"/>
      <c r="DS1455" s="305"/>
      <c r="DT1455" s="305"/>
      <c r="DU1455" s="305"/>
      <c r="DV1455" s="305"/>
      <c r="DW1455" s="305"/>
      <c r="DX1455" s="305"/>
      <c r="DY1455" s="305"/>
      <c r="DZ1455" s="305"/>
      <c r="EA1455" s="305"/>
      <c r="EB1455" s="305"/>
      <c r="EC1455" s="305"/>
      <c r="ED1455" s="305"/>
      <c r="EE1455" s="305"/>
      <c r="EF1455" s="305"/>
      <c r="EG1455" s="305"/>
      <c r="EH1455" s="305"/>
      <c r="EI1455" s="305"/>
      <c r="EJ1455" s="305"/>
      <c r="EK1455" s="305"/>
      <c r="EL1455" s="305"/>
      <c r="EM1455" s="305"/>
      <c r="EN1455" s="305"/>
      <c r="EO1455" s="305"/>
      <c r="EP1455" s="305"/>
      <c r="EQ1455" s="305"/>
      <c r="ER1455" s="305"/>
      <c r="ES1455" s="305"/>
      <c r="ET1455" s="305"/>
      <c r="EU1455" s="305"/>
      <c r="EV1455" s="305"/>
      <c r="EW1455" s="305"/>
      <c r="EX1455" s="305"/>
      <c r="EY1455" s="305"/>
      <c r="EZ1455" s="305"/>
      <c r="FA1455" s="305"/>
      <c r="FB1455" s="305"/>
      <c r="FC1455" s="305"/>
      <c r="FD1455" s="305"/>
      <c r="FE1455" s="305"/>
      <c r="FF1455" s="305"/>
      <c r="FG1455" s="305"/>
      <c r="FH1455" s="305"/>
      <c r="FI1455" s="305"/>
      <c r="FJ1455" s="305"/>
      <c r="FK1455" s="305"/>
      <c r="FL1455" s="305"/>
      <c r="FM1455" s="305"/>
      <c r="FN1455" s="305"/>
      <c r="FO1455" s="305"/>
      <c r="FP1455" s="305"/>
      <c r="FQ1455" s="305"/>
      <c r="FR1455" s="305"/>
      <c r="FS1455" s="305"/>
      <c r="FT1455" s="305"/>
      <c r="FU1455" s="305"/>
      <c r="FV1455" s="305"/>
      <c r="FW1455" s="305"/>
      <c r="FX1455" s="305"/>
      <c r="FY1455" s="305"/>
      <c r="FZ1455" s="305"/>
      <c r="GA1455" s="305"/>
      <c r="GB1455" s="305"/>
      <c r="GC1455" s="305"/>
      <c r="GD1455" s="305"/>
      <c r="GE1455" s="305"/>
      <c r="GF1455" s="305"/>
      <c r="GG1455" s="305"/>
      <c r="GH1455" s="305"/>
      <c r="GI1455" s="305"/>
      <c r="GJ1455" s="305"/>
      <c r="GK1455" s="305"/>
      <c r="GL1455" s="305"/>
      <c r="GM1455" s="305"/>
      <c r="GN1455" s="305"/>
      <c r="GO1455" s="305"/>
      <c r="GP1455" s="305"/>
      <c r="GQ1455" s="305"/>
      <c r="GR1455" s="305"/>
      <c r="GS1455" s="305"/>
      <c r="GT1455" s="305"/>
      <c r="GU1455" s="305"/>
      <c r="GV1455" s="305"/>
      <c r="GW1455" s="305"/>
      <c r="GX1455" s="305"/>
      <c r="GY1455" s="305"/>
      <c r="GZ1455" s="305"/>
      <c r="HA1455" s="305"/>
      <c r="HB1455" s="305"/>
      <c r="HC1455" s="305"/>
      <c r="HD1455" s="305"/>
      <c r="HE1455" s="305"/>
      <c r="HF1455" s="305"/>
      <c r="HG1455" s="305"/>
      <c r="HH1455" s="305"/>
      <c r="HI1455" s="305"/>
      <c r="HJ1455" s="305"/>
      <c r="HK1455" s="305"/>
      <c r="HL1455" s="305"/>
      <c r="HM1455" s="305"/>
    </row>
    <row r="1456" spans="1:221" s="297" customFormat="1">
      <c r="A1456" s="1315" t="s">
        <v>2699</v>
      </c>
      <c r="B1456" s="1314" t="s">
        <v>113</v>
      </c>
      <c r="C1456" s="1316" t="s">
        <v>2383</v>
      </c>
      <c r="D1456" s="1312"/>
      <c r="E1456" s="1300">
        <v>39</v>
      </c>
      <c r="F1456" s="288"/>
      <c r="G1456" s="288"/>
      <c r="H1456" s="283"/>
      <c r="I1456" s="289"/>
      <c r="J1456" s="290"/>
      <c r="K1456" s="292"/>
      <c r="L1456" s="289">
        <f>42.5+23</f>
        <v>65.5</v>
      </c>
      <c r="M1456" s="283">
        <v>23</v>
      </c>
      <c r="N1456" s="634"/>
      <c r="O1456" s="645" t="s">
        <v>2634</v>
      </c>
      <c r="V1456" s="305"/>
      <c r="W1456" s="305"/>
      <c r="X1456" s="305"/>
      <c r="Y1456" s="305"/>
      <c r="Z1456" s="305"/>
      <c r="AA1456" s="305"/>
      <c r="AB1456" s="305"/>
      <c r="AC1456" s="305"/>
      <c r="AD1456" s="305"/>
      <c r="AE1456" s="305"/>
      <c r="AF1456" s="305"/>
      <c r="AG1456" s="305"/>
      <c r="AH1456" s="305"/>
      <c r="AI1456" s="305"/>
      <c r="AJ1456" s="305"/>
      <c r="AK1456" s="305"/>
      <c r="AL1456" s="305"/>
      <c r="AM1456" s="305"/>
      <c r="AN1456" s="305"/>
      <c r="AO1456" s="305"/>
      <c r="AP1456" s="305"/>
      <c r="AQ1456" s="305"/>
      <c r="AR1456" s="305"/>
      <c r="AS1456" s="305"/>
      <c r="AT1456" s="305"/>
      <c r="AU1456" s="305"/>
      <c r="AV1456" s="305"/>
      <c r="AW1456" s="305"/>
      <c r="AX1456" s="305"/>
      <c r="AY1456" s="305"/>
      <c r="AZ1456" s="305"/>
      <c r="BA1456" s="305"/>
      <c r="BB1456" s="305"/>
      <c r="BC1456" s="305"/>
      <c r="BD1456" s="305"/>
      <c r="BE1456" s="305"/>
      <c r="BF1456" s="305"/>
      <c r="BG1456" s="305"/>
      <c r="BH1456" s="305"/>
      <c r="BI1456" s="305"/>
      <c r="BJ1456" s="305"/>
      <c r="BK1456" s="305"/>
      <c r="BL1456" s="305"/>
      <c r="BM1456" s="305"/>
      <c r="BN1456" s="305"/>
      <c r="BO1456" s="305"/>
      <c r="BP1456" s="305"/>
      <c r="BQ1456" s="305"/>
      <c r="BR1456" s="305"/>
      <c r="BS1456" s="305"/>
      <c r="BT1456" s="305"/>
      <c r="BU1456" s="305"/>
      <c r="BV1456" s="305"/>
      <c r="BW1456" s="305"/>
      <c r="BX1456" s="305"/>
      <c r="BY1456" s="305"/>
      <c r="BZ1456" s="305"/>
      <c r="CA1456" s="305"/>
      <c r="CB1456" s="305"/>
      <c r="CC1456" s="305"/>
      <c r="CD1456" s="305"/>
      <c r="CE1456" s="305"/>
      <c r="CF1456" s="305"/>
      <c r="CG1456" s="305"/>
      <c r="CH1456" s="305"/>
      <c r="CI1456" s="305"/>
      <c r="CJ1456" s="305"/>
      <c r="CK1456" s="305"/>
      <c r="CL1456" s="305"/>
      <c r="CM1456" s="305"/>
      <c r="CN1456" s="305"/>
      <c r="CO1456" s="305"/>
      <c r="CP1456" s="305"/>
      <c r="CQ1456" s="305"/>
      <c r="CR1456" s="305"/>
      <c r="CS1456" s="305"/>
      <c r="CT1456" s="305"/>
      <c r="CU1456" s="305"/>
      <c r="CV1456" s="305"/>
      <c r="CW1456" s="305"/>
      <c r="CX1456" s="305"/>
      <c r="CY1456" s="305"/>
      <c r="CZ1456" s="305"/>
      <c r="DA1456" s="305"/>
      <c r="DB1456" s="305"/>
      <c r="DC1456" s="305"/>
      <c r="DD1456" s="305"/>
      <c r="DE1456" s="305"/>
      <c r="DF1456" s="305"/>
      <c r="DG1456" s="305"/>
      <c r="DH1456" s="305"/>
      <c r="DI1456" s="305"/>
      <c r="DJ1456" s="305"/>
      <c r="DK1456" s="305"/>
      <c r="DL1456" s="305"/>
      <c r="DM1456" s="305"/>
      <c r="DN1456" s="305"/>
      <c r="DO1456" s="305"/>
      <c r="DP1456" s="305"/>
      <c r="DQ1456" s="305"/>
      <c r="DR1456" s="305"/>
      <c r="DS1456" s="305"/>
      <c r="DT1456" s="305"/>
      <c r="DU1456" s="305"/>
      <c r="DV1456" s="305"/>
      <c r="DW1456" s="305"/>
      <c r="DX1456" s="305"/>
      <c r="DY1456" s="305"/>
      <c r="DZ1456" s="305"/>
      <c r="EA1456" s="305"/>
      <c r="EB1456" s="305"/>
      <c r="EC1456" s="305"/>
      <c r="ED1456" s="305"/>
      <c r="EE1456" s="305"/>
      <c r="EF1456" s="305"/>
      <c r="EG1456" s="305"/>
      <c r="EH1456" s="305"/>
      <c r="EI1456" s="305"/>
      <c r="EJ1456" s="305"/>
      <c r="EK1456" s="305"/>
      <c r="EL1456" s="305"/>
      <c r="EM1456" s="305"/>
      <c r="EN1456" s="305"/>
      <c r="EO1456" s="305"/>
      <c r="EP1456" s="305"/>
      <c r="EQ1456" s="305"/>
      <c r="ER1456" s="305"/>
      <c r="ES1456" s="305"/>
      <c r="ET1456" s="305"/>
      <c r="EU1456" s="305"/>
      <c r="EV1456" s="305"/>
      <c r="EW1456" s="305"/>
      <c r="EX1456" s="305"/>
      <c r="EY1456" s="305"/>
      <c r="EZ1456" s="305"/>
      <c r="FA1456" s="305"/>
      <c r="FB1456" s="305"/>
      <c r="FC1456" s="305"/>
      <c r="FD1456" s="305"/>
      <c r="FE1456" s="305"/>
      <c r="FF1456" s="305"/>
      <c r="FG1456" s="305"/>
      <c r="FH1456" s="305"/>
      <c r="FI1456" s="305"/>
      <c r="FJ1456" s="305"/>
      <c r="FK1456" s="305"/>
      <c r="FL1456" s="305"/>
      <c r="FM1456" s="305"/>
      <c r="FN1456" s="305"/>
      <c r="FO1456" s="305"/>
      <c r="FP1456" s="305"/>
      <c r="FQ1456" s="305"/>
      <c r="FR1456" s="305"/>
      <c r="FS1456" s="305"/>
      <c r="FT1456" s="305"/>
      <c r="FU1456" s="305"/>
      <c r="FV1456" s="305"/>
      <c r="FW1456" s="305"/>
      <c r="FX1456" s="305"/>
      <c r="FY1456" s="305"/>
      <c r="FZ1456" s="305"/>
      <c r="GA1456" s="305"/>
      <c r="GB1456" s="305"/>
      <c r="GC1456" s="305"/>
      <c r="GD1456" s="305"/>
      <c r="GE1456" s="305"/>
      <c r="GF1456" s="305"/>
      <c r="GG1456" s="305"/>
      <c r="GH1456" s="305"/>
      <c r="GI1456" s="305"/>
      <c r="GJ1456" s="305"/>
      <c r="GK1456" s="305"/>
      <c r="GL1456" s="305"/>
      <c r="GM1456" s="305"/>
      <c r="GN1456" s="305"/>
      <c r="GO1456" s="305"/>
      <c r="GP1456" s="305"/>
      <c r="GQ1456" s="305"/>
      <c r="GR1456" s="305"/>
      <c r="GS1456" s="305"/>
      <c r="GT1456" s="305"/>
      <c r="GU1456" s="305"/>
      <c r="GV1456" s="305"/>
      <c r="GW1456" s="305"/>
      <c r="GX1456" s="305"/>
      <c r="GY1456" s="305"/>
      <c r="GZ1456" s="305"/>
      <c r="HA1456" s="305"/>
      <c r="HB1456" s="305"/>
      <c r="HC1456" s="305"/>
      <c r="HD1456" s="305"/>
      <c r="HE1456" s="305"/>
      <c r="HF1456" s="305"/>
      <c r="HG1456" s="305"/>
      <c r="HH1456" s="305"/>
      <c r="HI1456" s="305"/>
      <c r="HJ1456" s="305"/>
      <c r="HK1456" s="305"/>
      <c r="HL1456" s="305"/>
      <c r="HM1456" s="305"/>
    </row>
    <row r="1457" spans="1:221" s="297" customFormat="1">
      <c r="A1457" s="1315" t="s">
        <v>2700</v>
      </c>
      <c r="B1457" s="1314" t="s">
        <v>113</v>
      </c>
      <c r="C1457" s="1316" t="s">
        <v>2383</v>
      </c>
      <c r="D1457" s="1312"/>
      <c r="E1457" s="1300">
        <v>44</v>
      </c>
      <c r="F1457" s="288"/>
      <c r="G1457" s="288"/>
      <c r="H1457" s="283"/>
      <c r="I1457" s="289"/>
      <c r="J1457" s="290"/>
      <c r="K1457" s="292"/>
      <c r="L1457" s="289">
        <f>42.5+23</f>
        <v>65.5</v>
      </c>
      <c r="M1457" s="283">
        <v>23</v>
      </c>
      <c r="N1457" s="634"/>
      <c r="O1457" s="645" t="s">
        <v>2634</v>
      </c>
      <c r="V1457" s="305"/>
      <c r="W1457" s="305"/>
      <c r="X1457" s="305"/>
      <c r="Y1457" s="305"/>
      <c r="Z1457" s="305"/>
      <c r="AA1457" s="305"/>
      <c r="AB1457" s="305"/>
      <c r="AC1457" s="305"/>
      <c r="AD1457" s="305"/>
      <c r="AE1457" s="305"/>
      <c r="AF1457" s="305"/>
      <c r="AG1457" s="305"/>
      <c r="AH1457" s="305"/>
      <c r="AI1457" s="305"/>
      <c r="AJ1457" s="305"/>
      <c r="AK1457" s="305"/>
      <c r="AL1457" s="305"/>
      <c r="AM1457" s="305"/>
      <c r="AN1457" s="305"/>
      <c r="AO1457" s="305"/>
      <c r="AP1457" s="305"/>
      <c r="AQ1457" s="305"/>
      <c r="AR1457" s="305"/>
      <c r="AS1457" s="305"/>
      <c r="AT1457" s="305"/>
      <c r="AU1457" s="305"/>
      <c r="AV1457" s="305"/>
      <c r="AW1457" s="305"/>
      <c r="AX1457" s="305"/>
      <c r="AY1457" s="305"/>
      <c r="AZ1457" s="305"/>
      <c r="BA1457" s="305"/>
      <c r="BB1457" s="305"/>
      <c r="BC1457" s="305"/>
      <c r="BD1457" s="305"/>
      <c r="BE1457" s="305"/>
      <c r="BF1457" s="305"/>
      <c r="BG1457" s="305"/>
      <c r="BH1457" s="305"/>
      <c r="BI1457" s="305"/>
      <c r="BJ1457" s="305"/>
      <c r="BK1457" s="305"/>
      <c r="BL1457" s="305"/>
      <c r="BM1457" s="305"/>
      <c r="BN1457" s="305"/>
      <c r="BO1457" s="305"/>
      <c r="BP1457" s="305"/>
      <c r="BQ1457" s="305"/>
      <c r="BR1457" s="305"/>
      <c r="BS1457" s="305"/>
      <c r="BT1457" s="305"/>
      <c r="BU1457" s="305"/>
      <c r="BV1457" s="305"/>
      <c r="BW1457" s="305"/>
      <c r="BX1457" s="305"/>
      <c r="BY1457" s="305"/>
      <c r="BZ1457" s="305"/>
      <c r="CA1457" s="305"/>
      <c r="CB1457" s="305"/>
      <c r="CC1457" s="305"/>
      <c r="CD1457" s="305"/>
      <c r="CE1457" s="305"/>
      <c r="CF1457" s="305"/>
      <c r="CG1457" s="305"/>
      <c r="CH1457" s="305"/>
      <c r="CI1457" s="305"/>
      <c r="CJ1457" s="305"/>
      <c r="CK1457" s="305"/>
      <c r="CL1457" s="305"/>
      <c r="CM1457" s="305"/>
      <c r="CN1457" s="305"/>
      <c r="CO1457" s="305"/>
      <c r="CP1457" s="305"/>
      <c r="CQ1457" s="305"/>
      <c r="CR1457" s="305"/>
      <c r="CS1457" s="305"/>
      <c r="CT1457" s="305"/>
      <c r="CU1457" s="305"/>
      <c r="CV1457" s="305"/>
      <c r="CW1457" s="305"/>
      <c r="CX1457" s="305"/>
      <c r="CY1457" s="305"/>
      <c r="CZ1457" s="305"/>
      <c r="DA1457" s="305"/>
      <c r="DB1457" s="305"/>
      <c r="DC1457" s="305"/>
      <c r="DD1457" s="305"/>
      <c r="DE1457" s="305"/>
      <c r="DF1457" s="305"/>
      <c r="DG1457" s="305"/>
      <c r="DH1457" s="305"/>
      <c r="DI1457" s="305"/>
      <c r="DJ1457" s="305"/>
      <c r="DK1457" s="305"/>
      <c r="DL1457" s="305"/>
      <c r="DM1457" s="305"/>
      <c r="DN1457" s="305"/>
      <c r="DO1457" s="305"/>
      <c r="DP1457" s="305"/>
      <c r="DQ1457" s="305"/>
      <c r="DR1457" s="305"/>
      <c r="DS1457" s="305"/>
      <c r="DT1457" s="305"/>
      <c r="DU1457" s="305"/>
      <c r="DV1457" s="305"/>
      <c r="DW1457" s="305"/>
      <c r="DX1457" s="305"/>
      <c r="DY1457" s="305"/>
      <c r="DZ1457" s="305"/>
      <c r="EA1457" s="305"/>
      <c r="EB1457" s="305"/>
      <c r="EC1457" s="305"/>
      <c r="ED1457" s="305"/>
      <c r="EE1457" s="305"/>
      <c r="EF1457" s="305"/>
      <c r="EG1457" s="305"/>
      <c r="EH1457" s="305"/>
      <c r="EI1457" s="305"/>
      <c r="EJ1457" s="305"/>
      <c r="EK1457" s="305"/>
      <c r="EL1457" s="305"/>
      <c r="EM1457" s="305"/>
      <c r="EN1457" s="305"/>
      <c r="EO1457" s="305"/>
      <c r="EP1457" s="305"/>
      <c r="EQ1457" s="305"/>
      <c r="ER1457" s="305"/>
      <c r="ES1457" s="305"/>
      <c r="ET1457" s="305"/>
      <c r="EU1457" s="305"/>
      <c r="EV1457" s="305"/>
      <c r="EW1457" s="305"/>
      <c r="EX1457" s="305"/>
      <c r="EY1457" s="305"/>
      <c r="EZ1457" s="305"/>
      <c r="FA1457" s="305"/>
      <c r="FB1457" s="305"/>
      <c r="FC1457" s="305"/>
      <c r="FD1457" s="305"/>
      <c r="FE1457" s="305"/>
      <c r="FF1457" s="305"/>
      <c r="FG1457" s="305"/>
      <c r="FH1457" s="305"/>
      <c r="FI1457" s="305"/>
      <c r="FJ1457" s="305"/>
      <c r="FK1457" s="305"/>
      <c r="FL1457" s="305"/>
      <c r="FM1457" s="305"/>
      <c r="FN1457" s="305"/>
      <c r="FO1457" s="305"/>
      <c r="FP1457" s="305"/>
      <c r="FQ1457" s="305"/>
      <c r="FR1457" s="305"/>
      <c r="FS1457" s="305"/>
      <c r="FT1457" s="305"/>
      <c r="FU1457" s="305"/>
      <c r="FV1457" s="305"/>
      <c r="FW1457" s="305"/>
      <c r="FX1457" s="305"/>
      <c r="FY1457" s="305"/>
      <c r="FZ1457" s="305"/>
      <c r="GA1457" s="305"/>
      <c r="GB1457" s="305"/>
      <c r="GC1457" s="305"/>
      <c r="GD1457" s="305"/>
      <c r="GE1457" s="305"/>
      <c r="GF1457" s="305"/>
      <c r="GG1457" s="305"/>
      <c r="GH1457" s="305"/>
      <c r="GI1457" s="305"/>
      <c r="GJ1457" s="305"/>
      <c r="GK1457" s="305"/>
      <c r="GL1457" s="305"/>
      <c r="GM1457" s="305"/>
      <c r="GN1457" s="305"/>
      <c r="GO1457" s="305"/>
      <c r="GP1457" s="305"/>
      <c r="GQ1457" s="305"/>
      <c r="GR1457" s="305"/>
      <c r="GS1457" s="305"/>
      <c r="GT1457" s="305"/>
      <c r="GU1457" s="305"/>
      <c r="GV1457" s="305"/>
      <c r="GW1457" s="305"/>
      <c r="GX1457" s="305"/>
      <c r="GY1457" s="305"/>
      <c r="GZ1457" s="305"/>
      <c r="HA1457" s="305"/>
      <c r="HB1457" s="305"/>
      <c r="HC1457" s="305"/>
      <c r="HD1457" s="305"/>
      <c r="HE1457" s="305"/>
      <c r="HF1457" s="305"/>
      <c r="HG1457" s="305"/>
      <c r="HH1457" s="305"/>
      <c r="HI1457" s="305"/>
      <c r="HJ1457" s="305"/>
      <c r="HK1457" s="305"/>
      <c r="HL1457" s="305"/>
      <c r="HM1457" s="305"/>
    </row>
    <row r="1458" spans="1:221" s="479" customFormat="1">
      <c r="A1458" s="703"/>
      <c r="B1458" s="1272" t="s">
        <v>113</v>
      </c>
      <c r="C1458" s="1273" t="s">
        <v>897</v>
      </c>
      <c r="D1458" s="1274"/>
      <c r="E1458" s="1255">
        <v>34</v>
      </c>
      <c r="F1458" s="681" t="s">
        <v>896</v>
      </c>
      <c r="G1458" s="681" t="s">
        <v>1909</v>
      </c>
      <c r="H1458" s="683"/>
      <c r="I1458" s="689"/>
      <c r="J1458" s="697" t="s">
        <v>876</v>
      </c>
      <c r="K1458" s="685"/>
      <c r="L1458" s="689">
        <v>61</v>
      </c>
      <c r="M1458" s="683">
        <v>27</v>
      </c>
      <c r="N1458" s="706">
        <v>3</v>
      </c>
      <c r="O1458" s="645"/>
      <c r="P1458" s="297"/>
      <c r="Q1458" s="297"/>
      <c r="R1458" s="297"/>
      <c r="S1458" s="297"/>
      <c r="T1458" s="297"/>
      <c r="U1458" s="297"/>
      <c r="V1458" s="305"/>
      <c r="W1458" s="305"/>
      <c r="X1458" s="305"/>
      <c r="Y1458" s="305"/>
      <c r="Z1458" s="305"/>
      <c r="AA1458" s="305"/>
      <c r="AB1458" s="305"/>
      <c r="AC1458" s="305"/>
      <c r="AD1458" s="305"/>
      <c r="AE1458" s="305"/>
      <c r="AF1458" s="305"/>
      <c r="AG1458" s="305"/>
      <c r="AH1458" s="305"/>
      <c r="AI1458" s="305"/>
      <c r="AJ1458" s="305"/>
      <c r="AK1458" s="305"/>
      <c r="AL1458" s="305"/>
      <c r="AM1458" s="305"/>
      <c r="AN1458" s="305"/>
      <c r="AO1458" s="305"/>
      <c r="AP1458" s="305"/>
      <c r="AQ1458" s="305"/>
      <c r="AR1458" s="305"/>
      <c r="AS1458" s="305"/>
      <c r="AT1458" s="305"/>
      <c r="AU1458" s="305"/>
      <c r="AV1458" s="305"/>
      <c r="AW1458" s="305"/>
      <c r="AX1458" s="305"/>
      <c r="AY1458" s="305"/>
      <c r="AZ1458" s="305"/>
      <c r="BA1458" s="305"/>
      <c r="BB1458" s="305"/>
      <c r="BC1458" s="305"/>
      <c r="BD1458" s="305"/>
      <c r="BE1458" s="305"/>
      <c r="BF1458" s="305"/>
      <c r="BG1458" s="305"/>
      <c r="BH1458" s="305"/>
      <c r="BI1458" s="305"/>
      <c r="BJ1458" s="305"/>
      <c r="BK1458" s="305"/>
      <c r="BL1458" s="305"/>
      <c r="BM1458" s="305"/>
      <c r="BN1458" s="305"/>
      <c r="BO1458" s="305"/>
      <c r="BP1458" s="305"/>
      <c r="BQ1458" s="305"/>
      <c r="BR1458" s="305"/>
      <c r="BS1458" s="305"/>
      <c r="BT1458" s="305"/>
      <c r="BU1458" s="305"/>
      <c r="BV1458" s="305"/>
      <c r="BW1458" s="305"/>
      <c r="BX1458" s="305"/>
      <c r="BY1458" s="305"/>
      <c r="BZ1458" s="305"/>
      <c r="CA1458" s="305"/>
      <c r="CB1458" s="305"/>
      <c r="CC1458" s="305"/>
      <c r="CD1458" s="305"/>
      <c r="CE1458" s="305"/>
      <c r="CF1458" s="305"/>
      <c r="CG1458" s="305"/>
      <c r="CH1458" s="305"/>
      <c r="CI1458" s="305"/>
      <c r="CJ1458" s="305"/>
      <c r="CK1458" s="305"/>
      <c r="CL1458" s="305"/>
      <c r="CM1458" s="305"/>
      <c r="CN1458" s="305"/>
      <c r="CO1458" s="305"/>
      <c r="CP1458" s="305"/>
      <c r="CQ1458" s="305"/>
      <c r="CR1458" s="305"/>
      <c r="CS1458" s="305"/>
      <c r="CT1458" s="305"/>
      <c r="CU1458" s="305"/>
      <c r="CV1458" s="305"/>
      <c r="CW1458" s="305"/>
      <c r="CX1458" s="305"/>
      <c r="CY1458" s="305"/>
      <c r="CZ1458" s="305"/>
      <c r="DA1458" s="305"/>
      <c r="DB1458" s="305"/>
      <c r="DC1458" s="305"/>
      <c r="DD1458" s="305"/>
      <c r="DE1458" s="305"/>
      <c r="DF1458" s="305"/>
      <c r="DG1458" s="305"/>
      <c r="DH1458" s="305"/>
      <c r="DI1458" s="305"/>
      <c r="DJ1458" s="305"/>
      <c r="DK1458" s="305"/>
      <c r="DL1458" s="305"/>
      <c r="DM1458" s="305"/>
      <c r="DN1458" s="305"/>
      <c r="DO1458" s="305"/>
      <c r="DP1458" s="305"/>
      <c r="DQ1458" s="305"/>
      <c r="DR1458" s="305"/>
      <c r="DS1458" s="305"/>
      <c r="DT1458" s="305"/>
      <c r="DU1458" s="305"/>
      <c r="DV1458" s="305"/>
      <c r="DW1458" s="305"/>
      <c r="DX1458" s="305"/>
      <c r="DY1458" s="305"/>
      <c r="DZ1458" s="305"/>
      <c r="EA1458" s="305"/>
      <c r="EB1458" s="305"/>
      <c r="EC1458" s="305"/>
      <c r="ED1458" s="305"/>
      <c r="EE1458" s="305"/>
      <c r="EF1458" s="305"/>
      <c r="EG1458" s="305"/>
      <c r="EH1458" s="305"/>
      <c r="EI1458" s="305"/>
      <c r="EJ1458" s="305"/>
      <c r="EK1458" s="305"/>
      <c r="EL1458" s="305"/>
      <c r="EM1458" s="305"/>
      <c r="EN1458" s="305"/>
      <c r="EO1458" s="305"/>
      <c r="EP1458" s="305"/>
      <c r="EQ1458" s="305"/>
      <c r="ER1458" s="305"/>
      <c r="ES1458" s="305"/>
      <c r="ET1458" s="305"/>
      <c r="EU1458" s="305"/>
      <c r="EV1458" s="305"/>
      <c r="EW1458" s="305"/>
      <c r="EX1458" s="305"/>
      <c r="EY1458" s="305"/>
      <c r="EZ1458" s="305"/>
      <c r="FA1458" s="305"/>
      <c r="FB1458" s="305"/>
      <c r="FC1458" s="305"/>
      <c r="FD1458" s="305"/>
      <c r="FE1458" s="305"/>
      <c r="FF1458" s="305"/>
      <c r="FG1458" s="305"/>
      <c r="FH1458" s="305"/>
      <c r="FI1458" s="305"/>
      <c r="FJ1458" s="305"/>
      <c r="FK1458" s="305"/>
      <c r="FL1458" s="305"/>
      <c r="FM1458" s="305"/>
      <c r="FN1458" s="305"/>
      <c r="FO1458" s="305"/>
      <c r="FP1458" s="305"/>
      <c r="FQ1458" s="305"/>
      <c r="FR1458" s="305"/>
      <c r="FS1458" s="305"/>
      <c r="FT1458" s="305"/>
      <c r="FU1458" s="305"/>
      <c r="FV1458" s="305"/>
      <c r="FW1458" s="305"/>
      <c r="FX1458" s="305"/>
      <c r="FY1458" s="305"/>
      <c r="FZ1458" s="305"/>
      <c r="GA1458" s="305"/>
      <c r="GB1458" s="305"/>
      <c r="GC1458" s="305"/>
      <c r="GD1458" s="305"/>
      <c r="GE1458" s="305"/>
      <c r="GF1458" s="305"/>
      <c r="GG1458" s="305"/>
      <c r="GH1458" s="305"/>
      <c r="GI1458" s="305"/>
      <c r="GJ1458" s="305"/>
      <c r="GK1458" s="305"/>
      <c r="GL1458" s="305"/>
      <c r="GM1458" s="305"/>
      <c r="GN1458" s="305"/>
      <c r="GO1458" s="305"/>
      <c r="GP1458" s="305"/>
      <c r="GQ1458" s="305"/>
      <c r="GR1458" s="305"/>
      <c r="GS1458" s="305"/>
      <c r="GT1458" s="305"/>
      <c r="GU1458" s="305"/>
      <c r="GV1458" s="305"/>
      <c r="GW1458" s="305"/>
      <c r="GX1458" s="305"/>
      <c r="GY1458" s="305"/>
      <c r="GZ1458" s="305"/>
      <c r="HA1458" s="305"/>
      <c r="HB1458" s="305"/>
      <c r="HC1458" s="305"/>
      <c r="HD1458" s="305"/>
      <c r="HE1458" s="305"/>
      <c r="HF1458" s="305"/>
      <c r="HG1458" s="305"/>
      <c r="HH1458" s="305"/>
      <c r="HI1458" s="305"/>
      <c r="HJ1458" s="305"/>
      <c r="HK1458" s="305"/>
      <c r="HL1458" s="305"/>
      <c r="HM1458" s="305"/>
    </row>
    <row r="1459" spans="1:221" s="479" customFormat="1">
      <c r="A1459" s="703" t="s">
        <v>324</v>
      </c>
      <c r="B1459" s="1272" t="s">
        <v>113</v>
      </c>
      <c r="C1459" s="1273" t="s">
        <v>897</v>
      </c>
      <c r="D1459" s="1274"/>
      <c r="E1459" s="1255">
        <v>30.5</v>
      </c>
      <c r="F1459" s="681" t="s">
        <v>883</v>
      </c>
      <c r="G1459" s="681" t="s">
        <v>1909</v>
      </c>
      <c r="H1459" s="683"/>
      <c r="I1459" s="689"/>
      <c r="J1459" s="697" t="s">
        <v>876</v>
      </c>
      <c r="K1459" s="685"/>
      <c r="L1459" s="689">
        <v>52.5</v>
      </c>
      <c r="M1459" s="683">
        <v>22.5</v>
      </c>
      <c r="N1459" s="706">
        <v>4</v>
      </c>
      <c r="O1459" s="645"/>
      <c r="P1459" s="297"/>
      <c r="Q1459" s="297"/>
      <c r="R1459" s="297"/>
      <c r="S1459" s="297"/>
      <c r="T1459" s="297"/>
      <c r="U1459" s="297"/>
      <c r="V1459" s="305"/>
      <c r="W1459" s="305"/>
      <c r="X1459" s="305"/>
      <c r="Y1459" s="305"/>
      <c r="Z1459" s="305"/>
      <c r="AA1459" s="305"/>
      <c r="AB1459" s="305"/>
      <c r="AC1459" s="305"/>
      <c r="AD1459" s="305"/>
      <c r="AE1459" s="305"/>
      <c r="AF1459" s="305"/>
      <c r="AG1459" s="305"/>
      <c r="AH1459" s="305"/>
      <c r="AI1459" s="305"/>
      <c r="AJ1459" s="305"/>
      <c r="AK1459" s="305"/>
      <c r="AL1459" s="305"/>
      <c r="AM1459" s="305"/>
      <c r="AN1459" s="305"/>
      <c r="AO1459" s="305"/>
      <c r="AP1459" s="305"/>
      <c r="AQ1459" s="305"/>
      <c r="AR1459" s="305"/>
      <c r="AS1459" s="305"/>
      <c r="AT1459" s="305"/>
      <c r="AU1459" s="305"/>
      <c r="AV1459" s="305"/>
      <c r="AW1459" s="305"/>
      <c r="AX1459" s="305"/>
      <c r="AY1459" s="305"/>
      <c r="AZ1459" s="305"/>
      <c r="BA1459" s="305"/>
      <c r="BB1459" s="305"/>
      <c r="BC1459" s="305"/>
      <c r="BD1459" s="305"/>
      <c r="BE1459" s="305"/>
      <c r="BF1459" s="305"/>
      <c r="BG1459" s="305"/>
      <c r="BH1459" s="305"/>
      <c r="BI1459" s="305"/>
      <c r="BJ1459" s="305"/>
      <c r="BK1459" s="305"/>
      <c r="BL1459" s="305"/>
      <c r="BM1459" s="305"/>
      <c r="BN1459" s="305"/>
      <c r="BO1459" s="305"/>
      <c r="BP1459" s="305"/>
      <c r="BQ1459" s="305"/>
      <c r="BR1459" s="305"/>
      <c r="BS1459" s="305"/>
      <c r="BT1459" s="305"/>
      <c r="BU1459" s="305"/>
      <c r="BV1459" s="305"/>
      <c r="BW1459" s="305"/>
      <c r="BX1459" s="305"/>
      <c r="BY1459" s="305"/>
      <c r="BZ1459" s="305"/>
      <c r="CA1459" s="305"/>
      <c r="CB1459" s="305"/>
      <c r="CC1459" s="305"/>
      <c r="CD1459" s="305"/>
      <c r="CE1459" s="305"/>
      <c r="CF1459" s="305"/>
      <c r="CG1459" s="305"/>
      <c r="CH1459" s="305"/>
      <c r="CI1459" s="305"/>
      <c r="CJ1459" s="305"/>
      <c r="CK1459" s="305"/>
      <c r="CL1459" s="305"/>
      <c r="CM1459" s="305"/>
      <c r="CN1459" s="305"/>
      <c r="CO1459" s="305"/>
      <c r="CP1459" s="305"/>
      <c r="CQ1459" s="305"/>
      <c r="CR1459" s="305"/>
      <c r="CS1459" s="305"/>
      <c r="CT1459" s="305"/>
      <c r="CU1459" s="305"/>
      <c r="CV1459" s="305"/>
      <c r="CW1459" s="305"/>
      <c r="CX1459" s="305"/>
      <c r="CY1459" s="305"/>
      <c r="CZ1459" s="305"/>
      <c r="DA1459" s="305"/>
      <c r="DB1459" s="305"/>
      <c r="DC1459" s="305"/>
      <c r="DD1459" s="305"/>
      <c r="DE1459" s="305"/>
      <c r="DF1459" s="305"/>
      <c r="DG1459" s="305"/>
      <c r="DH1459" s="305"/>
      <c r="DI1459" s="305"/>
      <c r="DJ1459" s="305"/>
      <c r="DK1459" s="305"/>
      <c r="DL1459" s="305"/>
      <c r="DM1459" s="305"/>
      <c r="DN1459" s="305"/>
      <c r="DO1459" s="305"/>
      <c r="DP1459" s="305"/>
      <c r="DQ1459" s="305"/>
      <c r="DR1459" s="305"/>
      <c r="DS1459" s="305"/>
      <c r="DT1459" s="305"/>
      <c r="DU1459" s="305"/>
      <c r="DV1459" s="305"/>
      <c r="DW1459" s="305"/>
      <c r="DX1459" s="305"/>
      <c r="DY1459" s="305"/>
      <c r="DZ1459" s="305"/>
      <c r="EA1459" s="305"/>
      <c r="EB1459" s="305"/>
      <c r="EC1459" s="305"/>
      <c r="ED1459" s="305"/>
      <c r="EE1459" s="305"/>
      <c r="EF1459" s="305"/>
      <c r="EG1459" s="305"/>
      <c r="EH1459" s="305"/>
      <c r="EI1459" s="305"/>
      <c r="EJ1459" s="305"/>
      <c r="EK1459" s="305"/>
      <c r="EL1459" s="305"/>
      <c r="EM1459" s="305"/>
      <c r="EN1459" s="305"/>
      <c r="EO1459" s="305"/>
      <c r="EP1459" s="305"/>
      <c r="EQ1459" s="305"/>
      <c r="ER1459" s="305"/>
      <c r="ES1459" s="305"/>
      <c r="ET1459" s="305"/>
      <c r="EU1459" s="305"/>
      <c r="EV1459" s="305"/>
      <c r="EW1459" s="305"/>
      <c r="EX1459" s="305"/>
      <c r="EY1459" s="305"/>
      <c r="EZ1459" s="305"/>
      <c r="FA1459" s="305"/>
      <c r="FB1459" s="305"/>
      <c r="FC1459" s="305"/>
      <c r="FD1459" s="305"/>
      <c r="FE1459" s="305"/>
      <c r="FF1459" s="305"/>
      <c r="FG1459" s="305"/>
      <c r="FH1459" s="305"/>
      <c r="FI1459" s="305"/>
      <c r="FJ1459" s="305"/>
      <c r="FK1459" s="305"/>
      <c r="FL1459" s="305"/>
      <c r="FM1459" s="305"/>
      <c r="FN1459" s="305"/>
      <c r="FO1459" s="305"/>
      <c r="FP1459" s="305"/>
      <c r="FQ1459" s="305"/>
      <c r="FR1459" s="305"/>
      <c r="FS1459" s="305"/>
      <c r="FT1459" s="305"/>
      <c r="FU1459" s="305"/>
      <c r="FV1459" s="305"/>
      <c r="FW1459" s="305"/>
      <c r="FX1459" s="305"/>
      <c r="FY1459" s="305"/>
      <c r="FZ1459" s="305"/>
      <c r="GA1459" s="305"/>
      <c r="GB1459" s="305"/>
      <c r="GC1459" s="305"/>
      <c r="GD1459" s="305"/>
      <c r="GE1459" s="305"/>
      <c r="GF1459" s="305"/>
      <c r="GG1459" s="305"/>
      <c r="GH1459" s="305"/>
      <c r="GI1459" s="305"/>
      <c r="GJ1459" s="305"/>
      <c r="GK1459" s="305"/>
      <c r="GL1459" s="305"/>
      <c r="GM1459" s="305"/>
      <c r="GN1459" s="305"/>
      <c r="GO1459" s="305"/>
      <c r="GP1459" s="305"/>
      <c r="GQ1459" s="305"/>
      <c r="GR1459" s="305"/>
      <c r="GS1459" s="305"/>
      <c r="GT1459" s="305"/>
      <c r="GU1459" s="305"/>
      <c r="GV1459" s="305"/>
      <c r="GW1459" s="305"/>
      <c r="GX1459" s="305"/>
      <c r="GY1459" s="305"/>
      <c r="GZ1459" s="305"/>
      <c r="HA1459" s="305"/>
      <c r="HB1459" s="305"/>
      <c r="HC1459" s="305"/>
      <c r="HD1459" s="305"/>
      <c r="HE1459" s="305"/>
      <c r="HF1459" s="305"/>
      <c r="HG1459" s="305"/>
      <c r="HH1459" s="305"/>
      <c r="HI1459" s="305"/>
      <c r="HJ1459" s="305"/>
      <c r="HK1459" s="305"/>
      <c r="HL1459" s="305"/>
      <c r="HM1459" s="305"/>
    </row>
    <row r="1460" spans="1:221" s="479" customFormat="1">
      <c r="A1460" s="703"/>
      <c r="B1460" s="1272" t="s">
        <v>113</v>
      </c>
      <c r="C1460" s="1287" t="s">
        <v>56</v>
      </c>
      <c r="D1460" s="1274"/>
      <c r="E1460" s="1255">
        <v>86.5</v>
      </c>
      <c r="F1460" s="681"/>
      <c r="G1460" s="681" t="s">
        <v>1909</v>
      </c>
      <c r="H1460" s="683"/>
      <c r="I1460" s="689"/>
      <c r="J1460" s="697" t="s">
        <v>876</v>
      </c>
      <c r="K1460" s="685"/>
      <c r="L1460" s="689">
        <v>156</v>
      </c>
      <c r="M1460" s="683">
        <v>69.5</v>
      </c>
      <c r="N1460" s="706">
        <v>6.5</v>
      </c>
      <c r="O1460" s="645"/>
      <c r="P1460" s="297"/>
      <c r="Q1460" s="297"/>
      <c r="R1460" s="297"/>
      <c r="S1460" s="297"/>
      <c r="T1460" s="297"/>
      <c r="U1460" s="297"/>
      <c r="V1460" s="305"/>
      <c r="W1460" s="305"/>
      <c r="X1460" s="305"/>
      <c r="Y1460" s="305"/>
      <c r="Z1460" s="305"/>
      <c r="AA1460" s="305"/>
      <c r="AB1460" s="305"/>
      <c r="AC1460" s="305"/>
      <c r="AD1460" s="305"/>
      <c r="AE1460" s="305"/>
      <c r="AF1460" s="305"/>
      <c r="AG1460" s="305"/>
      <c r="AH1460" s="305"/>
      <c r="AI1460" s="305"/>
      <c r="AJ1460" s="305"/>
      <c r="AK1460" s="305"/>
      <c r="AL1460" s="305"/>
      <c r="AM1460" s="305"/>
      <c r="AN1460" s="305"/>
      <c r="AO1460" s="305"/>
      <c r="AP1460" s="305"/>
      <c r="AQ1460" s="305"/>
      <c r="AR1460" s="305"/>
      <c r="AS1460" s="305"/>
      <c r="AT1460" s="305"/>
      <c r="AU1460" s="305"/>
      <c r="AV1460" s="305"/>
      <c r="AW1460" s="305"/>
      <c r="AX1460" s="305"/>
      <c r="AY1460" s="305"/>
      <c r="AZ1460" s="305"/>
      <c r="BA1460" s="305"/>
      <c r="BB1460" s="305"/>
      <c r="BC1460" s="305"/>
      <c r="BD1460" s="305"/>
      <c r="BE1460" s="305"/>
      <c r="BF1460" s="305"/>
      <c r="BG1460" s="305"/>
      <c r="BH1460" s="305"/>
      <c r="BI1460" s="305"/>
      <c r="BJ1460" s="305"/>
      <c r="BK1460" s="305"/>
      <c r="BL1460" s="305"/>
      <c r="BM1460" s="305"/>
      <c r="BN1460" s="305"/>
      <c r="BO1460" s="305"/>
      <c r="BP1460" s="305"/>
      <c r="BQ1460" s="305"/>
      <c r="BR1460" s="305"/>
      <c r="BS1460" s="305"/>
      <c r="BT1460" s="305"/>
      <c r="BU1460" s="305"/>
      <c r="BV1460" s="305"/>
      <c r="BW1460" s="305"/>
      <c r="BX1460" s="305"/>
      <c r="BY1460" s="305"/>
      <c r="BZ1460" s="305"/>
      <c r="CA1460" s="305"/>
      <c r="CB1460" s="305"/>
      <c r="CC1460" s="305"/>
      <c r="CD1460" s="305"/>
      <c r="CE1460" s="305"/>
      <c r="CF1460" s="305"/>
      <c r="CG1460" s="305"/>
      <c r="CH1460" s="305"/>
      <c r="CI1460" s="305"/>
      <c r="CJ1460" s="305"/>
      <c r="CK1460" s="305"/>
      <c r="CL1460" s="305"/>
      <c r="CM1460" s="305"/>
      <c r="CN1460" s="305"/>
      <c r="CO1460" s="305"/>
      <c r="CP1460" s="305"/>
      <c r="CQ1460" s="305"/>
      <c r="CR1460" s="305"/>
      <c r="CS1460" s="305"/>
      <c r="CT1460" s="305"/>
      <c r="CU1460" s="305"/>
      <c r="CV1460" s="305"/>
      <c r="CW1460" s="305"/>
      <c r="CX1460" s="305"/>
      <c r="CY1460" s="305"/>
      <c r="CZ1460" s="305"/>
      <c r="DA1460" s="305"/>
      <c r="DB1460" s="305"/>
      <c r="DC1460" s="305"/>
      <c r="DD1460" s="305"/>
      <c r="DE1460" s="305"/>
      <c r="DF1460" s="305"/>
      <c r="DG1460" s="305"/>
      <c r="DH1460" s="305"/>
      <c r="DI1460" s="305"/>
      <c r="DJ1460" s="305"/>
      <c r="DK1460" s="305"/>
      <c r="DL1460" s="305"/>
      <c r="DM1460" s="305"/>
      <c r="DN1460" s="305"/>
      <c r="DO1460" s="305"/>
      <c r="DP1460" s="305"/>
      <c r="DQ1460" s="305"/>
      <c r="DR1460" s="305"/>
      <c r="DS1460" s="305"/>
      <c r="DT1460" s="305"/>
      <c r="DU1460" s="305"/>
      <c r="DV1460" s="305"/>
      <c r="DW1460" s="305"/>
      <c r="DX1460" s="305"/>
      <c r="DY1460" s="305"/>
      <c r="DZ1460" s="305"/>
      <c r="EA1460" s="305"/>
      <c r="EB1460" s="305"/>
      <c r="EC1460" s="305"/>
      <c r="ED1460" s="305"/>
      <c r="EE1460" s="305"/>
      <c r="EF1460" s="305"/>
      <c r="EG1460" s="305"/>
      <c r="EH1460" s="305"/>
      <c r="EI1460" s="305"/>
      <c r="EJ1460" s="305"/>
      <c r="EK1460" s="305"/>
      <c r="EL1460" s="305"/>
      <c r="EM1460" s="305"/>
      <c r="EN1460" s="305"/>
      <c r="EO1460" s="305"/>
      <c r="EP1460" s="305"/>
      <c r="EQ1460" s="305"/>
      <c r="ER1460" s="305"/>
      <c r="ES1460" s="305"/>
      <c r="ET1460" s="305"/>
      <c r="EU1460" s="305"/>
      <c r="EV1460" s="305"/>
      <c r="EW1460" s="305"/>
      <c r="EX1460" s="305"/>
      <c r="EY1460" s="305"/>
      <c r="EZ1460" s="305"/>
      <c r="FA1460" s="305"/>
      <c r="FB1460" s="305"/>
      <c r="FC1460" s="305"/>
      <c r="FD1460" s="305"/>
      <c r="FE1460" s="305"/>
      <c r="FF1460" s="305"/>
      <c r="FG1460" s="305"/>
      <c r="FH1460" s="305"/>
      <c r="FI1460" s="305"/>
      <c r="FJ1460" s="305"/>
      <c r="FK1460" s="305"/>
      <c r="FL1460" s="305"/>
      <c r="FM1460" s="305"/>
      <c r="FN1460" s="305"/>
      <c r="FO1460" s="305"/>
      <c r="FP1460" s="305"/>
      <c r="FQ1460" s="305"/>
      <c r="FR1460" s="305"/>
      <c r="FS1460" s="305"/>
      <c r="FT1460" s="305"/>
      <c r="FU1460" s="305"/>
      <c r="FV1460" s="305"/>
      <c r="FW1460" s="305"/>
      <c r="FX1460" s="305"/>
      <c r="FY1460" s="305"/>
      <c r="FZ1460" s="305"/>
      <c r="GA1460" s="305"/>
      <c r="GB1460" s="305"/>
      <c r="GC1460" s="305"/>
      <c r="GD1460" s="305"/>
      <c r="GE1460" s="305"/>
      <c r="GF1460" s="305"/>
      <c r="GG1460" s="305"/>
      <c r="GH1460" s="305"/>
      <c r="GI1460" s="305"/>
      <c r="GJ1460" s="305"/>
      <c r="GK1460" s="305"/>
      <c r="GL1460" s="305"/>
      <c r="GM1460" s="305"/>
      <c r="GN1460" s="305"/>
      <c r="GO1460" s="305"/>
      <c r="GP1460" s="305"/>
      <c r="GQ1460" s="305"/>
      <c r="GR1460" s="305"/>
      <c r="GS1460" s="305"/>
      <c r="GT1460" s="305"/>
      <c r="GU1460" s="305"/>
      <c r="GV1460" s="305"/>
      <c r="GW1460" s="305"/>
      <c r="GX1460" s="305"/>
      <c r="GY1460" s="305"/>
      <c r="GZ1460" s="305"/>
      <c r="HA1460" s="305"/>
      <c r="HB1460" s="305"/>
      <c r="HC1460" s="305"/>
      <c r="HD1460" s="305"/>
      <c r="HE1460" s="305"/>
      <c r="HF1460" s="305"/>
      <c r="HG1460" s="305"/>
      <c r="HH1460" s="305"/>
      <c r="HI1460" s="305"/>
      <c r="HJ1460" s="305"/>
      <c r="HK1460" s="305"/>
      <c r="HL1460" s="305"/>
      <c r="HM1460" s="305"/>
    </row>
    <row r="1461" spans="1:221" s="479" customFormat="1">
      <c r="A1461" s="703" t="s">
        <v>38</v>
      </c>
      <c r="B1461" s="1272" t="s">
        <v>113</v>
      </c>
      <c r="C1461" s="1287" t="s">
        <v>56</v>
      </c>
      <c r="D1461" s="1274"/>
      <c r="E1461" s="1255">
        <v>72.5</v>
      </c>
      <c r="F1461" s="681"/>
      <c r="G1461" s="681" t="s">
        <v>1909</v>
      </c>
      <c r="H1461" s="683"/>
      <c r="I1461" s="689"/>
      <c r="J1461" s="697" t="s">
        <v>876</v>
      </c>
      <c r="K1461" s="685"/>
      <c r="L1461" s="689">
        <v>128</v>
      </c>
      <c r="M1461" s="683">
        <v>55.5</v>
      </c>
      <c r="N1461" s="706">
        <v>6.5</v>
      </c>
      <c r="O1461" s="645"/>
      <c r="P1461" s="297"/>
      <c r="Q1461" s="297"/>
      <c r="R1461" s="297"/>
      <c r="S1461" s="297"/>
      <c r="T1461" s="297"/>
      <c r="U1461" s="297"/>
      <c r="V1461" s="305"/>
      <c r="W1461" s="305"/>
      <c r="X1461" s="305"/>
      <c r="Y1461" s="305"/>
      <c r="Z1461" s="305"/>
      <c r="AA1461" s="305"/>
      <c r="AB1461" s="305"/>
      <c r="AC1461" s="305"/>
      <c r="AD1461" s="305"/>
      <c r="AE1461" s="305"/>
      <c r="AF1461" s="305"/>
      <c r="AG1461" s="305"/>
      <c r="AH1461" s="305"/>
      <c r="AI1461" s="305"/>
      <c r="AJ1461" s="305"/>
      <c r="AK1461" s="305"/>
      <c r="AL1461" s="305"/>
      <c r="AM1461" s="305"/>
      <c r="AN1461" s="305"/>
      <c r="AO1461" s="305"/>
      <c r="AP1461" s="305"/>
      <c r="AQ1461" s="305"/>
      <c r="AR1461" s="305"/>
      <c r="AS1461" s="305"/>
      <c r="AT1461" s="305"/>
      <c r="AU1461" s="305"/>
      <c r="AV1461" s="305"/>
      <c r="AW1461" s="305"/>
      <c r="AX1461" s="305"/>
      <c r="AY1461" s="305"/>
      <c r="AZ1461" s="305"/>
      <c r="BA1461" s="305"/>
      <c r="BB1461" s="305"/>
      <c r="BC1461" s="305"/>
      <c r="BD1461" s="305"/>
      <c r="BE1461" s="305"/>
      <c r="BF1461" s="305"/>
      <c r="BG1461" s="305"/>
      <c r="BH1461" s="305"/>
      <c r="BI1461" s="305"/>
      <c r="BJ1461" s="305"/>
      <c r="BK1461" s="305"/>
      <c r="BL1461" s="305"/>
      <c r="BM1461" s="305"/>
      <c r="BN1461" s="305"/>
      <c r="BO1461" s="305"/>
      <c r="BP1461" s="305"/>
      <c r="BQ1461" s="305"/>
      <c r="BR1461" s="305"/>
      <c r="BS1461" s="305"/>
      <c r="BT1461" s="305"/>
      <c r="BU1461" s="305"/>
      <c r="BV1461" s="305"/>
      <c r="BW1461" s="305"/>
      <c r="BX1461" s="305"/>
      <c r="BY1461" s="305"/>
      <c r="BZ1461" s="305"/>
      <c r="CA1461" s="305"/>
      <c r="CB1461" s="305"/>
      <c r="CC1461" s="305"/>
      <c r="CD1461" s="305"/>
      <c r="CE1461" s="305"/>
      <c r="CF1461" s="305"/>
      <c r="CG1461" s="305"/>
      <c r="CH1461" s="305"/>
      <c r="CI1461" s="305"/>
      <c r="CJ1461" s="305"/>
      <c r="CK1461" s="305"/>
      <c r="CL1461" s="305"/>
      <c r="CM1461" s="305"/>
      <c r="CN1461" s="305"/>
      <c r="CO1461" s="305"/>
      <c r="CP1461" s="305"/>
      <c r="CQ1461" s="305"/>
      <c r="CR1461" s="305"/>
      <c r="CS1461" s="305"/>
      <c r="CT1461" s="305"/>
      <c r="CU1461" s="305"/>
      <c r="CV1461" s="305"/>
      <c r="CW1461" s="305"/>
      <c r="CX1461" s="305"/>
      <c r="CY1461" s="305"/>
      <c r="CZ1461" s="305"/>
      <c r="DA1461" s="305"/>
      <c r="DB1461" s="305"/>
      <c r="DC1461" s="305"/>
      <c r="DD1461" s="305"/>
      <c r="DE1461" s="305"/>
      <c r="DF1461" s="305"/>
      <c r="DG1461" s="305"/>
      <c r="DH1461" s="305"/>
      <c r="DI1461" s="305"/>
      <c r="DJ1461" s="305"/>
      <c r="DK1461" s="305"/>
      <c r="DL1461" s="305"/>
      <c r="DM1461" s="305"/>
      <c r="DN1461" s="305"/>
      <c r="DO1461" s="305"/>
      <c r="DP1461" s="305"/>
      <c r="DQ1461" s="305"/>
      <c r="DR1461" s="305"/>
      <c r="DS1461" s="305"/>
      <c r="DT1461" s="305"/>
      <c r="DU1461" s="305"/>
      <c r="DV1461" s="305"/>
      <c r="DW1461" s="305"/>
      <c r="DX1461" s="305"/>
      <c r="DY1461" s="305"/>
      <c r="DZ1461" s="305"/>
      <c r="EA1461" s="305"/>
      <c r="EB1461" s="305"/>
      <c r="EC1461" s="305"/>
      <c r="ED1461" s="305"/>
      <c r="EE1461" s="305"/>
      <c r="EF1461" s="305"/>
      <c r="EG1461" s="305"/>
      <c r="EH1461" s="305"/>
      <c r="EI1461" s="305"/>
      <c r="EJ1461" s="305"/>
      <c r="EK1461" s="305"/>
      <c r="EL1461" s="305"/>
      <c r="EM1461" s="305"/>
      <c r="EN1461" s="305"/>
      <c r="EO1461" s="305"/>
      <c r="EP1461" s="305"/>
      <c r="EQ1461" s="305"/>
      <c r="ER1461" s="305"/>
      <c r="ES1461" s="305"/>
      <c r="ET1461" s="305"/>
      <c r="EU1461" s="305"/>
      <c r="EV1461" s="305"/>
      <c r="EW1461" s="305"/>
      <c r="EX1461" s="305"/>
      <c r="EY1461" s="305"/>
      <c r="EZ1461" s="305"/>
      <c r="FA1461" s="305"/>
      <c r="FB1461" s="305"/>
      <c r="FC1461" s="305"/>
      <c r="FD1461" s="305"/>
      <c r="FE1461" s="305"/>
      <c r="FF1461" s="305"/>
      <c r="FG1461" s="305"/>
      <c r="FH1461" s="305"/>
      <c r="FI1461" s="305"/>
      <c r="FJ1461" s="305"/>
      <c r="FK1461" s="305"/>
      <c r="FL1461" s="305"/>
      <c r="FM1461" s="305"/>
      <c r="FN1461" s="305"/>
      <c r="FO1461" s="305"/>
      <c r="FP1461" s="305"/>
      <c r="FQ1461" s="305"/>
      <c r="FR1461" s="305"/>
      <c r="FS1461" s="305"/>
      <c r="FT1461" s="305"/>
      <c r="FU1461" s="305"/>
      <c r="FV1461" s="305"/>
      <c r="FW1461" s="305"/>
      <c r="FX1461" s="305"/>
      <c r="FY1461" s="305"/>
      <c r="FZ1461" s="305"/>
      <c r="GA1461" s="305"/>
      <c r="GB1461" s="305"/>
      <c r="GC1461" s="305"/>
      <c r="GD1461" s="305"/>
      <c r="GE1461" s="305"/>
      <c r="GF1461" s="305"/>
      <c r="GG1461" s="305"/>
      <c r="GH1461" s="305"/>
      <c r="GI1461" s="305"/>
      <c r="GJ1461" s="305"/>
      <c r="GK1461" s="305"/>
      <c r="GL1461" s="305"/>
      <c r="GM1461" s="305"/>
      <c r="GN1461" s="305"/>
      <c r="GO1461" s="305"/>
      <c r="GP1461" s="305"/>
      <c r="GQ1461" s="305"/>
      <c r="GR1461" s="305"/>
      <c r="GS1461" s="305"/>
      <c r="GT1461" s="305"/>
      <c r="GU1461" s="305"/>
      <c r="GV1461" s="305"/>
      <c r="GW1461" s="305"/>
      <c r="GX1461" s="305"/>
      <c r="GY1461" s="305"/>
      <c r="GZ1461" s="305"/>
      <c r="HA1461" s="305"/>
      <c r="HB1461" s="305"/>
      <c r="HC1461" s="305"/>
      <c r="HD1461" s="305"/>
      <c r="HE1461" s="305"/>
      <c r="HF1461" s="305"/>
      <c r="HG1461" s="305"/>
      <c r="HH1461" s="305"/>
      <c r="HI1461" s="305"/>
      <c r="HJ1461" s="305"/>
      <c r="HK1461" s="305"/>
      <c r="HL1461" s="305"/>
      <c r="HM1461" s="305"/>
    </row>
    <row r="1462" spans="1:221" s="479" customFormat="1">
      <c r="A1462" s="703" t="s">
        <v>2385</v>
      </c>
      <c r="B1462" s="1272" t="s">
        <v>113</v>
      </c>
      <c r="C1462" s="1273" t="s">
        <v>567</v>
      </c>
      <c r="D1462" s="1274"/>
      <c r="E1462" s="1255">
        <v>44.5</v>
      </c>
      <c r="F1462" s="681" t="s">
        <v>2384</v>
      </c>
      <c r="G1462" s="681"/>
      <c r="H1462" s="683"/>
      <c r="I1462" s="689"/>
      <c r="J1462" s="697"/>
      <c r="K1462" s="685"/>
      <c r="L1462" s="689">
        <f>44.5+34.5</f>
        <v>79</v>
      </c>
      <c r="M1462" s="683">
        <v>34.5</v>
      </c>
      <c r="N1462" s="667">
        <v>4</v>
      </c>
      <c r="O1462" s="645"/>
    </row>
    <row r="1463" spans="1:221" s="479" customFormat="1">
      <c r="A1463" s="703" t="s">
        <v>2386</v>
      </c>
      <c r="B1463" s="1272" t="s">
        <v>113</v>
      </c>
      <c r="C1463" s="1273" t="s">
        <v>567</v>
      </c>
      <c r="D1463" s="1274"/>
      <c r="E1463" s="1255">
        <v>34.5</v>
      </c>
      <c r="F1463" s="681" t="s">
        <v>881</v>
      </c>
      <c r="G1463" s="681"/>
      <c r="H1463" s="683"/>
      <c r="I1463" s="689"/>
      <c r="J1463" s="697"/>
      <c r="K1463" s="685"/>
      <c r="L1463" s="689">
        <f>34.5+24.5</f>
        <v>59</v>
      </c>
      <c r="M1463" s="683">
        <v>24.5</v>
      </c>
      <c r="N1463" s="667">
        <v>4</v>
      </c>
      <c r="O1463" s="645"/>
    </row>
    <row r="1464" spans="1:221" s="305" customFormat="1">
      <c r="A1464" s="703" t="s">
        <v>324</v>
      </c>
      <c r="B1464" s="1272" t="s">
        <v>113</v>
      </c>
      <c r="C1464" s="1273" t="s">
        <v>900</v>
      </c>
      <c r="D1464" s="1274"/>
      <c r="E1464" s="1255">
        <v>25</v>
      </c>
      <c r="F1464" s="681"/>
      <c r="G1464" s="681" t="s">
        <v>1909</v>
      </c>
      <c r="H1464" s="683"/>
      <c r="I1464" s="689"/>
      <c r="J1464" s="697" t="s">
        <v>876</v>
      </c>
      <c r="K1464" s="685"/>
      <c r="L1464" s="689">
        <v>47</v>
      </c>
      <c r="M1464" s="683">
        <v>22</v>
      </c>
      <c r="N1464" s="706">
        <v>5</v>
      </c>
      <c r="O1464" s="645"/>
      <c r="P1464" s="482"/>
      <c r="Q1464" s="479"/>
      <c r="R1464" s="479"/>
      <c r="S1464" s="479"/>
      <c r="T1464" s="479"/>
      <c r="U1464" s="479"/>
      <c r="V1464" s="456"/>
      <c r="W1464" s="456"/>
      <c r="X1464" s="456"/>
      <c r="Y1464" s="456"/>
      <c r="Z1464" s="456"/>
      <c r="AA1464" s="456"/>
      <c r="AB1464" s="456"/>
      <c r="AC1464" s="456"/>
      <c r="AD1464" s="456"/>
      <c r="AE1464" s="456"/>
      <c r="AF1464" s="456"/>
      <c r="AG1464" s="456"/>
      <c r="AH1464" s="456"/>
      <c r="AI1464" s="456"/>
      <c r="AJ1464" s="456"/>
      <c r="AK1464" s="456"/>
      <c r="AL1464" s="456"/>
      <c r="AM1464" s="456"/>
      <c r="AN1464" s="456"/>
      <c r="AO1464" s="456"/>
      <c r="AP1464" s="456"/>
      <c r="AQ1464" s="456"/>
      <c r="AR1464" s="456"/>
      <c r="AS1464" s="456"/>
      <c r="AT1464" s="456"/>
      <c r="AU1464" s="456"/>
      <c r="AV1464" s="456"/>
      <c r="AW1464" s="456"/>
      <c r="AX1464" s="456"/>
      <c r="AY1464" s="456"/>
      <c r="AZ1464" s="456"/>
      <c r="BA1464" s="456"/>
      <c r="BB1464" s="456"/>
      <c r="BC1464" s="456"/>
      <c r="BD1464" s="456"/>
      <c r="BE1464" s="456"/>
      <c r="BF1464" s="456"/>
      <c r="BG1464" s="456"/>
      <c r="BH1464" s="456"/>
      <c r="BI1464" s="456"/>
      <c r="BJ1464" s="456"/>
      <c r="BK1464" s="456"/>
      <c r="BL1464" s="456"/>
      <c r="BM1464" s="456"/>
      <c r="BN1464" s="456"/>
      <c r="BO1464" s="456"/>
      <c r="BP1464" s="456"/>
      <c r="BQ1464" s="456"/>
      <c r="BR1464" s="456"/>
      <c r="BS1464" s="456"/>
      <c r="BT1464" s="456"/>
      <c r="BU1464" s="456"/>
      <c r="BV1464" s="456"/>
      <c r="BW1464" s="456"/>
      <c r="BX1464" s="456"/>
      <c r="BY1464" s="456"/>
      <c r="BZ1464" s="456"/>
      <c r="CA1464" s="456"/>
      <c r="CB1464" s="456"/>
      <c r="CC1464" s="456"/>
      <c r="CD1464" s="456"/>
      <c r="CE1464" s="456"/>
      <c r="CF1464" s="456"/>
      <c r="CG1464" s="456"/>
      <c r="CH1464" s="456"/>
      <c r="CI1464" s="456"/>
      <c r="CJ1464" s="456"/>
      <c r="CK1464" s="456"/>
      <c r="CL1464" s="456"/>
      <c r="CM1464" s="456"/>
      <c r="CN1464" s="456"/>
      <c r="CO1464" s="456"/>
      <c r="CP1464" s="456"/>
      <c r="CQ1464" s="456"/>
      <c r="CR1464" s="456"/>
      <c r="CS1464" s="456"/>
      <c r="CT1464" s="456"/>
      <c r="CU1464" s="456"/>
      <c r="CV1464" s="456"/>
      <c r="CW1464" s="456"/>
      <c r="CX1464" s="456"/>
      <c r="CY1464" s="456"/>
      <c r="CZ1464" s="456"/>
      <c r="DA1464" s="456"/>
      <c r="DB1464" s="456"/>
      <c r="DC1464" s="456"/>
      <c r="DD1464" s="456"/>
      <c r="DE1464" s="456"/>
      <c r="DF1464" s="456"/>
      <c r="DG1464" s="456"/>
      <c r="DH1464" s="456"/>
      <c r="DI1464" s="456"/>
      <c r="DJ1464" s="456"/>
      <c r="DK1464" s="456"/>
      <c r="DL1464" s="456"/>
      <c r="DM1464" s="456"/>
      <c r="DN1464" s="456"/>
      <c r="DO1464" s="456"/>
      <c r="DP1464" s="456"/>
      <c r="DQ1464" s="456"/>
      <c r="DR1464" s="456"/>
      <c r="DS1464" s="456"/>
      <c r="DT1464" s="456"/>
      <c r="DU1464" s="456"/>
      <c r="DV1464" s="456"/>
      <c r="DW1464" s="456"/>
      <c r="DX1464" s="456"/>
      <c r="DY1464" s="456"/>
      <c r="DZ1464" s="456"/>
      <c r="EA1464" s="456"/>
      <c r="EB1464" s="456"/>
      <c r="EC1464" s="456"/>
      <c r="ED1464" s="456"/>
      <c r="EE1464" s="456"/>
      <c r="EF1464" s="456"/>
      <c r="EG1464" s="456"/>
      <c r="EH1464" s="456"/>
      <c r="EI1464" s="456"/>
      <c r="EJ1464" s="456"/>
      <c r="EK1464" s="456"/>
      <c r="EL1464" s="456"/>
      <c r="EM1464" s="456"/>
      <c r="EN1464" s="456"/>
      <c r="EO1464" s="456"/>
      <c r="EP1464" s="456"/>
      <c r="EQ1464" s="456"/>
      <c r="ER1464" s="456"/>
      <c r="ES1464" s="456"/>
      <c r="ET1464" s="456"/>
      <c r="EU1464" s="456"/>
      <c r="EV1464" s="456"/>
      <c r="EW1464" s="456"/>
      <c r="EX1464" s="456"/>
      <c r="EY1464" s="456"/>
      <c r="EZ1464" s="456"/>
      <c r="FA1464" s="456"/>
      <c r="FB1464" s="456"/>
      <c r="FC1464" s="456"/>
      <c r="FD1464" s="456"/>
      <c r="FE1464" s="456"/>
      <c r="FF1464" s="456"/>
      <c r="FG1464" s="456"/>
      <c r="FH1464" s="456"/>
      <c r="FI1464" s="456"/>
      <c r="FJ1464" s="456"/>
      <c r="FK1464" s="456"/>
      <c r="FL1464" s="456"/>
      <c r="FM1464" s="456"/>
      <c r="FN1464" s="456"/>
      <c r="FO1464" s="456"/>
      <c r="FP1464" s="456"/>
      <c r="FQ1464" s="456"/>
      <c r="FR1464" s="456"/>
      <c r="FS1464" s="456"/>
      <c r="FT1464" s="456"/>
      <c r="FU1464" s="456"/>
      <c r="FV1464" s="456"/>
      <c r="FW1464" s="456"/>
      <c r="FX1464" s="456"/>
      <c r="FY1464" s="456"/>
      <c r="FZ1464" s="456"/>
      <c r="GA1464" s="456"/>
      <c r="GB1464" s="456"/>
      <c r="GC1464" s="456"/>
      <c r="GD1464" s="456"/>
      <c r="GE1464" s="456"/>
      <c r="GF1464" s="456"/>
      <c r="GG1464" s="456"/>
      <c r="GH1464" s="456"/>
      <c r="GI1464" s="456"/>
      <c r="GJ1464" s="456"/>
      <c r="GK1464" s="456"/>
      <c r="GL1464" s="456"/>
      <c r="GM1464" s="456"/>
      <c r="GN1464" s="456"/>
      <c r="GO1464" s="456"/>
      <c r="GP1464" s="456"/>
      <c r="GQ1464" s="456"/>
      <c r="GR1464" s="456"/>
      <c r="GS1464" s="456"/>
      <c r="GT1464" s="456"/>
      <c r="GU1464" s="456"/>
      <c r="GV1464" s="456"/>
      <c r="GW1464" s="456"/>
      <c r="GX1464" s="456"/>
      <c r="GY1464" s="456"/>
      <c r="GZ1464" s="456"/>
      <c r="HA1464" s="456"/>
      <c r="HB1464" s="456"/>
      <c r="HC1464" s="456"/>
      <c r="HD1464" s="456"/>
      <c r="HE1464" s="456"/>
      <c r="HF1464" s="456"/>
      <c r="HG1464" s="456"/>
      <c r="HH1464" s="456"/>
      <c r="HI1464" s="456"/>
      <c r="HJ1464" s="456"/>
      <c r="HK1464" s="456"/>
      <c r="HL1464" s="456"/>
      <c r="HM1464" s="456"/>
    </row>
    <row r="1465" spans="1:221" s="456" customFormat="1">
      <c r="A1465" s="703" t="s">
        <v>7</v>
      </c>
      <c r="B1465" s="1272" t="s">
        <v>113</v>
      </c>
      <c r="C1465" s="1273" t="s">
        <v>900</v>
      </c>
      <c r="D1465" s="1274"/>
      <c r="E1465" s="1255">
        <v>31</v>
      </c>
      <c r="F1465" s="681"/>
      <c r="G1465" s="681" t="s">
        <v>1909</v>
      </c>
      <c r="H1465" s="683"/>
      <c r="I1465" s="689"/>
      <c r="J1465" s="697" t="s">
        <v>876</v>
      </c>
      <c r="K1465" s="685"/>
      <c r="L1465" s="689">
        <v>53</v>
      </c>
      <c r="M1465" s="683">
        <v>22</v>
      </c>
      <c r="N1465" s="706">
        <v>5</v>
      </c>
      <c r="O1465" s="645"/>
      <c r="P1465" s="482"/>
      <c r="Q1465" s="479"/>
      <c r="R1465" s="479"/>
      <c r="S1465" s="479"/>
      <c r="T1465" s="479"/>
      <c r="U1465" s="479"/>
    </row>
    <row r="1466" spans="1:221" s="456" customFormat="1">
      <c r="A1466" s="703" t="s">
        <v>2387</v>
      </c>
      <c r="B1466" s="1272" t="s">
        <v>113</v>
      </c>
      <c r="C1466" s="1273" t="s">
        <v>400</v>
      </c>
      <c r="D1466" s="1274"/>
      <c r="E1466" s="1255">
        <v>62.5</v>
      </c>
      <c r="F1466" s="681"/>
      <c r="G1466" s="681"/>
      <c r="H1466" s="683"/>
      <c r="I1466" s="689"/>
      <c r="J1466" s="697" t="s">
        <v>2098</v>
      </c>
      <c r="K1466" s="685"/>
      <c r="L1466" s="689">
        <f>62.5+52.5</f>
        <v>115</v>
      </c>
      <c r="M1466" s="683">
        <v>52.5</v>
      </c>
      <c r="N1466" s="706">
        <v>6</v>
      </c>
      <c r="O1466" s="645"/>
      <c r="P1466" s="297"/>
      <c r="Q1466" s="297"/>
      <c r="R1466" s="297"/>
      <c r="S1466" s="297"/>
      <c r="T1466" s="297"/>
      <c r="U1466" s="297"/>
      <c r="V1466" s="305"/>
      <c r="W1466" s="305"/>
      <c r="X1466" s="305"/>
      <c r="Y1466" s="305"/>
      <c r="Z1466" s="305"/>
      <c r="AA1466" s="305"/>
      <c r="AB1466" s="305"/>
      <c r="AC1466" s="305"/>
      <c r="AD1466" s="305"/>
      <c r="AE1466" s="305"/>
      <c r="AF1466" s="305"/>
      <c r="AG1466" s="305"/>
      <c r="AH1466" s="305"/>
      <c r="AI1466" s="305"/>
      <c r="AJ1466" s="305"/>
      <c r="AK1466" s="305"/>
      <c r="AL1466" s="305"/>
      <c r="AM1466" s="305"/>
      <c r="AN1466" s="305"/>
      <c r="AO1466" s="305"/>
      <c r="AP1466" s="305"/>
      <c r="AQ1466" s="305"/>
      <c r="AR1466" s="305"/>
      <c r="AS1466" s="305"/>
      <c r="AT1466" s="305"/>
      <c r="AU1466" s="305"/>
      <c r="AV1466" s="305"/>
      <c r="AW1466" s="305"/>
      <c r="AX1466" s="305"/>
      <c r="AY1466" s="305"/>
      <c r="AZ1466" s="305"/>
      <c r="BA1466" s="305"/>
      <c r="BB1466" s="305"/>
      <c r="BC1466" s="305"/>
      <c r="BD1466" s="305"/>
      <c r="BE1466" s="305"/>
      <c r="BF1466" s="305"/>
      <c r="BG1466" s="305"/>
      <c r="BH1466" s="305"/>
      <c r="BI1466" s="305"/>
      <c r="BJ1466" s="305"/>
      <c r="BK1466" s="305"/>
      <c r="BL1466" s="305"/>
      <c r="BM1466" s="305"/>
      <c r="BN1466" s="305"/>
      <c r="BO1466" s="305"/>
      <c r="BP1466" s="305"/>
      <c r="BQ1466" s="305"/>
      <c r="BR1466" s="305"/>
      <c r="BS1466" s="305"/>
      <c r="BT1466" s="305"/>
      <c r="BU1466" s="305"/>
      <c r="BV1466" s="305"/>
      <c r="BW1466" s="305"/>
      <c r="BX1466" s="305"/>
      <c r="BY1466" s="305"/>
      <c r="BZ1466" s="305"/>
      <c r="CA1466" s="305"/>
      <c r="CB1466" s="305"/>
      <c r="CC1466" s="305"/>
      <c r="CD1466" s="305"/>
      <c r="CE1466" s="305"/>
      <c r="CF1466" s="305"/>
      <c r="CG1466" s="305"/>
      <c r="CH1466" s="305"/>
      <c r="CI1466" s="305"/>
      <c r="CJ1466" s="305"/>
      <c r="CK1466" s="305"/>
      <c r="CL1466" s="305"/>
      <c r="CM1466" s="305"/>
      <c r="CN1466" s="305"/>
      <c r="CO1466" s="305"/>
      <c r="CP1466" s="305"/>
      <c r="CQ1466" s="305"/>
      <c r="CR1466" s="305"/>
      <c r="CS1466" s="305"/>
      <c r="CT1466" s="305"/>
      <c r="CU1466" s="305"/>
      <c r="CV1466" s="305"/>
      <c r="CW1466" s="305"/>
      <c r="CX1466" s="305"/>
      <c r="CY1466" s="305"/>
      <c r="CZ1466" s="305"/>
      <c r="DA1466" s="305"/>
      <c r="DB1466" s="305"/>
      <c r="DC1466" s="305"/>
      <c r="DD1466" s="305"/>
      <c r="DE1466" s="305"/>
      <c r="DF1466" s="305"/>
      <c r="DG1466" s="305"/>
      <c r="DH1466" s="305"/>
      <c r="DI1466" s="305"/>
      <c r="DJ1466" s="305"/>
      <c r="DK1466" s="305"/>
      <c r="DL1466" s="305"/>
      <c r="DM1466" s="305"/>
      <c r="DN1466" s="305"/>
      <c r="DO1466" s="305"/>
      <c r="DP1466" s="305"/>
      <c r="DQ1466" s="305"/>
      <c r="DR1466" s="305"/>
      <c r="DS1466" s="305"/>
      <c r="DT1466" s="305"/>
      <c r="DU1466" s="305"/>
      <c r="DV1466" s="305"/>
      <c r="DW1466" s="305"/>
      <c r="DX1466" s="305"/>
      <c r="DY1466" s="305"/>
      <c r="DZ1466" s="305"/>
      <c r="EA1466" s="305"/>
      <c r="EB1466" s="305"/>
      <c r="EC1466" s="305"/>
      <c r="ED1466" s="305"/>
      <c r="EE1466" s="305"/>
      <c r="EF1466" s="305"/>
      <c r="EG1466" s="305"/>
      <c r="EH1466" s="305"/>
      <c r="EI1466" s="305"/>
      <c r="EJ1466" s="305"/>
      <c r="EK1466" s="305"/>
      <c r="EL1466" s="305"/>
      <c r="EM1466" s="305"/>
      <c r="EN1466" s="305"/>
      <c r="EO1466" s="305"/>
      <c r="EP1466" s="305"/>
      <c r="EQ1466" s="305"/>
      <c r="ER1466" s="305"/>
      <c r="ES1466" s="305"/>
      <c r="ET1466" s="305"/>
      <c r="EU1466" s="305"/>
      <c r="EV1466" s="305"/>
      <c r="EW1466" s="305"/>
      <c r="EX1466" s="305"/>
      <c r="EY1466" s="305"/>
      <c r="EZ1466" s="305"/>
      <c r="FA1466" s="305"/>
      <c r="FB1466" s="305"/>
      <c r="FC1466" s="305"/>
      <c r="FD1466" s="305"/>
      <c r="FE1466" s="305"/>
      <c r="FF1466" s="305"/>
      <c r="FG1466" s="305"/>
      <c r="FH1466" s="305"/>
      <c r="FI1466" s="305"/>
      <c r="FJ1466" s="305"/>
      <c r="FK1466" s="305"/>
      <c r="FL1466" s="305"/>
      <c r="FM1466" s="305"/>
      <c r="FN1466" s="305"/>
      <c r="FO1466" s="305"/>
      <c r="FP1466" s="305"/>
      <c r="FQ1466" s="305"/>
      <c r="FR1466" s="305"/>
      <c r="FS1466" s="305"/>
      <c r="FT1466" s="305"/>
      <c r="FU1466" s="305"/>
      <c r="FV1466" s="305"/>
      <c r="FW1466" s="305"/>
      <c r="FX1466" s="305"/>
      <c r="FY1466" s="305"/>
      <c r="FZ1466" s="305"/>
      <c r="GA1466" s="305"/>
      <c r="GB1466" s="305"/>
      <c r="GC1466" s="305"/>
      <c r="GD1466" s="305"/>
      <c r="GE1466" s="305"/>
      <c r="GF1466" s="305"/>
      <c r="GG1466" s="305"/>
      <c r="GH1466" s="305"/>
      <c r="GI1466" s="305"/>
      <c r="GJ1466" s="305"/>
      <c r="GK1466" s="305"/>
      <c r="GL1466" s="305"/>
      <c r="GM1466" s="305"/>
      <c r="GN1466" s="305"/>
      <c r="GO1466" s="305"/>
      <c r="GP1466" s="305"/>
      <c r="GQ1466" s="305"/>
      <c r="GR1466" s="305"/>
      <c r="GS1466" s="305"/>
      <c r="GT1466" s="305"/>
      <c r="GU1466" s="305"/>
      <c r="GV1466" s="305"/>
      <c r="GW1466" s="305"/>
      <c r="GX1466" s="305"/>
      <c r="GY1466" s="305"/>
      <c r="GZ1466" s="305"/>
      <c r="HA1466" s="305"/>
      <c r="HB1466" s="305"/>
      <c r="HC1466" s="305"/>
      <c r="HD1466" s="305"/>
      <c r="HE1466" s="305"/>
      <c r="HF1466" s="305"/>
      <c r="HG1466" s="305"/>
      <c r="HH1466" s="305"/>
      <c r="HI1466" s="305"/>
      <c r="HJ1466" s="305"/>
      <c r="HK1466" s="305"/>
      <c r="HL1466" s="305"/>
      <c r="HM1466" s="305"/>
    </row>
    <row r="1467" spans="1:221" s="456" customFormat="1">
      <c r="A1467" s="703" t="s">
        <v>2459</v>
      </c>
      <c r="B1467" s="1272" t="s">
        <v>113</v>
      </c>
      <c r="C1467" s="1273" t="s">
        <v>400</v>
      </c>
      <c r="D1467" s="1274"/>
      <c r="E1467" s="1255">
        <v>56</v>
      </c>
      <c r="F1467" s="681"/>
      <c r="G1467" s="681"/>
      <c r="H1467" s="683"/>
      <c r="I1467" s="689"/>
      <c r="J1467" s="697" t="s">
        <v>2458</v>
      </c>
      <c r="K1467" s="685"/>
      <c r="L1467" s="689">
        <v>114</v>
      </c>
      <c r="M1467" s="683">
        <f>L1467-E1467</f>
        <v>58</v>
      </c>
      <c r="N1467" s="706">
        <v>6</v>
      </c>
      <c r="O1467" s="645"/>
      <c r="P1467" s="297"/>
      <c r="Q1467" s="297"/>
      <c r="R1467" s="297"/>
      <c r="S1467" s="297"/>
      <c r="T1467" s="297"/>
      <c r="U1467" s="297"/>
      <c r="V1467" s="305"/>
      <c r="W1467" s="305"/>
      <c r="X1467" s="305"/>
      <c r="Y1467" s="305"/>
      <c r="Z1467" s="305"/>
      <c r="AA1467" s="305"/>
      <c r="AB1467" s="305"/>
      <c r="AC1467" s="305"/>
      <c r="AD1467" s="305"/>
      <c r="AE1467" s="305"/>
      <c r="AF1467" s="305"/>
      <c r="AG1467" s="305"/>
      <c r="AH1467" s="305"/>
      <c r="AI1467" s="305"/>
      <c r="AJ1467" s="305"/>
      <c r="AK1467" s="305"/>
      <c r="AL1467" s="305"/>
      <c r="AM1467" s="305"/>
      <c r="AN1467" s="305"/>
      <c r="AO1467" s="305"/>
      <c r="AP1467" s="305"/>
      <c r="AQ1467" s="305"/>
      <c r="AR1467" s="305"/>
      <c r="AS1467" s="305"/>
      <c r="AT1467" s="305"/>
      <c r="AU1467" s="305"/>
      <c r="AV1467" s="305"/>
      <c r="AW1467" s="305"/>
      <c r="AX1467" s="305"/>
      <c r="AY1467" s="305"/>
      <c r="AZ1467" s="305"/>
      <c r="BA1467" s="305"/>
      <c r="BB1467" s="305"/>
      <c r="BC1467" s="305"/>
      <c r="BD1467" s="305"/>
      <c r="BE1467" s="305"/>
      <c r="BF1467" s="305"/>
      <c r="BG1467" s="305"/>
      <c r="BH1467" s="305"/>
      <c r="BI1467" s="305"/>
      <c r="BJ1467" s="305"/>
      <c r="BK1467" s="305"/>
      <c r="BL1467" s="305"/>
      <c r="BM1467" s="305"/>
      <c r="BN1467" s="305"/>
      <c r="BO1467" s="305"/>
      <c r="BP1467" s="305"/>
      <c r="BQ1467" s="305"/>
      <c r="BR1467" s="305"/>
      <c r="BS1467" s="305"/>
      <c r="BT1467" s="305"/>
      <c r="BU1467" s="305"/>
      <c r="BV1467" s="305"/>
      <c r="BW1467" s="305"/>
      <c r="BX1467" s="305"/>
      <c r="BY1467" s="305"/>
      <c r="BZ1467" s="305"/>
      <c r="CA1467" s="305"/>
      <c r="CB1467" s="305"/>
      <c r="CC1467" s="305"/>
      <c r="CD1467" s="305"/>
      <c r="CE1467" s="305"/>
      <c r="CF1467" s="305"/>
      <c r="CG1467" s="305"/>
      <c r="CH1467" s="305"/>
      <c r="CI1467" s="305"/>
      <c r="CJ1467" s="305"/>
      <c r="CK1467" s="305"/>
      <c r="CL1467" s="305"/>
      <c r="CM1467" s="305"/>
      <c r="CN1467" s="305"/>
      <c r="CO1467" s="305"/>
      <c r="CP1467" s="305"/>
      <c r="CQ1467" s="305"/>
      <c r="CR1467" s="305"/>
      <c r="CS1467" s="305"/>
      <c r="CT1467" s="305"/>
      <c r="CU1467" s="305"/>
      <c r="CV1467" s="305"/>
      <c r="CW1467" s="305"/>
      <c r="CX1467" s="305"/>
      <c r="CY1467" s="305"/>
      <c r="CZ1467" s="305"/>
      <c r="DA1467" s="305"/>
      <c r="DB1467" s="305"/>
      <c r="DC1467" s="305"/>
      <c r="DD1467" s="305"/>
      <c r="DE1467" s="305"/>
      <c r="DF1467" s="305"/>
      <c r="DG1467" s="305"/>
      <c r="DH1467" s="305"/>
      <c r="DI1467" s="305"/>
      <c r="DJ1467" s="305"/>
      <c r="DK1467" s="305"/>
      <c r="DL1467" s="305"/>
      <c r="DM1467" s="305"/>
      <c r="DN1467" s="305"/>
      <c r="DO1467" s="305"/>
      <c r="DP1467" s="305"/>
      <c r="DQ1467" s="305"/>
      <c r="DR1467" s="305"/>
      <c r="DS1467" s="305"/>
      <c r="DT1467" s="305"/>
      <c r="DU1467" s="305"/>
      <c r="DV1467" s="305"/>
      <c r="DW1467" s="305"/>
      <c r="DX1467" s="305"/>
      <c r="DY1467" s="305"/>
      <c r="DZ1467" s="305"/>
      <c r="EA1467" s="305"/>
      <c r="EB1467" s="305"/>
      <c r="EC1467" s="305"/>
      <c r="ED1467" s="305"/>
      <c r="EE1467" s="305"/>
      <c r="EF1467" s="305"/>
      <c r="EG1467" s="305"/>
      <c r="EH1467" s="305"/>
      <c r="EI1467" s="305"/>
      <c r="EJ1467" s="305"/>
      <c r="EK1467" s="305"/>
      <c r="EL1467" s="305"/>
      <c r="EM1467" s="305"/>
      <c r="EN1467" s="305"/>
      <c r="EO1467" s="305"/>
      <c r="EP1467" s="305"/>
      <c r="EQ1467" s="305"/>
      <c r="ER1467" s="305"/>
      <c r="ES1467" s="305"/>
      <c r="ET1467" s="305"/>
      <c r="EU1467" s="305"/>
      <c r="EV1467" s="305"/>
      <c r="EW1467" s="305"/>
      <c r="EX1467" s="305"/>
      <c r="EY1467" s="305"/>
      <c r="EZ1467" s="305"/>
      <c r="FA1467" s="305"/>
      <c r="FB1467" s="305"/>
      <c r="FC1467" s="305"/>
      <c r="FD1467" s="305"/>
      <c r="FE1467" s="305"/>
      <c r="FF1467" s="305"/>
      <c r="FG1467" s="305"/>
      <c r="FH1467" s="305"/>
      <c r="FI1467" s="305"/>
      <c r="FJ1467" s="305"/>
      <c r="FK1467" s="305"/>
      <c r="FL1467" s="305"/>
      <c r="FM1467" s="305"/>
      <c r="FN1467" s="305"/>
      <c r="FO1467" s="305"/>
      <c r="FP1467" s="305"/>
      <c r="FQ1467" s="305"/>
      <c r="FR1467" s="305"/>
      <c r="FS1467" s="305"/>
      <c r="FT1467" s="305"/>
      <c r="FU1467" s="305"/>
      <c r="FV1467" s="305"/>
      <c r="FW1467" s="305"/>
      <c r="FX1467" s="305"/>
      <c r="FY1467" s="305"/>
      <c r="FZ1467" s="305"/>
      <c r="GA1467" s="305"/>
      <c r="GB1467" s="305"/>
      <c r="GC1467" s="305"/>
      <c r="GD1467" s="305"/>
      <c r="GE1467" s="305"/>
      <c r="GF1467" s="305"/>
      <c r="GG1467" s="305"/>
      <c r="GH1467" s="305"/>
      <c r="GI1467" s="305"/>
      <c r="GJ1467" s="305"/>
      <c r="GK1467" s="305"/>
      <c r="GL1467" s="305"/>
      <c r="GM1467" s="305"/>
      <c r="GN1467" s="305"/>
      <c r="GO1467" s="305"/>
      <c r="GP1467" s="305"/>
      <c r="GQ1467" s="305"/>
      <c r="GR1467" s="305"/>
      <c r="GS1467" s="305"/>
      <c r="GT1467" s="305"/>
      <c r="GU1467" s="305"/>
      <c r="GV1467" s="305"/>
      <c r="GW1467" s="305"/>
      <c r="GX1467" s="305"/>
      <c r="GY1467" s="305"/>
      <c r="GZ1467" s="305"/>
      <c r="HA1467" s="305"/>
      <c r="HB1467" s="305"/>
      <c r="HC1467" s="305"/>
      <c r="HD1467" s="305"/>
      <c r="HE1467" s="305"/>
      <c r="HF1467" s="305"/>
      <c r="HG1467" s="305"/>
      <c r="HH1467" s="305"/>
      <c r="HI1467" s="305"/>
      <c r="HJ1467" s="305"/>
      <c r="HK1467" s="305"/>
      <c r="HL1467" s="305"/>
      <c r="HM1467" s="305"/>
    </row>
    <row r="1468" spans="1:221" s="456" customFormat="1">
      <c r="A1468" s="703" t="s">
        <v>2460</v>
      </c>
      <c r="B1468" s="1272" t="s">
        <v>113</v>
      </c>
      <c r="C1468" s="1273" t="s">
        <v>400</v>
      </c>
      <c r="D1468" s="1274"/>
      <c r="E1468" s="1255">
        <v>66</v>
      </c>
      <c r="F1468" s="681"/>
      <c r="G1468" s="681"/>
      <c r="H1468" s="683"/>
      <c r="I1468" s="689"/>
      <c r="J1468" s="697" t="s">
        <v>2458</v>
      </c>
      <c r="K1468" s="685"/>
      <c r="L1468" s="689">
        <v>121</v>
      </c>
      <c r="M1468" s="683">
        <f>L1468-E1468</f>
        <v>55</v>
      </c>
      <c r="N1468" s="706">
        <v>6</v>
      </c>
      <c r="O1468" s="645"/>
      <c r="P1468" s="297"/>
      <c r="Q1468" s="297"/>
      <c r="R1468" s="297"/>
      <c r="S1468" s="297"/>
      <c r="T1468" s="297"/>
      <c r="U1468" s="297"/>
      <c r="V1468" s="305"/>
      <c r="W1468" s="305"/>
      <c r="X1468" s="305"/>
      <c r="Y1468" s="305"/>
      <c r="Z1468" s="305"/>
      <c r="AA1468" s="305"/>
      <c r="AB1468" s="305"/>
      <c r="AC1468" s="305"/>
      <c r="AD1468" s="305"/>
      <c r="AE1468" s="305"/>
      <c r="AF1468" s="305"/>
      <c r="AG1468" s="305"/>
      <c r="AH1468" s="305"/>
      <c r="AI1468" s="305"/>
      <c r="AJ1468" s="305"/>
      <c r="AK1468" s="305"/>
      <c r="AL1468" s="305"/>
      <c r="AM1468" s="305"/>
      <c r="AN1468" s="305"/>
      <c r="AO1468" s="305"/>
      <c r="AP1468" s="305"/>
      <c r="AQ1468" s="305"/>
      <c r="AR1468" s="305"/>
      <c r="AS1468" s="305"/>
      <c r="AT1468" s="305"/>
      <c r="AU1468" s="305"/>
      <c r="AV1468" s="305"/>
      <c r="AW1468" s="305"/>
      <c r="AX1468" s="305"/>
      <c r="AY1468" s="305"/>
      <c r="AZ1468" s="305"/>
      <c r="BA1468" s="305"/>
      <c r="BB1468" s="305"/>
      <c r="BC1468" s="305"/>
      <c r="BD1468" s="305"/>
      <c r="BE1468" s="305"/>
      <c r="BF1468" s="305"/>
      <c r="BG1468" s="305"/>
      <c r="BH1468" s="305"/>
      <c r="BI1468" s="305"/>
      <c r="BJ1468" s="305"/>
      <c r="BK1468" s="305"/>
      <c r="BL1468" s="305"/>
      <c r="BM1468" s="305"/>
      <c r="BN1468" s="305"/>
      <c r="BO1468" s="305"/>
      <c r="BP1468" s="305"/>
      <c r="BQ1468" s="305"/>
      <c r="BR1468" s="305"/>
      <c r="BS1468" s="305"/>
      <c r="BT1468" s="305"/>
      <c r="BU1468" s="305"/>
      <c r="BV1468" s="305"/>
      <c r="BW1468" s="305"/>
      <c r="BX1468" s="305"/>
      <c r="BY1468" s="305"/>
      <c r="BZ1468" s="305"/>
      <c r="CA1468" s="305"/>
      <c r="CB1468" s="305"/>
      <c r="CC1468" s="305"/>
      <c r="CD1468" s="305"/>
      <c r="CE1468" s="305"/>
      <c r="CF1468" s="305"/>
      <c r="CG1468" s="305"/>
      <c r="CH1468" s="305"/>
      <c r="CI1468" s="305"/>
      <c r="CJ1468" s="305"/>
      <c r="CK1468" s="305"/>
      <c r="CL1468" s="305"/>
      <c r="CM1468" s="305"/>
      <c r="CN1468" s="305"/>
      <c r="CO1468" s="305"/>
      <c r="CP1468" s="305"/>
      <c r="CQ1468" s="305"/>
      <c r="CR1468" s="305"/>
      <c r="CS1468" s="305"/>
      <c r="CT1468" s="305"/>
      <c r="CU1468" s="305"/>
      <c r="CV1468" s="305"/>
      <c r="CW1468" s="305"/>
      <c r="CX1468" s="305"/>
      <c r="CY1468" s="305"/>
      <c r="CZ1468" s="305"/>
      <c r="DA1468" s="305"/>
      <c r="DB1468" s="305"/>
      <c r="DC1468" s="305"/>
      <c r="DD1468" s="305"/>
      <c r="DE1468" s="305"/>
      <c r="DF1468" s="305"/>
      <c r="DG1468" s="305"/>
      <c r="DH1468" s="305"/>
      <c r="DI1468" s="305"/>
      <c r="DJ1468" s="305"/>
      <c r="DK1468" s="305"/>
      <c r="DL1468" s="305"/>
      <c r="DM1468" s="305"/>
      <c r="DN1468" s="305"/>
      <c r="DO1468" s="305"/>
      <c r="DP1468" s="305"/>
      <c r="DQ1468" s="305"/>
      <c r="DR1468" s="305"/>
      <c r="DS1468" s="305"/>
      <c r="DT1468" s="305"/>
      <c r="DU1468" s="305"/>
      <c r="DV1468" s="305"/>
      <c r="DW1468" s="305"/>
      <c r="DX1468" s="305"/>
      <c r="DY1468" s="305"/>
      <c r="DZ1468" s="305"/>
      <c r="EA1468" s="305"/>
      <c r="EB1468" s="305"/>
      <c r="EC1468" s="305"/>
      <c r="ED1468" s="305"/>
      <c r="EE1468" s="305"/>
      <c r="EF1468" s="305"/>
      <c r="EG1468" s="305"/>
      <c r="EH1468" s="305"/>
      <c r="EI1468" s="305"/>
      <c r="EJ1468" s="305"/>
      <c r="EK1468" s="305"/>
      <c r="EL1468" s="305"/>
      <c r="EM1468" s="305"/>
      <c r="EN1468" s="305"/>
      <c r="EO1468" s="305"/>
      <c r="EP1468" s="305"/>
      <c r="EQ1468" s="305"/>
      <c r="ER1468" s="305"/>
      <c r="ES1468" s="305"/>
      <c r="ET1468" s="305"/>
      <c r="EU1468" s="305"/>
      <c r="EV1468" s="305"/>
      <c r="EW1468" s="305"/>
      <c r="EX1468" s="305"/>
      <c r="EY1468" s="305"/>
      <c r="EZ1468" s="305"/>
      <c r="FA1468" s="305"/>
      <c r="FB1468" s="305"/>
      <c r="FC1468" s="305"/>
      <c r="FD1468" s="305"/>
      <c r="FE1468" s="305"/>
      <c r="FF1468" s="305"/>
      <c r="FG1468" s="305"/>
      <c r="FH1468" s="305"/>
      <c r="FI1468" s="305"/>
      <c r="FJ1468" s="305"/>
      <c r="FK1468" s="305"/>
      <c r="FL1468" s="305"/>
      <c r="FM1468" s="305"/>
      <c r="FN1468" s="305"/>
      <c r="FO1468" s="305"/>
      <c r="FP1468" s="305"/>
      <c r="FQ1468" s="305"/>
      <c r="FR1468" s="305"/>
      <c r="FS1468" s="305"/>
      <c r="FT1468" s="305"/>
      <c r="FU1468" s="305"/>
      <c r="FV1468" s="305"/>
      <c r="FW1468" s="305"/>
      <c r="FX1468" s="305"/>
      <c r="FY1468" s="305"/>
      <c r="FZ1468" s="305"/>
      <c r="GA1468" s="305"/>
      <c r="GB1468" s="305"/>
      <c r="GC1468" s="305"/>
      <c r="GD1468" s="305"/>
      <c r="GE1468" s="305"/>
      <c r="GF1468" s="305"/>
      <c r="GG1468" s="305"/>
      <c r="GH1468" s="305"/>
      <c r="GI1468" s="305"/>
      <c r="GJ1468" s="305"/>
      <c r="GK1468" s="305"/>
      <c r="GL1468" s="305"/>
      <c r="GM1468" s="305"/>
      <c r="GN1468" s="305"/>
      <c r="GO1468" s="305"/>
      <c r="GP1468" s="305"/>
      <c r="GQ1468" s="305"/>
      <c r="GR1468" s="305"/>
      <c r="GS1468" s="305"/>
      <c r="GT1468" s="305"/>
      <c r="GU1468" s="305"/>
      <c r="GV1468" s="305"/>
      <c r="GW1468" s="305"/>
      <c r="GX1468" s="305"/>
      <c r="GY1468" s="305"/>
      <c r="GZ1468" s="305"/>
      <c r="HA1468" s="305"/>
      <c r="HB1468" s="305"/>
      <c r="HC1468" s="305"/>
      <c r="HD1468" s="305"/>
      <c r="HE1468" s="305"/>
      <c r="HF1468" s="305"/>
      <c r="HG1468" s="305"/>
      <c r="HH1468" s="305"/>
      <c r="HI1468" s="305"/>
      <c r="HJ1468" s="305"/>
      <c r="HK1468" s="305"/>
      <c r="HL1468" s="305"/>
      <c r="HM1468" s="305"/>
    </row>
    <row r="1469" spans="1:221" s="456" customFormat="1">
      <c r="A1469" s="703" t="s">
        <v>2461</v>
      </c>
      <c r="B1469" s="1272" t="s">
        <v>113</v>
      </c>
      <c r="C1469" s="1273" t="s">
        <v>400</v>
      </c>
      <c r="D1469" s="1274"/>
      <c r="E1469" s="1255">
        <v>115</v>
      </c>
      <c r="F1469" s="681"/>
      <c r="G1469" s="681"/>
      <c r="H1469" s="683"/>
      <c r="I1469" s="689"/>
      <c r="J1469" s="697" t="s">
        <v>2458</v>
      </c>
      <c r="K1469" s="685"/>
      <c r="L1469" s="689">
        <v>219</v>
      </c>
      <c r="M1469" s="683">
        <f>L1469-E1469</f>
        <v>104</v>
      </c>
      <c r="N1469" s="706">
        <v>6</v>
      </c>
      <c r="O1469" s="645"/>
      <c r="P1469" s="297"/>
      <c r="Q1469" s="297"/>
      <c r="R1469" s="297"/>
      <c r="S1469" s="297"/>
      <c r="T1469" s="297"/>
      <c r="U1469" s="297"/>
      <c r="V1469" s="305"/>
      <c r="W1469" s="305"/>
      <c r="X1469" s="305"/>
      <c r="Y1469" s="305"/>
      <c r="Z1469" s="305"/>
      <c r="AA1469" s="305"/>
      <c r="AB1469" s="305"/>
      <c r="AC1469" s="305"/>
      <c r="AD1469" s="305"/>
      <c r="AE1469" s="305"/>
      <c r="AF1469" s="305"/>
      <c r="AG1469" s="305"/>
      <c r="AH1469" s="305"/>
      <c r="AI1469" s="305"/>
      <c r="AJ1469" s="305"/>
      <c r="AK1469" s="305"/>
      <c r="AL1469" s="305"/>
      <c r="AM1469" s="305"/>
      <c r="AN1469" s="305"/>
      <c r="AO1469" s="305"/>
      <c r="AP1469" s="305"/>
      <c r="AQ1469" s="305"/>
      <c r="AR1469" s="305"/>
      <c r="AS1469" s="305"/>
      <c r="AT1469" s="305"/>
      <c r="AU1469" s="305"/>
      <c r="AV1469" s="305"/>
      <c r="AW1469" s="305"/>
      <c r="AX1469" s="305"/>
      <c r="AY1469" s="305"/>
      <c r="AZ1469" s="305"/>
      <c r="BA1469" s="305"/>
      <c r="BB1469" s="305"/>
      <c r="BC1469" s="305"/>
      <c r="BD1469" s="305"/>
      <c r="BE1469" s="305"/>
      <c r="BF1469" s="305"/>
      <c r="BG1469" s="305"/>
      <c r="BH1469" s="305"/>
      <c r="BI1469" s="305"/>
      <c r="BJ1469" s="305"/>
      <c r="BK1469" s="305"/>
      <c r="BL1469" s="305"/>
      <c r="BM1469" s="305"/>
      <c r="BN1469" s="305"/>
      <c r="BO1469" s="305"/>
      <c r="BP1469" s="305"/>
      <c r="BQ1469" s="305"/>
      <c r="BR1469" s="305"/>
      <c r="BS1469" s="305"/>
      <c r="BT1469" s="305"/>
      <c r="BU1469" s="305"/>
      <c r="BV1469" s="305"/>
      <c r="BW1469" s="305"/>
      <c r="BX1469" s="305"/>
      <c r="BY1469" s="305"/>
      <c r="BZ1469" s="305"/>
      <c r="CA1469" s="305"/>
      <c r="CB1469" s="305"/>
      <c r="CC1469" s="305"/>
      <c r="CD1469" s="305"/>
      <c r="CE1469" s="305"/>
      <c r="CF1469" s="305"/>
      <c r="CG1469" s="305"/>
      <c r="CH1469" s="305"/>
      <c r="CI1469" s="305"/>
      <c r="CJ1469" s="305"/>
      <c r="CK1469" s="305"/>
      <c r="CL1469" s="305"/>
      <c r="CM1469" s="305"/>
      <c r="CN1469" s="305"/>
      <c r="CO1469" s="305"/>
      <c r="CP1469" s="305"/>
      <c r="CQ1469" s="305"/>
      <c r="CR1469" s="305"/>
      <c r="CS1469" s="305"/>
      <c r="CT1469" s="305"/>
      <c r="CU1469" s="305"/>
      <c r="CV1469" s="305"/>
      <c r="CW1469" s="305"/>
      <c r="CX1469" s="305"/>
      <c r="CY1469" s="305"/>
      <c r="CZ1469" s="305"/>
      <c r="DA1469" s="305"/>
      <c r="DB1469" s="305"/>
      <c r="DC1469" s="305"/>
      <c r="DD1469" s="305"/>
      <c r="DE1469" s="305"/>
      <c r="DF1469" s="305"/>
      <c r="DG1469" s="305"/>
      <c r="DH1469" s="305"/>
      <c r="DI1469" s="305"/>
      <c r="DJ1469" s="305"/>
      <c r="DK1469" s="305"/>
      <c r="DL1469" s="305"/>
      <c r="DM1469" s="305"/>
      <c r="DN1469" s="305"/>
      <c r="DO1469" s="305"/>
      <c r="DP1469" s="305"/>
      <c r="DQ1469" s="305"/>
      <c r="DR1469" s="305"/>
      <c r="DS1469" s="305"/>
      <c r="DT1469" s="305"/>
      <c r="DU1469" s="305"/>
      <c r="DV1469" s="305"/>
      <c r="DW1469" s="305"/>
      <c r="DX1469" s="305"/>
      <c r="DY1469" s="305"/>
      <c r="DZ1469" s="305"/>
      <c r="EA1469" s="305"/>
      <c r="EB1469" s="305"/>
      <c r="EC1469" s="305"/>
      <c r="ED1469" s="305"/>
      <c r="EE1469" s="305"/>
      <c r="EF1469" s="305"/>
      <c r="EG1469" s="305"/>
      <c r="EH1469" s="305"/>
      <c r="EI1469" s="305"/>
      <c r="EJ1469" s="305"/>
      <c r="EK1469" s="305"/>
      <c r="EL1469" s="305"/>
      <c r="EM1469" s="305"/>
      <c r="EN1469" s="305"/>
      <c r="EO1469" s="305"/>
      <c r="EP1469" s="305"/>
      <c r="EQ1469" s="305"/>
      <c r="ER1469" s="305"/>
      <c r="ES1469" s="305"/>
      <c r="ET1469" s="305"/>
      <c r="EU1469" s="305"/>
      <c r="EV1469" s="305"/>
      <c r="EW1469" s="305"/>
      <c r="EX1469" s="305"/>
      <c r="EY1469" s="305"/>
      <c r="EZ1469" s="305"/>
      <c r="FA1469" s="305"/>
      <c r="FB1469" s="305"/>
      <c r="FC1469" s="305"/>
      <c r="FD1469" s="305"/>
      <c r="FE1469" s="305"/>
      <c r="FF1469" s="305"/>
      <c r="FG1469" s="305"/>
      <c r="FH1469" s="305"/>
      <c r="FI1469" s="305"/>
      <c r="FJ1469" s="305"/>
      <c r="FK1469" s="305"/>
      <c r="FL1469" s="305"/>
      <c r="FM1469" s="305"/>
      <c r="FN1469" s="305"/>
      <c r="FO1469" s="305"/>
      <c r="FP1469" s="305"/>
      <c r="FQ1469" s="305"/>
      <c r="FR1469" s="305"/>
      <c r="FS1469" s="305"/>
      <c r="FT1469" s="305"/>
      <c r="FU1469" s="305"/>
      <c r="FV1469" s="305"/>
      <c r="FW1469" s="305"/>
      <c r="FX1469" s="305"/>
      <c r="FY1469" s="305"/>
      <c r="FZ1469" s="305"/>
      <c r="GA1469" s="305"/>
      <c r="GB1469" s="305"/>
      <c r="GC1469" s="305"/>
      <c r="GD1469" s="305"/>
      <c r="GE1469" s="305"/>
      <c r="GF1469" s="305"/>
      <c r="GG1469" s="305"/>
      <c r="GH1469" s="305"/>
      <c r="GI1469" s="305"/>
      <c r="GJ1469" s="305"/>
      <c r="GK1469" s="305"/>
      <c r="GL1469" s="305"/>
      <c r="GM1469" s="305"/>
      <c r="GN1469" s="305"/>
      <c r="GO1469" s="305"/>
      <c r="GP1469" s="305"/>
      <c r="GQ1469" s="305"/>
      <c r="GR1469" s="305"/>
      <c r="GS1469" s="305"/>
      <c r="GT1469" s="305"/>
      <c r="GU1469" s="305"/>
      <c r="GV1469" s="305"/>
      <c r="GW1469" s="305"/>
      <c r="GX1469" s="305"/>
      <c r="GY1469" s="305"/>
      <c r="GZ1469" s="305"/>
      <c r="HA1469" s="305"/>
      <c r="HB1469" s="305"/>
      <c r="HC1469" s="305"/>
      <c r="HD1469" s="305"/>
      <c r="HE1469" s="305"/>
      <c r="HF1469" s="305"/>
      <c r="HG1469" s="305"/>
      <c r="HH1469" s="305"/>
      <c r="HI1469" s="305"/>
      <c r="HJ1469" s="305"/>
      <c r="HK1469" s="305"/>
      <c r="HL1469" s="305"/>
      <c r="HM1469" s="305"/>
    </row>
    <row r="1470" spans="1:221" s="456" customFormat="1">
      <c r="A1470" s="703" t="s">
        <v>2462</v>
      </c>
      <c r="B1470" s="1272" t="s">
        <v>113</v>
      </c>
      <c r="C1470" s="1273" t="s">
        <v>400</v>
      </c>
      <c r="D1470" s="1274"/>
      <c r="E1470" s="1255">
        <v>61</v>
      </c>
      <c r="F1470" s="681"/>
      <c r="G1470" s="681"/>
      <c r="H1470" s="683"/>
      <c r="I1470" s="689"/>
      <c r="J1470" s="697" t="s">
        <v>2458</v>
      </c>
      <c r="K1470" s="685"/>
      <c r="L1470" s="689">
        <v>110</v>
      </c>
      <c r="M1470" s="683">
        <f>L1470-E1470</f>
        <v>49</v>
      </c>
      <c r="N1470" s="706">
        <v>6</v>
      </c>
      <c r="O1470" s="645"/>
      <c r="P1470" s="297"/>
      <c r="Q1470" s="297"/>
      <c r="R1470" s="297"/>
      <c r="S1470" s="297"/>
      <c r="T1470" s="297"/>
      <c r="U1470" s="297"/>
      <c r="V1470" s="305"/>
      <c r="W1470" s="305"/>
      <c r="X1470" s="305"/>
      <c r="Y1470" s="305"/>
      <c r="Z1470" s="305"/>
      <c r="AA1470" s="305"/>
      <c r="AB1470" s="305"/>
      <c r="AC1470" s="305"/>
      <c r="AD1470" s="305"/>
      <c r="AE1470" s="305"/>
      <c r="AF1470" s="305"/>
      <c r="AG1470" s="305"/>
      <c r="AH1470" s="305"/>
      <c r="AI1470" s="305"/>
      <c r="AJ1470" s="305"/>
      <c r="AK1470" s="305"/>
      <c r="AL1470" s="305"/>
      <c r="AM1470" s="305"/>
      <c r="AN1470" s="305"/>
      <c r="AO1470" s="305"/>
      <c r="AP1470" s="305"/>
      <c r="AQ1470" s="305"/>
      <c r="AR1470" s="305"/>
      <c r="AS1470" s="305"/>
      <c r="AT1470" s="305"/>
      <c r="AU1470" s="305"/>
      <c r="AV1470" s="305"/>
      <c r="AW1470" s="305"/>
      <c r="AX1470" s="305"/>
      <c r="AY1470" s="305"/>
      <c r="AZ1470" s="305"/>
      <c r="BA1470" s="305"/>
      <c r="BB1470" s="305"/>
      <c r="BC1470" s="305"/>
      <c r="BD1470" s="305"/>
      <c r="BE1470" s="305"/>
      <c r="BF1470" s="305"/>
      <c r="BG1470" s="305"/>
      <c r="BH1470" s="305"/>
      <c r="BI1470" s="305"/>
      <c r="BJ1470" s="305"/>
      <c r="BK1470" s="305"/>
      <c r="BL1470" s="305"/>
      <c r="BM1470" s="305"/>
      <c r="BN1470" s="305"/>
      <c r="BO1470" s="305"/>
      <c r="BP1470" s="305"/>
      <c r="BQ1470" s="305"/>
      <c r="BR1470" s="305"/>
      <c r="BS1470" s="305"/>
      <c r="BT1470" s="305"/>
      <c r="BU1470" s="305"/>
      <c r="BV1470" s="305"/>
      <c r="BW1470" s="305"/>
      <c r="BX1470" s="305"/>
      <c r="BY1470" s="305"/>
      <c r="BZ1470" s="305"/>
      <c r="CA1470" s="305"/>
      <c r="CB1470" s="305"/>
      <c r="CC1470" s="305"/>
      <c r="CD1470" s="305"/>
      <c r="CE1470" s="305"/>
      <c r="CF1470" s="305"/>
      <c r="CG1470" s="305"/>
      <c r="CH1470" s="305"/>
      <c r="CI1470" s="305"/>
      <c r="CJ1470" s="305"/>
      <c r="CK1470" s="305"/>
      <c r="CL1470" s="305"/>
      <c r="CM1470" s="305"/>
      <c r="CN1470" s="305"/>
      <c r="CO1470" s="305"/>
      <c r="CP1470" s="305"/>
      <c r="CQ1470" s="305"/>
      <c r="CR1470" s="305"/>
      <c r="CS1470" s="305"/>
      <c r="CT1470" s="305"/>
      <c r="CU1470" s="305"/>
      <c r="CV1470" s="305"/>
      <c r="CW1470" s="305"/>
      <c r="CX1470" s="305"/>
      <c r="CY1470" s="305"/>
      <c r="CZ1470" s="305"/>
      <c r="DA1470" s="305"/>
      <c r="DB1470" s="305"/>
      <c r="DC1470" s="305"/>
      <c r="DD1470" s="305"/>
      <c r="DE1470" s="305"/>
      <c r="DF1470" s="305"/>
      <c r="DG1470" s="305"/>
      <c r="DH1470" s="305"/>
      <c r="DI1470" s="305"/>
      <c r="DJ1470" s="305"/>
      <c r="DK1470" s="305"/>
      <c r="DL1470" s="305"/>
      <c r="DM1470" s="305"/>
      <c r="DN1470" s="305"/>
      <c r="DO1470" s="305"/>
      <c r="DP1470" s="305"/>
      <c r="DQ1470" s="305"/>
      <c r="DR1470" s="305"/>
      <c r="DS1470" s="305"/>
      <c r="DT1470" s="305"/>
      <c r="DU1470" s="305"/>
      <c r="DV1470" s="305"/>
      <c r="DW1470" s="305"/>
      <c r="DX1470" s="305"/>
      <c r="DY1470" s="305"/>
      <c r="DZ1470" s="305"/>
      <c r="EA1470" s="305"/>
      <c r="EB1470" s="305"/>
      <c r="EC1470" s="305"/>
      <c r="ED1470" s="305"/>
      <c r="EE1470" s="305"/>
      <c r="EF1470" s="305"/>
      <c r="EG1470" s="305"/>
      <c r="EH1470" s="305"/>
      <c r="EI1470" s="305"/>
      <c r="EJ1470" s="305"/>
      <c r="EK1470" s="305"/>
      <c r="EL1470" s="305"/>
      <c r="EM1470" s="305"/>
      <c r="EN1470" s="305"/>
      <c r="EO1470" s="305"/>
      <c r="EP1470" s="305"/>
      <c r="EQ1470" s="305"/>
      <c r="ER1470" s="305"/>
      <c r="ES1470" s="305"/>
      <c r="ET1470" s="305"/>
      <c r="EU1470" s="305"/>
      <c r="EV1470" s="305"/>
      <c r="EW1470" s="305"/>
      <c r="EX1470" s="305"/>
      <c r="EY1470" s="305"/>
      <c r="EZ1470" s="305"/>
      <c r="FA1470" s="305"/>
      <c r="FB1470" s="305"/>
      <c r="FC1470" s="305"/>
      <c r="FD1470" s="305"/>
      <c r="FE1470" s="305"/>
      <c r="FF1470" s="305"/>
      <c r="FG1470" s="305"/>
      <c r="FH1470" s="305"/>
      <c r="FI1470" s="305"/>
      <c r="FJ1470" s="305"/>
      <c r="FK1470" s="305"/>
      <c r="FL1470" s="305"/>
      <c r="FM1470" s="305"/>
      <c r="FN1470" s="305"/>
      <c r="FO1470" s="305"/>
      <c r="FP1470" s="305"/>
      <c r="FQ1470" s="305"/>
      <c r="FR1470" s="305"/>
      <c r="FS1470" s="305"/>
      <c r="FT1470" s="305"/>
      <c r="FU1470" s="305"/>
      <c r="FV1470" s="305"/>
      <c r="FW1470" s="305"/>
      <c r="FX1470" s="305"/>
      <c r="FY1470" s="305"/>
      <c r="FZ1470" s="305"/>
      <c r="GA1470" s="305"/>
      <c r="GB1470" s="305"/>
      <c r="GC1470" s="305"/>
      <c r="GD1470" s="305"/>
      <c r="GE1470" s="305"/>
      <c r="GF1470" s="305"/>
      <c r="GG1470" s="305"/>
      <c r="GH1470" s="305"/>
      <c r="GI1470" s="305"/>
      <c r="GJ1470" s="305"/>
      <c r="GK1470" s="305"/>
      <c r="GL1470" s="305"/>
      <c r="GM1470" s="305"/>
      <c r="GN1470" s="305"/>
      <c r="GO1470" s="305"/>
      <c r="GP1470" s="305"/>
      <c r="GQ1470" s="305"/>
      <c r="GR1470" s="305"/>
      <c r="GS1470" s="305"/>
      <c r="GT1470" s="305"/>
      <c r="GU1470" s="305"/>
      <c r="GV1470" s="305"/>
      <c r="GW1470" s="305"/>
      <c r="GX1470" s="305"/>
      <c r="GY1470" s="305"/>
      <c r="GZ1470" s="305"/>
      <c r="HA1470" s="305"/>
      <c r="HB1470" s="305"/>
      <c r="HC1470" s="305"/>
      <c r="HD1470" s="305"/>
      <c r="HE1470" s="305"/>
      <c r="HF1470" s="305"/>
      <c r="HG1470" s="305"/>
      <c r="HH1470" s="305"/>
      <c r="HI1470" s="305"/>
      <c r="HJ1470" s="305"/>
      <c r="HK1470" s="305"/>
      <c r="HL1470" s="305"/>
      <c r="HM1470" s="305"/>
    </row>
    <row r="1471" spans="1:221" s="456" customFormat="1">
      <c r="A1471" s="703" t="s">
        <v>2463</v>
      </c>
      <c r="B1471" s="1272" t="s">
        <v>113</v>
      </c>
      <c r="C1471" s="1273" t="s">
        <v>400</v>
      </c>
      <c r="D1471" s="1274"/>
      <c r="E1471" s="1255">
        <v>68</v>
      </c>
      <c r="F1471" s="681"/>
      <c r="G1471" s="681"/>
      <c r="H1471" s="683"/>
      <c r="I1471" s="689"/>
      <c r="J1471" s="697" t="s">
        <v>2458</v>
      </c>
      <c r="K1471" s="685"/>
      <c r="L1471" s="689">
        <v>121</v>
      </c>
      <c r="M1471" s="683">
        <f>L1471-E1471</f>
        <v>53</v>
      </c>
      <c r="N1471" s="706">
        <v>6</v>
      </c>
      <c r="O1471" s="645"/>
      <c r="P1471" s="297"/>
      <c r="Q1471" s="297"/>
      <c r="R1471" s="297"/>
      <c r="S1471" s="297"/>
      <c r="T1471" s="297"/>
      <c r="U1471" s="297"/>
      <c r="V1471" s="305"/>
      <c r="W1471" s="305"/>
      <c r="X1471" s="305"/>
      <c r="Y1471" s="305"/>
      <c r="Z1471" s="305"/>
      <c r="AA1471" s="305"/>
      <c r="AB1471" s="305"/>
      <c r="AC1471" s="305"/>
      <c r="AD1471" s="305"/>
      <c r="AE1471" s="305"/>
      <c r="AF1471" s="305"/>
      <c r="AG1471" s="305"/>
      <c r="AH1471" s="305"/>
      <c r="AI1471" s="305"/>
      <c r="AJ1471" s="305"/>
      <c r="AK1471" s="305"/>
      <c r="AL1471" s="305"/>
      <c r="AM1471" s="305"/>
      <c r="AN1471" s="305"/>
      <c r="AO1471" s="305"/>
      <c r="AP1471" s="305"/>
      <c r="AQ1471" s="305"/>
      <c r="AR1471" s="305"/>
      <c r="AS1471" s="305"/>
      <c r="AT1471" s="305"/>
      <c r="AU1471" s="305"/>
      <c r="AV1471" s="305"/>
      <c r="AW1471" s="305"/>
      <c r="AX1471" s="305"/>
      <c r="AY1471" s="305"/>
      <c r="AZ1471" s="305"/>
      <c r="BA1471" s="305"/>
      <c r="BB1471" s="305"/>
      <c r="BC1471" s="305"/>
      <c r="BD1471" s="305"/>
      <c r="BE1471" s="305"/>
      <c r="BF1471" s="305"/>
      <c r="BG1471" s="305"/>
      <c r="BH1471" s="305"/>
      <c r="BI1471" s="305"/>
      <c r="BJ1471" s="305"/>
      <c r="BK1471" s="305"/>
      <c r="BL1471" s="305"/>
      <c r="BM1471" s="305"/>
      <c r="BN1471" s="305"/>
      <c r="BO1471" s="305"/>
      <c r="BP1471" s="305"/>
      <c r="BQ1471" s="305"/>
      <c r="BR1471" s="305"/>
      <c r="BS1471" s="305"/>
      <c r="BT1471" s="305"/>
      <c r="BU1471" s="305"/>
      <c r="BV1471" s="305"/>
      <c r="BW1471" s="305"/>
      <c r="BX1471" s="305"/>
      <c r="BY1471" s="305"/>
      <c r="BZ1471" s="305"/>
      <c r="CA1471" s="305"/>
      <c r="CB1471" s="305"/>
      <c r="CC1471" s="305"/>
      <c r="CD1471" s="305"/>
      <c r="CE1471" s="305"/>
      <c r="CF1471" s="305"/>
      <c r="CG1471" s="305"/>
      <c r="CH1471" s="305"/>
      <c r="CI1471" s="305"/>
      <c r="CJ1471" s="305"/>
      <c r="CK1471" s="305"/>
      <c r="CL1471" s="305"/>
      <c r="CM1471" s="305"/>
      <c r="CN1471" s="305"/>
      <c r="CO1471" s="305"/>
      <c r="CP1471" s="305"/>
      <c r="CQ1471" s="305"/>
      <c r="CR1471" s="305"/>
      <c r="CS1471" s="305"/>
      <c r="CT1471" s="305"/>
      <c r="CU1471" s="305"/>
      <c r="CV1471" s="305"/>
      <c r="CW1471" s="305"/>
      <c r="CX1471" s="305"/>
      <c r="CY1471" s="305"/>
      <c r="CZ1471" s="305"/>
      <c r="DA1471" s="305"/>
      <c r="DB1471" s="305"/>
      <c r="DC1471" s="305"/>
      <c r="DD1471" s="305"/>
      <c r="DE1471" s="305"/>
      <c r="DF1471" s="305"/>
      <c r="DG1471" s="305"/>
      <c r="DH1471" s="305"/>
      <c r="DI1471" s="305"/>
      <c r="DJ1471" s="305"/>
      <c r="DK1471" s="305"/>
      <c r="DL1471" s="305"/>
      <c r="DM1471" s="305"/>
      <c r="DN1471" s="305"/>
      <c r="DO1471" s="305"/>
      <c r="DP1471" s="305"/>
      <c r="DQ1471" s="305"/>
      <c r="DR1471" s="305"/>
      <c r="DS1471" s="305"/>
      <c r="DT1471" s="305"/>
      <c r="DU1471" s="305"/>
      <c r="DV1471" s="305"/>
      <c r="DW1471" s="305"/>
      <c r="DX1471" s="305"/>
      <c r="DY1471" s="305"/>
      <c r="DZ1471" s="305"/>
      <c r="EA1471" s="305"/>
      <c r="EB1471" s="305"/>
      <c r="EC1471" s="305"/>
      <c r="ED1471" s="305"/>
      <c r="EE1471" s="305"/>
      <c r="EF1471" s="305"/>
      <c r="EG1471" s="305"/>
      <c r="EH1471" s="305"/>
      <c r="EI1471" s="305"/>
      <c r="EJ1471" s="305"/>
      <c r="EK1471" s="305"/>
      <c r="EL1471" s="305"/>
      <c r="EM1471" s="305"/>
      <c r="EN1471" s="305"/>
      <c r="EO1471" s="305"/>
      <c r="EP1471" s="305"/>
      <c r="EQ1471" s="305"/>
      <c r="ER1471" s="305"/>
      <c r="ES1471" s="305"/>
      <c r="ET1471" s="305"/>
      <c r="EU1471" s="305"/>
      <c r="EV1471" s="305"/>
      <c r="EW1471" s="305"/>
      <c r="EX1471" s="305"/>
      <c r="EY1471" s="305"/>
      <c r="EZ1471" s="305"/>
      <c r="FA1471" s="305"/>
      <c r="FB1471" s="305"/>
      <c r="FC1471" s="305"/>
      <c r="FD1471" s="305"/>
      <c r="FE1471" s="305"/>
      <c r="FF1471" s="305"/>
      <c r="FG1471" s="305"/>
      <c r="FH1471" s="305"/>
      <c r="FI1471" s="305"/>
      <c r="FJ1471" s="305"/>
      <c r="FK1471" s="305"/>
      <c r="FL1471" s="305"/>
      <c r="FM1471" s="305"/>
      <c r="FN1471" s="305"/>
      <c r="FO1471" s="305"/>
      <c r="FP1471" s="305"/>
      <c r="FQ1471" s="305"/>
      <c r="FR1471" s="305"/>
      <c r="FS1471" s="305"/>
      <c r="FT1471" s="305"/>
      <c r="FU1471" s="305"/>
      <c r="FV1471" s="305"/>
      <c r="FW1471" s="305"/>
      <c r="FX1471" s="305"/>
      <c r="FY1471" s="305"/>
      <c r="FZ1471" s="305"/>
      <c r="GA1471" s="305"/>
      <c r="GB1471" s="305"/>
      <c r="GC1471" s="305"/>
      <c r="GD1471" s="305"/>
      <c r="GE1471" s="305"/>
      <c r="GF1471" s="305"/>
      <c r="GG1471" s="305"/>
      <c r="GH1471" s="305"/>
      <c r="GI1471" s="305"/>
      <c r="GJ1471" s="305"/>
      <c r="GK1471" s="305"/>
      <c r="GL1471" s="305"/>
      <c r="GM1471" s="305"/>
      <c r="GN1471" s="305"/>
      <c r="GO1471" s="305"/>
      <c r="GP1471" s="305"/>
      <c r="GQ1471" s="305"/>
      <c r="GR1471" s="305"/>
      <c r="GS1471" s="305"/>
      <c r="GT1471" s="305"/>
      <c r="GU1471" s="305"/>
      <c r="GV1471" s="305"/>
      <c r="GW1471" s="305"/>
      <c r="GX1471" s="305"/>
      <c r="GY1471" s="305"/>
      <c r="GZ1471" s="305"/>
      <c r="HA1471" s="305"/>
      <c r="HB1471" s="305"/>
      <c r="HC1471" s="305"/>
      <c r="HD1471" s="305"/>
      <c r="HE1471" s="305"/>
      <c r="HF1471" s="305"/>
      <c r="HG1471" s="305"/>
      <c r="HH1471" s="305"/>
      <c r="HI1471" s="305"/>
      <c r="HJ1471" s="305"/>
      <c r="HK1471" s="305"/>
      <c r="HL1471" s="305"/>
      <c r="HM1471" s="305"/>
    </row>
    <row r="1472" spans="1:221" s="305" customFormat="1">
      <c r="A1472" s="703"/>
      <c r="B1472" s="1272" t="s">
        <v>113</v>
      </c>
      <c r="C1472" s="1287" t="s">
        <v>57</v>
      </c>
      <c r="D1472" s="1274"/>
      <c r="E1472" s="1255">
        <v>69</v>
      </c>
      <c r="F1472" s="681"/>
      <c r="G1472" s="681" t="s">
        <v>1909</v>
      </c>
      <c r="H1472" s="683"/>
      <c r="I1472" s="689"/>
      <c r="J1472" s="697" t="s">
        <v>876</v>
      </c>
      <c r="K1472" s="685"/>
      <c r="L1472" s="689">
        <v>126</v>
      </c>
      <c r="M1472" s="683">
        <v>57</v>
      </c>
      <c r="N1472" s="706">
        <v>5</v>
      </c>
      <c r="O1472" s="645"/>
      <c r="P1472" s="297"/>
      <c r="Q1472" s="297"/>
      <c r="R1472" s="297"/>
      <c r="S1472" s="297"/>
      <c r="T1472" s="297"/>
      <c r="U1472" s="297"/>
    </row>
    <row r="1473" spans="1:221" s="305" customFormat="1">
      <c r="A1473" s="703" t="s">
        <v>38</v>
      </c>
      <c r="B1473" s="1272" t="s">
        <v>113</v>
      </c>
      <c r="C1473" s="1287" t="s">
        <v>57</v>
      </c>
      <c r="D1473" s="1274"/>
      <c r="E1473" s="1255">
        <v>82</v>
      </c>
      <c r="F1473" s="681"/>
      <c r="G1473" s="681" t="s">
        <v>1909</v>
      </c>
      <c r="H1473" s="683"/>
      <c r="I1473" s="689"/>
      <c r="J1473" s="697" t="s">
        <v>876</v>
      </c>
      <c r="K1473" s="685"/>
      <c r="L1473" s="689">
        <v>150</v>
      </c>
      <c r="M1473" s="683">
        <v>68</v>
      </c>
      <c r="N1473" s="706">
        <v>5</v>
      </c>
      <c r="O1473" s="645"/>
      <c r="P1473" s="297"/>
      <c r="Q1473" s="297"/>
      <c r="R1473" s="297"/>
      <c r="S1473" s="297"/>
      <c r="T1473" s="297"/>
      <c r="U1473" s="297"/>
    </row>
    <row r="1474" spans="1:221" s="305" customFormat="1">
      <c r="A1474" s="703" t="s">
        <v>2389</v>
      </c>
      <c r="B1474" s="1272" t="s">
        <v>113</v>
      </c>
      <c r="C1474" s="1273" t="s">
        <v>2388</v>
      </c>
      <c r="D1474" s="1274"/>
      <c r="E1474" s="1255">
        <v>29</v>
      </c>
      <c r="F1474" s="681"/>
      <c r="G1474" s="681"/>
      <c r="H1474" s="683"/>
      <c r="I1474" s="689"/>
      <c r="J1474" s="697"/>
      <c r="K1474" s="685"/>
      <c r="L1474" s="689">
        <f>23+23+6</f>
        <v>52</v>
      </c>
      <c r="M1474" s="683">
        <v>23</v>
      </c>
      <c r="N1474" s="667">
        <v>5</v>
      </c>
      <c r="O1474" s="480"/>
      <c r="P1474" s="479"/>
      <c r="Q1474" s="479"/>
      <c r="R1474" s="479"/>
      <c r="S1474" s="479"/>
      <c r="T1474" s="479"/>
      <c r="U1474" s="479"/>
      <c r="V1474" s="479"/>
      <c r="W1474" s="479"/>
      <c r="X1474" s="479"/>
      <c r="Y1474" s="479"/>
      <c r="Z1474" s="479"/>
      <c r="AA1474" s="479"/>
      <c r="AB1474" s="479"/>
      <c r="AC1474" s="479"/>
      <c r="AD1474" s="479"/>
      <c r="AE1474" s="479"/>
      <c r="AF1474" s="479"/>
      <c r="AG1474" s="479"/>
      <c r="AH1474" s="479"/>
      <c r="AI1474" s="479"/>
      <c r="AJ1474" s="479"/>
      <c r="AK1474" s="479"/>
      <c r="AL1474" s="479"/>
      <c r="AM1474" s="479"/>
      <c r="AN1474" s="479"/>
      <c r="AO1474" s="479"/>
      <c r="AP1474" s="479"/>
      <c r="AQ1474" s="479"/>
      <c r="AR1474" s="479"/>
      <c r="AS1474" s="479"/>
      <c r="AT1474" s="479"/>
      <c r="AU1474" s="479"/>
      <c r="AV1474" s="479"/>
      <c r="AW1474" s="479"/>
      <c r="AX1474" s="479"/>
      <c r="AY1474" s="479"/>
      <c r="AZ1474" s="479"/>
      <c r="BA1474" s="479"/>
      <c r="BB1474" s="479"/>
      <c r="BC1474" s="479"/>
      <c r="BD1474" s="479"/>
      <c r="BE1474" s="479"/>
      <c r="BF1474" s="479"/>
      <c r="BG1474" s="479"/>
      <c r="BH1474" s="479"/>
      <c r="BI1474" s="479"/>
      <c r="BJ1474" s="479"/>
      <c r="BK1474" s="479"/>
      <c r="BL1474" s="479"/>
      <c r="BM1474" s="479"/>
      <c r="BN1474" s="479"/>
      <c r="BO1474" s="479"/>
      <c r="BP1474" s="479"/>
      <c r="BQ1474" s="479"/>
      <c r="BR1474" s="479"/>
      <c r="BS1474" s="479"/>
      <c r="BT1474" s="479"/>
      <c r="BU1474" s="479"/>
      <c r="BV1474" s="479"/>
      <c r="BW1474" s="479"/>
      <c r="BX1474" s="479"/>
      <c r="BY1474" s="479"/>
      <c r="BZ1474" s="479"/>
      <c r="CA1474" s="479"/>
      <c r="CB1474" s="479"/>
      <c r="CC1474" s="479"/>
      <c r="CD1474" s="479"/>
      <c r="CE1474" s="479"/>
      <c r="CF1474" s="479"/>
      <c r="CG1474" s="479"/>
      <c r="CH1474" s="479"/>
      <c r="CI1474" s="479"/>
      <c r="CJ1474" s="479"/>
      <c r="CK1474" s="479"/>
      <c r="CL1474" s="479"/>
      <c r="CM1474" s="479"/>
      <c r="CN1474" s="479"/>
      <c r="CO1474" s="479"/>
      <c r="CP1474" s="479"/>
      <c r="CQ1474" s="479"/>
      <c r="CR1474" s="479"/>
      <c r="CS1474" s="479"/>
      <c r="CT1474" s="479"/>
      <c r="CU1474" s="479"/>
      <c r="CV1474" s="479"/>
      <c r="CW1474" s="479"/>
      <c r="CX1474" s="479"/>
      <c r="CY1474" s="479"/>
      <c r="CZ1474" s="479"/>
      <c r="DA1474" s="479"/>
      <c r="DB1474" s="479"/>
      <c r="DC1474" s="479"/>
      <c r="DD1474" s="479"/>
      <c r="DE1474" s="479"/>
      <c r="DF1474" s="479"/>
      <c r="DG1474" s="479"/>
      <c r="DH1474" s="479"/>
      <c r="DI1474" s="479"/>
      <c r="DJ1474" s="479"/>
      <c r="DK1474" s="479"/>
      <c r="DL1474" s="479"/>
      <c r="DM1474" s="479"/>
      <c r="DN1474" s="479"/>
      <c r="DO1474" s="479"/>
      <c r="DP1474" s="479"/>
      <c r="DQ1474" s="479"/>
      <c r="DR1474" s="479"/>
      <c r="DS1474" s="479"/>
      <c r="DT1474" s="479"/>
      <c r="DU1474" s="479"/>
      <c r="DV1474" s="479"/>
      <c r="DW1474" s="479"/>
      <c r="DX1474" s="479"/>
      <c r="DY1474" s="479"/>
      <c r="DZ1474" s="479"/>
      <c r="EA1474" s="479"/>
      <c r="EB1474" s="479"/>
      <c r="EC1474" s="479"/>
      <c r="ED1474" s="479"/>
      <c r="EE1474" s="479"/>
      <c r="EF1474" s="479"/>
      <c r="EG1474" s="479"/>
      <c r="EH1474" s="479"/>
      <c r="EI1474" s="479"/>
      <c r="EJ1474" s="479"/>
      <c r="EK1474" s="479"/>
      <c r="EL1474" s="479"/>
      <c r="EM1474" s="479"/>
      <c r="EN1474" s="479"/>
      <c r="EO1474" s="479"/>
      <c r="EP1474" s="479"/>
      <c r="EQ1474" s="479"/>
      <c r="ER1474" s="479"/>
      <c r="ES1474" s="479"/>
      <c r="ET1474" s="479"/>
      <c r="EU1474" s="479"/>
      <c r="EV1474" s="479"/>
      <c r="EW1474" s="479"/>
      <c r="EX1474" s="479"/>
      <c r="EY1474" s="479"/>
      <c r="EZ1474" s="479"/>
      <c r="FA1474" s="479"/>
      <c r="FB1474" s="479"/>
      <c r="FC1474" s="479"/>
      <c r="FD1474" s="479"/>
      <c r="FE1474" s="479"/>
      <c r="FF1474" s="479"/>
      <c r="FG1474" s="479"/>
      <c r="FH1474" s="479"/>
      <c r="FI1474" s="479"/>
      <c r="FJ1474" s="479"/>
      <c r="FK1474" s="479"/>
      <c r="FL1474" s="479"/>
      <c r="FM1474" s="479"/>
      <c r="FN1474" s="479"/>
      <c r="FO1474" s="479"/>
      <c r="FP1474" s="479"/>
      <c r="FQ1474" s="479"/>
      <c r="FR1474" s="479"/>
      <c r="FS1474" s="479"/>
      <c r="FT1474" s="479"/>
      <c r="FU1474" s="479"/>
      <c r="FV1474" s="479"/>
      <c r="FW1474" s="479"/>
      <c r="FX1474" s="479"/>
      <c r="FY1474" s="479"/>
      <c r="FZ1474" s="479"/>
      <c r="GA1474" s="479"/>
      <c r="GB1474" s="479"/>
      <c r="GC1474" s="479"/>
      <c r="GD1474" s="479"/>
      <c r="GE1474" s="479"/>
      <c r="GF1474" s="479"/>
      <c r="GG1474" s="479"/>
      <c r="GH1474" s="479"/>
      <c r="GI1474" s="479"/>
      <c r="GJ1474" s="479"/>
      <c r="GK1474" s="479"/>
      <c r="GL1474" s="479"/>
      <c r="GM1474" s="479"/>
      <c r="GN1474" s="479"/>
      <c r="GO1474" s="479"/>
      <c r="GP1474" s="479"/>
      <c r="GQ1474" s="479"/>
      <c r="GR1474" s="479"/>
      <c r="GS1474" s="479"/>
      <c r="GT1474" s="479"/>
      <c r="GU1474" s="479"/>
      <c r="GV1474" s="479"/>
      <c r="GW1474" s="479"/>
      <c r="GX1474" s="479"/>
      <c r="GY1474" s="479"/>
      <c r="GZ1474" s="479"/>
      <c r="HA1474" s="479"/>
      <c r="HB1474" s="479"/>
      <c r="HC1474" s="479"/>
      <c r="HD1474" s="479"/>
      <c r="HE1474" s="479"/>
      <c r="HF1474" s="479"/>
      <c r="HG1474" s="479"/>
      <c r="HH1474" s="479"/>
      <c r="HI1474" s="479"/>
      <c r="HJ1474" s="479"/>
      <c r="HK1474" s="479"/>
      <c r="HL1474" s="479"/>
      <c r="HM1474" s="479"/>
    </row>
    <row r="1475" spans="1:221" s="305" customFormat="1">
      <c r="A1475" s="703" t="s">
        <v>2391</v>
      </c>
      <c r="B1475" s="1272" t="s">
        <v>113</v>
      </c>
      <c r="C1475" s="1273" t="s">
        <v>2390</v>
      </c>
      <c r="D1475" s="1274"/>
      <c r="E1475" s="1255">
        <v>29.5</v>
      </c>
      <c r="F1475" s="681"/>
      <c r="G1475" s="681"/>
      <c r="H1475" s="683"/>
      <c r="I1475" s="689"/>
      <c r="J1475" s="697"/>
      <c r="K1475" s="685"/>
      <c r="L1475" s="689">
        <f>29.5*2</f>
        <v>59</v>
      </c>
      <c r="M1475" s="683">
        <v>29.5</v>
      </c>
      <c r="N1475" s="667">
        <v>5</v>
      </c>
      <c r="O1475" s="480"/>
      <c r="P1475" s="297"/>
      <c r="Q1475" s="297"/>
      <c r="R1475" s="297"/>
      <c r="S1475" s="297"/>
      <c r="T1475" s="297"/>
      <c r="U1475" s="297"/>
    </row>
    <row r="1476" spans="1:221" s="305" customFormat="1">
      <c r="A1476" s="703" t="s">
        <v>2393</v>
      </c>
      <c r="B1476" s="1272" t="s">
        <v>113</v>
      </c>
      <c r="C1476" s="1273" t="s">
        <v>2392</v>
      </c>
      <c r="D1476" s="1274"/>
      <c r="E1476" s="1255">
        <v>46.5</v>
      </c>
      <c r="F1476" s="681"/>
      <c r="G1476" s="681"/>
      <c r="H1476" s="683"/>
      <c r="I1476" s="689"/>
      <c r="J1476" s="685"/>
      <c r="K1476" s="685"/>
      <c r="L1476" s="689">
        <f>46.5+31.5</f>
        <v>78</v>
      </c>
      <c r="M1476" s="683">
        <v>31.5</v>
      </c>
      <c r="N1476" s="706">
        <v>5</v>
      </c>
      <c r="O1476" s="645"/>
      <c r="P1476" s="297"/>
      <c r="Q1476" s="297"/>
      <c r="R1476" s="297"/>
      <c r="S1476" s="297"/>
      <c r="T1476" s="297"/>
      <c r="U1476" s="297"/>
    </row>
    <row r="1477" spans="1:221" s="456" customFormat="1">
      <c r="A1477" s="703" t="s">
        <v>2394</v>
      </c>
      <c r="B1477" s="1272" t="s">
        <v>113</v>
      </c>
      <c r="C1477" s="1273" t="s">
        <v>2392</v>
      </c>
      <c r="D1477" s="1274"/>
      <c r="E1477" s="1255">
        <v>33</v>
      </c>
      <c r="F1477" s="681"/>
      <c r="G1477" s="681"/>
      <c r="H1477" s="683"/>
      <c r="I1477" s="689"/>
      <c r="J1477" s="697"/>
      <c r="K1477" s="685"/>
      <c r="L1477" s="689">
        <f>33+28</f>
        <v>61</v>
      </c>
      <c r="M1477" s="683">
        <v>28</v>
      </c>
      <c r="N1477" s="706">
        <v>5</v>
      </c>
      <c r="O1477" s="645"/>
      <c r="P1477" s="297"/>
      <c r="Q1477" s="297"/>
      <c r="R1477" s="297"/>
      <c r="S1477" s="297"/>
      <c r="T1477" s="297"/>
      <c r="U1477" s="297"/>
      <c r="V1477" s="305"/>
      <c r="W1477" s="305"/>
      <c r="X1477" s="305"/>
      <c r="Y1477" s="305"/>
      <c r="Z1477" s="305"/>
      <c r="AA1477" s="305"/>
      <c r="AB1477" s="305"/>
      <c r="AC1477" s="305"/>
      <c r="AD1477" s="305"/>
      <c r="AE1477" s="305"/>
      <c r="AF1477" s="305"/>
      <c r="AG1477" s="305"/>
      <c r="AH1477" s="305"/>
      <c r="AI1477" s="305"/>
      <c r="AJ1477" s="305"/>
      <c r="AK1477" s="305"/>
      <c r="AL1477" s="305"/>
      <c r="AM1477" s="305"/>
      <c r="AN1477" s="305"/>
      <c r="AO1477" s="305"/>
      <c r="AP1477" s="305"/>
      <c r="AQ1477" s="305"/>
      <c r="AR1477" s="305"/>
      <c r="AS1477" s="305"/>
      <c r="AT1477" s="305"/>
      <c r="AU1477" s="305"/>
      <c r="AV1477" s="305"/>
      <c r="AW1477" s="305"/>
      <c r="AX1477" s="305"/>
      <c r="AY1477" s="305"/>
      <c r="AZ1477" s="305"/>
      <c r="BA1477" s="305"/>
      <c r="BB1477" s="305"/>
      <c r="BC1477" s="305"/>
      <c r="BD1477" s="305"/>
      <c r="BE1477" s="305"/>
      <c r="BF1477" s="305"/>
      <c r="BG1477" s="305"/>
      <c r="BH1477" s="305"/>
      <c r="BI1477" s="305"/>
      <c r="BJ1477" s="305"/>
      <c r="BK1477" s="305"/>
      <c r="BL1477" s="305"/>
      <c r="BM1477" s="305"/>
      <c r="BN1477" s="305"/>
      <c r="BO1477" s="305"/>
      <c r="BP1477" s="305"/>
      <c r="BQ1477" s="305"/>
      <c r="BR1477" s="305"/>
      <c r="BS1477" s="305"/>
      <c r="BT1477" s="305"/>
      <c r="BU1477" s="305"/>
      <c r="BV1477" s="305"/>
      <c r="BW1477" s="305"/>
      <c r="BX1477" s="305"/>
      <c r="BY1477" s="305"/>
      <c r="BZ1477" s="305"/>
      <c r="CA1477" s="305"/>
      <c r="CB1477" s="305"/>
      <c r="CC1477" s="305"/>
      <c r="CD1477" s="305"/>
      <c r="CE1477" s="305"/>
      <c r="CF1477" s="305"/>
      <c r="CG1477" s="305"/>
      <c r="CH1477" s="305"/>
      <c r="CI1477" s="305"/>
      <c r="CJ1477" s="305"/>
      <c r="CK1477" s="305"/>
      <c r="CL1477" s="305"/>
      <c r="CM1477" s="305"/>
      <c r="CN1477" s="305"/>
      <c r="CO1477" s="305"/>
      <c r="CP1477" s="305"/>
      <c r="CQ1477" s="305"/>
      <c r="CR1477" s="305"/>
      <c r="CS1477" s="305"/>
      <c r="CT1477" s="305"/>
      <c r="CU1477" s="305"/>
      <c r="CV1477" s="305"/>
      <c r="CW1477" s="305"/>
      <c r="CX1477" s="305"/>
      <c r="CY1477" s="305"/>
      <c r="CZ1477" s="305"/>
      <c r="DA1477" s="305"/>
      <c r="DB1477" s="305"/>
      <c r="DC1477" s="305"/>
      <c r="DD1477" s="305"/>
      <c r="DE1477" s="305"/>
      <c r="DF1477" s="305"/>
      <c r="DG1477" s="305"/>
      <c r="DH1477" s="305"/>
      <c r="DI1477" s="305"/>
      <c r="DJ1477" s="305"/>
      <c r="DK1477" s="305"/>
      <c r="DL1477" s="305"/>
      <c r="DM1477" s="305"/>
      <c r="DN1477" s="305"/>
      <c r="DO1477" s="305"/>
      <c r="DP1477" s="305"/>
      <c r="DQ1477" s="305"/>
      <c r="DR1477" s="305"/>
      <c r="DS1477" s="305"/>
      <c r="DT1477" s="305"/>
      <c r="DU1477" s="305"/>
      <c r="DV1477" s="305"/>
      <c r="DW1477" s="305"/>
      <c r="DX1477" s="305"/>
      <c r="DY1477" s="305"/>
      <c r="DZ1477" s="305"/>
      <c r="EA1477" s="305"/>
      <c r="EB1477" s="305"/>
      <c r="EC1477" s="305"/>
      <c r="ED1477" s="305"/>
      <c r="EE1477" s="305"/>
      <c r="EF1477" s="305"/>
      <c r="EG1477" s="305"/>
      <c r="EH1477" s="305"/>
      <c r="EI1477" s="305"/>
      <c r="EJ1477" s="305"/>
      <c r="EK1477" s="305"/>
      <c r="EL1477" s="305"/>
      <c r="EM1477" s="305"/>
      <c r="EN1477" s="305"/>
      <c r="EO1477" s="305"/>
      <c r="EP1477" s="305"/>
      <c r="EQ1477" s="305"/>
      <c r="ER1477" s="305"/>
      <c r="ES1477" s="305"/>
      <c r="ET1477" s="305"/>
      <c r="EU1477" s="305"/>
      <c r="EV1477" s="305"/>
      <c r="EW1477" s="305"/>
      <c r="EX1477" s="305"/>
      <c r="EY1477" s="305"/>
      <c r="EZ1477" s="305"/>
      <c r="FA1477" s="305"/>
      <c r="FB1477" s="305"/>
      <c r="FC1477" s="305"/>
      <c r="FD1477" s="305"/>
      <c r="FE1477" s="305"/>
      <c r="FF1477" s="305"/>
      <c r="FG1477" s="305"/>
      <c r="FH1477" s="305"/>
      <c r="FI1477" s="305"/>
      <c r="FJ1477" s="305"/>
      <c r="FK1477" s="305"/>
      <c r="FL1477" s="305"/>
      <c r="FM1477" s="305"/>
      <c r="FN1477" s="305"/>
      <c r="FO1477" s="305"/>
      <c r="FP1477" s="305"/>
      <c r="FQ1477" s="305"/>
      <c r="FR1477" s="305"/>
      <c r="FS1477" s="305"/>
      <c r="FT1477" s="305"/>
      <c r="FU1477" s="305"/>
      <c r="FV1477" s="305"/>
      <c r="FW1477" s="305"/>
      <c r="FX1477" s="305"/>
      <c r="FY1477" s="305"/>
      <c r="FZ1477" s="305"/>
      <c r="GA1477" s="305"/>
      <c r="GB1477" s="305"/>
      <c r="GC1477" s="305"/>
      <c r="GD1477" s="305"/>
      <c r="GE1477" s="305"/>
      <c r="GF1477" s="305"/>
      <c r="GG1477" s="305"/>
      <c r="GH1477" s="305"/>
      <c r="GI1477" s="305"/>
      <c r="GJ1477" s="305"/>
      <c r="GK1477" s="305"/>
      <c r="GL1477" s="305"/>
      <c r="GM1477" s="305"/>
      <c r="GN1477" s="305"/>
      <c r="GO1477" s="305"/>
      <c r="GP1477" s="305"/>
      <c r="GQ1477" s="305"/>
      <c r="GR1477" s="305"/>
      <c r="GS1477" s="305"/>
      <c r="GT1477" s="305"/>
      <c r="GU1477" s="305"/>
      <c r="GV1477" s="305"/>
      <c r="GW1477" s="305"/>
      <c r="GX1477" s="305"/>
      <c r="GY1477" s="305"/>
      <c r="GZ1477" s="305"/>
      <c r="HA1477" s="305"/>
      <c r="HB1477" s="305"/>
      <c r="HC1477" s="305"/>
      <c r="HD1477" s="305"/>
      <c r="HE1477" s="305"/>
      <c r="HF1477" s="305"/>
      <c r="HG1477" s="305"/>
      <c r="HH1477" s="305"/>
      <c r="HI1477" s="305"/>
      <c r="HJ1477" s="305"/>
      <c r="HK1477" s="305"/>
      <c r="HL1477" s="305"/>
      <c r="HM1477" s="305"/>
    </row>
    <row r="1478" spans="1:221" s="456" customFormat="1">
      <c r="A1478" s="703" t="s">
        <v>2395</v>
      </c>
      <c r="B1478" s="1272" t="s">
        <v>113</v>
      </c>
      <c r="C1478" s="1273" t="s">
        <v>2392</v>
      </c>
      <c r="D1478" s="1274"/>
      <c r="E1478" s="1255">
        <v>44</v>
      </c>
      <c r="F1478" s="681"/>
      <c r="G1478" s="681"/>
      <c r="H1478" s="683"/>
      <c r="I1478" s="689"/>
      <c r="J1478" s="697"/>
      <c r="K1478" s="685"/>
      <c r="L1478" s="689">
        <v>68.5</v>
      </c>
      <c r="M1478" s="683">
        <v>29</v>
      </c>
      <c r="N1478" s="706">
        <v>5</v>
      </c>
      <c r="O1478" s="645"/>
      <c r="P1478" s="479"/>
      <c r="Q1478" s="479"/>
      <c r="R1478" s="479"/>
      <c r="S1478" s="479"/>
      <c r="T1478" s="479"/>
      <c r="U1478" s="479"/>
    </row>
    <row r="1479" spans="1:221" s="305" customFormat="1">
      <c r="A1479" s="703" t="s">
        <v>228</v>
      </c>
      <c r="B1479" s="1272" t="s">
        <v>113</v>
      </c>
      <c r="C1479" s="1287" t="s">
        <v>902</v>
      </c>
      <c r="D1479" s="1274"/>
      <c r="E1479" s="1255">
        <v>38</v>
      </c>
      <c r="F1479" s="681"/>
      <c r="G1479" s="681" t="s">
        <v>1909</v>
      </c>
      <c r="H1479" s="683"/>
      <c r="I1479" s="689"/>
      <c r="J1479" s="697" t="s">
        <v>876</v>
      </c>
      <c r="K1479" s="685"/>
      <c r="L1479" s="689">
        <v>69</v>
      </c>
      <c r="M1479" s="683">
        <v>31</v>
      </c>
      <c r="N1479" s="706">
        <v>4</v>
      </c>
      <c r="O1479" s="645"/>
      <c r="P1479" s="297"/>
      <c r="Q1479" s="297"/>
      <c r="R1479" s="297"/>
      <c r="S1479" s="297"/>
      <c r="T1479" s="297"/>
      <c r="U1479" s="297"/>
    </row>
    <row r="1480" spans="1:221" s="305" customFormat="1">
      <c r="A1480" s="703" t="s">
        <v>2464</v>
      </c>
      <c r="B1480" s="1272" t="s">
        <v>108</v>
      </c>
      <c r="C1480" s="1287" t="s">
        <v>54</v>
      </c>
      <c r="D1480" s="1274"/>
      <c r="E1480" s="1255">
        <v>81.5</v>
      </c>
      <c r="F1480" s="681"/>
      <c r="G1480" s="681"/>
      <c r="H1480" s="683"/>
      <c r="I1480" s="689"/>
      <c r="J1480" s="697" t="s">
        <v>876</v>
      </c>
      <c r="K1480" s="685"/>
      <c r="L1480" s="689">
        <v>140</v>
      </c>
      <c r="M1480" s="683">
        <f>140-81.5</f>
        <v>58.5</v>
      </c>
      <c r="N1480" s="706">
        <v>4</v>
      </c>
      <c r="O1480" s="645"/>
      <c r="P1480" s="297"/>
      <c r="Q1480" s="297"/>
      <c r="R1480" s="297"/>
      <c r="S1480" s="297"/>
      <c r="T1480" s="297"/>
      <c r="U1480" s="297"/>
    </row>
    <row r="1481" spans="1:221" s="305" customFormat="1">
      <c r="A1481" s="703"/>
      <c r="B1481" s="1272" t="s">
        <v>108</v>
      </c>
      <c r="C1481" s="1287" t="s">
        <v>53</v>
      </c>
      <c r="D1481" s="1274"/>
      <c r="E1481" s="1255">
        <v>72</v>
      </c>
      <c r="F1481" s="681"/>
      <c r="G1481" s="681" t="s">
        <v>1909</v>
      </c>
      <c r="H1481" s="683"/>
      <c r="I1481" s="689"/>
      <c r="J1481" s="697"/>
      <c r="K1481" s="685"/>
      <c r="L1481" s="689">
        <v>132</v>
      </c>
      <c r="M1481" s="683">
        <v>60</v>
      </c>
      <c r="N1481" s="706">
        <v>3</v>
      </c>
      <c r="O1481" s="645"/>
      <c r="P1481" s="297"/>
      <c r="Q1481" s="297"/>
      <c r="R1481" s="297"/>
      <c r="S1481" s="297"/>
      <c r="T1481" s="297"/>
      <c r="U1481" s="297"/>
    </row>
    <row r="1482" spans="1:221" s="305" customFormat="1">
      <c r="A1482" s="703" t="s">
        <v>324</v>
      </c>
      <c r="B1482" s="1272" t="s">
        <v>108</v>
      </c>
      <c r="C1482" s="1287" t="s">
        <v>53</v>
      </c>
      <c r="D1482" s="1274"/>
      <c r="E1482" s="1255">
        <v>54</v>
      </c>
      <c r="F1482" s="681"/>
      <c r="G1482" s="681" t="s">
        <v>1909</v>
      </c>
      <c r="H1482" s="683"/>
      <c r="I1482" s="689"/>
      <c r="J1482" s="697"/>
      <c r="K1482" s="685"/>
      <c r="L1482" s="689">
        <v>105</v>
      </c>
      <c r="M1482" s="683">
        <v>51</v>
      </c>
      <c r="N1482" s="706">
        <v>3</v>
      </c>
      <c r="O1482" s="645"/>
      <c r="P1482" s="297"/>
      <c r="Q1482" s="297"/>
      <c r="R1482" s="297"/>
      <c r="S1482" s="297"/>
      <c r="T1482" s="297"/>
      <c r="U1482" s="297"/>
    </row>
    <row r="1483" spans="1:221" s="305" customFormat="1">
      <c r="A1483" s="703"/>
      <c r="B1483" s="1272" t="s">
        <v>113</v>
      </c>
      <c r="C1483" s="1273" t="s">
        <v>2485</v>
      </c>
      <c r="D1483" s="1274"/>
      <c r="E1483" s="1255"/>
      <c r="F1483" s="681"/>
      <c r="G1483" s="681" t="s">
        <v>1909</v>
      </c>
      <c r="H1483" s="683"/>
      <c r="I1483" s="689"/>
      <c r="J1483" s="697"/>
      <c r="K1483" s="685"/>
      <c r="L1483" s="689"/>
      <c r="M1483" s="683"/>
      <c r="N1483" s="706"/>
      <c r="O1483" s="645"/>
      <c r="P1483" s="297"/>
      <c r="Q1483" s="297"/>
      <c r="R1483" s="297"/>
      <c r="S1483" s="297"/>
      <c r="T1483" s="297"/>
      <c r="U1483" s="297"/>
    </row>
    <row r="1484" spans="1:221" s="305" customFormat="1">
      <c r="A1484" s="703"/>
      <c r="B1484" s="1272" t="s">
        <v>113</v>
      </c>
      <c r="C1484" s="1273" t="s">
        <v>2485</v>
      </c>
      <c r="D1484" s="1274"/>
      <c r="E1484" s="1255"/>
      <c r="F1484" s="681"/>
      <c r="G1484" s="681" t="s">
        <v>1909</v>
      </c>
      <c r="H1484" s="683"/>
      <c r="I1484" s="689"/>
      <c r="J1484" s="697"/>
      <c r="K1484" s="685"/>
      <c r="L1484" s="689"/>
      <c r="M1484" s="683"/>
      <c r="N1484" s="706"/>
      <c r="O1484" s="645"/>
      <c r="P1484" s="297"/>
      <c r="Q1484" s="297"/>
      <c r="R1484" s="297"/>
      <c r="S1484" s="297"/>
      <c r="T1484" s="297"/>
      <c r="U1484" s="297"/>
    </row>
    <row r="1485" spans="1:221" s="305" customFormat="1">
      <c r="A1485" s="703"/>
      <c r="B1485" s="1272" t="s">
        <v>113</v>
      </c>
      <c r="C1485" s="1273" t="s">
        <v>898</v>
      </c>
      <c r="D1485" s="1274"/>
      <c r="E1485" s="1255">
        <v>69.5</v>
      </c>
      <c r="F1485" s="681"/>
      <c r="G1485" s="681" t="s">
        <v>1909</v>
      </c>
      <c r="H1485" s="683"/>
      <c r="I1485" s="689"/>
      <c r="J1485" s="697" t="s">
        <v>876</v>
      </c>
      <c r="K1485" s="685"/>
      <c r="L1485" s="689">
        <v>125</v>
      </c>
      <c r="M1485" s="683">
        <v>55.5</v>
      </c>
      <c r="N1485" s="706">
        <v>3</v>
      </c>
      <c r="O1485" s="645"/>
      <c r="P1485" s="479"/>
      <c r="Q1485" s="479"/>
      <c r="R1485" s="479"/>
      <c r="S1485" s="479"/>
      <c r="T1485" s="479"/>
      <c r="U1485" s="479"/>
      <c r="V1485" s="456"/>
      <c r="W1485" s="456"/>
      <c r="X1485" s="456"/>
      <c r="Y1485" s="456"/>
      <c r="Z1485" s="456"/>
      <c r="AA1485" s="456"/>
      <c r="AB1485" s="456"/>
      <c r="AC1485" s="456"/>
      <c r="AD1485" s="456"/>
      <c r="AE1485" s="456"/>
      <c r="AF1485" s="456"/>
      <c r="AG1485" s="456"/>
      <c r="AH1485" s="456"/>
      <c r="AI1485" s="456"/>
      <c r="AJ1485" s="456"/>
      <c r="AK1485" s="456"/>
      <c r="AL1485" s="456"/>
      <c r="AM1485" s="456"/>
      <c r="AN1485" s="456"/>
      <c r="AO1485" s="456"/>
      <c r="AP1485" s="456"/>
      <c r="AQ1485" s="456"/>
      <c r="AR1485" s="456"/>
      <c r="AS1485" s="456"/>
      <c r="AT1485" s="456"/>
      <c r="AU1485" s="456"/>
      <c r="AV1485" s="456"/>
      <c r="AW1485" s="456"/>
      <c r="AX1485" s="456"/>
      <c r="AY1485" s="456"/>
      <c r="AZ1485" s="456"/>
      <c r="BA1485" s="456"/>
      <c r="BB1485" s="456"/>
      <c r="BC1485" s="456"/>
      <c r="BD1485" s="456"/>
      <c r="BE1485" s="456"/>
      <c r="BF1485" s="456"/>
      <c r="BG1485" s="456"/>
      <c r="BH1485" s="456"/>
      <c r="BI1485" s="456"/>
      <c r="BJ1485" s="456"/>
      <c r="BK1485" s="456"/>
      <c r="BL1485" s="456"/>
      <c r="BM1485" s="456"/>
      <c r="BN1485" s="456"/>
      <c r="BO1485" s="456"/>
      <c r="BP1485" s="456"/>
      <c r="BQ1485" s="456"/>
      <c r="BR1485" s="456"/>
      <c r="BS1485" s="456"/>
      <c r="BT1485" s="456"/>
      <c r="BU1485" s="456"/>
      <c r="BV1485" s="456"/>
      <c r="BW1485" s="456"/>
      <c r="BX1485" s="456"/>
      <c r="BY1485" s="456"/>
      <c r="BZ1485" s="456"/>
      <c r="CA1485" s="456"/>
      <c r="CB1485" s="456"/>
      <c r="CC1485" s="456"/>
      <c r="CD1485" s="456"/>
      <c r="CE1485" s="456"/>
      <c r="CF1485" s="456"/>
      <c r="CG1485" s="456"/>
      <c r="CH1485" s="456"/>
      <c r="CI1485" s="456"/>
      <c r="CJ1485" s="456"/>
      <c r="CK1485" s="456"/>
      <c r="CL1485" s="456"/>
      <c r="CM1485" s="456"/>
      <c r="CN1485" s="456"/>
      <c r="CO1485" s="456"/>
      <c r="CP1485" s="456"/>
      <c r="CQ1485" s="456"/>
      <c r="CR1485" s="456"/>
      <c r="CS1485" s="456"/>
      <c r="CT1485" s="456"/>
      <c r="CU1485" s="456"/>
      <c r="CV1485" s="456"/>
      <c r="CW1485" s="456"/>
      <c r="CX1485" s="456"/>
      <c r="CY1485" s="456"/>
      <c r="CZ1485" s="456"/>
      <c r="DA1485" s="456"/>
      <c r="DB1485" s="456"/>
      <c r="DC1485" s="456"/>
      <c r="DD1485" s="456"/>
      <c r="DE1485" s="456"/>
      <c r="DF1485" s="456"/>
      <c r="DG1485" s="456"/>
      <c r="DH1485" s="456"/>
      <c r="DI1485" s="456"/>
      <c r="DJ1485" s="456"/>
      <c r="DK1485" s="456"/>
      <c r="DL1485" s="456"/>
      <c r="DM1485" s="456"/>
      <c r="DN1485" s="456"/>
      <c r="DO1485" s="456"/>
      <c r="DP1485" s="456"/>
      <c r="DQ1485" s="456"/>
      <c r="DR1485" s="456"/>
      <c r="DS1485" s="456"/>
      <c r="DT1485" s="456"/>
      <c r="DU1485" s="456"/>
      <c r="DV1485" s="456"/>
      <c r="DW1485" s="456"/>
      <c r="DX1485" s="456"/>
      <c r="DY1485" s="456"/>
      <c r="DZ1485" s="456"/>
      <c r="EA1485" s="456"/>
      <c r="EB1485" s="456"/>
      <c r="EC1485" s="456"/>
      <c r="ED1485" s="456"/>
      <c r="EE1485" s="456"/>
      <c r="EF1485" s="456"/>
      <c r="EG1485" s="456"/>
      <c r="EH1485" s="456"/>
      <c r="EI1485" s="456"/>
      <c r="EJ1485" s="456"/>
      <c r="EK1485" s="456"/>
      <c r="EL1485" s="456"/>
      <c r="EM1485" s="456"/>
      <c r="EN1485" s="456"/>
      <c r="EO1485" s="456"/>
      <c r="EP1485" s="456"/>
      <c r="EQ1485" s="456"/>
      <c r="ER1485" s="456"/>
      <c r="ES1485" s="456"/>
      <c r="ET1485" s="456"/>
      <c r="EU1485" s="456"/>
      <c r="EV1485" s="456"/>
      <c r="EW1485" s="456"/>
      <c r="EX1485" s="456"/>
      <c r="EY1485" s="456"/>
      <c r="EZ1485" s="456"/>
      <c r="FA1485" s="456"/>
      <c r="FB1485" s="456"/>
      <c r="FC1485" s="456"/>
      <c r="FD1485" s="456"/>
      <c r="FE1485" s="456"/>
      <c r="FF1485" s="456"/>
      <c r="FG1485" s="456"/>
      <c r="FH1485" s="456"/>
      <c r="FI1485" s="456"/>
      <c r="FJ1485" s="456"/>
      <c r="FK1485" s="456"/>
      <c r="FL1485" s="456"/>
      <c r="FM1485" s="456"/>
      <c r="FN1485" s="456"/>
      <c r="FO1485" s="456"/>
      <c r="FP1485" s="456"/>
      <c r="FQ1485" s="456"/>
      <c r="FR1485" s="456"/>
      <c r="FS1485" s="456"/>
      <c r="FT1485" s="456"/>
      <c r="FU1485" s="456"/>
      <c r="FV1485" s="456"/>
      <c r="FW1485" s="456"/>
      <c r="FX1485" s="456"/>
      <c r="FY1485" s="456"/>
      <c r="FZ1485" s="456"/>
      <c r="GA1485" s="456"/>
      <c r="GB1485" s="456"/>
      <c r="GC1485" s="456"/>
      <c r="GD1485" s="456"/>
      <c r="GE1485" s="456"/>
      <c r="GF1485" s="456"/>
      <c r="GG1485" s="456"/>
      <c r="GH1485" s="456"/>
      <c r="GI1485" s="456"/>
      <c r="GJ1485" s="456"/>
      <c r="GK1485" s="456"/>
      <c r="GL1485" s="456"/>
      <c r="GM1485" s="456"/>
      <c r="GN1485" s="456"/>
      <c r="GO1485" s="456"/>
      <c r="GP1485" s="456"/>
      <c r="GQ1485" s="456"/>
      <c r="GR1485" s="456"/>
      <c r="GS1485" s="456"/>
      <c r="GT1485" s="456"/>
      <c r="GU1485" s="456"/>
      <c r="GV1485" s="456"/>
      <c r="GW1485" s="456"/>
      <c r="GX1485" s="456"/>
      <c r="GY1485" s="456"/>
      <c r="GZ1485" s="456"/>
      <c r="HA1485" s="456"/>
      <c r="HB1485" s="456"/>
      <c r="HC1485" s="456"/>
      <c r="HD1485" s="456"/>
      <c r="HE1485" s="456"/>
      <c r="HF1485" s="456"/>
      <c r="HG1485" s="456"/>
      <c r="HH1485" s="456"/>
      <c r="HI1485" s="456"/>
      <c r="HJ1485" s="456"/>
      <c r="HK1485" s="456"/>
      <c r="HL1485" s="456"/>
      <c r="HM1485" s="456"/>
    </row>
    <row r="1486" spans="1:221" s="305" customFormat="1">
      <c r="A1486" s="703" t="s">
        <v>324</v>
      </c>
      <c r="B1486" s="1272" t="s">
        <v>113</v>
      </c>
      <c r="C1486" s="1273" t="s">
        <v>898</v>
      </c>
      <c r="D1486" s="1274"/>
      <c r="E1486" s="1255">
        <v>57.5</v>
      </c>
      <c r="F1486" s="681"/>
      <c r="G1486" s="681" t="s">
        <v>1909</v>
      </c>
      <c r="H1486" s="683"/>
      <c r="I1486" s="689"/>
      <c r="J1486" s="697" t="s">
        <v>876</v>
      </c>
      <c r="K1486" s="685"/>
      <c r="L1486" s="689">
        <v>102</v>
      </c>
      <c r="M1486" s="683">
        <v>44.5</v>
      </c>
      <c r="N1486" s="706">
        <v>3</v>
      </c>
      <c r="O1486" s="645"/>
      <c r="P1486" s="479"/>
      <c r="Q1486" s="479"/>
      <c r="R1486" s="479"/>
      <c r="S1486" s="479"/>
      <c r="T1486" s="479"/>
      <c r="U1486" s="479"/>
      <c r="V1486" s="456"/>
      <c r="W1486" s="456"/>
      <c r="X1486" s="456"/>
      <c r="Y1486" s="456"/>
      <c r="Z1486" s="456"/>
      <c r="AA1486" s="456"/>
      <c r="AB1486" s="456"/>
      <c r="AC1486" s="456"/>
      <c r="AD1486" s="456"/>
      <c r="AE1486" s="456"/>
      <c r="AF1486" s="456"/>
      <c r="AG1486" s="456"/>
      <c r="AH1486" s="456"/>
      <c r="AI1486" s="456"/>
      <c r="AJ1486" s="456"/>
      <c r="AK1486" s="456"/>
      <c r="AL1486" s="456"/>
      <c r="AM1486" s="456"/>
      <c r="AN1486" s="456"/>
      <c r="AO1486" s="456"/>
      <c r="AP1486" s="456"/>
      <c r="AQ1486" s="456"/>
      <c r="AR1486" s="456"/>
      <c r="AS1486" s="456"/>
      <c r="AT1486" s="456"/>
      <c r="AU1486" s="456"/>
      <c r="AV1486" s="456"/>
      <c r="AW1486" s="456"/>
      <c r="AX1486" s="456"/>
      <c r="AY1486" s="456"/>
      <c r="AZ1486" s="456"/>
      <c r="BA1486" s="456"/>
      <c r="BB1486" s="456"/>
      <c r="BC1486" s="456"/>
      <c r="BD1486" s="456"/>
      <c r="BE1486" s="456"/>
      <c r="BF1486" s="456"/>
      <c r="BG1486" s="456"/>
      <c r="BH1486" s="456"/>
      <c r="BI1486" s="456"/>
      <c r="BJ1486" s="456"/>
      <c r="BK1486" s="456"/>
      <c r="BL1486" s="456"/>
      <c r="BM1486" s="456"/>
      <c r="BN1486" s="456"/>
      <c r="BO1486" s="456"/>
      <c r="BP1486" s="456"/>
      <c r="BQ1486" s="456"/>
      <c r="BR1486" s="456"/>
      <c r="BS1486" s="456"/>
      <c r="BT1486" s="456"/>
      <c r="BU1486" s="456"/>
      <c r="BV1486" s="456"/>
      <c r="BW1486" s="456"/>
      <c r="BX1486" s="456"/>
      <c r="BY1486" s="456"/>
      <c r="BZ1486" s="456"/>
      <c r="CA1486" s="456"/>
      <c r="CB1486" s="456"/>
      <c r="CC1486" s="456"/>
      <c r="CD1486" s="456"/>
      <c r="CE1486" s="456"/>
      <c r="CF1486" s="456"/>
      <c r="CG1486" s="456"/>
      <c r="CH1486" s="456"/>
      <c r="CI1486" s="456"/>
      <c r="CJ1486" s="456"/>
      <c r="CK1486" s="456"/>
      <c r="CL1486" s="456"/>
      <c r="CM1486" s="456"/>
      <c r="CN1486" s="456"/>
      <c r="CO1486" s="456"/>
      <c r="CP1486" s="456"/>
      <c r="CQ1486" s="456"/>
      <c r="CR1486" s="456"/>
      <c r="CS1486" s="456"/>
      <c r="CT1486" s="456"/>
      <c r="CU1486" s="456"/>
      <c r="CV1486" s="456"/>
      <c r="CW1486" s="456"/>
      <c r="CX1486" s="456"/>
      <c r="CY1486" s="456"/>
      <c r="CZ1486" s="456"/>
      <c r="DA1486" s="456"/>
      <c r="DB1486" s="456"/>
      <c r="DC1486" s="456"/>
      <c r="DD1486" s="456"/>
      <c r="DE1486" s="456"/>
      <c r="DF1486" s="456"/>
      <c r="DG1486" s="456"/>
      <c r="DH1486" s="456"/>
      <c r="DI1486" s="456"/>
      <c r="DJ1486" s="456"/>
      <c r="DK1486" s="456"/>
      <c r="DL1486" s="456"/>
      <c r="DM1486" s="456"/>
      <c r="DN1486" s="456"/>
      <c r="DO1486" s="456"/>
      <c r="DP1486" s="456"/>
      <c r="DQ1486" s="456"/>
      <c r="DR1486" s="456"/>
      <c r="DS1486" s="456"/>
      <c r="DT1486" s="456"/>
      <c r="DU1486" s="456"/>
      <c r="DV1486" s="456"/>
      <c r="DW1486" s="456"/>
      <c r="DX1486" s="456"/>
      <c r="DY1486" s="456"/>
      <c r="DZ1486" s="456"/>
      <c r="EA1486" s="456"/>
      <c r="EB1486" s="456"/>
      <c r="EC1486" s="456"/>
      <c r="ED1486" s="456"/>
      <c r="EE1486" s="456"/>
      <c r="EF1486" s="456"/>
      <c r="EG1486" s="456"/>
      <c r="EH1486" s="456"/>
      <c r="EI1486" s="456"/>
      <c r="EJ1486" s="456"/>
      <c r="EK1486" s="456"/>
      <c r="EL1486" s="456"/>
      <c r="EM1486" s="456"/>
      <c r="EN1486" s="456"/>
      <c r="EO1486" s="456"/>
      <c r="EP1486" s="456"/>
      <c r="EQ1486" s="456"/>
      <c r="ER1486" s="456"/>
      <c r="ES1486" s="456"/>
      <c r="ET1486" s="456"/>
      <c r="EU1486" s="456"/>
      <c r="EV1486" s="456"/>
      <c r="EW1486" s="456"/>
      <c r="EX1486" s="456"/>
      <c r="EY1486" s="456"/>
      <c r="EZ1486" s="456"/>
      <c r="FA1486" s="456"/>
      <c r="FB1486" s="456"/>
      <c r="FC1486" s="456"/>
      <c r="FD1486" s="456"/>
      <c r="FE1486" s="456"/>
      <c r="FF1486" s="456"/>
      <c r="FG1486" s="456"/>
      <c r="FH1486" s="456"/>
      <c r="FI1486" s="456"/>
      <c r="FJ1486" s="456"/>
      <c r="FK1486" s="456"/>
      <c r="FL1486" s="456"/>
      <c r="FM1486" s="456"/>
      <c r="FN1486" s="456"/>
      <c r="FO1486" s="456"/>
      <c r="FP1486" s="456"/>
      <c r="FQ1486" s="456"/>
      <c r="FR1486" s="456"/>
      <c r="FS1486" s="456"/>
      <c r="FT1486" s="456"/>
      <c r="FU1486" s="456"/>
      <c r="FV1486" s="456"/>
      <c r="FW1486" s="456"/>
      <c r="FX1486" s="456"/>
      <c r="FY1486" s="456"/>
      <c r="FZ1486" s="456"/>
      <c r="GA1486" s="456"/>
      <c r="GB1486" s="456"/>
      <c r="GC1486" s="456"/>
      <c r="GD1486" s="456"/>
      <c r="GE1486" s="456"/>
      <c r="GF1486" s="456"/>
      <c r="GG1486" s="456"/>
      <c r="GH1486" s="456"/>
      <c r="GI1486" s="456"/>
      <c r="GJ1486" s="456"/>
      <c r="GK1486" s="456"/>
      <c r="GL1486" s="456"/>
      <c r="GM1486" s="456"/>
      <c r="GN1486" s="456"/>
      <c r="GO1486" s="456"/>
      <c r="GP1486" s="456"/>
      <c r="GQ1486" s="456"/>
      <c r="GR1486" s="456"/>
      <c r="GS1486" s="456"/>
      <c r="GT1486" s="456"/>
      <c r="GU1486" s="456"/>
      <c r="GV1486" s="456"/>
      <c r="GW1486" s="456"/>
      <c r="GX1486" s="456"/>
      <c r="GY1486" s="456"/>
      <c r="GZ1486" s="456"/>
      <c r="HA1486" s="456"/>
      <c r="HB1486" s="456"/>
      <c r="HC1486" s="456"/>
      <c r="HD1486" s="456"/>
      <c r="HE1486" s="456"/>
      <c r="HF1486" s="456"/>
      <c r="HG1486" s="456"/>
      <c r="HH1486" s="456"/>
      <c r="HI1486" s="456"/>
      <c r="HJ1486" s="456"/>
      <c r="HK1486" s="456"/>
      <c r="HL1486" s="456"/>
      <c r="HM1486" s="456"/>
    </row>
    <row r="1487" spans="1:221" s="305" customFormat="1">
      <c r="A1487" s="703" t="s">
        <v>324</v>
      </c>
      <c r="B1487" s="1272" t="s">
        <v>113</v>
      </c>
      <c r="C1487" s="1273" t="s">
        <v>901</v>
      </c>
      <c r="D1487" s="1274"/>
      <c r="E1487" s="1255">
        <v>53</v>
      </c>
      <c r="F1487" s="681"/>
      <c r="G1487" s="681" t="s">
        <v>1909</v>
      </c>
      <c r="H1487" s="683"/>
      <c r="I1487" s="689"/>
      <c r="J1487" s="685" t="s">
        <v>876</v>
      </c>
      <c r="K1487" s="685"/>
      <c r="L1487" s="689">
        <v>97</v>
      </c>
      <c r="M1487" s="683">
        <v>44</v>
      </c>
      <c r="N1487" s="706">
        <v>3</v>
      </c>
      <c r="O1487" s="645"/>
      <c r="P1487" s="297"/>
      <c r="Q1487" s="297"/>
      <c r="R1487" s="297"/>
      <c r="S1487" s="297"/>
      <c r="T1487" s="297"/>
      <c r="U1487" s="297"/>
    </row>
    <row r="1488" spans="1:221" s="305" customFormat="1">
      <c r="A1488" s="703" t="s">
        <v>7</v>
      </c>
      <c r="B1488" s="1272" t="s">
        <v>113</v>
      </c>
      <c r="C1488" s="1273" t="s">
        <v>901</v>
      </c>
      <c r="D1488" s="1274"/>
      <c r="E1488" s="1255">
        <v>67.5</v>
      </c>
      <c r="F1488" s="681"/>
      <c r="G1488" s="681" t="s">
        <v>1909</v>
      </c>
      <c r="H1488" s="683"/>
      <c r="I1488" s="689"/>
      <c r="J1488" s="685" t="s">
        <v>876</v>
      </c>
      <c r="K1488" s="685"/>
      <c r="L1488" s="689">
        <v>126</v>
      </c>
      <c r="M1488" s="683">
        <v>58.5</v>
      </c>
      <c r="N1488" s="706">
        <v>3</v>
      </c>
      <c r="O1488" s="645"/>
      <c r="P1488" s="297"/>
      <c r="Q1488" s="297"/>
      <c r="R1488" s="297"/>
      <c r="S1488" s="297"/>
      <c r="T1488" s="297"/>
      <c r="U1488" s="297"/>
    </row>
    <row r="1489" spans="1:221" s="305" customFormat="1">
      <c r="A1489" s="703"/>
      <c r="B1489" s="1272" t="s">
        <v>113</v>
      </c>
      <c r="C1489" s="1273" t="s">
        <v>2486</v>
      </c>
      <c r="D1489" s="1274"/>
      <c r="E1489" s="1255"/>
      <c r="F1489" s="681"/>
      <c r="G1489" s="681" t="s">
        <v>1909</v>
      </c>
      <c r="H1489" s="683"/>
      <c r="I1489" s="689"/>
      <c r="J1489" s="685"/>
      <c r="K1489" s="685"/>
      <c r="L1489" s="689"/>
      <c r="M1489" s="683"/>
      <c r="N1489" s="706"/>
      <c r="O1489" s="645"/>
      <c r="P1489" s="297"/>
      <c r="Q1489" s="297"/>
      <c r="R1489" s="297"/>
      <c r="S1489" s="297"/>
      <c r="T1489" s="297"/>
      <c r="U1489" s="297"/>
    </row>
    <row r="1490" spans="1:221" s="305" customFormat="1">
      <c r="A1490" s="703"/>
      <c r="B1490" s="1272" t="s">
        <v>113</v>
      </c>
      <c r="C1490" s="1273" t="s">
        <v>2486</v>
      </c>
      <c r="D1490" s="1274"/>
      <c r="E1490" s="1255"/>
      <c r="F1490" s="681"/>
      <c r="G1490" s="681" t="s">
        <v>1909</v>
      </c>
      <c r="H1490" s="683"/>
      <c r="I1490" s="689"/>
      <c r="J1490" s="685"/>
      <c r="K1490" s="685"/>
      <c r="L1490" s="689"/>
      <c r="M1490" s="683"/>
      <c r="N1490" s="706"/>
      <c r="O1490" s="645"/>
      <c r="P1490" s="297"/>
      <c r="Q1490" s="297"/>
      <c r="R1490" s="297"/>
      <c r="S1490" s="297"/>
      <c r="T1490" s="297"/>
      <c r="U1490" s="297"/>
    </row>
    <row r="1491" spans="1:221" s="305" customFormat="1">
      <c r="A1491" s="703" t="s">
        <v>2465</v>
      </c>
      <c r="B1491" s="1272" t="s">
        <v>113</v>
      </c>
      <c r="C1491" s="1273" t="s">
        <v>880</v>
      </c>
      <c r="D1491" s="1274"/>
      <c r="E1491" s="1255">
        <v>44</v>
      </c>
      <c r="F1491" s="681"/>
      <c r="G1491" s="681"/>
      <c r="H1491" s="683"/>
      <c r="I1491" s="689"/>
      <c r="J1491" s="685" t="s">
        <v>876</v>
      </c>
      <c r="K1491" s="685"/>
      <c r="L1491" s="689">
        <v>74</v>
      </c>
      <c r="M1491" s="683">
        <v>30</v>
      </c>
      <c r="N1491" s="706">
        <v>4</v>
      </c>
      <c r="O1491" s="480"/>
      <c r="P1491" s="479"/>
      <c r="Q1491" s="479"/>
      <c r="R1491" s="479"/>
      <c r="S1491" s="479"/>
      <c r="T1491" s="479"/>
      <c r="U1491" s="479"/>
      <c r="V1491" s="479"/>
      <c r="W1491" s="479"/>
      <c r="X1491" s="479"/>
      <c r="Y1491" s="479"/>
      <c r="Z1491" s="479"/>
      <c r="AA1491" s="479"/>
      <c r="AB1491" s="479"/>
      <c r="AC1491" s="479"/>
      <c r="AD1491" s="479"/>
      <c r="AE1491" s="479"/>
      <c r="AF1491" s="479"/>
      <c r="AG1491" s="479"/>
      <c r="AH1491" s="479"/>
      <c r="AI1491" s="479"/>
      <c r="AJ1491" s="479"/>
      <c r="AK1491" s="479"/>
      <c r="AL1491" s="479"/>
      <c r="AM1491" s="479"/>
      <c r="AN1491" s="479"/>
      <c r="AO1491" s="479"/>
      <c r="AP1491" s="479"/>
      <c r="AQ1491" s="479"/>
      <c r="AR1491" s="479"/>
      <c r="AS1491" s="479"/>
      <c r="AT1491" s="479"/>
      <c r="AU1491" s="479"/>
      <c r="AV1491" s="479"/>
      <c r="AW1491" s="479"/>
      <c r="AX1491" s="479"/>
      <c r="AY1491" s="479"/>
      <c r="AZ1491" s="479"/>
      <c r="BA1491" s="479"/>
      <c r="BB1491" s="479"/>
      <c r="BC1491" s="479"/>
      <c r="BD1491" s="479"/>
      <c r="BE1491" s="479"/>
      <c r="BF1491" s="479"/>
      <c r="BG1491" s="479"/>
      <c r="BH1491" s="479"/>
      <c r="BI1491" s="479"/>
      <c r="BJ1491" s="479"/>
      <c r="BK1491" s="479"/>
      <c r="BL1491" s="479"/>
      <c r="BM1491" s="479"/>
      <c r="BN1491" s="479"/>
      <c r="BO1491" s="479"/>
      <c r="BP1491" s="479"/>
      <c r="BQ1491" s="479"/>
      <c r="BR1491" s="479"/>
      <c r="BS1491" s="479"/>
      <c r="BT1491" s="479"/>
      <c r="BU1491" s="479"/>
      <c r="BV1491" s="479"/>
      <c r="BW1491" s="479"/>
      <c r="BX1491" s="479"/>
      <c r="BY1491" s="479"/>
      <c r="BZ1491" s="479"/>
      <c r="CA1491" s="479"/>
      <c r="CB1491" s="479"/>
      <c r="CC1491" s="479"/>
      <c r="CD1491" s="479"/>
      <c r="CE1491" s="479"/>
      <c r="CF1491" s="479"/>
      <c r="CG1491" s="479"/>
      <c r="CH1491" s="479"/>
      <c r="CI1491" s="479"/>
      <c r="CJ1491" s="479"/>
      <c r="CK1491" s="479"/>
      <c r="CL1491" s="479"/>
      <c r="CM1491" s="479"/>
      <c r="CN1491" s="479"/>
      <c r="CO1491" s="479"/>
      <c r="CP1491" s="479"/>
      <c r="CQ1491" s="479"/>
      <c r="CR1491" s="479"/>
      <c r="CS1491" s="479"/>
      <c r="CT1491" s="479"/>
      <c r="CU1491" s="479"/>
      <c r="CV1491" s="479"/>
      <c r="CW1491" s="479"/>
      <c r="CX1491" s="479"/>
      <c r="CY1491" s="479"/>
      <c r="CZ1491" s="479"/>
      <c r="DA1491" s="479"/>
      <c r="DB1491" s="479"/>
      <c r="DC1491" s="479"/>
      <c r="DD1491" s="479"/>
      <c r="DE1491" s="479"/>
      <c r="DF1491" s="479"/>
      <c r="DG1491" s="479"/>
      <c r="DH1491" s="479"/>
      <c r="DI1491" s="479"/>
      <c r="DJ1491" s="479"/>
      <c r="DK1491" s="479"/>
      <c r="DL1491" s="479"/>
      <c r="DM1491" s="479"/>
      <c r="DN1491" s="479"/>
      <c r="DO1491" s="479"/>
      <c r="DP1491" s="479"/>
      <c r="DQ1491" s="479"/>
      <c r="DR1491" s="479"/>
      <c r="DS1491" s="479"/>
      <c r="DT1491" s="479"/>
      <c r="DU1491" s="479"/>
      <c r="DV1491" s="479"/>
      <c r="DW1491" s="479"/>
      <c r="DX1491" s="479"/>
      <c r="DY1491" s="479"/>
      <c r="DZ1491" s="479"/>
      <c r="EA1491" s="479"/>
      <c r="EB1491" s="479"/>
      <c r="EC1491" s="479"/>
      <c r="ED1491" s="479"/>
      <c r="EE1491" s="479"/>
      <c r="EF1491" s="479"/>
      <c r="EG1491" s="479"/>
      <c r="EH1491" s="479"/>
      <c r="EI1491" s="479"/>
      <c r="EJ1491" s="479"/>
      <c r="EK1491" s="479"/>
      <c r="EL1491" s="479"/>
      <c r="EM1491" s="479"/>
      <c r="EN1491" s="479"/>
      <c r="EO1491" s="479"/>
      <c r="EP1491" s="479"/>
      <c r="EQ1491" s="479"/>
      <c r="ER1491" s="479"/>
      <c r="ES1491" s="479"/>
      <c r="ET1491" s="479"/>
      <c r="EU1491" s="479"/>
      <c r="EV1491" s="479"/>
      <c r="EW1491" s="479"/>
      <c r="EX1491" s="479"/>
      <c r="EY1491" s="479"/>
      <c r="EZ1491" s="479"/>
      <c r="FA1491" s="479"/>
      <c r="FB1491" s="479"/>
      <c r="FC1491" s="479"/>
      <c r="FD1491" s="479"/>
      <c r="FE1491" s="479"/>
      <c r="FF1491" s="479"/>
      <c r="FG1491" s="479"/>
      <c r="FH1491" s="479"/>
      <c r="FI1491" s="479"/>
      <c r="FJ1491" s="479"/>
      <c r="FK1491" s="479"/>
      <c r="FL1491" s="479"/>
      <c r="FM1491" s="479"/>
      <c r="FN1491" s="479"/>
      <c r="FO1491" s="479"/>
      <c r="FP1491" s="479"/>
      <c r="FQ1491" s="479"/>
      <c r="FR1491" s="479"/>
      <c r="FS1491" s="479"/>
      <c r="FT1491" s="479"/>
      <c r="FU1491" s="479"/>
      <c r="FV1491" s="479"/>
      <c r="FW1491" s="479"/>
      <c r="FX1491" s="479"/>
      <c r="FY1491" s="479"/>
      <c r="FZ1491" s="479"/>
      <c r="GA1491" s="479"/>
      <c r="GB1491" s="479"/>
      <c r="GC1491" s="479"/>
      <c r="GD1491" s="479"/>
      <c r="GE1491" s="479"/>
      <c r="GF1491" s="479"/>
      <c r="GG1491" s="479"/>
      <c r="GH1491" s="479"/>
      <c r="GI1491" s="479"/>
      <c r="GJ1491" s="479"/>
      <c r="GK1491" s="479"/>
      <c r="GL1491" s="479"/>
      <c r="GM1491" s="479"/>
      <c r="GN1491" s="479"/>
      <c r="GO1491" s="479"/>
      <c r="GP1491" s="479"/>
      <c r="GQ1491" s="479"/>
      <c r="GR1491" s="479"/>
      <c r="GS1491" s="479"/>
      <c r="GT1491" s="479"/>
      <c r="GU1491" s="479"/>
      <c r="GV1491" s="479"/>
      <c r="GW1491" s="479"/>
      <c r="GX1491" s="479"/>
      <c r="GY1491" s="479"/>
      <c r="GZ1491" s="479"/>
      <c r="HA1491" s="479"/>
      <c r="HB1491" s="479"/>
      <c r="HC1491" s="479"/>
      <c r="HD1491" s="479"/>
      <c r="HE1491" s="479"/>
      <c r="HF1491" s="479"/>
      <c r="HG1491" s="479"/>
      <c r="HH1491" s="479"/>
      <c r="HI1491" s="479"/>
      <c r="HJ1491" s="479"/>
      <c r="HK1491" s="479"/>
      <c r="HL1491" s="479"/>
      <c r="HM1491" s="479"/>
    </row>
    <row r="1492" spans="1:221" s="305" customFormat="1">
      <c r="A1492" s="703" t="s">
        <v>2396</v>
      </c>
      <c r="B1492" s="1272" t="s">
        <v>113</v>
      </c>
      <c r="C1492" s="1287" t="s">
        <v>899</v>
      </c>
      <c r="D1492" s="1274"/>
      <c r="E1492" s="1255">
        <v>46</v>
      </c>
      <c r="F1492" s="681"/>
      <c r="G1492" s="681"/>
      <c r="H1492" s="683"/>
      <c r="I1492" s="689"/>
      <c r="J1492" s="685"/>
      <c r="K1492" s="685"/>
      <c r="L1492" s="689">
        <f>46+20</f>
        <v>66</v>
      </c>
      <c r="M1492" s="683">
        <v>20</v>
      </c>
      <c r="N1492" s="667">
        <v>4</v>
      </c>
      <c r="O1492" s="645"/>
      <c r="P1492" s="479"/>
      <c r="Q1492" s="479"/>
      <c r="R1492" s="479"/>
      <c r="S1492" s="479"/>
      <c r="T1492" s="479"/>
      <c r="U1492" s="479"/>
      <c r="V1492" s="456"/>
      <c r="W1492" s="456"/>
      <c r="X1492" s="456"/>
      <c r="Y1492" s="456"/>
      <c r="Z1492" s="456"/>
      <c r="AA1492" s="456"/>
      <c r="AB1492" s="456"/>
      <c r="AC1492" s="456"/>
      <c r="AD1492" s="456"/>
      <c r="AE1492" s="456"/>
      <c r="AF1492" s="456"/>
      <c r="AG1492" s="456"/>
      <c r="AH1492" s="456"/>
      <c r="AI1492" s="456"/>
      <c r="AJ1492" s="456"/>
      <c r="AK1492" s="456"/>
      <c r="AL1492" s="456"/>
      <c r="AM1492" s="456"/>
      <c r="AN1492" s="456"/>
      <c r="AO1492" s="456"/>
      <c r="AP1492" s="456"/>
      <c r="AQ1492" s="456"/>
      <c r="AR1492" s="456"/>
      <c r="AS1492" s="456"/>
      <c r="AT1492" s="456"/>
      <c r="AU1492" s="456"/>
      <c r="AV1492" s="456"/>
      <c r="AW1492" s="456"/>
      <c r="AX1492" s="456"/>
      <c r="AY1492" s="456"/>
      <c r="AZ1492" s="456"/>
      <c r="BA1492" s="456"/>
      <c r="BB1492" s="456"/>
      <c r="BC1492" s="456"/>
      <c r="BD1492" s="456"/>
      <c r="BE1492" s="456"/>
      <c r="BF1492" s="456"/>
      <c r="BG1492" s="456"/>
      <c r="BH1492" s="456"/>
      <c r="BI1492" s="456"/>
      <c r="BJ1492" s="456"/>
      <c r="BK1492" s="456"/>
      <c r="BL1492" s="456"/>
      <c r="BM1492" s="456"/>
      <c r="BN1492" s="456"/>
      <c r="BO1492" s="456"/>
      <c r="BP1492" s="456"/>
      <c r="BQ1492" s="456"/>
      <c r="BR1492" s="456"/>
      <c r="BS1492" s="456"/>
      <c r="BT1492" s="456"/>
      <c r="BU1492" s="456"/>
      <c r="BV1492" s="456"/>
      <c r="BW1492" s="456"/>
      <c r="BX1492" s="456"/>
      <c r="BY1492" s="456"/>
      <c r="BZ1492" s="456"/>
      <c r="CA1492" s="456"/>
      <c r="CB1492" s="456"/>
      <c r="CC1492" s="456"/>
      <c r="CD1492" s="456"/>
      <c r="CE1492" s="456"/>
      <c r="CF1492" s="456"/>
      <c r="CG1492" s="456"/>
      <c r="CH1492" s="456"/>
      <c r="CI1492" s="456"/>
      <c r="CJ1492" s="456"/>
      <c r="CK1492" s="456"/>
      <c r="CL1492" s="456"/>
      <c r="CM1492" s="456"/>
      <c r="CN1492" s="456"/>
      <c r="CO1492" s="456"/>
      <c r="CP1492" s="456"/>
      <c r="CQ1492" s="456"/>
      <c r="CR1492" s="456"/>
      <c r="CS1492" s="456"/>
      <c r="CT1492" s="456"/>
      <c r="CU1492" s="456"/>
      <c r="CV1492" s="456"/>
      <c r="CW1492" s="456"/>
      <c r="CX1492" s="456"/>
      <c r="CY1492" s="456"/>
      <c r="CZ1492" s="456"/>
      <c r="DA1492" s="456"/>
      <c r="DB1492" s="456"/>
      <c r="DC1492" s="456"/>
      <c r="DD1492" s="456"/>
      <c r="DE1492" s="456"/>
      <c r="DF1492" s="456"/>
      <c r="DG1492" s="456"/>
      <c r="DH1492" s="456"/>
      <c r="DI1492" s="456"/>
      <c r="DJ1492" s="456"/>
      <c r="DK1492" s="456"/>
      <c r="DL1492" s="456"/>
      <c r="DM1492" s="456"/>
      <c r="DN1492" s="456"/>
      <c r="DO1492" s="456"/>
      <c r="DP1492" s="456"/>
      <c r="DQ1492" s="456"/>
      <c r="DR1492" s="456"/>
      <c r="DS1492" s="456"/>
      <c r="DT1492" s="456"/>
      <c r="DU1492" s="456"/>
      <c r="DV1492" s="456"/>
      <c r="DW1492" s="456"/>
      <c r="DX1492" s="456"/>
      <c r="DY1492" s="456"/>
      <c r="DZ1492" s="456"/>
      <c r="EA1492" s="456"/>
      <c r="EB1492" s="456"/>
      <c r="EC1492" s="456"/>
      <c r="ED1492" s="456"/>
      <c r="EE1492" s="456"/>
      <c r="EF1492" s="456"/>
      <c r="EG1492" s="456"/>
      <c r="EH1492" s="456"/>
      <c r="EI1492" s="456"/>
      <c r="EJ1492" s="456"/>
      <c r="EK1492" s="456"/>
      <c r="EL1492" s="456"/>
      <c r="EM1492" s="456"/>
      <c r="EN1492" s="456"/>
      <c r="EO1492" s="456"/>
      <c r="EP1492" s="456"/>
      <c r="EQ1492" s="456"/>
      <c r="ER1492" s="456"/>
      <c r="ES1492" s="456"/>
      <c r="ET1492" s="456"/>
      <c r="EU1492" s="456"/>
      <c r="EV1492" s="456"/>
      <c r="EW1492" s="456"/>
      <c r="EX1492" s="456"/>
      <c r="EY1492" s="456"/>
      <c r="EZ1492" s="456"/>
      <c r="FA1492" s="456"/>
      <c r="FB1492" s="456"/>
      <c r="FC1492" s="456"/>
      <c r="FD1492" s="456"/>
      <c r="FE1492" s="456"/>
      <c r="FF1492" s="456"/>
      <c r="FG1492" s="456"/>
      <c r="FH1492" s="456"/>
      <c r="FI1492" s="456"/>
      <c r="FJ1492" s="456"/>
      <c r="FK1492" s="456"/>
      <c r="FL1492" s="456"/>
      <c r="FM1492" s="456"/>
      <c r="FN1492" s="456"/>
      <c r="FO1492" s="456"/>
      <c r="FP1492" s="456"/>
      <c r="FQ1492" s="456"/>
      <c r="FR1492" s="456"/>
      <c r="FS1492" s="456"/>
      <c r="FT1492" s="456"/>
      <c r="FU1492" s="456"/>
      <c r="FV1492" s="456"/>
      <c r="FW1492" s="456"/>
      <c r="FX1492" s="456"/>
      <c r="FY1492" s="456"/>
      <c r="FZ1492" s="456"/>
      <c r="GA1492" s="456"/>
      <c r="GB1492" s="456"/>
      <c r="GC1492" s="456"/>
      <c r="GD1492" s="456"/>
      <c r="GE1492" s="456"/>
      <c r="GF1492" s="456"/>
      <c r="GG1492" s="456"/>
      <c r="GH1492" s="456"/>
      <c r="GI1492" s="456"/>
      <c r="GJ1492" s="456"/>
      <c r="GK1492" s="456"/>
      <c r="GL1492" s="456"/>
      <c r="GM1492" s="456"/>
      <c r="GN1492" s="456"/>
      <c r="GO1492" s="456"/>
      <c r="GP1492" s="456"/>
      <c r="GQ1492" s="456"/>
      <c r="GR1492" s="456"/>
      <c r="GS1492" s="456"/>
      <c r="GT1492" s="456"/>
      <c r="GU1492" s="456"/>
      <c r="GV1492" s="456"/>
      <c r="GW1492" s="456"/>
      <c r="GX1492" s="456"/>
      <c r="GY1492" s="456"/>
      <c r="GZ1492" s="456"/>
      <c r="HA1492" s="456"/>
      <c r="HB1492" s="456"/>
      <c r="HC1492" s="456"/>
      <c r="HD1492" s="456"/>
      <c r="HE1492" s="456"/>
      <c r="HF1492" s="456"/>
      <c r="HG1492" s="456"/>
      <c r="HH1492" s="456"/>
      <c r="HI1492" s="456"/>
      <c r="HJ1492" s="456"/>
      <c r="HK1492" s="456"/>
      <c r="HL1492" s="456"/>
      <c r="HM1492" s="456"/>
    </row>
    <row r="1493" spans="1:221" s="305" customFormat="1">
      <c r="A1493" s="703" t="s">
        <v>2397</v>
      </c>
      <c r="B1493" s="1272" t="s">
        <v>113</v>
      </c>
      <c r="C1493" s="1287" t="s">
        <v>899</v>
      </c>
      <c r="D1493" s="1274"/>
      <c r="E1493" s="1255">
        <v>31.5</v>
      </c>
      <c r="F1493" s="681"/>
      <c r="G1493" s="681"/>
      <c r="H1493" s="683"/>
      <c r="I1493" s="689"/>
      <c r="J1493" s="685"/>
      <c r="K1493" s="685"/>
      <c r="L1493" s="689">
        <f>31.5+20.5</f>
        <v>52</v>
      </c>
      <c r="M1493" s="683">
        <v>20.5</v>
      </c>
      <c r="N1493" s="667">
        <v>4</v>
      </c>
      <c r="O1493" s="645"/>
      <c r="P1493" s="297"/>
      <c r="Q1493" s="297"/>
      <c r="R1493" s="297"/>
      <c r="S1493" s="297"/>
      <c r="T1493" s="297"/>
      <c r="U1493" s="297"/>
    </row>
    <row r="1494" spans="1:221" s="305" customFormat="1">
      <c r="A1494" s="703"/>
      <c r="B1494" s="1272" t="s">
        <v>2487</v>
      </c>
      <c r="C1494" s="1273" t="s">
        <v>2488</v>
      </c>
      <c r="D1494" s="1274"/>
      <c r="E1494" s="1255"/>
      <c r="F1494" s="681"/>
      <c r="G1494" s="681" t="s">
        <v>1909</v>
      </c>
      <c r="H1494" s="683"/>
      <c r="I1494" s="689"/>
      <c r="J1494" s="685"/>
      <c r="K1494" s="685"/>
      <c r="L1494" s="689"/>
      <c r="M1494" s="683"/>
      <c r="N1494" s="706"/>
      <c r="O1494" s="480"/>
      <c r="P1494" s="479"/>
      <c r="Q1494" s="479"/>
      <c r="R1494" s="479"/>
      <c r="S1494" s="479"/>
      <c r="T1494" s="479"/>
      <c r="U1494" s="479"/>
      <c r="V1494" s="479"/>
      <c r="W1494" s="479"/>
      <c r="X1494" s="479"/>
      <c r="Y1494" s="479"/>
      <c r="Z1494" s="479"/>
      <c r="AA1494" s="479"/>
      <c r="AB1494" s="479"/>
      <c r="AC1494" s="479"/>
      <c r="AD1494" s="479"/>
      <c r="AE1494" s="479"/>
      <c r="AF1494" s="479"/>
      <c r="AG1494" s="479"/>
      <c r="AH1494" s="479"/>
      <c r="AI1494" s="479"/>
      <c r="AJ1494" s="479"/>
      <c r="AK1494" s="479"/>
      <c r="AL1494" s="479"/>
      <c r="AM1494" s="479"/>
      <c r="AN1494" s="479"/>
      <c r="AO1494" s="479"/>
      <c r="AP1494" s="479"/>
      <c r="AQ1494" s="479"/>
      <c r="AR1494" s="479"/>
      <c r="AS1494" s="479"/>
      <c r="AT1494" s="479"/>
      <c r="AU1494" s="479"/>
      <c r="AV1494" s="479"/>
      <c r="AW1494" s="479"/>
      <c r="AX1494" s="479"/>
      <c r="AY1494" s="479"/>
      <c r="AZ1494" s="479"/>
      <c r="BA1494" s="479"/>
      <c r="BB1494" s="479"/>
      <c r="BC1494" s="479"/>
      <c r="BD1494" s="479"/>
      <c r="BE1494" s="479"/>
      <c r="BF1494" s="479"/>
      <c r="BG1494" s="479"/>
      <c r="BH1494" s="479"/>
      <c r="BI1494" s="479"/>
      <c r="BJ1494" s="479"/>
      <c r="BK1494" s="479"/>
      <c r="BL1494" s="479"/>
      <c r="BM1494" s="479"/>
      <c r="BN1494" s="479"/>
      <c r="BO1494" s="479"/>
      <c r="BP1494" s="479"/>
      <c r="BQ1494" s="479"/>
      <c r="BR1494" s="479"/>
      <c r="BS1494" s="479"/>
      <c r="BT1494" s="479"/>
      <c r="BU1494" s="479"/>
      <c r="BV1494" s="479"/>
      <c r="BW1494" s="479"/>
      <c r="BX1494" s="479"/>
      <c r="BY1494" s="479"/>
      <c r="BZ1494" s="479"/>
      <c r="CA1494" s="479"/>
      <c r="CB1494" s="479"/>
      <c r="CC1494" s="479"/>
      <c r="CD1494" s="479"/>
      <c r="CE1494" s="479"/>
      <c r="CF1494" s="479"/>
      <c r="CG1494" s="479"/>
      <c r="CH1494" s="479"/>
      <c r="CI1494" s="479"/>
      <c r="CJ1494" s="479"/>
      <c r="CK1494" s="479"/>
      <c r="CL1494" s="479"/>
      <c r="CM1494" s="479"/>
      <c r="CN1494" s="479"/>
      <c r="CO1494" s="479"/>
      <c r="CP1494" s="479"/>
      <c r="CQ1494" s="479"/>
      <c r="CR1494" s="479"/>
      <c r="CS1494" s="479"/>
      <c r="CT1494" s="479"/>
      <c r="CU1494" s="479"/>
      <c r="CV1494" s="479"/>
      <c r="CW1494" s="479"/>
      <c r="CX1494" s="479"/>
      <c r="CY1494" s="479"/>
      <c r="CZ1494" s="479"/>
      <c r="DA1494" s="479"/>
      <c r="DB1494" s="479"/>
      <c r="DC1494" s="479"/>
      <c r="DD1494" s="479"/>
      <c r="DE1494" s="479"/>
      <c r="DF1494" s="479"/>
      <c r="DG1494" s="479"/>
      <c r="DH1494" s="479"/>
      <c r="DI1494" s="479"/>
      <c r="DJ1494" s="479"/>
      <c r="DK1494" s="479"/>
      <c r="DL1494" s="479"/>
      <c r="DM1494" s="479"/>
      <c r="DN1494" s="479"/>
      <c r="DO1494" s="479"/>
      <c r="DP1494" s="479"/>
      <c r="DQ1494" s="479"/>
      <c r="DR1494" s="479"/>
      <c r="DS1494" s="479"/>
      <c r="DT1494" s="479"/>
      <c r="DU1494" s="479"/>
      <c r="DV1494" s="479"/>
      <c r="DW1494" s="479"/>
      <c r="DX1494" s="479"/>
      <c r="DY1494" s="479"/>
      <c r="DZ1494" s="479"/>
      <c r="EA1494" s="479"/>
      <c r="EB1494" s="479"/>
      <c r="EC1494" s="479"/>
      <c r="ED1494" s="479"/>
      <c r="EE1494" s="479"/>
      <c r="EF1494" s="479"/>
      <c r="EG1494" s="479"/>
      <c r="EH1494" s="479"/>
      <c r="EI1494" s="479"/>
      <c r="EJ1494" s="479"/>
      <c r="EK1494" s="479"/>
      <c r="EL1494" s="479"/>
      <c r="EM1494" s="479"/>
      <c r="EN1494" s="479"/>
      <c r="EO1494" s="479"/>
      <c r="EP1494" s="479"/>
      <c r="EQ1494" s="479"/>
      <c r="ER1494" s="479"/>
      <c r="ES1494" s="479"/>
      <c r="ET1494" s="479"/>
      <c r="EU1494" s="479"/>
      <c r="EV1494" s="479"/>
      <c r="EW1494" s="479"/>
      <c r="EX1494" s="479"/>
      <c r="EY1494" s="479"/>
      <c r="EZ1494" s="479"/>
      <c r="FA1494" s="479"/>
      <c r="FB1494" s="479"/>
      <c r="FC1494" s="479"/>
      <c r="FD1494" s="479"/>
      <c r="FE1494" s="479"/>
      <c r="FF1494" s="479"/>
      <c r="FG1494" s="479"/>
      <c r="FH1494" s="479"/>
      <c r="FI1494" s="479"/>
      <c r="FJ1494" s="479"/>
      <c r="FK1494" s="479"/>
      <c r="FL1494" s="479"/>
      <c r="FM1494" s="479"/>
      <c r="FN1494" s="479"/>
      <c r="FO1494" s="479"/>
      <c r="FP1494" s="479"/>
      <c r="FQ1494" s="479"/>
      <c r="FR1494" s="479"/>
      <c r="FS1494" s="479"/>
      <c r="FT1494" s="479"/>
      <c r="FU1494" s="479"/>
      <c r="FV1494" s="479"/>
      <c r="FW1494" s="479"/>
      <c r="FX1494" s="479"/>
      <c r="FY1494" s="479"/>
      <c r="FZ1494" s="479"/>
      <c r="GA1494" s="479"/>
      <c r="GB1494" s="479"/>
      <c r="GC1494" s="479"/>
      <c r="GD1494" s="479"/>
      <c r="GE1494" s="479"/>
      <c r="GF1494" s="479"/>
      <c r="GG1494" s="479"/>
      <c r="GH1494" s="479"/>
      <c r="GI1494" s="479"/>
      <c r="GJ1494" s="479"/>
      <c r="GK1494" s="479"/>
      <c r="GL1494" s="479"/>
      <c r="GM1494" s="479"/>
      <c r="GN1494" s="479"/>
      <c r="GO1494" s="479"/>
      <c r="GP1494" s="479"/>
      <c r="GQ1494" s="479"/>
      <c r="GR1494" s="479"/>
      <c r="GS1494" s="479"/>
      <c r="GT1494" s="479"/>
      <c r="GU1494" s="479"/>
      <c r="GV1494" s="479"/>
      <c r="GW1494" s="479"/>
      <c r="GX1494" s="479"/>
      <c r="GY1494" s="479"/>
      <c r="GZ1494" s="479"/>
      <c r="HA1494" s="479"/>
      <c r="HB1494" s="479"/>
      <c r="HC1494" s="479"/>
      <c r="HD1494" s="479"/>
      <c r="HE1494" s="479"/>
      <c r="HF1494" s="479"/>
      <c r="HG1494" s="479"/>
      <c r="HH1494" s="479"/>
      <c r="HI1494" s="479"/>
      <c r="HJ1494" s="479"/>
      <c r="HK1494" s="479"/>
      <c r="HL1494" s="479"/>
      <c r="HM1494" s="479"/>
    </row>
    <row r="1495" spans="1:221" s="305" customFormat="1">
      <c r="A1495" s="703"/>
      <c r="B1495" s="1272" t="s">
        <v>2487</v>
      </c>
      <c r="C1495" s="1273" t="s">
        <v>2489</v>
      </c>
      <c r="D1495" s="1274"/>
      <c r="E1495" s="1255"/>
      <c r="F1495" s="681"/>
      <c r="G1495" s="681" t="s">
        <v>1909</v>
      </c>
      <c r="H1495" s="683"/>
      <c r="I1495" s="689"/>
      <c r="J1495" s="685"/>
      <c r="K1495" s="697"/>
      <c r="L1495" s="689"/>
      <c r="M1495" s="683"/>
      <c r="N1495" s="706"/>
      <c r="O1495" s="480"/>
      <c r="P1495" s="297"/>
      <c r="Q1495" s="297"/>
      <c r="R1495" s="297"/>
      <c r="S1495" s="297"/>
      <c r="T1495" s="297"/>
      <c r="U1495" s="297"/>
    </row>
    <row r="1496" spans="1:221" s="305" customFormat="1">
      <c r="A1496" s="703"/>
      <c r="B1496" s="1272" t="s">
        <v>2487</v>
      </c>
      <c r="C1496" s="1273" t="s">
        <v>2490</v>
      </c>
      <c r="D1496" s="1274"/>
      <c r="E1496" s="1255"/>
      <c r="F1496" s="681"/>
      <c r="G1496" s="681" t="s">
        <v>1909</v>
      </c>
      <c r="H1496" s="683"/>
      <c r="I1496" s="689"/>
      <c r="J1496" s="685"/>
      <c r="K1496" s="697"/>
      <c r="L1496" s="689"/>
      <c r="M1496" s="683"/>
      <c r="N1496" s="706"/>
      <c r="O1496" s="480"/>
      <c r="P1496" s="479"/>
      <c r="Q1496" s="479"/>
      <c r="R1496" s="479"/>
      <c r="S1496" s="479"/>
      <c r="T1496" s="479"/>
      <c r="U1496" s="479"/>
      <c r="V1496" s="479"/>
      <c r="W1496" s="479"/>
      <c r="X1496" s="479"/>
      <c r="Y1496" s="479"/>
      <c r="Z1496" s="479"/>
      <c r="AA1496" s="479"/>
      <c r="AB1496" s="479"/>
      <c r="AC1496" s="479"/>
      <c r="AD1496" s="479"/>
      <c r="AE1496" s="479"/>
      <c r="AF1496" s="479"/>
      <c r="AG1496" s="479"/>
      <c r="AH1496" s="479"/>
      <c r="AI1496" s="479"/>
      <c r="AJ1496" s="479"/>
      <c r="AK1496" s="479"/>
      <c r="AL1496" s="479"/>
      <c r="AM1496" s="479"/>
      <c r="AN1496" s="479"/>
      <c r="AO1496" s="479"/>
      <c r="AP1496" s="479"/>
      <c r="AQ1496" s="479"/>
      <c r="AR1496" s="479"/>
      <c r="AS1496" s="479"/>
      <c r="AT1496" s="479"/>
      <c r="AU1496" s="479"/>
      <c r="AV1496" s="479"/>
      <c r="AW1496" s="479"/>
      <c r="AX1496" s="479"/>
      <c r="AY1496" s="479"/>
      <c r="AZ1496" s="479"/>
      <c r="BA1496" s="479"/>
      <c r="BB1496" s="479"/>
      <c r="BC1496" s="479"/>
      <c r="BD1496" s="479"/>
      <c r="BE1496" s="479"/>
      <c r="BF1496" s="479"/>
      <c r="BG1496" s="479"/>
      <c r="BH1496" s="479"/>
      <c r="BI1496" s="479"/>
      <c r="BJ1496" s="479"/>
      <c r="BK1496" s="479"/>
      <c r="BL1496" s="479"/>
      <c r="BM1496" s="479"/>
      <c r="BN1496" s="479"/>
      <c r="BO1496" s="479"/>
      <c r="BP1496" s="479"/>
      <c r="BQ1496" s="479"/>
      <c r="BR1496" s="479"/>
      <c r="BS1496" s="479"/>
      <c r="BT1496" s="479"/>
      <c r="BU1496" s="479"/>
      <c r="BV1496" s="479"/>
      <c r="BW1496" s="479"/>
      <c r="BX1496" s="479"/>
      <c r="BY1496" s="479"/>
      <c r="BZ1496" s="479"/>
      <c r="CA1496" s="479"/>
      <c r="CB1496" s="479"/>
      <c r="CC1496" s="479"/>
      <c r="CD1496" s="479"/>
      <c r="CE1496" s="479"/>
      <c r="CF1496" s="479"/>
      <c r="CG1496" s="479"/>
      <c r="CH1496" s="479"/>
      <c r="CI1496" s="479"/>
      <c r="CJ1496" s="479"/>
      <c r="CK1496" s="479"/>
      <c r="CL1496" s="479"/>
      <c r="CM1496" s="479"/>
      <c r="CN1496" s="479"/>
      <c r="CO1496" s="479"/>
      <c r="CP1496" s="479"/>
      <c r="CQ1496" s="479"/>
      <c r="CR1496" s="479"/>
      <c r="CS1496" s="479"/>
      <c r="CT1496" s="479"/>
      <c r="CU1496" s="479"/>
      <c r="CV1496" s="479"/>
      <c r="CW1496" s="479"/>
      <c r="CX1496" s="479"/>
      <c r="CY1496" s="479"/>
      <c r="CZ1496" s="479"/>
      <c r="DA1496" s="479"/>
      <c r="DB1496" s="479"/>
      <c r="DC1496" s="479"/>
      <c r="DD1496" s="479"/>
      <c r="DE1496" s="479"/>
      <c r="DF1496" s="479"/>
      <c r="DG1496" s="479"/>
      <c r="DH1496" s="479"/>
      <c r="DI1496" s="479"/>
      <c r="DJ1496" s="479"/>
      <c r="DK1496" s="479"/>
      <c r="DL1496" s="479"/>
      <c r="DM1496" s="479"/>
      <c r="DN1496" s="479"/>
      <c r="DO1496" s="479"/>
      <c r="DP1496" s="479"/>
      <c r="DQ1496" s="479"/>
      <c r="DR1496" s="479"/>
      <c r="DS1496" s="479"/>
      <c r="DT1496" s="479"/>
      <c r="DU1496" s="479"/>
      <c r="DV1496" s="479"/>
      <c r="DW1496" s="479"/>
      <c r="DX1496" s="479"/>
      <c r="DY1496" s="479"/>
      <c r="DZ1496" s="479"/>
      <c r="EA1496" s="479"/>
      <c r="EB1496" s="479"/>
      <c r="EC1496" s="479"/>
      <c r="ED1496" s="479"/>
      <c r="EE1496" s="479"/>
      <c r="EF1496" s="479"/>
      <c r="EG1496" s="479"/>
      <c r="EH1496" s="479"/>
      <c r="EI1496" s="479"/>
      <c r="EJ1496" s="479"/>
      <c r="EK1496" s="479"/>
      <c r="EL1496" s="479"/>
      <c r="EM1496" s="479"/>
      <c r="EN1496" s="479"/>
      <c r="EO1496" s="479"/>
      <c r="EP1496" s="479"/>
      <c r="EQ1496" s="479"/>
      <c r="ER1496" s="479"/>
      <c r="ES1496" s="479"/>
      <c r="ET1496" s="479"/>
      <c r="EU1496" s="479"/>
      <c r="EV1496" s="479"/>
      <c r="EW1496" s="479"/>
      <c r="EX1496" s="479"/>
      <c r="EY1496" s="479"/>
      <c r="EZ1496" s="479"/>
      <c r="FA1496" s="479"/>
      <c r="FB1496" s="479"/>
      <c r="FC1496" s="479"/>
      <c r="FD1496" s="479"/>
      <c r="FE1496" s="479"/>
      <c r="FF1496" s="479"/>
      <c r="FG1496" s="479"/>
      <c r="FH1496" s="479"/>
      <c r="FI1496" s="479"/>
      <c r="FJ1496" s="479"/>
      <c r="FK1496" s="479"/>
      <c r="FL1496" s="479"/>
      <c r="FM1496" s="479"/>
      <c r="FN1496" s="479"/>
      <c r="FO1496" s="479"/>
      <c r="FP1496" s="479"/>
      <c r="FQ1496" s="479"/>
      <c r="FR1496" s="479"/>
      <c r="FS1496" s="479"/>
      <c r="FT1496" s="479"/>
      <c r="FU1496" s="479"/>
      <c r="FV1496" s="479"/>
      <c r="FW1496" s="479"/>
      <c r="FX1496" s="479"/>
      <c r="FY1496" s="479"/>
      <c r="FZ1496" s="479"/>
      <c r="GA1496" s="479"/>
      <c r="GB1496" s="479"/>
      <c r="GC1496" s="479"/>
      <c r="GD1496" s="479"/>
      <c r="GE1496" s="479"/>
      <c r="GF1496" s="479"/>
      <c r="GG1496" s="479"/>
      <c r="GH1496" s="479"/>
      <c r="GI1496" s="479"/>
      <c r="GJ1496" s="479"/>
      <c r="GK1496" s="479"/>
      <c r="GL1496" s="479"/>
      <c r="GM1496" s="479"/>
      <c r="GN1496" s="479"/>
      <c r="GO1496" s="479"/>
      <c r="GP1496" s="479"/>
      <c r="GQ1496" s="479"/>
      <c r="GR1496" s="479"/>
      <c r="GS1496" s="479"/>
      <c r="GT1496" s="479"/>
      <c r="GU1496" s="479"/>
      <c r="GV1496" s="479"/>
      <c r="GW1496" s="479"/>
      <c r="GX1496" s="479"/>
      <c r="GY1496" s="479"/>
      <c r="GZ1496" s="479"/>
      <c r="HA1496" s="479"/>
      <c r="HB1496" s="479"/>
      <c r="HC1496" s="479"/>
      <c r="HD1496" s="479"/>
      <c r="HE1496" s="479"/>
      <c r="HF1496" s="479"/>
      <c r="HG1496" s="479"/>
      <c r="HH1496" s="479"/>
      <c r="HI1496" s="479"/>
      <c r="HJ1496" s="479"/>
      <c r="HK1496" s="479"/>
      <c r="HL1496" s="479"/>
      <c r="HM1496" s="479"/>
    </row>
    <row r="1497" spans="1:221" s="305" customFormat="1">
      <c r="A1497" s="703"/>
      <c r="B1497" s="1272" t="s">
        <v>2487</v>
      </c>
      <c r="C1497" s="1273" t="s">
        <v>392</v>
      </c>
      <c r="D1497" s="1274"/>
      <c r="E1497" s="1255"/>
      <c r="F1497" s="681"/>
      <c r="G1497" s="681" t="s">
        <v>1909</v>
      </c>
      <c r="H1497" s="683"/>
      <c r="I1497" s="689"/>
      <c r="J1497" s="685"/>
      <c r="K1497" s="697"/>
      <c r="L1497" s="689"/>
      <c r="M1497" s="683"/>
      <c r="N1497" s="706"/>
      <c r="O1497" s="480"/>
      <c r="P1497" s="479"/>
      <c r="Q1497" s="479"/>
      <c r="R1497" s="479"/>
      <c r="S1497" s="479"/>
      <c r="T1497" s="479"/>
      <c r="U1497" s="479"/>
      <c r="V1497" s="479"/>
      <c r="W1497" s="479"/>
      <c r="X1497" s="479"/>
      <c r="Y1497" s="479"/>
      <c r="Z1497" s="479"/>
      <c r="AA1497" s="479"/>
      <c r="AB1497" s="479"/>
      <c r="AC1497" s="479"/>
      <c r="AD1497" s="479"/>
      <c r="AE1497" s="479"/>
      <c r="AF1497" s="479"/>
      <c r="AG1497" s="479"/>
      <c r="AH1497" s="479"/>
      <c r="AI1497" s="479"/>
      <c r="AJ1497" s="479"/>
      <c r="AK1497" s="479"/>
      <c r="AL1497" s="479"/>
      <c r="AM1497" s="479"/>
      <c r="AN1497" s="479"/>
      <c r="AO1497" s="479"/>
      <c r="AP1497" s="479"/>
      <c r="AQ1497" s="479"/>
      <c r="AR1497" s="479"/>
      <c r="AS1497" s="479"/>
      <c r="AT1497" s="479"/>
      <c r="AU1497" s="479"/>
      <c r="AV1497" s="479"/>
      <c r="AW1497" s="479"/>
      <c r="AX1497" s="479"/>
      <c r="AY1497" s="479"/>
      <c r="AZ1497" s="479"/>
      <c r="BA1497" s="479"/>
      <c r="BB1497" s="479"/>
      <c r="BC1497" s="479"/>
      <c r="BD1497" s="479"/>
      <c r="BE1497" s="479"/>
      <c r="BF1497" s="479"/>
      <c r="BG1497" s="479"/>
      <c r="BH1497" s="479"/>
      <c r="BI1497" s="479"/>
      <c r="BJ1497" s="479"/>
      <c r="BK1497" s="479"/>
      <c r="BL1497" s="479"/>
      <c r="BM1497" s="479"/>
      <c r="BN1497" s="479"/>
      <c r="BO1497" s="479"/>
      <c r="BP1497" s="479"/>
      <c r="BQ1497" s="479"/>
      <c r="BR1497" s="479"/>
      <c r="BS1497" s="479"/>
      <c r="BT1497" s="479"/>
      <c r="BU1497" s="479"/>
      <c r="BV1497" s="479"/>
      <c r="BW1497" s="479"/>
      <c r="BX1497" s="479"/>
      <c r="BY1497" s="479"/>
      <c r="BZ1497" s="479"/>
      <c r="CA1497" s="479"/>
      <c r="CB1497" s="479"/>
      <c r="CC1497" s="479"/>
      <c r="CD1497" s="479"/>
      <c r="CE1497" s="479"/>
      <c r="CF1497" s="479"/>
      <c r="CG1497" s="479"/>
      <c r="CH1497" s="479"/>
      <c r="CI1497" s="479"/>
      <c r="CJ1497" s="479"/>
      <c r="CK1497" s="479"/>
      <c r="CL1497" s="479"/>
      <c r="CM1497" s="479"/>
      <c r="CN1497" s="479"/>
      <c r="CO1497" s="479"/>
      <c r="CP1497" s="479"/>
      <c r="CQ1497" s="479"/>
      <c r="CR1497" s="479"/>
      <c r="CS1497" s="479"/>
      <c r="CT1497" s="479"/>
      <c r="CU1497" s="479"/>
      <c r="CV1497" s="479"/>
      <c r="CW1497" s="479"/>
      <c r="CX1497" s="479"/>
      <c r="CY1497" s="479"/>
      <c r="CZ1497" s="479"/>
      <c r="DA1497" s="479"/>
      <c r="DB1497" s="479"/>
      <c r="DC1497" s="479"/>
      <c r="DD1497" s="479"/>
      <c r="DE1497" s="479"/>
      <c r="DF1497" s="479"/>
      <c r="DG1497" s="479"/>
      <c r="DH1497" s="479"/>
      <c r="DI1497" s="479"/>
      <c r="DJ1497" s="479"/>
      <c r="DK1497" s="479"/>
      <c r="DL1497" s="479"/>
      <c r="DM1497" s="479"/>
      <c r="DN1497" s="479"/>
      <c r="DO1497" s="479"/>
      <c r="DP1497" s="479"/>
      <c r="DQ1497" s="479"/>
      <c r="DR1497" s="479"/>
      <c r="DS1497" s="479"/>
      <c r="DT1497" s="479"/>
      <c r="DU1497" s="479"/>
      <c r="DV1497" s="479"/>
      <c r="DW1497" s="479"/>
      <c r="DX1497" s="479"/>
      <c r="DY1497" s="479"/>
      <c r="DZ1497" s="479"/>
      <c r="EA1497" s="479"/>
      <c r="EB1497" s="479"/>
      <c r="EC1497" s="479"/>
      <c r="ED1497" s="479"/>
      <c r="EE1497" s="479"/>
      <c r="EF1497" s="479"/>
      <c r="EG1497" s="479"/>
      <c r="EH1497" s="479"/>
      <c r="EI1497" s="479"/>
      <c r="EJ1497" s="479"/>
      <c r="EK1497" s="479"/>
      <c r="EL1497" s="479"/>
      <c r="EM1497" s="479"/>
      <c r="EN1497" s="479"/>
      <c r="EO1497" s="479"/>
      <c r="EP1497" s="479"/>
      <c r="EQ1497" s="479"/>
      <c r="ER1497" s="479"/>
      <c r="ES1497" s="479"/>
      <c r="ET1497" s="479"/>
      <c r="EU1497" s="479"/>
      <c r="EV1497" s="479"/>
      <c r="EW1497" s="479"/>
      <c r="EX1497" s="479"/>
      <c r="EY1497" s="479"/>
      <c r="EZ1497" s="479"/>
      <c r="FA1497" s="479"/>
      <c r="FB1497" s="479"/>
      <c r="FC1497" s="479"/>
      <c r="FD1497" s="479"/>
      <c r="FE1497" s="479"/>
      <c r="FF1497" s="479"/>
      <c r="FG1497" s="479"/>
      <c r="FH1497" s="479"/>
      <c r="FI1497" s="479"/>
      <c r="FJ1497" s="479"/>
      <c r="FK1497" s="479"/>
      <c r="FL1497" s="479"/>
      <c r="FM1497" s="479"/>
      <c r="FN1497" s="479"/>
      <c r="FO1497" s="479"/>
      <c r="FP1497" s="479"/>
      <c r="FQ1497" s="479"/>
      <c r="FR1497" s="479"/>
      <c r="FS1497" s="479"/>
      <c r="FT1497" s="479"/>
      <c r="FU1497" s="479"/>
      <c r="FV1497" s="479"/>
      <c r="FW1497" s="479"/>
      <c r="FX1497" s="479"/>
      <c r="FY1497" s="479"/>
      <c r="FZ1497" s="479"/>
      <c r="GA1497" s="479"/>
      <c r="GB1497" s="479"/>
      <c r="GC1497" s="479"/>
      <c r="GD1497" s="479"/>
      <c r="GE1497" s="479"/>
      <c r="GF1497" s="479"/>
      <c r="GG1497" s="479"/>
      <c r="GH1497" s="479"/>
      <c r="GI1497" s="479"/>
      <c r="GJ1497" s="479"/>
      <c r="GK1497" s="479"/>
      <c r="GL1497" s="479"/>
      <c r="GM1497" s="479"/>
      <c r="GN1497" s="479"/>
      <c r="GO1497" s="479"/>
      <c r="GP1497" s="479"/>
      <c r="GQ1497" s="479"/>
      <c r="GR1497" s="479"/>
      <c r="GS1497" s="479"/>
      <c r="GT1497" s="479"/>
      <c r="GU1497" s="479"/>
      <c r="GV1497" s="479"/>
      <c r="GW1497" s="479"/>
      <c r="GX1497" s="479"/>
      <c r="GY1497" s="479"/>
      <c r="GZ1497" s="479"/>
      <c r="HA1497" s="479"/>
      <c r="HB1497" s="479"/>
      <c r="HC1497" s="479"/>
      <c r="HD1497" s="479"/>
      <c r="HE1497" s="479"/>
      <c r="HF1497" s="479"/>
      <c r="HG1497" s="479"/>
      <c r="HH1497" s="479"/>
      <c r="HI1497" s="479"/>
      <c r="HJ1497" s="479"/>
      <c r="HK1497" s="479"/>
      <c r="HL1497" s="479"/>
      <c r="HM1497" s="479"/>
    </row>
    <row r="1498" spans="1:221" s="305" customFormat="1">
      <c r="A1498" s="703" t="s">
        <v>887</v>
      </c>
      <c r="B1498" s="1272" t="s">
        <v>921</v>
      </c>
      <c r="C1498" s="1273" t="s">
        <v>886</v>
      </c>
      <c r="D1498" s="1274"/>
      <c r="E1498" s="1255">
        <v>42</v>
      </c>
      <c r="F1498" s="681" t="s">
        <v>888</v>
      </c>
      <c r="G1498" s="681" t="s">
        <v>1909</v>
      </c>
      <c r="H1498" s="683"/>
      <c r="I1498" s="689">
        <v>3.21</v>
      </c>
      <c r="J1498" s="685" t="s">
        <v>206</v>
      </c>
      <c r="K1498" s="697" t="s">
        <v>876</v>
      </c>
      <c r="L1498" s="689">
        <v>73</v>
      </c>
      <c r="M1498" s="683">
        <v>31</v>
      </c>
      <c r="N1498" s="706">
        <v>3</v>
      </c>
      <c r="O1498" s="645"/>
      <c r="P1498" s="297"/>
      <c r="Q1498" s="297"/>
      <c r="R1498" s="297"/>
      <c r="S1498" s="297"/>
      <c r="T1498" s="297"/>
      <c r="U1498" s="297"/>
    </row>
    <row r="1499" spans="1:221" s="305" customFormat="1">
      <c r="A1499" s="703" t="s">
        <v>6</v>
      </c>
      <c r="B1499" s="1272" t="s">
        <v>921</v>
      </c>
      <c r="C1499" s="1273" t="s">
        <v>886</v>
      </c>
      <c r="D1499" s="1274"/>
      <c r="E1499" s="1255">
        <v>37</v>
      </c>
      <c r="F1499" s="681" t="s">
        <v>889</v>
      </c>
      <c r="G1499" s="681" t="s">
        <v>1909</v>
      </c>
      <c r="H1499" s="683"/>
      <c r="I1499" s="689">
        <v>3.21</v>
      </c>
      <c r="J1499" s="685" t="s">
        <v>206</v>
      </c>
      <c r="K1499" s="697" t="s">
        <v>876</v>
      </c>
      <c r="L1499" s="689">
        <v>61</v>
      </c>
      <c r="M1499" s="683">
        <v>24</v>
      </c>
      <c r="N1499" s="706">
        <v>3</v>
      </c>
      <c r="O1499" s="480"/>
      <c r="P1499" s="297"/>
      <c r="Q1499" s="297"/>
      <c r="R1499" s="297"/>
      <c r="S1499" s="297"/>
      <c r="T1499" s="297"/>
      <c r="U1499" s="297"/>
    </row>
    <row r="1500" spans="1:221" s="305" customFormat="1">
      <c r="A1500" s="703" t="s">
        <v>7</v>
      </c>
      <c r="B1500" s="1272" t="s">
        <v>921</v>
      </c>
      <c r="C1500" s="1273" t="s">
        <v>886</v>
      </c>
      <c r="D1500" s="1274"/>
      <c r="E1500" s="1255">
        <v>56</v>
      </c>
      <c r="F1500" s="681" t="s">
        <v>888</v>
      </c>
      <c r="G1500" s="681" t="s">
        <v>1909</v>
      </c>
      <c r="H1500" s="683"/>
      <c r="I1500" s="689">
        <v>3.21</v>
      </c>
      <c r="J1500" s="697" t="s">
        <v>206</v>
      </c>
      <c r="K1500" s="685" t="s">
        <v>876</v>
      </c>
      <c r="L1500" s="689">
        <v>78</v>
      </c>
      <c r="M1500" s="683">
        <v>23</v>
      </c>
      <c r="N1500" s="706">
        <v>3</v>
      </c>
      <c r="O1500" s="480"/>
      <c r="P1500" s="297"/>
      <c r="Q1500" s="297"/>
      <c r="R1500" s="297"/>
      <c r="S1500" s="297"/>
      <c r="T1500" s="297"/>
      <c r="U1500" s="297"/>
    </row>
    <row r="1501" spans="1:221" s="456" customFormat="1">
      <c r="A1501" s="703"/>
      <c r="B1501" s="1272" t="s">
        <v>921</v>
      </c>
      <c r="C1501" s="1273" t="s">
        <v>890</v>
      </c>
      <c r="D1501" s="1274"/>
      <c r="E1501" s="1255">
        <v>70.5</v>
      </c>
      <c r="F1501" s="681"/>
      <c r="G1501" s="681" t="s">
        <v>1909</v>
      </c>
      <c r="H1501" s="683"/>
      <c r="I1501" s="689"/>
      <c r="J1501" s="697"/>
      <c r="K1501" s="685" t="s">
        <v>876</v>
      </c>
      <c r="L1501" s="689">
        <v>109.5</v>
      </c>
      <c r="M1501" s="683">
        <v>39</v>
      </c>
      <c r="N1501" s="706">
        <v>3</v>
      </c>
      <c r="O1501" s="480"/>
      <c r="P1501" s="297"/>
      <c r="Q1501" s="297"/>
      <c r="R1501" s="297"/>
      <c r="S1501" s="297"/>
      <c r="T1501" s="297"/>
      <c r="U1501" s="297"/>
      <c r="V1501" s="305"/>
      <c r="W1501" s="305"/>
      <c r="X1501" s="305"/>
      <c r="Y1501" s="305"/>
      <c r="Z1501" s="305"/>
      <c r="AA1501" s="305"/>
      <c r="AB1501" s="305"/>
      <c r="AC1501" s="305"/>
      <c r="AD1501" s="305"/>
      <c r="AE1501" s="305"/>
      <c r="AF1501" s="305"/>
      <c r="AG1501" s="305"/>
      <c r="AH1501" s="305"/>
      <c r="AI1501" s="305"/>
      <c r="AJ1501" s="305"/>
      <c r="AK1501" s="305"/>
      <c r="AL1501" s="305"/>
      <c r="AM1501" s="305"/>
      <c r="AN1501" s="305"/>
      <c r="AO1501" s="305"/>
      <c r="AP1501" s="305"/>
      <c r="AQ1501" s="305"/>
      <c r="AR1501" s="305"/>
      <c r="AS1501" s="305"/>
      <c r="AT1501" s="305"/>
      <c r="AU1501" s="305"/>
      <c r="AV1501" s="305"/>
      <c r="AW1501" s="305"/>
      <c r="AX1501" s="305"/>
      <c r="AY1501" s="305"/>
      <c r="AZ1501" s="305"/>
      <c r="BA1501" s="305"/>
      <c r="BB1501" s="305"/>
      <c r="BC1501" s="305"/>
      <c r="BD1501" s="305"/>
      <c r="BE1501" s="305"/>
      <c r="BF1501" s="305"/>
      <c r="BG1501" s="305"/>
      <c r="BH1501" s="305"/>
      <c r="BI1501" s="305"/>
      <c r="BJ1501" s="305"/>
      <c r="BK1501" s="305"/>
      <c r="BL1501" s="305"/>
      <c r="BM1501" s="305"/>
      <c r="BN1501" s="305"/>
      <c r="BO1501" s="305"/>
      <c r="BP1501" s="305"/>
      <c r="BQ1501" s="305"/>
      <c r="BR1501" s="305"/>
      <c r="BS1501" s="305"/>
      <c r="BT1501" s="305"/>
      <c r="BU1501" s="305"/>
      <c r="BV1501" s="305"/>
      <c r="BW1501" s="305"/>
      <c r="BX1501" s="305"/>
      <c r="BY1501" s="305"/>
      <c r="BZ1501" s="305"/>
      <c r="CA1501" s="305"/>
      <c r="CB1501" s="305"/>
      <c r="CC1501" s="305"/>
      <c r="CD1501" s="305"/>
      <c r="CE1501" s="305"/>
      <c r="CF1501" s="305"/>
      <c r="CG1501" s="305"/>
      <c r="CH1501" s="305"/>
      <c r="CI1501" s="305"/>
      <c r="CJ1501" s="305"/>
      <c r="CK1501" s="305"/>
      <c r="CL1501" s="305"/>
      <c r="CM1501" s="305"/>
      <c r="CN1501" s="305"/>
      <c r="CO1501" s="305"/>
      <c r="CP1501" s="305"/>
      <c r="CQ1501" s="305"/>
      <c r="CR1501" s="305"/>
      <c r="CS1501" s="305"/>
      <c r="CT1501" s="305"/>
      <c r="CU1501" s="305"/>
      <c r="CV1501" s="305"/>
      <c r="CW1501" s="305"/>
      <c r="CX1501" s="305"/>
      <c r="CY1501" s="305"/>
      <c r="CZ1501" s="305"/>
      <c r="DA1501" s="305"/>
      <c r="DB1501" s="305"/>
      <c r="DC1501" s="305"/>
      <c r="DD1501" s="305"/>
      <c r="DE1501" s="305"/>
      <c r="DF1501" s="305"/>
      <c r="DG1501" s="305"/>
      <c r="DH1501" s="305"/>
      <c r="DI1501" s="305"/>
      <c r="DJ1501" s="305"/>
      <c r="DK1501" s="305"/>
      <c r="DL1501" s="305"/>
      <c r="DM1501" s="305"/>
      <c r="DN1501" s="305"/>
      <c r="DO1501" s="305"/>
      <c r="DP1501" s="305"/>
      <c r="DQ1501" s="305"/>
      <c r="DR1501" s="305"/>
      <c r="DS1501" s="305"/>
      <c r="DT1501" s="305"/>
      <c r="DU1501" s="305"/>
      <c r="DV1501" s="305"/>
      <c r="DW1501" s="305"/>
      <c r="DX1501" s="305"/>
      <c r="DY1501" s="305"/>
      <c r="DZ1501" s="305"/>
      <c r="EA1501" s="305"/>
      <c r="EB1501" s="305"/>
      <c r="EC1501" s="305"/>
      <c r="ED1501" s="305"/>
      <c r="EE1501" s="305"/>
      <c r="EF1501" s="305"/>
      <c r="EG1501" s="305"/>
      <c r="EH1501" s="305"/>
      <c r="EI1501" s="305"/>
      <c r="EJ1501" s="305"/>
      <c r="EK1501" s="305"/>
      <c r="EL1501" s="305"/>
      <c r="EM1501" s="305"/>
      <c r="EN1501" s="305"/>
      <c r="EO1501" s="305"/>
      <c r="EP1501" s="305"/>
      <c r="EQ1501" s="305"/>
      <c r="ER1501" s="305"/>
      <c r="ES1501" s="305"/>
      <c r="ET1501" s="305"/>
      <c r="EU1501" s="305"/>
      <c r="EV1501" s="305"/>
      <c r="EW1501" s="305"/>
      <c r="EX1501" s="305"/>
      <c r="EY1501" s="305"/>
      <c r="EZ1501" s="305"/>
      <c r="FA1501" s="305"/>
      <c r="FB1501" s="305"/>
      <c r="FC1501" s="305"/>
      <c r="FD1501" s="305"/>
      <c r="FE1501" s="305"/>
      <c r="FF1501" s="305"/>
      <c r="FG1501" s="305"/>
      <c r="FH1501" s="305"/>
      <c r="FI1501" s="305"/>
      <c r="FJ1501" s="305"/>
      <c r="FK1501" s="305"/>
      <c r="FL1501" s="305"/>
      <c r="FM1501" s="305"/>
      <c r="FN1501" s="305"/>
      <c r="FO1501" s="305"/>
      <c r="FP1501" s="305"/>
      <c r="FQ1501" s="305"/>
      <c r="FR1501" s="305"/>
      <c r="FS1501" s="305"/>
      <c r="FT1501" s="305"/>
      <c r="FU1501" s="305"/>
      <c r="FV1501" s="305"/>
      <c r="FW1501" s="305"/>
      <c r="FX1501" s="305"/>
      <c r="FY1501" s="305"/>
      <c r="FZ1501" s="305"/>
      <c r="GA1501" s="305"/>
      <c r="GB1501" s="305"/>
      <c r="GC1501" s="305"/>
      <c r="GD1501" s="305"/>
      <c r="GE1501" s="305"/>
      <c r="GF1501" s="305"/>
      <c r="GG1501" s="305"/>
      <c r="GH1501" s="305"/>
      <c r="GI1501" s="305"/>
      <c r="GJ1501" s="305"/>
      <c r="GK1501" s="305"/>
      <c r="GL1501" s="305"/>
      <c r="GM1501" s="305"/>
      <c r="GN1501" s="305"/>
      <c r="GO1501" s="305"/>
      <c r="GP1501" s="305"/>
      <c r="GQ1501" s="305"/>
      <c r="GR1501" s="305"/>
      <c r="GS1501" s="305"/>
      <c r="GT1501" s="305"/>
      <c r="GU1501" s="305"/>
      <c r="GV1501" s="305"/>
      <c r="GW1501" s="305"/>
      <c r="GX1501" s="305"/>
      <c r="GY1501" s="305"/>
      <c r="GZ1501" s="305"/>
      <c r="HA1501" s="305"/>
      <c r="HB1501" s="305"/>
      <c r="HC1501" s="305"/>
      <c r="HD1501" s="305"/>
      <c r="HE1501" s="305"/>
      <c r="HF1501" s="305"/>
      <c r="HG1501" s="305"/>
      <c r="HH1501" s="305"/>
      <c r="HI1501" s="305"/>
      <c r="HJ1501" s="305"/>
      <c r="HK1501" s="305"/>
      <c r="HL1501" s="305"/>
      <c r="HM1501" s="305"/>
    </row>
    <row r="1502" spans="1:221" s="456" customFormat="1">
      <c r="A1502" s="703" t="s">
        <v>891</v>
      </c>
      <c r="B1502" s="1272" t="s">
        <v>921</v>
      </c>
      <c r="C1502" s="1273" t="s">
        <v>890</v>
      </c>
      <c r="D1502" s="1274"/>
      <c r="E1502" s="1255">
        <v>59.5</v>
      </c>
      <c r="F1502" s="681"/>
      <c r="G1502" s="681" t="s">
        <v>1909</v>
      </c>
      <c r="H1502" s="683"/>
      <c r="I1502" s="689"/>
      <c r="J1502" s="697"/>
      <c r="K1502" s="685" t="s">
        <v>876</v>
      </c>
      <c r="L1502" s="689">
        <v>98.5</v>
      </c>
      <c r="M1502" s="683">
        <v>39</v>
      </c>
      <c r="N1502" s="706">
        <v>3</v>
      </c>
      <c r="O1502" s="480"/>
      <c r="P1502" s="297"/>
      <c r="Q1502" s="297"/>
      <c r="R1502" s="297"/>
      <c r="S1502" s="297"/>
      <c r="T1502" s="297"/>
      <c r="U1502" s="297"/>
      <c r="V1502" s="305"/>
      <c r="W1502" s="305"/>
      <c r="X1502" s="305"/>
      <c r="Y1502" s="305"/>
      <c r="Z1502" s="305"/>
      <c r="AA1502" s="305"/>
      <c r="AB1502" s="305"/>
      <c r="AC1502" s="305"/>
      <c r="AD1502" s="305"/>
      <c r="AE1502" s="305"/>
      <c r="AF1502" s="305"/>
      <c r="AG1502" s="305"/>
      <c r="AH1502" s="305"/>
      <c r="AI1502" s="305"/>
      <c r="AJ1502" s="305"/>
      <c r="AK1502" s="305"/>
      <c r="AL1502" s="305"/>
      <c r="AM1502" s="305"/>
      <c r="AN1502" s="305"/>
      <c r="AO1502" s="305"/>
      <c r="AP1502" s="305"/>
      <c r="AQ1502" s="305"/>
      <c r="AR1502" s="305"/>
      <c r="AS1502" s="305"/>
      <c r="AT1502" s="305"/>
      <c r="AU1502" s="305"/>
      <c r="AV1502" s="305"/>
      <c r="AW1502" s="305"/>
      <c r="AX1502" s="305"/>
      <c r="AY1502" s="305"/>
      <c r="AZ1502" s="305"/>
      <c r="BA1502" s="305"/>
      <c r="BB1502" s="305"/>
      <c r="BC1502" s="305"/>
      <c r="BD1502" s="305"/>
      <c r="BE1502" s="305"/>
      <c r="BF1502" s="305"/>
      <c r="BG1502" s="305"/>
      <c r="BH1502" s="305"/>
      <c r="BI1502" s="305"/>
      <c r="BJ1502" s="305"/>
      <c r="BK1502" s="305"/>
      <c r="BL1502" s="305"/>
      <c r="BM1502" s="305"/>
      <c r="BN1502" s="305"/>
      <c r="BO1502" s="305"/>
      <c r="BP1502" s="305"/>
      <c r="BQ1502" s="305"/>
      <c r="BR1502" s="305"/>
      <c r="BS1502" s="305"/>
      <c r="BT1502" s="305"/>
      <c r="BU1502" s="305"/>
      <c r="BV1502" s="305"/>
      <c r="BW1502" s="305"/>
      <c r="BX1502" s="305"/>
      <c r="BY1502" s="305"/>
      <c r="BZ1502" s="305"/>
      <c r="CA1502" s="305"/>
      <c r="CB1502" s="305"/>
      <c r="CC1502" s="305"/>
      <c r="CD1502" s="305"/>
      <c r="CE1502" s="305"/>
      <c r="CF1502" s="305"/>
      <c r="CG1502" s="305"/>
      <c r="CH1502" s="305"/>
      <c r="CI1502" s="305"/>
      <c r="CJ1502" s="305"/>
      <c r="CK1502" s="305"/>
      <c r="CL1502" s="305"/>
      <c r="CM1502" s="305"/>
      <c r="CN1502" s="305"/>
      <c r="CO1502" s="305"/>
      <c r="CP1502" s="305"/>
      <c r="CQ1502" s="305"/>
      <c r="CR1502" s="305"/>
      <c r="CS1502" s="305"/>
      <c r="CT1502" s="305"/>
      <c r="CU1502" s="305"/>
      <c r="CV1502" s="305"/>
      <c r="CW1502" s="305"/>
      <c r="CX1502" s="305"/>
      <c r="CY1502" s="305"/>
      <c r="CZ1502" s="305"/>
      <c r="DA1502" s="305"/>
      <c r="DB1502" s="305"/>
      <c r="DC1502" s="305"/>
      <c r="DD1502" s="305"/>
      <c r="DE1502" s="305"/>
      <c r="DF1502" s="305"/>
      <c r="DG1502" s="305"/>
      <c r="DH1502" s="305"/>
      <c r="DI1502" s="305"/>
      <c r="DJ1502" s="305"/>
      <c r="DK1502" s="305"/>
      <c r="DL1502" s="305"/>
      <c r="DM1502" s="305"/>
      <c r="DN1502" s="305"/>
      <c r="DO1502" s="305"/>
      <c r="DP1502" s="305"/>
      <c r="DQ1502" s="305"/>
      <c r="DR1502" s="305"/>
      <c r="DS1502" s="305"/>
      <c r="DT1502" s="305"/>
      <c r="DU1502" s="305"/>
      <c r="DV1502" s="305"/>
      <c r="DW1502" s="305"/>
      <c r="DX1502" s="305"/>
      <c r="DY1502" s="305"/>
      <c r="DZ1502" s="305"/>
      <c r="EA1502" s="305"/>
      <c r="EB1502" s="305"/>
      <c r="EC1502" s="305"/>
      <c r="ED1502" s="305"/>
      <c r="EE1502" s="305"/>
      <c r="EF1502" s="305"/>
      <c r="EG1502" s="305"/>
      <c r="EH1502" s="305"/>
      <c r="EI1502" s="305"/>
      <c r="EJ1502" s="305"/>
      <c r="EK1502" s="305"/>
      <c r="EL1502" s="305"/>
      <c r="EM1502" s="305"/>
      <c r="EN1502" s="305"/>
      <c r="EO1502" s="305"/>
      <c r="EP1502" s="305"/>
      <c r="EQ1502" s="305"/>
      <c r="ER1502" s="305"/>
      <c r="ES1502" s="305"/>
      <c r="ET1502" s="305"/>
      <c r="EU1502" s="305"/>
      <c r="EV1502" s="305"/>
      <c r="EW1502" s="305"/>
      <c r="EX1502" s="305"/>
      <c r="EY1502" s="305"/>
      <c r="EZ1502" s="305"/>
      <c r="FA1502" s="305"/>
      <c r="FB1502" s="305"/>
      <c r="FC1502" s="305"/>
      <c r="FD1502" s="305"/>
      <c r="FE1502" s="305"/>
      <c r="FF1502" s="305"/>
      <c r="FG1502" s="305"/>
      <c r="FH1502" s="305"/>
      <c r="FI1502" s="305"/>
      <c r="FJ1502" s="305"/>
      <c r="FK1502" s="305"/>
      <c r="FL1502" s="305"/>
      <c r="FM1502" s="305"/>
      <c r="FN1502" s="305"/>
      <c r="FO1502" s="305"/>
      <c r="FP1502" s="305"/>
      <c r="FQ1502" s="305"/>
      <c r="FR1502" s="305"/>
      <c r="FS1502" s="305"/>
      <c r="FT1502" s="305"/>
      <c r="FU1502" s="305"/>
      <c r="FV1502" s="305"/>
      <c r="FW1502" s="305"/>
      <c r="FX1502" s="305"/>
      <c r="FY1502" s="305"/>
      <c r="FZ1502" s="305"/>
      <c r="GA1502" s="305"/>
      <c r="GB1502" s="305"/>
      <c r="GC1502" s="305"/>
      <c r="GD1502" s="305"/>
      <c r="GE1502" s="305"/>
      <c r="GF1502" s="305"/>
      <c r="GG1502" s="305"/>
      <c r="GH1502" s="305"/>
      <c r="GI1502" s="305"/>
      <c r="GJ1502" s="305"/>
      <c r="GK1502" s="305"/>
      <c r="GL1502" s="305"/>
      <c r="GM1502" s="305"/>
      <c r="GN1502" s="305"/>
      <c r="GO1502" s="305"/>
      <c r="GP1502" s="305"/>
      <c r="GQ1502" s="305"/>
      <c r="GR1502" s="305"/>
      <c r="GS1502" s="305"/>
      <c r="GT1502" s="305"/>
      <c r="GU1502" s="305"/>
      <c r="GV1502" s="305"/>
      <c r="GW1502" s="305"/>
      <c r="GX1502" s="305"/>
      <c r="GY1502" s="305"/>
      <c r="GZ1502" s="305"/>
      <c r="HA1502" s="305"/>
      <c r="HB1502" s="305"/>
      <c r="HC1502" s="305"/>
      <c r="HD1502" s="305"/>
      <c r="HE1502" s="305"/>
      <c r="HF1502" s="305"/>
      <c r="HG1502" s="305"/>
      <c r="HH1502" s="305"/>
      <c r="HI1502" s="305"/>
      <c r="HJ1502" s="305"/>
      <c r="HK1502" s="305"/>
      <c r="HL1502" s="305"/>
      <c r="HM1502" s="305"/>
    </row>
    <row r="1503" spans="1:221" s="456" customFormat="1">
      <c r="A1503" s="703"/>
      <c r="B1503" s="1272" t="s">
        <v>326</v>
      </c>
      <c r="C1503" s="1273" t="s">
        <v>895</v>
      </c>
      <c r="D1503" s="1274"/>
      <c r="E1503" s="1255">
        <v>30.15</v>
      </c>
      <c r="F1503" s="681"/>
      <c r="G1503" s="681"/>
      <c r="H1503" s="683"/>
      <c r="I1503" s="689">
        <v>1.5</v>
      </c>
      <c r="J1503" s="697" t="s">
        <v>2004</v>
      </c>
      <c r="K1503" s="685"/>
      <c r="L1503" s="689">
        <f>30.15+21.15</f>
        <v>51.3</v>
      </c>
      <c r="M1503" s="683">
        <v>21.5</v>
      </c>
      <c r="N1503" s="667">
        <v>4</v>
      </c>
      <c r="O1503" s="645"/>
      <c r="P1503" s="479"/>
      <c r="Q1503" s="479"/>
      <c r="R1503" s="479"/>
      <c r="S1503" s="479"/>
      <c r="T1503" s="479"/>
      <c r="U1503" s="479"/>
    </row>
    <row r="1504" spans="1:221" s="305" customFormat="1">
      <c r="A1504" s="703"/>
      <c r="B1504" s="1272" t="s">
        <v>326</v>
      </c>
      <c r="C1504" s="1273" t="s">
        <v>904</v>
      </c>
      <c r="D1504" s="1274"/>
      <c r="E1504" s="1255">
        <v>64</v>
      </c>
      <c r="F1504" s="681" t="s">
        <v>908</v>
      </c>
      <c r="G1504" s="681" t="s">
        <v>1909</v>
      </c>
      <c r="H1504" s="683"/>
      <c r="I1504" s="689"/>
      <c r="J1504" s="697"/>
      <c r="K1504" s="685"/>
      <c r="L1504" s="689">
        <v>109</v>
      </c>
      <c r="M1504" s="683">
        <v>45</v>
      </c>
      <c r="N1504" s="706">
        <v>4</v>
      </c>
      <c r="O1504" s="645"/>
      <c r="P1504" s="296"/>
      <c r="Q1504" s="296"/>
      <c r="R1504" s="296"/>
      <c r="S1504" s="297"/>
      <c r="T1504" s="297"/>
      <c r="U1504" s="297"/>
      <c r="V1504" s="297"/>
      <c r="W1504" s="297"/>
      <c r="X1504" s="297"/>
      <c r="Y1504" s="297"/>
      <c r="Z1504" s="297"/>
      <c r="AA1504" s="297"/>
      <c r="AB1504" s="297"/>
    </row>
    <row r="1505" spans="1:221" s="305" customFormat="1">
      <c r="A1505" s="703" t="s">
        <v>324</v>
      </c>
      <c r="B1505" s="1272" t="s">
        <v>326</v>
      </c>
      <c r="C1505" s="1273" t="s">
        <v>904</v>
      </c>
      <c r="D1505" s="1274"/>
      <c r="E1505" s="1255">
        <v>52.5</v>
      </c>
      <c r="F1505" s="681" t="s">
        <v>907</v>
      </c>
      <c r="G1505" s="681" t="s">
        <v>1909</v>
      </c>
      <c r="H1505" s="683"/>
      <c r="I1505" s="689"/>
      <c r="J1505" s="685"/>
      <c r="K1505" s="685"/>
      <c r="L1505" s="689">
        <v>97.5</v>
      </c>
      <c r="M1505" s="683">
        <v>45</v>
      </c>
      <c r="N1505" s="706">
        <v>4</v>
      </c>
      <c r="O1505" s="645"/>
      <c r="P1505" s="296"/>
      <c r="Q1505" s="296"/>
      <c r="R1505" s="296"/>
      <c r="S1505" s="297"/>
      <c r="T1505" s="297"/>
      <c r="U1505" s="297"/>
      <c r="V1505" s="297"/>
      <c r="W1505" s="297"/>
      <c r="X1505" s="297"/>
      <c r="Y1505" s="297"/>
      <c r="Z1505" s="297"/>
      <c r="AA1505" s="297"/>
      <c r="AB1505" s="297"/>
    </row>
    <row r="1506" spans="1:221" s="305" customFormat="1">
      <c r="A1506" s="1327" t="s">
        <v>569</v>
      </c>
      <c r="B1506" s="1314" t="s">
        <v>326</v>
      </c>
      <c r="C1506" s="1316" t="s">
        <v>2723</v>
      </c>
      <c r="D1506" s="1312"/>
      <c r="E1506" s="1300">
        <v>21.5</v>
      </c>
      <c r="F1506" s="288"/>
      <c r="G1506" s="288"/>
      <c r="H1506" s="283"/>
      <c r="I1506" s="289">
        <v>3</v>
      </c>
      <c r="J1506" s="290" t="s">
        <v>206</v>
      </c>
      <c r="K1506" s="292"/>
      <c r="L1506" s="289">
        <f>M1506+E1506</f>
        <v>39.5</v>
      </c>
      <c r="M1506" s="283">
        <v>18</v>
      </c>
      <c r="N1506" s="634">
        <v>4</v>
      </c>
      <c r="O1506" s="645"/>
      <c r="P1506" s="297"/>
      <c r="Q1506" s="297"/>
      <c r="R1506" s="297"/>
      <c r="S1506" s="297"/>
      <c r="T1506" s="297"/>
      <c r="U1506" s="297"/>
    </row>
    <row r="1507" spans="1:221" s="305" customFormat="1">
      <c r="A1507" s="1327" t="s">
        <v>2205</v>
      </c>
      <c r="B1507" s="1314" t="s">
        <v>326</v>
      </c>
      <c r="C1507" s="1316" t="s">
        <v>2723</v>
      </c>
      <c r="D1507" s="1312"/>
      <c r="E1507" s="1300">
        <v>25.5</v>
      </c>
      <c r="F1507" s="288" t="s">
        <v>2724</v>
      </c>
      <c r="G1507" s="288"/>
      <c r="H1507" s="283"/>
      <c r="I1507" s="289">
        <v>3</v>
      </c>
      <c r="J1507" s="290" t="s">
        <v>206</v>
      </c>
      <c r="K1507" s="292"/>
      <c r="L1507" s="289">
        <f>M1507+E1507</f>
        <v>43.5</v>
      </c>
      <c r="M1507" s="283">
        <v>18</v>
      </c>
      <c r="N1507" s="634">
        <v>4</v>
      </c>
      <c r="O1507" s="645"/>
      <c r="P1507" s="296"/>
      <c r="Q1507" s="296"/>
      <c r="R1507" s="296"/>
      <c r="S1507" s="297"/>
      <c r="T1507" s="297"/>
      <c r="U1507" s="297"/>
      <c r="V1507" s="297"/>
      <c r="W1507" s="297"/>
      <c r="X1507" s="297"/>
      <c r="Y1507" s="297"/>
      <c r="Z1507" s="297"/>
      <c r="AA1507" s="297"/>
      <c r="AB1507" s="297"/>
    </row>
    <row r="1508" spans="1:221" s="305" customFormat="1">
      <c r="A1508" s="1327" t="s">
        <v>2205</v>
      </c>
      <c r="B1508" s="1314" t="s">
        <v>326</v>
      </c>
      <c r="C1508" s="1316" t="s">
        <v>2723</v>
      </c>
      <c r="D1508" s="1312"/>
      <c r="E1508" s="1300">
        <v>27.5</v>
      </c>
      <c r="F1508" s="288" t="s">
        <v>2568</v>
      </c>
      <c r="G1508" s="288"/>
      <c r="H1508" s="283"/>
      <c r="I1508" s="289">
        <v>3</v>
      </c>
      <c r="J1508" s="290" t="s">
        <v>206</v>
      </c>
      <c r="K1508" s="292"/>
      <c r="L1508" s="289">
        <f>M1508+E1508</f>
        <v>45.5</v>
      </c>
      <c r="M1508" s="283">
        <v>18</v>
      </c>
      <c r="N1508" s="634">
        <v>4</v>
      </c>
      <c r="O1508" s="645"/>
      <c r="P1508" s="296"/>
      <c r="Q1508" s="296"/>
      <c r="R1508" s="296"/>
      <c r="S1508" s="297"/>
      <c r="T1508" s="297"/>
      <c r="U1508" s="297"/>
      <c r="V1508" s="297"/>
      <c r="W1508" s="297"/>
      <c r="X1508" s="297"/>
      <c r="Y1508" s="297"/>
      <c r="Z1508" s="297"/>
      <c r="AA1508" s="297"/>
      <c r="AB1508" s="297"/>
    </row>
    <row r="1509" spans="1:221" s="305" customFormat="1">
      <c r="A1509" s="1327" t="s">
        <v>7</v>
      </c>
      <c r="B1509" s="1314" t="s">
        <v>326</v>
      </c>
      <c r="C1509" s="1316" t="s">
        <v>2723</v>
      </c>
      <c r="D1509" s="1312"/>
      <c r="E1509" s="1300">
        <v>36.5</v>
      </c>
      <c r="F1509" s="288"/>
      <c r="G1509" s="288"/>
      <c r="H1509" s="283"/>
      <c r="I1509" s="289">
        <v>3</v>
      </c>
      <c r="J1509" s="290" t="s">
        <v>206</v>
      </c>
      <c r="K1509" s="292"/>
      <c r="L1509" s="289">
        <f>M1509+E1509</f>
        <v>54.5</v>
      </c>
      <c r="M1509" s="283">
        <v>18</v>
      </c>
      <c r="N1509" s="634">
        <v>4</v>
      </c>
      <c r="O1509" s="645"/>
      <c r="P1509" s="296"/>
      <c r="Q1509" s="296"/>
      <c r="R1509" s="296"/>
      <c r="S1509" s="297"/>
      <c r="T1509" s="297"/>
      <c r="U1509" s="297"/>
      <c r="V1509" s="297"/>
      <c r="W1509" s="297"/>
      <c r="X1509" s="297"/>
      <c r="Y1509" s="297"/>
      <c r="Z1509" s="297"/>
      <c r="AA1509" s="297"/>
      <c r="AB1509" s="297"/>
    </row>
    <row r="1510" spans="1:221" s="305" customFormat="1">
      <c r="A1510" s="703" t="s">
        <v>2399</v>
      </c>
      <c r="B1510" s="1272" t="s">
        <v>326</v>
      </c>
      <c r="C1510" s="1273" t="s">
        <v>2398</v>
      </c>
      <c r="D1510" s="1274"/>
      <c r="E1510" s="1255">
        <v>32</v>
      </c>
      <c r="F1510" s="681"/>
      <c r="G1510" s="681"/>
      <c r="H1510" s="683"/>
      <c r="I1510" s="689">
        <v>2</v>
      </c>
      <c r="J1510" s="685" t="s">
        <v>2004</v>
      </c>
      <c r="K1510" s="685"/>
      <c r="L1510" s="689">
        <f>32+23</f>
        <v>55</v>
      </c>
      <c r="M1510" s="683">
        <v>23</v>
      </c>
      <c r="N1510" s="667"/>
      <c r="O1510" s="645"/>
      <c r="P1510" s="296"/>
      <c r="Q1510" s="296"/>
      <c r="R1510" s="296"/>
      <c r="S1510" s="297"/>
      <c r="T1510" s="297"/>
      <c r="U1510" s="297"/>
      <c r="V1510" s="297"/>
      <c r="W1510" s="297"/>
      <c r="X1510" s="297"/>
      <c r="Y1510" s="297"/>
      <c r="Z1510" s="297"/>
      <c r="AA1510" s="297"/>
      <c r="AB1510" s="297"/>
    </row>
    <row r="1511" spans="1:221" s="305" customFormat="1">
      <c r="A1511" s="703" t="s">
        <v>892</v>
      </c>
      <c r="B1511" s="1272" t="s">
        <v>326</v>
      </c>
      <c r="C1511" s="1273" t="s">
        <v>906</v>
      </c>
      <c r="D1511" s="1274"/>
      <c r="E1511" s="1255">
        <v>36</v>
      </c>
      <c r="F1511" s="681" t="s">
        <v>55</v>
      </c>
      <c r="G1511" s="681" t="s">
        <v>1909</v>
      </c>
      <c r="H1511" s="683"/>
      <c r="I1511" s="689"/>
      <c r="J1511" s="685" t="s">
        <v>876</v>
      </c>
      <c r="K1511" s="685"/>
      <c r="L1511" s="689">
        <v>58</v>
      </c>
      <c r="M1511" s="683">
        <v>22</v>
      </c>
      <c r="N1511" s="706">
        <v>5</v>
      </c>
      <c r="O1511" s="645"/>
      <c r="P1511" s="479"/>
      <c r="Q1511" s="479"/>
      <c r="R1511" s="479"/>
      <c r="S1511" s="479"/>
      <c r="T1511" s="479"/>
      <c r="U1511" s="479"/>
      <c r="V1511" s="456"/>
      <c r="W1511" s="456"/>
      <c r="X1511" s="456"/>
      <c r="Y1511" s="456"/>
      <c r="Z1511" s="456"/>
      <c r="AA1511" s="456"/>
      <c r="AB1511" s="456"/>
      <c r="AC1511" s="456"/>
      <c r="AD1511" s="456"/>
      <c r="AE1511" s="456"/>
      <c r="AF1511" s="456"/>
      <c r="AG1511" s="456"/>
      <c r="AH1511" s="456"/>
      <c r="AI1511" s="456"/>
      <c r="AJ1511" s="456"/>
      <c r="AK1511" s="456"/>
      <c r="AL1511" s="456"/>
      <c r="AM1511" s="456"/>
      <c r="AN1511" s="456"/>
      <c r="AO1511" s="456"/>
      <c r="AP1511" s="456"/>
      <c r="AQ1511" s="456"/>
      <c r="AR1511" s="456"/>
      <c r="AS1511" s="456"/>
      <c r="AT1511" s="456"/>
      <c r="AU1511" s="456"/>
      <c r="AV1511" s="456"/>
      <c r="AW1511" s="456"/>
      <c r="AX1511" s="456"/>
      <c r="AY1511" s="456"/>
      <c r="AZ1511" s="456"/>
      <c r="BA1511" s="456"/>
      <c r="BB1511" s="456"/>
      <c r="BC1511" s="456"/>
      <c r="BD1511" s="456"/>
      <c r="BE1511" s="456"/>
      <c r="BF1511" s="456"/>
      <c r="BG1511" s="456"/>
      <c r="BH1511" s="456"/>
      <c r="BI1511" s="456"/>
      <c r="BJ1511" s="456"/>
      <c r="BK1511" s="456"/>
      <c r="BL1511" s="456"/>
      <c r="BM1511" s="456"/>
      <c r="BN1511" s="456"/>
      <c r="BO1511" s="456"/>
      <c r="BP1511" s="456"/>
      <c r="BQ1511" s="456"/>
      <c r="BR1511" s="456"/>
      <c r="BS1511" s="456"/>
      <c r="BT1511" s="456"/>
      <c r="BU1511" s="456"/>
      <c r="BV1511" s="456"/>
      <c r="BW1511" s="456"/>
      <c r="BX1511" s="456"/>
      <c r="BY1511" s="456"/>
      <c r="BZ1511" s="456"/>
      <c r="CA1511" s="456"/>
      <c r="CB1511" s="456"/>
      <c r="CC1511" s="456"/>
      <c r="CD1511" s="456"/>
      <c r="CE1511" s="456"/>
      <c r="CF1511" s="456"/>
      <c r="CG1511" s="456"/>
      <c r="CH1511" s="456"/>
      <c r="CI1511" s="456"/>
      <c r="CJ1511" s="456"/>
      <c r="CK1511" s="456"/>
      <c r="CL1511" s="456"/>
      <c r="CM1511" s="456"/>
      <c r="CN1511" s="456"/>
      <c r="CO1511" s="456"/>
      <c r="CP1511" s="456"/>
      <c r="CQ1511" s="456"/>
      <c r="CR1511" s="456"/>
      <c r="CS1511" s="456"/>
      <c r="CT1511" s="456"/>
      <c r="CU1511" s="456"/>
      <c r="CV1511" s="456"/>
      <c r="CW1511" s="456"/>
      <c r="CX1511" s="456"/>
      <c r="CY1511" s="456"/>
      <c r="CZ1511" s="456"/>
      <c r="DA1511" s="456"/>
      <c r="DB1511" s="456"/>
      <c r="DC1511" s="456"/>
      <c r="DD1511" s="456"/>
      <c r="DE1511" s="456"/>
      <c r="DF1511" s="456"/>
      <c r="DG1511" s="456"/>
      <c r="DH1511" s="456"/>
      <c r="DI1511" s="456"/>
      <c r="DJ1511" s="456"/>
      <c r="DK1511" s="456"/>
      <c r="DL1511" s="456"/>
      <c r="DM1511" s="456"/>
      <c r="DN1511" s="456"/>
      <c r="DO1511" s="456"/>
      <c r="DP1511" s="456"/>
      <c r="DQ1511" s="456"/>
      <c r="DR1511" s="456"/>
      <c r="DS1511" s="456"/>
      <c r="DT1511" s="456"/>
      <c r="DU1511" s="456"/>
      <c r="DV1511" s="456"/>
      <c r="DW1511" s="456"/>
      <c r="DX1511" s="456"/>
      <c r="DY1511" s="456"/>
      <c r="DZ1511" s="456"/>
      <c r="EA1511" s="456"/>
      <c r="EB1511" s="456"/>
      <c r="EC1511" s="456"/>
      <c r="ED1511" s="456"/>
      <c r="EE1511" s="456"/>
      <c r="EF1511" s="456"/>
      <c r="EG1511" s="456"/>
      <c r="EH1511" s="456"/>
      <c r="EI1511" s="456"/>
      <c r="EJ1511" s="456"/>
      <c r="EK1511" s="456"/>
      <c r="EL1511" s="456"/>
      <c r="EM1511" s="456"/>
      <c r="EN1511" s="456"/>
      <c r="EO1511" s="456"/>
      <c r="EP1511" s="456"/>
      <c r="EQ1511" s="456"/>
      <c r="ER1511" s="456"/>
      <c r="ES1511" s="456"/>
      <c r="ET1511" s="456"/>
      <c r="EU1511" s="456"/>
      <c r="EV1511" s="456"/>
      <c r="EW1511" s="456"/>
      <c r="EX1511" s="456"/>
      <c r="EY1511" s="456"/>
      <c r="EZ1511" s="456"/>
      <c r="FA1511" s="456"/>
      <c r="FB1511" s="456"/>
      <c r="FC1511" s="456"/>
      <c r="FD1511" s="456"/>
      <c r="FE1511" s="456"/>
      <c r="FF1511" s="456"/>
      <c r="FG1511" s="456"/>
      <c r="FH1511" s="456"/>
      <c r="FI1511" s="456"/>
      <c r="FJ1511" s="456"/>
      <c r="FK1511" s="456"/>
      <c r="FL1511" s="456"/>
      <c r="FM1511" s="456"/>
      <c r="FN1511" s="456"/>
      <c r="FO1511" s="456"/>
      <c r="FP1511" s="456"/>
      <c r="FQ1511" s="456"/>
      <c r="FR1511" s="456"/>
      <c r="FS1511" s="456"/>
      <c r="FT1511" s="456"/>
      <c r="FU1511" s="456"/>
      <c r="FV1511" s="456"/>
      <c r="FW1511" s="456"/>
      <c r="FX1511" s="456"/>
      <c r="FY1511" s="456"/>
      <c r="FZ1511" s="456"/>
      <c r="GA1511" s="456"/>
      <c r="GB1511" s="456"/>
      <c r="GC1511" s="456"/>
      <c r="GD1511" s="456"/>
      <c r="GE1511" s="456"/>
      <c r="GF1511" s="456"/>
      <c r="GG1511" s="456"/>
      <c r="GH1511" s="456"/>
      <c r="GI1511" s="456"/>
      <c r="GJ1511" s="456"/>
      <c r="GK1511" s="456"/>
      <c r="GL1511" s="456"/>
      <c r="GM1511" s="456"/>
      <c r="GN1511" s="456"/>
      <c r="GO1511" s="456"/>
      <c r="GP1511" s="456"/>
      <c r="GQ1511" s="456"/>
      <c r="GR1511" s="456"/>
      <c r="GS1511" s="456"/>
      <c r="GT1511" s="456"/>
      <c r="GU1511" s="456"/>
      <c r="GV1511" s="456"/>
      <c r="GW1511" s="456"/>
      <c r="GX1511" s="456"/>
      <c r="GY1511" s="456"/>
      <c r="GZ1511" s="456"/>
      <c r="HA1511" s="456"/>
      <c r="HB1511" s="456"/>
      <c r="HC1511" s="456"/>
      <c r="HD1511" s="456"/>
      <c r="HE1511" s="456"/>
      <c r="HF1511" s="456"/>
      <c r="HG1511" s="456"/>
      <c r="HH1511" s="456"/>
      <c r="HI1511" s="456"/>
      <c r="HJ1511" s="456"/>
      <c r="HK1511" s="456"/>
      <c r="HL1511" s="456"/>
      <c r="HM1511" s="456"/>
    </row>
    <row r="1512" spans="1:221" s="305" customFormat="1">
      <c r="A1512" s="703" t="s">
        <v>893</v>
      </c>
      <c r="B1512" s="1272" t="s">
        <v>326</v>
      </c>
      <c r="C1512" s="1273" t="s">
        <v>906</v>
      </c>
      <c r="D1512" s="1274"/>
      <c r="E1512" s="1255">
        <v>57.5</v>
      </c>
      <c r="F1512" s="681" t="s">
        <v>55</v>
      </c>
      <c r="G1512" s="681" t="s">
        <v>1909</v>
      </c>
      <c r="H1512" s="683"/>
      <c r="I1512" s="689"/>
      <c r="J1512" s="685" t="s">
        <v>876</v>
      </c>
      <c r="K1512" s="685"/>
      <c r="L1512" s="689">
        <v>110</v>
      </c>
      <c r="M1512" s="683">
        <v>52.5</v>
      </c>
      <c r="N1512" s="706">
        <v>5</v>
      </c>
      <c r="O1512" s="645"/>
      <c r="P1512" s="297"/>
      <c r="Q1512" s="297"/>
      <c r="R1512" s="297"/>
      <c r="S1512" s="297"/>
      <c r="T1512" s="297"/>
      <c r="U1512" s="297"/>
    </row>
    <row r="1513" spans="1:221" s="305" customFormat="1">
      <c r="A1513" s="703" t="s">
        <v>2401</v>
      </c>
      <c r="B1513" s="1272" t="s">
        <v>326</v>
      </c>
      <c r="C1513" s="1273" t="s">
        <v>2400</v>
      </c>
      <c r="D1513" s="1274"/>
      <c r="E1513" s="1255">
        <f>94/2</f>
        <v>47</v>
      </c>
      <c r="F1513" s="681"/>
      <c r="G1513" s="681"/>
      <c r="H1513" s="683"/>
      <c r="I1513" s="689"/>
      <c r="J1513" s="685"/>
      <c r="K1513" s="685"/>
      <c r="L1513" s="689">
        <v>72</v>
      </c>
      <c r="M1513" s="683">
        <v>22</v>
      </c>
      <c r="N1513" s="667"/>
      <c r="O1513" s="645"/>
      <c r="P1513" s="297"/>
      <c r="Q1513" s="297"/>
      <c r="R1513" s="297"/>
      <c r="S1513" s="297"/>
      <c r="T1513" s="297"/>
      <c r="U1513" s="297"/>
    </row>
    <row r="1514" spans="1:221" s="305" customFormat="1">
      <c r="A1514" s="703" t="s">
        <v>2401</v>
      </c>
      <c r="B1514" s="1272" t="s">
        <v>326</v>
      </c>
      <c r="C1514" s="1273" t="s">
        <v>2400</v>
      </c>
      <c r="D1514" s="1274"/>
      <c r="E1514" s="1255">
        <v>36</v>
      </c>
      <c r="F1514" s="681"/>
      <c r="G1514" s="681"/>
      <c r="H1514" s="683"/>
      <c r="I1514" s="689"/>
      <c r="J1514" s="685"/>
      <c r="K1514" s="685"/>
      <c r="L1514" s="689">
        <v>58</v>
      </c>
      <c r="M1514" s="683">
        <v>22</v>
      </c>
      <c r="N1514" s="667"/>
      <c r="O1514" s="645"/>
      <c r="P1514" s="297"/>
      <c r="Q1514" s="297"/>
      <c r="R1514" s="297"/>
      <c r="S1514" s="297"/>
      <c r="T1514" s="297"/>
      <c r="U1514" s="297"/>
    </row>
    <row r="1515" spans="1:221" s="305" customFormat="1">
      <c r="A1515" s="703"/>
      <c r="B1515" s="1272" t="s">
        <v>326</v>
      </c>
      <c r="C1515" s="1273" t="s">
        <v>909</v>
      </c>
      <c r="D1515" s="1274"/>
      <c r="E1515" s="1255">
        <v>50.5</v>
      </c>
      <c r="F1515" s="681" t="s">
        <v>910</v>
      </c>
      <c r="G1515" s="681" t="s">
        <v>1909</v>
      </c>
      <c r="H1515" s="683"/>
      <c r="I1515" s="689"/>
      <c r="J1515" s="685"/>
      <c r="K1515" s="685"/>
      <c r="L1515" s="689">
        <v>83.5</v>
      </c>
      <c r="M1515" s="683">
        <v>33</v>
      </c>
      <c r="N1515" s="706">
        <v>4</v>
      </c>
      <c r="O1515" s="645"/>
      <c r="P1515" s="296"/>
      <c r="Q1515" s="296"/>
      <c r="R1515" s="296"/>
      <c r="S1515" s="297"/>
      <c r="T1515" s="297"/>
      <c r="U1515" s="297"/>
      <c r="V1515" s="297"/>
      <c r="W1515" s="297"/>
      <c r="X1515" s="297"/>
      <c r="Y1515" s="297"/>
      <c r="Z1515" s="297"/>
      <c r="AA1515" s="297"/>
      <c r="AB1515" s="297"/>
    </row>
    <row r="1516" spans="1:221" s="305" customFormat="1">
      <c r="A1516" s="703" t="s">
        <v>324</v>
      </c>
      <c r="B1516" s="1272" t="s">
        <v>326</v>
      </c>
      <c r="C1516" s="1273" t="s">
        <v>909</v>
      </c>
      <c r="D1516" s="1274"/>
      <c r="E1516" s="1255">
        <v>44.5</v>
      </c>
      <c r="F1516" s="681"/>
      <c r="G1516" s="681" t="s">
        <v>1909</v>
      </c>
      <c r="H1516" s="683"/>
      <c r="I1516" s="689"/>
      <c r="J1516" s="685"/>
      <c r="K1516" s="685"/>
      <c r="L1516" s="689">
        <v>74</v>
      </c>
      <c r="M1516" s="683">
        <v>29.5</v>
      </c>
      <c r="N1516" s="706">
        <v>4</v>
      </c>
      <c r="O1516" s="645"/>
      <c r="P1516" s="296"/>
      <c r="Q1516" s="296"/>
      <c r="R1516" s="296"/>
      <c r="S1516" s="297"/>
      <c r="T1516" s="297"/>
      <c r="U1516" s="297"/>
      <c r="V1516" s="297"/>
      <c r="W1516" s="297"/>
      <c r="X1516" s="297"/>
      <c r="Y1516" s="297"/>
      <c r="Z1516" s="297"/>
      <c r="AA1516" s="297"/>
      <c r="AB1516" s="297"/>
    </row>
    <row r="1517" spans="1:221" s="305" customFormat="1">
      <c r="A1517" s="703"/>
      <c r="B1517" s="1272" t="s">
        <v>326</v>
      </c>
      <c r="C1517" s="1273" t="s">
        <v>913</v>
      </c>
      <c r="D1517" s="1274"/>
      <c r="E1517" s="1255">
        <v>69.5</v>
      </c>
      <c r="F1517" s="681" t="s">
        <v>915</v>
      </c>
      <c r="G1517" s="681" t="s">
        <v>1909</v>
      </c>
      <c r="H1517" s="683"/>
      <c r="I1517" s="689"/>
      <c r="J1517" s="685"/>
      <c r="K1517" s="685"/>
      <c r="L1517" s="689">
        <v>121</v>
      </c>
      <c r="M1517" s="683">
        <v>51.5</v>
      </c>
      <c r="N1517" s="706">
        <v>4</v>
      </c>
      <c r="O1517" s="645"/>
      <c r="P1517" s="296"/>
      <c r="Q1517" s="296"/>
      <c r="R1517" s="296"/>
      <c r="S1517" s="297"/>
      <c r="T1517" s="297"/>
      <c r="U1517" s="297"/>
      <c r="V1517" s="297"/>
      <c r="W1517" s="297"/>
      <c r="X1517" s="297"/>
      <c r="Y1517" s="297"/>
      <c r="Z1517" s="297"/>
      <c r="AA1517" s="297"/>
      <c r="AB1517" s="297"/>
    </row>
    <row r="1518" spans="1:221" s="305" customFormat="1">
      <c r="A1518" s="703" t="s">
        <v>324</v>
      </c>
      <c r="B1518" s="1272" t="s">
        <v>326</v>
      </c>
      <c r="C1518" s="1273" t="s">
        <v>913</v>
      </c>
      <c r="D1518" s="1274"/>
      <c r="E1518" s="1255">
        <v>57.5</v>
      </c>
      <c r="F1518" s="681" t="s">
        <v>914</v>
      </c>
      <c r="G1518" s="681" t="s">
        <v>1909</v>
      </c>
      <c r="H1518" s="683"/>
      <c r="I1518" s="689"/>
      <c r="J1518" s="685"/>
      <c r="K1518" s="685"/>
      <c r="L1518" s="689">
        <v>93.5</v>
      </c>
      <c r="M1518" s="683">
        <v>36</v>
      </c>
      <c r="N1518" s="706">
        <v>4</v>
      </c>
      <c r="O1518" s="645"/>
      <c r="P1518" s="296"/>
      <c r="Q1518" s="296"/>
      <c r="R1518" s="296"/>
      <c r="S1518" s="297"/>
      <c r="T1518" s="297"/>
      <c r="U1518" s="297"/>
      <c r="V1518" s="297"/>
      <c r="W1518" s="297"/>
      <c r="X1518" s="297"/>
      <c r="Y1518" s="297"/>
      <c r="Z1518" s="297"/>
      <c r="AA1518" s="297"/>
      <c r="AB1518" s="297"/>
    </row>
    <row r="1519" spans="1:221" s="305" customFormat="1">
      <c r="A1519" s="703" t="s">
        <v>6</v>
      </c>
      <c r="B1519" s="1272" t="s">
        <v>326</v>
      </c>
      <c r="C1519" s="1273" t="s">
        <v>905</v>
      </c>
      <c r="D1519" s="1274"/>
      <c r="E1519" s="1255">
        <v>49.5</v>
      </c>
      <c r="F1519" s="681"/>
      <c r="G1519" s="681" t="s">
        <v>1909</v>
      </c>
      <c r="H1519" s="683"/>
      <c r="I1519" s="689"/>
      <c r="J1519" s="685"/>
      <c r="K1519" s="685"/>
      <c r="L1519" s="689">
        <v>82</v>
      </c>
      <c r="M1519" s="683">
        <v>32.5</v>
      </c>
      <c r="N1519" s="706">
        <v>5</v>
      </c>
      <c r="O1519" s="645"/>
      <c r="P1519" s="296"/>
      <c r="Q1519" s="296"/>
      <c r="R1519" s="296"/>
      <c r="S1519" s="297"/>
      <c r="T1519" s="297"/>
      <c r="U1519" s="297"/>
      <c r="V1519" s="297"/>
      <c r="W1519" s="297"/>
      <c r="X1519" s="297"/>
      <c r="Y1519" s="297"/>
      <c r="Z1519" s="297"/>
      <c r="AA1519" s="297"/>
      <c r="AB1519" s="297"/>
    </row>
    <row r="1520" spans="1:221" s="305" customFormat="1">
      <c r="A1520" s="703" t="s">
        <v>7</v>
      </c>
      <c r="B1520" s="1272" t="s">
        <v>326</v>
      </c>
      <c r="C1520" s="1273" t="s">
        <v>905</v>
      </c>
      <c r="D1520" s="1274"/>
      <c r="E1520" s="1255">
        <v>51.5</v>
      </c>
      <c r="F1520" s="681" t="s">
        <v>903</v>
      </c>
      <c r="G1520" s="681" t="s">
        <v>1909</v>
      </c>
      <c r="H1520" s="683"/>
      <c r="I1520" s="689"/>
      <c r="J1520" s="685"/>
      <c r="K1520" s="685"/>
      <c r="L1520" s="689">
        <v>84</v>
      </c>
      <c r="M1520" s="683">
        <v>32.5</v>
      </c>
      <c r="N1520" s="706">
        <v>5</v>
      </c>
      <c r="O1520" s="645"/>
      <c r="P1520" s="296"/>
      <c r="Q1520" s="296"/>
      <c r="R1520" s="296"/>
      <c r="S1520" s="297"/>
      <c r="T1520" s="297"/>
      <c r="U1520" s="297"/>
      <c r="V1520" s="297"/>
      <c r="W1520" s="297"/>
      <c r="X1520" s="297"/>
      <c r="Y1520" s="297"/>
      <c r="Z1520" s="297"/>
      <c r="AA1520" s="297"/>
      <c r="AB1520" s="297"/>
    </row>
    <row r="1521" spans="1:221" s="456" customFormat="1">
      <c r="A1521" s="703" t="s">
        <v>2402</v>
      </c>
      <c r="B1521" s="1272" t="s">
        <v>326</v>
      </c>
      <c r="C1521" s="1273" t="s">
        <v>894</v>
      </c>
      <c r="D1521" s="1274"/>
      <c r="E1521" s="1255">
        <v>39</v>
      </c>
      <c r="F1521" s="681"/>
      <c r="G1521" s="681"/>
      <c r="H1521" s="683"/>
      <c r="I1521" s="689">
        <v>3</v>
      </c>
      <c r="J1521" s="685" t="s">
        <v>2004</v>
      </c>
      <c r="K1521" s="685"/>
      <c r="L1521" s="689">
        <f>39+19</f>
        <v>58</v>
      </c>
      <c r="M1521" s="683">
        <v>19</v>
      </c>
      <c r="N1521" s="706">
        <v>3</v>
      </c>
      <c r="O1521" s="645"/>
      <c r="P1521" s="297"/>
      <c r="Q1521" s="297"/>
      <c r="R1521" s="297"/>
      <c r="S1521" s="297"/>
      <c r="T1521" s="297"/>
      <c r="U1521" s="297"/>
      <c r="V1521" s="305"/>
      <c r="W1521" s="305"/>
      <c r="X1521" s="305"/>
      <c r="Y1521" s="305"/>
      <c r="Z1521" s="305"/>
      <c r="AA1521" s="305"/>
      <c r="AB1521" s="305"/>
      <c r="AC1521" s="305"/>
      <c r="AD1521" s="305"/>
      <c r="AE1521" s="305"/>
      <c r="AF1521" s="305"/>
      <c r="AG1521" s="305"/>
      <c r="AH1521" s="305"/>
      <c r="AI1521" s="305"/>
      <c r="AJ1521" s="305"/>
      <c r="AK1521" s="305"/>
      <c r="AL1521" s="305"/>
      <c r="AM1521" s="305"/>
      <c r="AN1521" s="305"/>
      <c r="AO1521" s="305"/>
      <c r="AP1521" s="305"/>
      <c r="AQ1521" s="305"/>
      <c r="AR1521" s="305"/>
      <c r="AS1521" s="305"/>
      <c r="AT1521" s="305"/>
      <c r="AU1521" s="305"/>
      <c r="AV1521" s="305"/>
      <c r="AW1521" s="305"/>
      <c r="AX1521" s="305"/>
      <c r="AY1521" s="305"/>
      <c r="AZ1521" s="305"/>
      <c r="BA1521" s="305"/>
      <c r="BB1521" s="305"/>
      <c r="BC1521" s="305"/>
      <c r="BD1521" s="305"/>
      <c r="BE1521" s="305"/>
      <c r="BF1521" s="305"/>
      <c r="BG1521" s="305"/>
      <c r="BH1521" s="305"/>
      <c r="BI1521" s="305"/>
      <c r="BJ1521" s="305"/>
      <c r="BK1521" s="305"/>
      <c r="BL1521" s="305"/>
      <c r="BM1521" s="305"/>
      <c r="BN1521" s="305"/>
      <c r="BO1521" s="305"/>
      <c r="BP1521" s="305"/>
      <c r="BQ1521" s="305"/>
      <c r="BR1521" s="305"/>
      <c r="BS1521" s="305"/>
      <c r="BT1521" s="305"/>
      <c r="BU1521" s="305"/>
      <c r="BV1521" s="305"/>
      <c r="BW1521" s="305"/>
      <c r="BX1521" s="305"/>
      <c r="BY1521" s="305"/>
      <c r="BZ1521" s="305"/>
      <c r="CA1521" s="305"/>
      <c r="CB1521" s="305"/>
      <c r="CC1521" s="305"/>
      <c r="CD1521" s="305"/>
      <c r="CE1521" s="305"/>
      <c r="CF1521" s="305"/>
      <c r="CG1521" s="305"/>
      <c r="CH1521" s="305"/>
      <c r="CI1521" s="305"/>
      <c r="CJ1521" s="305"/>
      <c r="CK1521" s="305"/>
      <c r="CL1521" s="305"/>
      <c r="CM1521" s="305"/>
      <c r="CN1521" s="305"/>
      <c r="CO1521" s="305"/>
      <c r="CP1521" s="305"/>
      <c r="CQ1521" s="305"/>
      <c r="CR1521" s="305"/>
      <c r="CS1521" s="305"/>
      <c r="CT1521" s="305"/>
      <c r="CU1521" s="305"/>
      <c r="CV1521" s="305"/>
      <c r="CW1521" s="305"/>
      <c r="CX1521" s="305"/>
      <c r="CY1521" s="305"/>
      <c r="CZ1521" s="305"/>
      <c r="DA1521" s="305"/>
      <c r="DB1521" s="305"/>
      <c r="DC1521" s="305"/>
      <c r="DD1521" s="305"/>
      <c r="DE1521" s="305"/>
      <c r="DF1521" s="305"/>
      <c r="DG1521" s="305"/>
      <c r="DH1521" s="305"/>
      <c r="DI1521" s="305"/>
      <c r="DJ1521" s="305"/>
      <c r="DK1521" s="305"/>
      <c r="DL1521" s="305"/>
      <c r="DM1521" s="305"/>
      <c r="DN1521" s="305"/>
      <c r="DO1521" s="305"/>
      <c r="DP1521" s="305"/>
      <c r="DQ1521" s="305"/>
      <c r="DR1521" s="305"/>
      <c r="DS1521" s="305"/>
      <c r="DT1521" s="305"/>
      <c r="DU1521" s="305"/>
      <c r="DV1521" s="305"/>
      <c r="DW1521" s="305"/>
      <c r="DX1521" s="305"/>
      <c r="DY1521" s="305"/>
      <c r="DZ1521" s="305"/>
      <c r="EA1521" s="305"/>
      <c r="EB1521" s="305"/>
      <c r="EC1521" s="305"/>
      <c r="ED1521" s="305"/>
      <c r="EE1521" s="305"/>
      <c r="EF1521" s="305"/>
      <c r="EG1521" s="305"/>
      <c r="EH1521" s="305"/>
      <c r="EI1521" s="305"/>
      <c r="EJ1521" s="305"/>
      <c r="EK1521" s="305"/>
      <c r="EL1521" s="305"/>
      <c r="EM1521" s="305"/>
      <c r="EN1521" s="305"/>
      <c r="EO1521" s="305"/>
      <c r="EP1521" s="305"/>
      <c r="EQ1521" s="305"/>
      <c r="ER1521" s="305"/>
      <c r="ES1521" s="305"/>
      <c r="ET1521" s="305"/>
      <c r="EU1521" s="305"/>
      <c r="EV1521" s="305"/>
      <c r="EW1521" s="305"/>
      <c r="EX1521" s="305"/>
      <c r="EY1521" s="305"/>
      <c r="EZ1521" s="305"/>
      <c r="FA1521" s="305"/>
      <c r="FB1521" s="305"/>
      <c r="FC1521" s="305"/>
      <c r="FD1521" s="305"/>
      <c r="FE1521" s="305"/>
      <c r="FF1521" s="305"/>
      <c r="FG1521" s="305"/>
      <c r="FH1521" s="305"/>
      <c r="FI1521" s="305"/>
      <c r="FJ1521" s="305"/>
      <c r="FK1521" s="305"/>
      <c r="FL1521" s="305"/>
      <c r="FM1521" s="305"/>
      <c r="FN1521" s="305"/>
      <c r="FO1521" s="305"/>
      <c r="FP1521" s="305"/>
      <c r="FQ1521" s="305"/>
      <c r="FR1521" s="305"/>
      <c r="FS1521" s="305"/>
      <c r="FT1521" s="305"/>
      <c r="FU1521" s="305"/>
      <c r="FV1521" s="305"/>
      <c r="FW1521" s="305"/>
      <c r="FX1521" s="305"/>
      <c r="FY1521" s="305"/>
      <c r="FZ1521" s="305"/>
      <c r="GA1521" s="305"/>
      <c r="GB1521" s="305"/>
      <c r="GC1521" s="305"/>
      <c r="GD1521" s="305"/>
      <c r="GE1521" s="305"/>
      <c r="GF1521" s="305"/>
      <c r="GG1521" s="305"/>
      <c r="GH1521" s="305"/>
      <c r="GI1521" s="305"/>
      <c r="GJ1521" s="305"/>
      <c r="GK1521" s="305"/>
      <c r="GL1521" s="305"/>
      <c r="GM1521" s="305"/>
      <c r="GN1521" s="305"/>
      <c r="GO1521" s="305"/>
      <c r="GP1521" s="305"/>
      <c r="GQ1521" s="305"/>
      <c r="GR1521" s="305"/>
      <c r="GS1521" s="305"/>
      <c r="GT1521" s="305"/>
      <c r="GU1521" s="305"/>
      <c r="GV1521" s="305"/>
      <c r="GW1521" s="305"/>
      <c r="GX1521" s="305"/>
      <c r="GY1521" s="305"/>
      <c r="GZ1521" s="305"/>
      <c r="HA1521" s="305"/>
      <c r="HB1521" s="305"/>
      <c r="HC1521" s="305"/>
      <c r="HD1521" s="305"/>
      <c r="HE1521" s="305"/>
      <c r="HF1521" s="305"/>
      <c r="HG1521" s="305"/>
      <c r="HH1521" s="305"/>
      <c r="HI1521" s="305"/>
      <c r="HJ1521" s="305"/>
      <c r="HK1521" s="305"/>
      <c r="HL1521" s="305"/>
      <c r="HM1521" s="305"/>
    </row>
    <row r="1522" spans="1:221" s="305" customFormat="1">
      <c r="A1522" s="703" t="s">
        <v>2403</v>
      </c>
      <c r="B1522" s="1272" t="s">
        <v>326</v>
      </c>
      <c r="C1522" s="1273" t="s">
        <v>894</v>
      </c>
      <c r="D1522" s="1274"/>
      <c r="E1522" s="1255">
        <v>34</v>
      </c>
      <c r="F1522" s="681"/>
      <c r="G1522" s="681"/>
      <c r="H1522" s="683"/>
      <c r="I1522" s="689">
        <v>3</v>
      </c>
      <c r="J1522" s="685" t="s">
        <v>2004</v>
      </c>
      <c r="K1522" s="685"/>
      <c r="L1522" s="689">
        <f>34+19</f>
        <v>53</v>
      </c>
      <c r="M1522" s="683">
        <v>19</v>
      </c>
      <c r="N1522" s="706">
        <v>3</v>
      </c>
      <c r="O1522" s="645"/>
      <c r="P1522" s="479"/>
      <c r="Q1522" s="479"/>
      <c r="R1522" s="479"/>
      <c r="S1522" s="479"/>
      <c r="T1522" s="479"/>
      <c r="U1522" s="479"/>
      <c r="V1522" s="456"/>
      <c r="W1522" s="456"/>
      <c r="X1522" s="456"/>
      <c r="Y1522" s="456"/>
      <c r="Z1522" s="456"/>
      <c r="AA1522" s="456"/>
      <c r="AB1522" s="456"/>
      <c r="AC1522" s="456"/>
      <c r="AD1522" s="456"/>
      <c r="AE1522" s="456"/>
      <c r="AF1522" s="456"/>
      <c r="AG1522" s="456"/>
      <c r="AH1522" s="456"/>
      <c r="AI1522" s="456"/>
      <c r="AJ1522" s="456"/>
      <c r="AK1522" s="456"/>
      <c r="AL1522" s="456"/>
      <c r="AM1522" s="456"/>
      <c r="AN1522" s="456"/>
      <c r="AO1522" s="456"/>
      <c r="AP1522" s="456"/>
      <c r="AQ1522" s="456"/>
      <c r="AR1522" s="456"/>
      <c r="AS1522" s="456"/>
      <c r="AT1522" s="456"/>
      <c r="AU1522" s="456"/>
      <c r="AV1522" s="456"/>
      <c r="AW1522" s="456"/>
      <c r="AX1522" s="456"/>
      <c r="AY1522" s="456"/>
      <c r="AZ1522" s="456"/>
      <c r="BA1522" s="456"/>
      <c r="BB1522" s="456"/>
      <c r="BC1522" s="456"/>
      <c r="BD1522" s="456"/>
      <c r="BE1522" s="456"/>
      <c r="BF1522" s="456"/>
      <c r="BG1522" s="456"/>
      <c r="BH1522" s="456"/>
      <c r="BI1522" s="456"/>
      <c r="BJ1522" s="456"/>
      <c r="BK1522" s="456"/>
      <c r="BL1522" s="456"/>
      <c r="BM1522" s="456"/>
      <c r="BN1522" s="456"/>
      <c r="BO1522" s="456"/>
      <c r="BP1522" s="456"/>
      <c r="BQ1522" s="456"/>
      <c r="BR1522" s="456"/>
      <c r="BS1522" s="456"/>
      <c r="BT1522" s="456"/>
      <c r="BU1522" s="456"/>
      <c r="BV1522" s="456"/>
      <c r="BW1522" s="456"/>
      <c r="BX1522" s="456"/>
      <c r="BY1522" s="456"/>
      <c r="BZ1522" s="456"/>
      <c r="CA1522" s="456"/>
      <c r="CB1522" s="456"/>
      <c r="CC1522" s="456"/>
      <c r="CD1522" s="456"/>
      <c r="CE1522" s="456"/>
      <c r="CF1522" s="456"/>
      <c r="CG1522" s="456"/>
      <c r="CH1522" s="456"/>
      <c r="CI1522" s="456"/>
      <c r="CJ1522" s="456"/>
      <c r="CK1522" s="456"/>
      <c r="CL1522" s="456"/>
      <c r="CM1522" s="456"/>
      <c r="CN1522" s="456"/>
      <c r="CO1522" s="456"/>
      <c r="CP1522" s="456"/>
      <c r="CQ1522" s="456"/>
      <c r="CR1522" s="456"/>
      <c r="CS1522" s="456"/>
      <c r="CT1522" s="456"/>
      <c r="CU1522" s="456"/>
      <c r="CV1522" s="456"/>
      <c r="CW1522" s="456"/>
      <c r="CX1522" s="456"/>
      <c r="CY1522" s="456"/>
      <c r="CZ1522" s="456"/>
      <c r="DA1522" s="456"/>
      <c r="DB1522" s="456"/>
      <c r="DC1522" s="456"/>
      <c r="DD1522" s="456"/>
      <c r="DE1522" s="456"/>
      <c r="DF1522" s="456"/>
      <c r="DG1522" s="456"/>
      <c r="DH1522" s="456"/>
      <c r="DI1522" s="456"/>
      <c r="DJ1522" s="456"/>
      <c r="DK1522" s="456"/>
      <c r="DL1522" s="456"/>
      <c r="DM1522" s="456"/>
      <c r="DN1522" s="456"/>
      <c r="DO1522" s="456"/>
      <c r="DP1522" s="456"/>
      <c r="DQ1522" s="456"/>
      <c r="DR1522" s="456"/>
      <c r="DS1522" s="456"/>
      <c r="DT1522" s="456"/>
      <c r="DU1522" s="456"/>
      <c r="DV1522" s="456"/>
      <c r="DW1522" s="456"/>
      <c r="DX1522" s="456"/>
      <c r="DY1522" s="456"/>
      <c r="DZ1522" s="456"/>
      <c r="EA1522" s="456"/>
      <c r="EB1522" s="456"/>
      <c r="EC1522" s="456"/>
      <c r="ED1522" s="456"/>
      <c r="EE1522" s="456"/>
      <c r="EF1522" s="456"/>
      <c r="EG1522" s="456"/>
      <c r="EH1522" s="456"/>
      <c r="EI1522" s="456"/>
      <c r="EJ1522" s="456"/>
      <c r="EK1522" s="456"/>
      <c r="EL1522" s="456"/>
      <c r="EM1522" s="456"/>
      <c r="EN1522" s="456"/>
      <c r="EO1522" s="456"/>
      <c r="EP1522" s="456"/>
      <c r="EQ1522" s="456"/>
      <c r="ER1522" s="456"/>
      <c r="ES1522" s="456"/>
      <c r="ET1522" s="456"/>
      <c r="EU1522" s="456"/>
      <c r="EV1522" s="456"/>
      <c r="EW1522" s="456"/>
      <c r="EX1522" s="456"/>
      <c r="EY1522" s="456"/>
      <c r="EZ1522" s="456"/>
      <c r="FA1522" s="456"/>
      <c r="FB1522" s="456"/>
      <c r="FC1522" s="456"/>
      <c r="FD1522" s="456"/>
      <c r="FE1522" s="456"/>
      <c r="FF1522" s="456"/>
      <c r="FG1522" s="456"/>
      <c r="FH1522" s="456"/>
      <c r="FI1522" s="456"/>
      <c r="FJ1522" s="456"/>
      <c r="FK1522" s="456"/>
      <c r="FL1522" s="456"/>
      <c r="FM1522" s="456"/>
      <c r="FN1522" s="456"/>
      <c r="FO1522" s="456"/>
      <c r="FP1522" s="456"/>
      <c r="FQ1522" s="456"/>
      <c r="FR1522" s="456"/>
      <c r="FS1522" s="456"/>
      <c r="FT1522" s="456"/>
      <c r="FU1522" s="456"/>
      <c r="FV1522" s="456"/>
      <c r="FW1522" s="456"/>
      <c r="FX1522" s="456"/>
      <c r="FY1522" s="456"/>
      <c r="FZ1522" s="456"/>
      <c r="GA1522" s="456"/>
      <c r="GB1522" s="456"/>
      <c r="GC1522" s="456"/>
      <c r="GD1522" s="456"/>
      <c r="GE1522" s="456"/>
      <c r="GF1522" s="456"/>
      <c r="GG1522" s="456"/>
      <c r="GH1522" s="456"/>
      <c r="GI1522" s="456"/>
      <c r="GJ1522" s="456"/>
      <c r="GK1522" s="456"/>
      <c r="GL1522" s="456"/>
      <c r="GM1522" s="456"/>
      <c r="GN1522" s="456"/>
      <c r="GO1522" s="456"/>
      <c r="GP1522" s="456"/>
      <c r="GQ1522" s="456"/>
      <c r="GR1522" s="456"/>
      <c r="GS1522" s="456"/>
      <c r="GT1522" s="456"/>
      <c r="GU1522" s="456"/>
      <c r="GV1522" s="456"/>
      <c r="GW1522" s="456"/>
      <c r="GX1522" s="456"/>
      <c r="GY1522" s="456"/>
      <c r="GZ1522" s="456"/>
      <c r="HA1522" s="456"/>
      <c r="HB1522" s="456"/>
      <c r="HC1522" s="456"/>
      <c r="HD1522" s="456"/>
      <c r="HE1522" s="456"/>
      <c r="HF1522" s="456"/>
      <c r="HG1522" s="456"/>
      <c r="HH1522" s="456"/>
      <c r="HI1522" s="456"/>
      <c r="HJ1522" s="456"/>
      <c r="HK1522" s="456"/>
      <c r="HL1522" s="456"/>
      <c r="HM1522" s="456"/>
    </row>
    <row r="1523" spans="1:221" s="305" customFormat="1">
      <c r="A1523" s="703" t="s">
        <v>2456</v>
      </c>
      <c r="B1523" s="1272" t="s">
        <v>326</v>
      </c>
      <c r="C1523" s="1273" t="s">
        <v>2466</v>
      </c>
      <c r="D1523" s="1274"/>
      <c r="E1523" s="1255">
        <v>75.5</v>
      </c>
      <c r="F1523" s="681"/>
      <c r="G1523" s="681"/>
      <c r="H1523" s="683"/>
      <c r="I1523" s="689"/>
      <c r="J1523" s="685" t="s">
        <v>876</v>
      </c>
      <c r="K1523" s="666"/>
      <c r="L1523" s="689">
        <v>138</v>
      </c>
      <c r="M1523" s="683">
        <f>L1523-E1523</f>
        <v>62.5</v>
      </c>
      <c r="N1523" s="706"/>
      <c r="O1523" s="645"/>
      <c r="P1523" s="479"/>
      <c r="Q1523" s="479"/>
      <c r="R1523" s="479"/>
      <c r="S1523" s="479"/>
      <c r="T1523" s="479"/>
      <c r="U1523" s="479"/>
      <c r="V1523" s="456"/>
      <c r="W1523" s="456"/>
      <c r="X1523" s="456"/>
      <c r="Y1523" s="456"/>
      <c r="Z1523" s="456"/>
      <c r="AA1523" s="456"/>
      <c r="AB1523" s="456"/>
      <c r="AC1523" s="456"/>
      <c r="AD1523" s="456"/>
      <c r="AE1523" s="456"/>
      <c r="AF1523" s="456"/>
      <c r="AG1523" s="456"/>
      <c r="AH1523" s="456"/>
      <c r="AI1523" s="456"/>
      <c r="AJ1523" s="456"/>
      <c r="AK1523" s="456"/>
      <c r="AL1523" s="456"/>
      <c r="AM1523" s="456"/>
      <c r="AN1523" s="456"/>
      <c r="AO1523" s="456"/>
      <c r="AP1523" s="456"/>
      <c r="AQ1523" s="456"/>
      <c r="AR1523" s="456"/>
      <c r="AS1523" s="456"/>
      <c r="AT1523" s="456"/>
      <c r="AU1523" s="456"/>
      <c r="AV1523" s="456"/>
      <c r="AW1523" s="456"/>
      <c r="AX1523" s="456"/>
      <c r="AY1523" s="456"/>
      <c r="AZ1523" s="456"/>
      <c r="BA1523" s="456"/>
      <c r="BB1523" s="456"/>
      <c r="BC1523" s="456"/>
      <c r="BD1523" s="456"/>
      <c r="BE1523" s="456"/>
      <c r="BF1523" s="456"/>
      <c r="BG1523" s="456"/>
      <c r="BH1523" s="456"/>
      <c r="BI1523" s="456"/>
      <c r="BJ1523" s="456"/>
      <c r="BK1523" s="456"/>
      <c r="BL1523" s="456"/>
      <c r="BM1523" s="456"/>
      <c r="BN1523" s="456"/>
      <c r="BO1523" s="456"/>
      <c r="BP1523" s="456"/>
      <c r="BQ1523" s="456"/>
      <c r="BR1523" s="456"/>
      <c r="BS1523" s="456"/>
      <c r="BT1523" s="456"/>
      <c r="BU1523" s="456"/>
      <c r="BV1523" s="456"/>
      <c r="BW1523" s="456"/>
      <c r="BX1523" s="456"/>
      <c r="BY1523" s="456"/>
      <c r="BZ1523" s="456"/>
      <c r="CA1523" s="456"/>
      <c r="CB1523" s="456"/>
      <c r="CC1523" s="456"/>
      <c r="CD1523" s="456"/>
      <c r="CE1523" s="456"/>
      <c r="CF1523" s="456"/>
      <c r="CG1523" s="456"/>
      <c r="CH1523" s="456"/>
      <c r="CI1523" s="456"/>
      <c r="CJ1523" s="456"/>
      <c r="CK1523" s="456"/>
      <c r="CL1523" s="456"/>
      <c r="CM1523" s="456"/>
      <c r="CN1523" s="456"/>
      <c r="CO1523" s="456"/>
      <c r="CP1523" s="456"/>
      <c r="CQ1523" s="456"/>
      <c r="CR1523" s="456"/>
      <c r="CS1523" s="456"/>
      <c r="CT1523" s="456"/>
      <c r="CU1523" s="456"/>
      <c r="CV1523" s="456"/>
      <c r="CW1523" s="456"/>
      <c r="CX1523" s="456"/>
      <c r="CY1523" s="456"/>
      <c r="CZ1523" s="456"/>
      <c r="DA1523" s="456"/>
      <c r="DB1523" s="456"/>
      <c r="DC1523" s="456"/>
      <c r="DD1523" s="456"/>
      <c r="DE1523" s="456"/>
      <c r="DF1523" s="456"/>
      <c r="DG1523" s="456"/>
      <c r="DH1523" s="456"/>
      <c r="DI1523" s="456"/>
      <c r="DJ1523" s="456"/>
      <c r="DK1523" s="456"/>
      <c r="DL1523" s="456"/>
      <c r="DM1523" s="456"/>
      <c r="DN1523" s="456"/>
      <c r="DO1523" s="456"/>
      <c r="DP1523" s="456"/>
      <c r="DQ1523" s="456"/>
      <c r="DR1523" s="456"/>
      <c r="DS1523" s="456"/>
      <c r="DT1523" s="456"/>
      <c r="DU1523" s="456"/>
      <c r="DV1523" s="456"/>
      <c r="DW1523" s="456"/>
      <c r="DX1523" s="456"/>
      <c r="DY1523" s="456"/>
      <c r="DZ1523" s="456"/>
      <c r="EA1523" s="456"/>
      <c r="EB1523" s="456"/>
      <c r="EC1523" s="456"/>
      <c r="ED1523" s="456"/>
      <c r="EE1523" s="456"/>
      <c r="EF1523" s="456"/>
      <c r="EG1523" s="456"/>
      <c r="EH1523" s="456"/>
      <c r="EI1523" s="456"/>
      <c r="EJ1523" s="456"/>
      <c r="EK1523" s="456"/>
      <c r="EL1523" s="456"/>
      <c r="EM1523" s="456"/>
      <c r="EN1523" s="456"/>
      <c r="EO1523" s="456"/>
      <c r="EP1523" s="456"/>
      <c r="EQ1523" s="456"/>
      <c r="ER1523" s="456"/>
      <c r="ES1523" s="456"/>
      <c r="ET1523" s="456"/>
      <c r="EU1523" s="456"/>
      <c r="EV1523" s="456"/>
      <c r="EW1523" s="456"/>
      <c r="EX1523" s="456"/>
      <c r="EY1523" s="456"/>
      <c r="EZ1523" s="456"/>
      <c r="FA1523" s="456"/>
      <c r="FB1523" s="456"/>
      <c r="FC1523" s="456"/>
      <c r="FD1523" s="456"/>
      <c r="FE1523" s="456"/>
      <c r="FF1523" s="456"/>
      <c r="FG1523" s="456"/>
      <c r="FH1523" s="456"/>
      <c r="FI1523" s="456"/>
      <c r="FJ1523" s="456"/>
      <c r="FK1523" s="456"/>
      <c r="FL1523" s="456"/>
      <c r="FM1523" s="456"/>
      <c r="FN1523" s="456"/>
      <c r="FO1523" s="456"/>
      <c r="FP1523" s="456"/>
      <c r="FQ1523" s="456"/>
      <c r="FR1523" s="456"/>
      <c r="FS1523" s="456"/>
      <c r="FT1523" s="456"/>
      <c r="FU1523" s="456"/>
      <c r="FV1523" s="456"/>
      <c r="FW1523" s="456"/>
      <c r="FX1523" s="456"/>
      <c r="FY1523" s="456"/>
      <c r="FZ1523" s="456"/>
      <c r="GA1523" s="456"/>
      <c r="GB1523" s="456"/>
      <c r="GC1523" s="456"/>
      <c r="GD1523" s="456"/>
      <c r="GE1523" s="456"/>
      <c r="GF1523" s="456"/>
      <c r="GG1523" s="456"/>
      <c r="GH1523" s="456"/>
      <c r="GI1523" s="456"/>
      <c r="GJ1523" s="456"/>
      <c r="GK1523" s="456"/>
      <c r="GL1523" s="456"/>
      <c r="GM1523" s="456"/>
      <c r="GN1523" s="456"/>
      <c r="GO1523" s="456"/>
      <c r="GP1523" s="456"/>
      <c r="GQ1523" s="456"/>
      <c r="GR1523" s="456"/>
      <c r="GS1523" s="456"/>
      <c r="GT1523" s="456"/>
      <c r="GU1523" s="456"/>
      <c r="GV1523" s="456"/>
      <c r="GW1523" s="456"/>
      <c r="GX1523" s="456"/>
      <c r="GY1523" s="456"/>
      <c r="GZ1523" s="456"/>
      <c r="HA1523" s="456"/>
      <c r="HB1523" s="456"/>
      <c r="HC1523" s="456"/>
      <c r="HD1523" s="456"/>
      <c r="HE1523" s="456"/>
      <c r="HF1523" s="456"/>
      <c r="HG1523" s="456"/>
      <c r="HH1523" s="456"/>
      <c r="HI1523" s="456"/>
      <c r="HJ1523" s="456"/>
      <c r="HK1523" s="456"/>
      <c r="HL1523" s="456"/>
      <c r="HM1523" s="456"/>
    </row>
    <row r="1524" spans="1:221" s="305" customFormat="1">
      <c r="A1524" s="703" t="s">
        <v>2467</v>
      </c>
      <c r="B1524" s="1272" t="s">
        <v>326</v>
      </c>
      <c r="C1524" s="1273" t="s">
        <v>2466</v>
      </c>
      <c r="D1524" s="1274"/>
      <c r="E1524" s="1255">
        <v>66</v>
      </c>
      <c r="F1524" s="681"/>
      <c r="G1524" s="681"/>
      <c r="H1524" s="683"/>
      <c r="I1524" s="689"/>
      <c r="J1524" s="685" t="s">
        <v>876</v>
      </c>
      <c r="K1524" s="666"/>
      <c r="L1524" s="689">
        <v>121</v>
      </c>
      <c r="M1524" s="683">
        <f>L1524-E1524</f>
        <v>55</v>
      </c>
      <c r="N1524" s="706"/>
      <c r="O1524" s="645"/>
      <c r="P1524" s="479"/>
      <c r="Q1524" s="479"/>
      <c r="R1524" s="479"/>
      <c r="S1524" s="479"/>
      <c r="T1524" s="479"/>
      <c r="U1524" s="479"/>
      <c r="V1524" s="456"/>
      <c r="W1524" s="456"/>
      <c r="X1524" s="456"/>
      <c r="Y1524" s="456"/>
      <c r="Z1524" s="456"/>
      <c r="AA1524" s="456"/>
      <c r="AB1524" s="456"/>
      <c r="AC1524" s="456"/>
      <c r="AD1524" s="456"/>
      <c r="AE1524" s="456"/>
      <c r="AF1524" s="456"/>
      <c r="AG1524" s="456"/>
      <c r="AH1524" s="456"/>
      <c r="AI1524" s="456"/>
      <c r="AJ1524" s="456"/>
      <c r="AK1524" s="456"/>
      <c r="AL1524" s="456"/>
      <c r="AM1524" s="456"/>
      <c r="AN1524" s="456"/>
      <c r="AO1524" s="456"/>
      <c r="AP1524" s="456"/>
      <c r="AQ1524" s="456"/>
      <c r="AR1524" s="456"/>
      <c r="AS1524" s="456"/>
      <c r="AT1524" s="456"/>
      <c r="AU1524" s="456"/>
      <c r="AV1524" s="456"/>
      <c r="AW1524" s="456"/>
      <c r="AX1524" s="456"/>
      <c r="AY1524" s="456"/>
      <c r="AZ1524" s="456"/>
      <c r="BA1524" s="456"/>
      <c r="BB1524" s="456"/>
      <c r="BC1524" s="456"/>
      <c r="BD1524" s="456"/>
      <c r="BE1524" s="456"/>
      <c r="BF1524" s="456"/>
      <c r="BG1524" s="456"/>
      <c r="BH1524" s="456"/>
      <c r="BI1524" s="456"/>
      <c r="BJ1524" s="456"/>
      <c r="BK1524" s="456"/>
      <c r="BL1524" s="456"/>
      <c r="BM1524" s="456"/>
      <c r="BN1524" s="456"/>
      <c r="BO1524" s="456"/>
      <c r="BP1524" s="456"/>
      <c r="BQ1524" s="456"/>
      <c r="BR1524" s="456"/>
      <c r="BS1524" s="456"/>
      <c r="BT1524" s="456"/>
      <c r="BU1524" s="456"/>
      <c r="BV1524" s="456"/>
      <c r="BW1524" s="456"/>
      <c r="BX1524" s="456"/>
      <c r="BY1524" s="456"/>
      <c r="BZ1524" s="456"/>
      <c r="CA1524" s="456"/>
      <c r="CB1524" s="456"/>
      <c r="CC1524" s="456"/>
      <c r="CD1524" s="456"/>
      <c r="CE1524" s="456"/>
      <c r="CF1524" s="456"/>
      <c r="CG1524" s="456"/>
      <c r="CH1524" s="456"/>
      <c r="CI1524" s="456"/>
      <c r="CJ1524" s="456"/>
      <c r="CK1524" s="456"/>
      <c r="CL1524" s="456"/>
      <c r="CM1524" s="456"/>
      <c r="CN1524" s="456"/>
      <c r="CO1524" s="456"/>
      <c r="CP1524" s="456"/>
      <c r="CQ1524" s="456"/>
      <c r="CR1524" s="456"/>
      <c r="CS1524" s="456"/>
      <c r="CT1524" s="456"/>
      <c r="CU1524" s="456"/>
      <c r="CV1524" s="456"/>
      <c r="CW1524" s="456"/>
      <c r="CX1524" s="456"/>
      <c r="CY1524" s="456"/>
      <c r="CZ1524" s="456"/>
      <c r="DA1524" s="456"/>
      <c r="DB1524" s="456"/>
      <c r="DC1524" s="456"/>
      <c r="DD1524" s="456"/>
      <c r="DE1524" s="456"/>
      <c r="DF1524" s="456"/>
      <c r="DG1524" s="456"/>
      <c r="DH1524" s="456"/>
      <c r="DI1524" s="456"/>
      <c r="DJ1524" s="456"/>
      <c r="DK1524" s="456"/>
      <c r="DL1524" s="456"/>
      <c r="DM1524" s="456"/>
      <c r="DN1524" s="456"/>
      <c r="DO1524" s="456"/>
      <c r="DP1524" s="456"/>
      <c r="DQ1524" s="456"/>
      <c r="DR1524" s="456"/>
      <c r="DS1524" s="456"/>
      <c r="DT1524" s="456"/>
      <c r="DU1524" s="456"/>
      <c r="DV1524" s="456"/>
      <c r="DW1524" s="456"/>
      <c r="DX1524" s="456"/>
      <c r="DY1524" s="456"/>
      <c r="DZ1524" s="456"/>
      <c r="EA1524" s="456"/>
      <c r="EB1524" s="456"/>
      <c r="EC1524" s="456"/>
      <c r="ED1524" s="456"/>
      <c r="EE1524" s="456"/>
      <c r="EF1524" s="456"/>
      <c r="EG1524" s="456"/>
      <c r="EH1524" s="456"/>
      <c r="EI1524" s="456"/>
      <c r="EJ1524" s="456"/>
      <c r="EK1524" s="456"/>
      <c r="EL1524" s="456"/>
      <c r="EM1524" s="456"/>
      <c r="EN1524" s="456"/>
      <c r="EO1524" s="456"/>
      <c r="EP1524" s="456"/>
      <c r="EQ1524" s="456"/>
      <c r="ER1524" s="456"/>
      <c r="ES1524" s="456"/>
      <c r="ET1524" s="456"/>
      <c r="EU1524" s="456"/>
      <c r="EV1524" s="456"/>
      <c r="EW1524" s="456"/>
      <c r="EX1524" s="456"/>
      <c r="EY1524" s="456"/>
      <c r="EZ1524" s="456"/>
      <c r="FA1524" s="456"/>
      <c r="FB1524" s="456"/>
      <c r="FC1524" s="456"/>
      <c r="FD1524" s="456"/>
      <c r="FE1524" s="456"/>
      <c r="FF1524" s="456"/>
      <c r="FG1524" s="456"/>
      <c r="FH1524" s="456"/>
      <c r="FI1524" s="456"/>
      <c r="FJ1524" s="456"/>
      <c r="FK1524" s="456"/>
      <c r="FL1524" s="456"/>
      <c r="FM1524" s="456"/>
      <c r="FN1524" s="456"/>
      <c r="FO1524" s="456"/>
      <c r="FP1524" s="456"/>
      <c r="FQ1524" s="456"/>
      <c r="FR1524" s="456"/>
      <c r="FS1524" s="456"/>
      <c r="FT1524" s="456"/>
      <c r="FU1524" s="456"/>
      <c r="FV1524" s="456"/>
      <c r="FW1524" s="456"/>
      <c r="FX1524" s="456"/>
      <c r="FY1524" s="456"/>
      <c r="FZ1524" s="456"/>
      <c r="GA1524" s="456"/>
      <c r="GB1524" s="456"/>
      <c r="GC1524" s="456"/>
      <c r="GD1524" s="456"/>
      <c r="GE1524" s="456"/>
      <c r="GF1524" s="456"/>
      <c r="GG1524" s="456"/>
      <c r="GH1524" s="456"/>
      <c r="GI1524" s="456"/>
      <c r="GJ1524" s="456"/>
      <c r="GK1524" s="456"/>
      <c r="GL1524" s="456"/>
      <c r="GM1524" s="456"/>
      <c r="GN1524" s="456"/>
      <c r="GO1524" s="456"/>
      <c r="GP1524" s="456"/>
      <c r="GQ1524" s="456"/>
      <c r="GR1524" s="456"/>
      <c r="GS1524" s="456"/>
      <c r="GT1524" s="456"/>
      <c r="GU1524" s="456"/>
      <c r="GV1524" s="456"/>
      <c r="GW1524" s="456"/>
      <c r="GX1524" s="456"/>
      <c r="GY1524" s="456"/>
      <c r="GZ1524" s="456"/>
      <c r="HA1524" s="456"/>
      <c r="HB1524" s="456"/>
      <c r="HC1524" s="456"/>
      <c r="HD1524" s="456"/>
      <c r="HE1524" s="456"/>
      <c r="HF1524" s="456"/>
      <c r="HG1524" s="456"/>
      <c r="HH1524" s="456"/>
      <c r="HI1524" s="456"/>
      <c r="HJ1524" s="456"/>
      <c r="HK1524" s="456"/>
      <c r="HL1524" s="456"/>
      <c r="HM1524" s="456"/>
    </row>
    <row r="1525" spans="1:221" s="305" customFormat="1">
      <c r="A1525" s="703" t="s">
        <v>2468</v>
      </c>
      <c r="B1525" s="1272" t="s">
        <v>326</v>
      </c>
      <c r="C1525" s="1273" t="s">
        <v>2466</v>
      </c>
      <c r="D1525" s="1274"/>
      <c r="E1525" s="1255">
        <v>55</v>
      </c>
      <c r="F1525" s="681"/>
      <c r="G1525" s="681"/>
      <c r="H1525" s="683"/>
      <c r="I1525" s="689"/>
      <c r="J1525" s="685" t="s">
        <v>876</v>
      </c>
      <c r="K1525" s="666"/>
      <c r="L1525" s="689">
        <v>99</v>
      </c>
      <c r="M1525" s="683">
        <f>L1525-E1525</f>
        <v>44</v>
      </c>
      <c r="N1525" s="706"/>
      <c r="O1525" s="645"/>
      <c r="P1525" s="479"/>
      <c r="Q1525" s="479"/>
      <c r="R1525" s="479"/>
      <c r="S1525" s="479"/>
      <c r="T1525" s="479"/>
      <c r="U1525" s="479"/>
      <c r="V1525" s="456"/>
      <c r="W1525" s="456"/>
      <c r="X1525" s="456"/>
      <c r="Y1525" s="456"/>
      <c r="Z1525" s="456"/>
      <c r="AA1525" s="456"/>
      <c r="AB1525" s="456"/>
      <c r="AC1525" s="456"/>
      <c r="AD1525" s="456"/>
      <c r="AE1525" s="456"/>
      <c r="AF1525" s="456"/>
      <c r="AG1525" s="456"/>
      <c r="AH1525" s="456"/>
      <c r="AI1525" s="456"/>
      <c r="AJ1525" s="456"/>
      <c r="AK1525" s="456"/>
      <c r="AL1525" s="456"/>
      <c r="AM1525" s="456"/>
      <c r="AN1525" s="456"/>
      <c r="AO1525" s="456"/>
      <c r="AP1525" s="456"/>
      <c r="AQ1525" s="456"/>
      <c r="AR1525" s="456"/>
      <c r="AS1525" s="456"/>
      <c r="AT1525" s="456"/>
      <c r="AU1525" s="456"/>
      <c r="AV1525" s="456"/>
      <c r="AW1525" s="456"/>
      <c r="AX1525" s="456"/>
      <c r="AY1525" s="456"/>
      <c r="AZ1525" s="456"/>
      <c r="BA1525" s="456"/>
      <c r="BB1525" s="456"/>
      <c r="BC1525" s="456"/>
      <c r="BD1525" s="456"/>
      <c r="BE1525" s="456"/>
      <c r="BF1525" s="456"/>
      <c r="BG1525" s="456"/>
      <c r="BH1525" s="456"/>
      <c r="BI1525" s="456"/>
      <c r="BJ1525" s="456"/>
      <c r="BK1525" s="456"/>
      <c r="BL1525" s="456"/>
      <c r="BM1525" s="456"/>
      <c r="BN1525" s="456"/>
      <c r="BO1525" s="456"/>
      <c r="BP1525" s="456"/>
      <c r="BQ1525" s="456"/>
      <c r="BR1525" s="456"/>
      <c r="BS1525" s="456"/>
      <c r="BT1525" s="456"/>
      <c r="BU1525" s="456"/>
      <c r="BV1525" s="456"/>
      <c r="BW1525" s="456"/>
      <c r="BX1525" s="456"/>
      <c r="BY1525" s="456"/>
      <c r="BZ1525" s="456"/>
      <c r="CA1525" s="456"/>
      <c r="CB1525" s="456"/>
      <c r="CC1525" s="456"/>
      <c r="CD1525" s="456"/>
      <c r="CE1525" s="456"/>
      <c r="CF1525" s="456"/>
      <c r="CG1525" s="456"/>
      <c r="CH1525" s="456"/>
      <c r="CI1525" s="456"/>
      <c r="CJ1525" s="456"/>
      <c r="CK1525" s="456"/>
      <c r="CL1525" s="456"/>
      <c r="CM1525" s="456"/>
      <c r="CN1525" s="456"/>
      <c r="CO1525" s="456"/>
      <c r="CP1525" s="456"/>
      <c r="CQ1525" s="456"/>
      <c r="CR1525" s="456"/>
      <c r="CS1525" s="456"/>
      <c r="CT1525" s="456"/>
      <c r="CU1525" s="456"/>
      <c r="CV1525" s="456"/>
      <c r="CW1525" s="456"/>
      <c r="CX1525" s="456"/>
      <c r="CY1525" s="456"/>
      <c r="CZ1525" s="456"/>
      <c r="DA1525" s="456"/>
      <c r="DB1525" s="456"/>
      <c r="DC1525" s="456"/>
      <c r="DD1525" s="456"/>
      <c r="DE1525" s="456"/>
      <c r="DF1525" s="456"/>
      <c r="DG1525" s="456"/>
      <c r="DH1525" s="456"/>
      <c r="DI1525" s="456"/>
      <c r="DJ1525" s="456"/>
      <c r="DK1525" s="456"/>
      <c r="DL1525" s="456"/>
      <c r="DM1525" s="456"/>
      <c r="DN1525" s="456"/>
      <c r="DO1525" s="456"/>
      <c r="DP1525" s="456"/>
      <c r="DQ1525" s="456"/>
      <c r="DR1525" s="456"/>
      <c r="DS1525" s="456"/>
      <c r="DT1525" s="456"/>
      <c r="DU1525" s="456"/>
      <c r="DV1525" s="456"/>
      <c r="DW1525" s="456"/>
      <c r="DX1525" s="456"/>
      <c r="DY1525" s="456"/>
      <c r="DZ1525" s="456"/>
      <c r="EA1525" s="456"/>
      <c r="EB1525" s="456"/>
      <c r="EC1525" s="456"/>
      <c r="ED1525" s="456"/>
      <c r="EE1525" s="456"/>
      <c r="EF1525" s="456"/>
      <c r="EG1525" s="456"/>
      <c r="EH1525" s="456"/>
      <c r="EI1525" s="456"/>
      <c r="EJ1525" s="456"/>
      <c r="EK1525" s="456"/>
      <c r="EL1525" s="456"/>
      <c r="EM1525" s="456"/>
      <c r="EN1525" s="456"/>
      <c r="EO1525" s="456"/>
      <c r="EP1525" s="456"/>
      <c r="EQ1525" s="456"/>
      <c r="ER1525" s="456"/>
      <c r="ES1525" s="456"/>
      <c r="ET1525" s="456"/>
      <c r="EU1525" s="456"/>
      <c r="EV1525" s="456"/>
      <c r="EW1525" s="456"/>
      <c r="EX1525" s="456"/>
      <c r="EY1525" s="456"/>
      <c r="EZ1525" s="456"/>
      <c r="FA1525" s="456"/>
      <c r="FB1525" s="456"/>
      <c r="FC1525" s="456"/>
      <c r="FD1525" s="456"/>
      <c r="FE1525" s="456"/>
      <c r="FF1525" s="456"/>
      <c r="FG1525" s="456"/>
      <c r="FH1525" s="456"/>
      <c r="FI1525" s="456"/>
      <c r="FJ1525" s="456"/>
      <c r="FK1525" s="456"/>
      <c r="FL1525" s="456"/>
      <c r="FM1525" s="456"/>
      <c r="FN1525" s="456"/>
      <c r="FO1525" s="456"/>
      <c r="FP1525" s="456"/>
      <c r="FQ1525" s="456"/>
      <c r="FR1525" s="456"/>
      <c r="FS1525" s="456"/>
      <c r="FT1525" s="456"/>
      <c r="FU1525" s="456"/>
      <c r="FV1525" s="456"/>
      <c r="FW1525" s="456"/>
      <c r="FX1525" s="456"/>
      <c r="FY1525" s="456"/>
      <c r="FZ1525" s="456"/>
      <c r="GA1525" s="456"/>
      <c r="GB1525" s="456"/>
      <c r="GC1525" s="456"/>
      <c r="GD1525" s="456"/>
      <c r="GE1525" s="456"/>
      <c r="GF1525" s="456"/>
      <c r="GG1525" s="456"/>
      <c r="GH1525" s="456"/>
      <c r="GI1525" s="456"/>
      <c r="GJ1525" s="456"/>
      <c r="GK1525" s="456"/>
      <c r="GL1525" s="456"/>
      <c r="GM1525" s="456"/>
      <c r="GN1525" s="456"/>
      <c r="GO1525" s="456"/>
      <c r="GP1525" s="456"/>
      <c r="GQ1525" s="456"/>
      <c r="GR1525" s="456"/>
      <c r="GS1525" s="456"/>
      <c r="GT1525" s="456"/>
      <c r="GU1525" s="456"/>
      <c r="GV1525" s="456"/>
      <c r="GW1525" s="456"/>
      <c r="GX1525" s="456"/>
      <c r="GY1525" s="456"/>
      <c r="GZ1525" s="456"/>
      <c r="HA1525" s="456"/>
      <c r="HB1525" s="456"/>
      <c r="HC1525" s="456"/>
      <c r="HD1525" s="456"/>
      <c r="HE1525" s="456"/>
      <c r="HF1525" s="456"/>
      <c r="HG1525" s="456"/>
      <c r="HH1525" s="456"/>
      <c r="HI1525" s="456"/>
      <c r="HJ1525" s="456"/>
      <c r="HK1525" s="456"/>
      <c r="HL1525" s="456"/>
      <c r="HM1525" s="456"/>
    </row>
    <row r="1526" spans="1:221" s="305" customFormat="1">
      <c r="A1526" s="703"/>
      <c r="B1526" s="1272" t="s">
        <v>911</v>
      </c>
      <c r="C1526" s="1273" t="s">
        <v>912</v>
      </c>
      <c r="D1526" s="1274"/>
      <c r="E1526" s="1255">
        <v>49</v>
      </c>
      <c r="F1526" s="681" t="s">
        <v>1909</v>
      </c>
      <c r="G1526" s="681"/>
      <c r="H1526" s="683"/>
      <c r="I1526" s="689"/>
      <c r="J1526" s="685"/>
      <c r="K1526" s="685"/>
      <c r="L1526" s="689">
        <v>70</v>
      </c>
      <c r="M1526" s="683">
        <v>21</v>
      </c>
      <c r="N1526" s="706">
        <v>3</v>
      </c>
      <c r="O1526" s="645"/>
      <c r="P1526" s="296"/>
      <c r="Q1526" s="296"/>
      <c r="R1526" s="296"/>
      <c r="S1526" s="297"/>
      <c r="T1526" s="297"/>
      <c r="U1526" s="297"/>
      <c r="V1526" s="297"/>
      <c r="W1526" s="297"/>
      <c r="X1526" s="297"/>
      <c r="Y1526" s="297"/>
      <c r="Z1526" s="297"/>
      <c r="AA1526" s="297"/>
      <c r="AB1526" s="297"/>
    </row>
    <row r="1527" spans="1:221" s="305" customFormat="1">
      <c r="A1527" s="703" t="s">
        <v>324</v>
      </c>
      <c r="B1527" s="1272" t="s">
        <v>911</v>
      </c>
      <c r="C1527" s="1273" t="s">
        <v>912</v>
      </c>
      <c r="D1527" s="1274"/>
      <c r="E1527" s="1255">
        <v>40</v>
      </c>
      <c r="F1527" s="681" t="s">
        <v>1909</v>
      </c>
      <c r="G1527" s="681"/>
      <c r="H1527" s="683"/>
      <c r="I1527" s="689"/>
      <c r="J1527" s="685"/>
      <c r="K1527" s="685"/>
      <c r="L1527" s="689">
        <v>61</v>
      </c>
      <c r="M1527" s="683">
        <v>21</v>
      </c>
      <c r="N1527" s="706">
        <v>3</v>
      </c>
      <c r="O1527" s="645"/>
      <c r="P1527" s="483"/>
      <c r="Q1527" s="483"/>
      <c r="R1527" s="483"/>
      <c r="S1527" s="479"/>
      <c r="T1527" s="479"/>
      <c r="U1527" s="479"/>
      <c r="V1527" s="479"/>
      <c r="W1527" s="479"/>
      <c r="X1527" s="479"/>
      <c r="Y1527" s="479"/>
      <c r="Z1527" s="479"/>
      <c r="AA1527" s="479"/>
      <c r="AB1527" s="479"/>
      <c r="AC1527" s="456"/>
      <c r="AD1527" s="456"/>
      <c r="AE1527" s="456"/>
      <c r="AF1527" s="456"/>
      <c r="AG1527" s="456"/>
      <c r="AH1527" s="456"/>
      <c r="AI1527" s="456"/>
      <c r="AJ1527" s="456"/>
      <c r="AK1527" s="456"/>
      <c r="AL1527" s="456"/>
      <c r="AM1527" s="456"/>
      <c r="AN1527" s="456"/>
      <c r="AO1527" s="456"/>
      <c r="AP1527" s="456"/>
      <c r="AQ1527" s="456"/>
      <c r="AR1527" s="456"/>
      <c r="AS1527" s="456"/>
      <c r="AT1527" s="456"/>
      <c r="AU1527" s="456"/>
      <c r="AV1527" s="456"/>
      <c r="AW1527" s="456"/>
      <c r="AX1527" s="456"/>
      <c r="AY1527" s="456"/>
      <c r="AZ1527" s="456"/>
      <c r="BA1527" s="456"/>
      <c r="BB1527" s="456"/>
      <c r="BC1527" s="456"/>
      <c r="BD1527" s="456"/>
      <c r="BE1527" s="456"/>
      <c r="BF1527" s="456"/>
      <c r="BG1527" s="456"/>
      <c r="BH1527" s="456"/>
      <c r="BI1527" s="456"/>
      <c r="BJ1527" s="456"/>
      <c r="BK1527" s="456"/>
      <c r="BL1527" s="456"/>
      <c r="BM1527" s="456"/>
      <c r="BN1527" s="456"/>
      <c r="BO1527" s="456"/>
      <c r="BP1527" s="456"/>
      <c r="BQ1527" s="456"/>
      <c r="BR1527" s="456"/>
      <c r="BS1527" s="456"/>
      <c r="BT1527" s="456"/>
      <c r="BU1527" s="456"/>
      <c r="BV1527" s="456"/>
      <c r="BW1527" s="456"/>
      <c r="BX1527" s="456"/>
      <c r="BY1527" s="456"/>
      <c r="BZ1527" s="456"/>
      <c r="CA1527" s="456"/>
      <c r="CB1527" s="456"/>
      <c r="CC1527" s="456"/>
      <c r="CD1527" s="456"/>
      <c r="CE1527" s="456"/>
      <c r="CF1527" s="456"/>
      <c r="CG1527" s="456"/>
      <c r="CH1527" s="456"/>
      <c r="CI1527" s="456"/>
      <c r="CJ1527" s="456"/>
      <c r="CK1527" s="456"/>
      <c r="CL1527" s="456"/>
      <c r="CM1527" s="456"/>
      <c r="CN1527" s="456"/>
      <c r="CO1527" s="456"/>
      <c r="CP1527" s="456"/>
      <c r="CQ1527" s="456"/>
      <c r="CR1527" s="456"/>
      <c r="CS1527" s="456"/>
      <c r="CT1527" s="456"/>
      <c r="CU1527" s="456"/>
      <c r="CV1527" s="456"/>
      <c r="CW1527" s="456"/>
      <c r="CX1527" s="456"/>
      <c r="CY1527" s="456"/>
      <c r="CZ1527" s="456"/>
      <c r="DA1527" s="456"/>
      <c r="DB1527" s="456"/>
      <c r="DC1527" s="456"/>
      <c r="DD1527" s="456"/>
      <c r="DE1527" s="456"/>
      <c r="DF1527" s="456"/>
      <c r="DG1527" s="456"/>
      <c r="DH1527" s="456"/>
      <c r="DI1527" s="456"/>
      <c r="DJ1527" s="456"/>
      <c r="DK1527" s="456"/>
      <c r="DL1527" s="456"/>
      <c r="DM1527" s="456"/>
      <c r="DN1527" s="456"/>
      <c r="DO1527" s="456"/>
      <c r="DP1527" s="456"/>
      <c r="DQ1527" s="456"/>
      <c r="DR1527" s="456"/>
      <c r="DS1527" s="456"/>
      <c r="DT1527" s="456"/>
      <c r="DU1527" s="456"/>
      <c r="DV1527" s="456"/>
      <c r="DW1527" s="456"/>
      <c r="DX1527" s="456"/>
      <c r="DY1527" s="456"/>
      <c r="DZ1527" s="456"/>
      <c r="EA1527" s="456"/>
      <c r="EB1527" s="456"/>
      <c r="EC1527" s="456"/>
      <c r="ED1527" s="456"/>
      <c r="EE1527" s="456"/>
      <c r="EF1527" s="456"/>
      <c r="EG1527" s="456"/>
      <c r="EH1527" s="456"/>
      <c r="EI1527" s="456"/>
      <c r="EJ1527" s="456"/>
      <c r="EK1527" s="456"/>
      <c r="EL1527" s="456"/>
      <c r="EM1527" s="456"/>
      <c r="EN1527" s="456"/>
      <c r="EO1527" s="456"/>
      <c r="EP1527" s="456"/>
      <c r="EQ1527" s="456"/>
      <c r="ER1527" s="456"/>
      <c r="ES1527" s="456"/>
      <c r="ET1527" s="456"/>
      <c r="EU1527" s="456"/>
      <c r="EV1527" s="456"/>
      <c r="EW1527" s="456"/>
      <c r="EX1527" s="456"/>
      <c r="EY1527" s="456"/>
      <c r="EZ1527" s="456"/>
      <c r="FA1527" s="456"/>
      <c r="FB1527" s="456"/>
      <c r="FC1527" s="456"/>
      <c r="FD1527" s="456"/>
      <c r="FE1527" s="456"/>
      <c r="FF1527" s="456"/>
      <c r="FG1527" s="456"/>
      <c r="FH1527" s="456"/>
      <c r="FI1527" s="456"/>
      <c r="FJ1527" s="456"/>
      <c r="FK1527" s="456"/>
      <c r="FL1527" s="456"/>
      <c r="FM1527" s="456"/>
      <c r="FN1527" s="456"/>
      <c r="FO1527" s="456"/>
      <c r="FP1527" s="456"/>
      <c r="FQ1527" s="456"/>
      <c r="FR1527" s="456"/>
      <c r="FS1527" s="456"/>
      <c r="FT1527" s="456"/>
      <c r="FU1527" s="456"/>
      <c r="FV1527" s="456"/>
      <c r="FW1527" s="456"/>
      <c r="FX1527" s="456"/>
      <c r="FY1527" s="456"/>
      <c r="FZ1527" s="456"/>
      <c r="GA1527" s="456"/>
      <c r="GB1527" s="456"/>
      <c r="GC1527" s="456"/>
      <c r="GD1527" s="456"/>
      <c r="GE1527" s="456"/>
      <c r="GF1527" s="456"/>
      <c r="GG1527" s="456"/>
      <c r="GH1527" s="456"/>
      <c r="GI1527" s="456"/>
      <c r="GJ1527" s="456"/>
      <c r="GK1527" s="456"/>
      <c r="GL1527" s="456"/>
      <c r="GM1527" s="456"/>
      <c r="GN1527" s="456"/>
      <c r="GO1527" s="456"/>
      <c r="GP1527" s="456"/>
      <c r="GQ1527" s="456"/>
      <c r="GR1527" s="456"/>
      <c r="GS1527" s="456"/>
      <c r="GT1527" s="456"/>
      <c r="GU1527" s="456"/>
      <c r="GV1527" s="456"/>
      <c r="GW1527" s="456"/>
      <c r="GX1527" s="456"/>
      <c r="GY1527" s="456"/>
      <c r="GZ1527" s="456"/>
      <c r="HA1527" s="456"/>
      <c r="HB1527" s="456"/>
      <c r="HC1527" s="456"/>
      <c r="HD1527" s="456"/>
      <c r="HE1527" s="456"/>
      <c r="HF1527" s="456"/>
      <c r="HG1527" s="456"/>
      <c r="HH1527" s="456"/>
      <c r="HI1527" s="456"/>
      <c r="HJ1527" s="456"/>
      <c r="HK1527" s="456"/>
      <c r="HL1527" s="456"/>
      <c r="HM1527" s="456"/>
    </row>
    <row r="1528" spans="1:221" s="305" customFormat="1">
      <c r="A1528" s="1246" t="s">
        <v>354</v>
      </c>
      <c r="B1528" s="1272" t="s">
        <v>109</v>
      </c>
      <c r="C1528" s="1273" t="s">
        <v>59</v>
      </c>
      <c r="D1528" s="1274"/>
      <c r="E1528" s="1255">
        <v>45</v>
      </c>
      <c r="F1528" s="681" t="s">
        <v>1909</v>
      </c>
      <c r="G1528" s="681"/>
      <c r="H1528" s="683">
        <v>2</v>
      </c>
      <c r="I1528" s="689" t="s">
        <v>2532</v>
      </c>
      <c r="J1528" s="685"/>
      <c r="K1528" s="685"/>
      <c r="L1528" s="689">
        <v>81</v>
      </c>
      <c r="M1528" s="683">
        <v>36</v>
      </c>
      <c r="N1528" s="706">
        <v>4</v>
      </c>
      <c r="O1528" s="645"/>
      <c r="P1528" s="297"/>
      <c r="Q1528" s="297"/>
      <c r="R1528" s="297"/>
      <c r="S1528" s="297"/>
      <c r="T1528" s="297"/>
      <c r="U1528" s="297"/>
    </row>
    <row r="1529" spans="1:221" s="305" customFormat="1">
      <c r="A1529" s="1246" t="s">
        <v>190</v>
      </c>
      <c r="B1529" s="1272" t="s">
        <v>109</v>
      </c>
      <c r="C1529" s="1273" t="s">
        <v>59</v>
      </c>
      <c r="D1529" s="1274"/>
      <c r="E1529" s="1255">
        <v>37</v>
      </c>
      <c r="F1529" s="681" t="s">
        <v>1909</v>
      </c>
      <c r="G1529" s="681"/>
      <c r="H1529" s="683">
        <v>2</v>
      </c>
      <c r="I1529" s="689" t="s">
        <v>2532</v>
      </c>
      <c r="J1529" s="685"/>
      <c r="K1529" s="685"/>
      <c r="L1529" s="689">
        <v>66</v>
      </c>
      <c r="M1529" s="683">
        <v>29</v>
      </c>
      <c r="N1529" s="706">
        <v>3</v>
      </c>
      <c r="O1529" s="645"/>
      <c r="P1529" s="297"/>
      <c r="Q1529" s="297"/>
      <c r="R1529" s="297"/>
      <c r="S1529" s="297"/>
      <c r="T1529" s="297"/>
      <c r="U1529" s="297"/>
    </row>
    <row r="1530" spans="1:221" s="305" customFormat="1">
      <c r="A1530" s="1246"/>
      <c r="B1530" s="1272" t="s">
        <v>488</v>
      </c>
      <c r="C1530" s="1273" t="s">
        <v>2491</v>
      </c>
      <c r="D1530" s="1274"/>
      <c r="E1530" s="1255"/>
      <c r="F1530" s="681" t="s">
        <v>1909</v>
      </c>
      <c r="G1530" s="681"/>
      <c r="H1530" s="683">
        <v>2</v>
      </c>
      <c r="I1530" s="689" t="s">
        <v>2532</v>
      </c>
      <c r="J1530" s="685"/>
      <c r="K1530" s="685"/>
      <c r="L1530" s="689"/>
      <c r="M1530" s="683"/>
      <c r="N1530" s="706"/>
      <c r="O1530" s="480"/>
      <c r="P1530" s="297"/>
      <c r="Q1530" s="297"/>
      <c r="R1530" s="297"/>
      <c r="S1530" s="297"/>
      <c r="T1530" s="297"/>
      <c r="U1530" s="297"/>
    </row>
    <row r="1531" spans="1:221" s="305" customFormat="1">
      <c r="A1531" s="1246"/>
      <c r="B1531" s="1272" t="s">
        <v>488</v>
      </c>
      <c r="C1531" s="1273" t="s">
        <v>2491</v>
      </c>
      <c r="D1531" s="1274"/>
      <c r="E1531" s="1255"/>
      <c r="F1531" s="681" t="s">
        <v>1909</v>
      </c>
      <c r="G1531" s="681"/>
      <c r="H1531" s="683">
        <v>2</v>
      </c>
      <c r="I1531" s="689" t="s">
        <v>2532</v>
      </c>
      <c r="J1531" s="685"/>
      <c r="K1531" s="685"/>
      <c r="L1531" s="689"/>
      <c r="M1531" s="683"/>
      <c r="N1531" s="706"/>
      <c r="O1531" s="480"/>
      <c r="P1531" s="297"/>
      <c r="Q1531" s="297"/>
      <c r="R1531" s="297"/>
      <c r="S1531" s="297"/>
      <c r="T1531" s="297"/>
      <c r="U1531" s="297"/>
    </row>
    <row r="1532" spans="1:221" s="305" customFormat="1">
      <c r="A1532" s="1246" t="s">
        <v>190</v>
      </c>
      <c r="B1532" s="1272" t="s">
        <v>488</v>
      </c>
      <c r="C1532" s="1273" t="s">
        <v>916</v>
      </c>
      <c r="D1532" s="1274"/>
      <c r="E1532" s="1255">
        <v>49.5</v>
      </c>
      <c r="F1532" s="681" t="s">
        <v>1909</v>
      </c>
      <c r="G1532" s="681"/>
      <c r="H1532" s="683">
        <v>2</v>
      </c>
      <c r="I1532" s="689" t="s">
        <v>2532</v>
      </c>
      <c r="J1532" s="685"/>
      <c r="K1532" s="685"/>
      <c r="L1532" s="689">
        <v>85</v>
      </c>
      <c r="M1532" s="683">
        <v>35.5</v>
      </c>
      <c r="N1532" s="706">
        <v>6</v>
      </c>
      <c r="O1532" s="645"/>
      <c r="P1532" s="297"/>
      <c r="Q1532" s="297"/>
      <c r="R1532" s="297"/>
      <c r="S1532" s="297"/>
      <c r="T1532" s="297"/>
      <c r="U1532" s="297"/>
    </row>
    <row r="1533" spans="1:221" s="305" customFormat="1">
      <c r="A1533" s="1246" t="s">
        <v>354</v>
      </c>
      <c r="B1533" s="1272" t="s">
        <v>488</v>
      </c>
      <c r="C1533" s="1273" t="s">
        <v>916</v>
      </c>
      <c r="D1533" s="1274"/>
      <c r="E1533" s="1255">
        <v>91.5</v>
      </c>
      <c r="F1533" s="681" t="s">
        <v>1909</v>
      </c>
      <c r="G1533" s="681"/>
      <c r="H1533" s="683">
        <v>2</v>
      </c>
      <c r="I1533" s="689" t="s">
        <v>2532</v>
      </c>
      <c r="J1533" s="685"/>
      <c r="K1533" s="685"/>
      <c r="L1533" s="689">
        <v>169</v>
      </c>
      <c r="M1533" s="683">
        <v>77.5</v>
      </c>
      <c r="N1533" s="706">
        <v>6</v>
      </c>
      <c r="O1533" s="645"/>
      <c r="P1533" s="297"/>
      <c r="Q1533" s="297"/>
      <c r="R1533" s="297"/>
      <c r="S1533" s="297"/>
      <c r="T1533" s="297"/>
      <c r="U1533" s="297"/>
    </row>
    <row r="1534" spans="1:221" s="305" customFormat="1">
      <c r="A1534" s="1246" t="s">
        <v>2404</v>
      </c>
      <c r="B1534" s="1272" t="s">
        <v>488</v>
      </c>
      <c r="C1534" s="1273" t="s">
        <v>917</v>
      </c>
      <c r="D1534" s="1274"/>
      <c r="E1534" s="1255">
        <v>94.5</v>
      </c>
      <c r="F1534" s="681"/>
      <c r="G1534" s="681"/>
      <c r="H1534" s="683">
        <v>2</v>
      </c>
      <c r="I1534" s="689" t="s">
        <v>2532</v>
      </c>
      <c r="J1534" s="685"/>
      <c r="K1534" s="685"/>
      <c r="L1534" s="689">
        <f>94.5+74.5</f>
        <v>169</v>
      </c>
      <c r="M1534" s="683">
        <v>74.5</v>
      </c>
      <c r="N1534" s="667">
        <v>4</v>
      </c>
      <c r="O1534" s="645"/>
      <c r="P1534" s="297"/>
      <c r="Q1534" s="297"/>
      <c r="R1534" s="297"/>
      <c r="S1534" s="297"/>
      <c r="T1534" s="297"/>
      <c r="U1534" s="297"/>
    </row>
    <row r="1535" spans="1:221" s="305" customFormat="1">
      <c r="A1535" s="1246"/>
      <c r="B1535" s="1272" t="s">
        <v>488</v>
      </c>
      <c r="C1535" s="1273" t="s">
        <v>2469</v>
      </c>
      <c r="D1535" s="1274"/>
      <c r="E1535" s="1255">
        <v>25.5</v>
      </c>
      <c r="F1535" s="681"/>
      <c r="G1535" s="681"/>
      <c r="H1535" s="683">
        <v>2</v>
      </c>
      <c r="I1535" s="689" t="s">
        <v>2532</v>
      </c>
      <c r="J1535" s="685" t="s">
        <v>876</v>
      </c>
      <c r="K1535" s="685"/>
      <c r="L1535" s="689">
        <v>48</v>
      </c>
      <c r="M1535" s="683">
        <v>22.5</v>
      </c>
      <c r="N1535" s="667"/>
      <c r="O1535" s="645"/>
      <c r="P1535" s="297"/>
      <c r="Q1535" s="297"/>
      <c r="R1535" s="297"/>
      <c r="S1535" s="297"/>
      <c r="T1535" s="297"/>
      <c r="U1535" s="297"/>
    </row>
    <row r="1536" spans="1:221" s="305" customFormat="1">
      <c r="A1536" s="1246"/>
      <c r="B1536" s="1272" t="s">
        <v>488</v>
      </c>
      <c r="C1536" s="1273" t="s">
        <v>2492</v>
      </c>
      <c r="D1536" s="1274"/>
      <c r="E1536" s="1255"/>
      <c r="F1536" s="681" t="s">
        <v>1909</v>
      </c>
      <c r="G1536" s="681"/>
      <c r="H1536" s="683">
        <v>2</v>
      </c>
      <c r="I1536" s="689" t="s">
        <v>2532</v>
      </c>
      <c r="J1536" s="685"/>
      <c r="K1536" s="685"/>
      <c r="L1536" s="689"/>
      <c r="M1536" s="683"/>
      <c r="N1536" s="706"/>
      <c r="O1536" s="480"/>
      <c r="P1536" s="297"/>
      <c r="Q1536" s="297"/>
      <c r="R1536" s="297"/>
      <c r="S1536" s="297"/>
      <c r="T1536" s="297"/>
      <c r="U1536" s="297"/>
    </row>
    <row r="1537" spans="1:221" s="305" customFormat="1">
      <c r="A1537" s="1246"/>
      <c r="B1537" s="1272" t="s">
        <v>488</v>
      </c>
      <c r="C1537" s="1273" t="s">
        <v>2492</v>
      </c>
      <c r="D1537" s="1274"/>
      <c r="E1537" s="1255"/>
      <c r="F1537" s="681" t="s">
        <v>1909</v>
      </c>
      <c r="G1537" s="681"/>
      <c r="H1537" s="683">
        <v>2</v>
      </c>
      <c r="I1537" s="689" t="s">
        <v>2532</v>
      </c>
      <c r="J1537" s="685"/>
      <c r="K1537" s="685"/>
      <c r="L1537" s="689"/>
      <c r="M1537" s="683"/>
      <c r="N1537" s="706"/>
      <c r="O1537" s="480"/>
      <c r="P1537" s="297"/>
      <c r="Q1537" s="297"/>
      <c r="R1537" s="297"/>
      <c r="S1537" s="297"/>
      <c r="T1537" s="297"/>
      <c r="U1537" s="297"/>
    </row>
    <row r="1538" spans="1:221" s="305" customFormat="1">
      <c r="A1538" s="1246"/>
      <c r="B1538" s="1272" t="s">
        <v>488</v>
      </c>
      <c r="C1538" s="1273" t="s">
        <v>2405</v>
      </c>
      <c r="D1538" s="1274"/>
      <c r="E1538" s="1255">
        <v>27</v>
      </c>
      <c r="F1538" s="681"/>
      <c r="G1538" s="681"/>
      <c r="H1538" s="683">
        <v>2</v>
      </c>
      <c r="I1538" s="689" t="s">
        <v>2532</v>
      </c>
      <c r="J1538" s="685"/>
      <c r="K1538" s="685"/>
      <c r="L1538" s="689">
        <f>27+17</f>
        <v>44</v>
      </c>
      <c r="M1538" s="683">
        <v>17</v>
      </c>
      <c r="N1538" s="706"/>
      <c r="O1538" s="480"/>
      <c r="P1538" s="297"/>
      <c r="Q1538" s="297"/>
      <c r="R1538" s="297"/>
      <c r="S1538" s="297"/>
      <c r="T1538" s="297"/>
      <c r="U1538" s="297"/>
    </row>
    <row r="1539" spans="1:221" s="305" customFormat="1">
      <c r="A1539" s="1246"/>
      <c r="B1539" s="1272" t="s">
        <v>488</v>
      </c>
      <c r="C1539" s="1273" t="s">
        <v>2470</v>
      </c>
      <c r="D1539" s="1274"/>
      <c r="E1539" s="1255">
        <v>24.5</v>
      </c>
      <c r="F1539" s="681"/>
      <c r="G1539" s="681"/>
      <c r="H1539" s="683">
        <v>2</v>
      </c>
      <c r="I1539" s="689" t="s">
        <v>2532</v>
      </c>
      <c r="J1539" s="685" t="s">
        <v>876</v>
      </c>
      <c r="K1539" s="685"/>
      <c r="L1539" s="689">
        <v>47</v>
      </c>
      <c r="M1539" s="683">
        <f>47-24</f>
        <v>23</v>
      </c>
      <c r="N1539" s="706"/>
      <c r="O1539" s="480"/>
      <c r="P1539" s="297"/>
      <c r="Q1539" s="297"/>
      <c r="R1539" s="297"/>
      <c r="S1539" s="297"/>
      <c r="T1539" s="297"/>
      <c r="U1539" s="297"/>
    </row>
    <row r="1540" spans="1:221" s="305" customFormat="1">
      <c r="A1540" s="1246"/>
      <c r="B1540" s="1272" t="s">
        <v>488</v>
      </c>
      <c r="C1540" s="1273" t="s">
        <v>2493</v>
      </c>
      <c r="D1540" s="1274"/>
      <c r="E1540" s="1255"/>
      <c r="F1540" s="681" t="s">
        <v>2494</v>
      </c>
      <c r="G1540" s="681" t="s">
        <v>1909</v>
      </c>
      <c r="H1540" s="683">
        <v>2</v>
      </c>
      <c r="I1540" s="689" t="s">
        <v>2532</v>
      </c>
      <c r="J1540" s="685"/>
      <c r="K1540" s="685"/>
      <c r="L1540" s="689"/>
      <c r="M1540" s="683"/>
      <c r="N1540" s="706"/>
      <c r="O1540" s="480"/>
      <c r="P1540" s="297"/>
      <c r="Q1540" s="297"/>
      <c r="R1540" s="297"/>
      <c r="S1540" s="297"/>
      <c r="T1540" s="297"/>
      <c r="U1540" s="297"/>
    </row>
    <row r="1541" spans="1:221" s="791" customFormat="1">
      <c r="A1541" s="810"/>
      <c r="B1541" s="1275" t="s">
        <v>488</v>
      </c>
      <c r="C1541" s="1276" t="s">
        <v>226</v>
      </c>
      <c r="D1541" s="1277"/>
      <c r="E1541" s="1278"/>
      <c r="F1541" s="785" t="s">
        <v>302</v>
      </c>
      <c r="G1541" s="785"/>
      <c r="H1541" s="786">
        <v>2</v>
      </c>
      <c r="I1541" s="787" t="s">
        <v>2532</v>
      </c>
      <c r="J1541" s="788"/>
      <c r="K1541" s="788"/>
      <c r="L1541" s="787"/>
      <c r="M1541" s="786"/>
      <c r="N1541" s="797"/>
      <c r="O1541" s="803"/>
      <c r="P1541" s="798"/>
      <c r="Q1541" s="798"/>
      <c r="R1541" s="798"/>
      <c r="S1541" s="798"/>
      <c r="T1541" s="798"/>
      <c r="U1541" s="798"/>
    </row>
    <row r="1542" spans="1:221" s="688" customFormat="1">
      <c r="A1542" s="1246" t="s">
        <v>2471</v>
      </c>
      <c r="B1542" s="1272" t="s">
        <v>488</v>
      </c>
      <c r="C1542" s="1273" t="s">
        <v>489</v>
      </c>
      <c r="D1542" s="1274"/>
      <c r="E1542" s="1255">
        <v>36.5</v>
      </c>
      <c r="F1542" s="681"/>
      <c r="G1542" s="681"/>
      <c r="H1542" s="683">
        <v>2</v>
      </c>
      <c r="I1542" s="689" t="s">
        <v>2532</v>
      </c>
      <c r="J1542" s="685" t="s">
        <v>876</v>
      </c>
      <c r="K1542" s="685"/>
      <c r="L1542" s="689">
        <v>64</v>
      </c>
      <c r="M1542" s="683">
        <f>64-36</f>
        <v>28</v>
      </c>
      <c r="N1542" s="706">
        <v>3</v>
      </c>
      <c r="O1542" s="711"/>
      <c r="P1542" s="696"/>
      <c r="Q1542" s="696"/>
      <c r="R1542" s="696"/>
      <c r="S1542" s="696"/>
      <c r="T1542" s="696"/>
      <c r="U1542" s="696"/>
    </row>
    <row r="1543" spans="1:221" s="688" customFormat="1">
      <c r="A1543" s="1246" t="s">
        <v>2472</v>
      </c>
      <c r="B1543" s="1272" t="s">
        <v>488</v>
      </c>
      <c r="C1543" s="1273" t="s">
        <v>489</v>
      </c>
      <c r="D1543" s="1274"/>
      <c r="E1543" s="1255">
        <v>40</v>
      </c>
      <c r="F1543" s="681"/>
      <c r="G1543" s="681"/>
      <c r="H1543" s="683">
        <v>2</v>
      </c>
      <c r="I1543" s="689" t="s">
        <v>2532</v>
      </c>
      <c r="J1543" s="685" t="s">
        <v>876</v>
      </c>
      <c r="K1543" s="685"/>
      <c r="L1543" s="689">
        <v>70</v>
      </c>
      <c r="M1543" s="683">
        <v>30</v>
      </c>
      <c r="N1543" s="706">
        <v>3</v>
      </c>
      <c r="O1543" s="711"/>
      <c r="P1543" s="696"/>
      <c r="Q1543" s="696"/>
      <c r="R1543" s="696"/>
      <c r="S1543" s="696"/>
      <c r="T1543" s="696"/>
      <c r="U1543" s="696"/>
    </row>
    <row r="1544" spans="1:221" s="305" customFormat="1">
      <c r="A1544" s="1246" t="s">
        <v>2407</v>
      </c>
      <c r="B1544" s="1272" t="s">
        <v>488</v>
      </c>
      <c r="C1544" s="1273" t="s">
        <v>2406</v>
      </c>
      <c r="D1544" s="1274"/>
      <c r="E1544" s="1255">
        <v>109.5</v>
      </c>
      <c r="F1544" s="681"/>
      <c r="G1544" s="681"/>
      <c r="H1544" s="683">
        <v>2</v>
      </c>
      <c r="I1544" s="689" t="s">
        <v>2532</v>
      </c>
      <c r="J1544" s="685"/>
      <c r="K1544" s="685"/>
      <c r="L1544" s="689">
        <f>109.5+89.8</f>
        <v>199.3</v>
      </c>
      <c r="M1544" s="683">
        <v>89.5</v>
      </c>
      <c r="N1544" s="1848">
        <v>4</v>
      </c>
      <c r="O1544" s="645"/>
      <c r="P1544" s="296"/>
      <c r="Q1544" s="296"/>
      <c r="R1544" s="296"/>
      <c r="S1544" s="297"/>
      <c r="T1544" s="297"/>
      <c r="U1544" s="297"/>
      <c r="V1544" s="297"/>
      <c r="W1544" s="297"/>
      <c r="X1544" s="297"/>
      <c r="Y1544" s="297"/>
      <c r="Z1544" s="297"/>
      <c r="AA1544" s="297"/>
      <c r="AB1544" s="297"/>
    </row>
    <row r="1545" spans="1:221" s="305" customFormat="1">
      <c r="A1545" s="1246"/>
      <c r="B1545" s="1272" t="s">
        <v>488</v>
      </c>
      <c r="C1545" s="1273" t="s">
        <v>920</v>
      </c>
      <c r="D1545" s="1274"/>
      <c r="E1545" s="1255"/>
      <c r="F1545" s="681" t="s">
        <v>1909</v>
      </c>
      <c r="G1545" s="681"/>
      <c r="H1545" s="683">
        <v>2</v>
      </c>
      <c r="I1545" s="689" t="s">
        <v>2532</v>
      </c>
      <c r="J1545" s="685"/>
      <c r="K1545" s="685"/>
      <c r="L1545" s="689"/>
      <c r="M1545" s="683"/>
      <c r="N1545" s="706"/>
      <c r="O1545" s="645"/>
      <c r="P1545" s="297"/>
      <c r="Q1545" s="297"/>
      <c r="R1545" s="297"/>
      <c r="S1545" s="297"/>
      <c r="T1545" s="297"/>
      <c r="U1545" s="297"/>
    </row>
    <row r="1546" spans="1:221" s="305" customFormat="1">
      <c r="A1546" s="1246"/>
      <c r="B1546" s="1272" t="s">
        <v>488</v>
      </c>
      <c r="C1546" s="1273" t="s">
        <v>2486</v>
      </c>
      <c r="D1546" s="1274"/>
      <c r="E1546" s="1255"/>
      <c r="F1546" s="681" t="s">
        <v>1909</v>
      </c>
      <c r="G1546" s="681"/>
      <c r="H1546" s="683">
        <v>2</v>
      </c>
      <c r="I1546" s="689" t="s">
        <v>2532</v>
      </c>
      <c r="J1546" s="685"/>
      <c r="K1546" s="685"/>
      <c r="L1546" s="689"/>
      <c r="M1546" s="683"/>
      <c r="N1546" s="706"/>
      <c r="O1546" s="480"/>
      <c r="P1546" s="297"/>
      <c r="Q1546" s="297"/>
      <c r="R1546" s="297"/>
      <c r="S1546" s="297"/>
      <c r="T1546" s="297"/>
      <c r="U1546" s="297"/>
    </row>
    <row r="1547" spans="1:221" s="305" customFormat="1">
      <c r="A1547" s="1246"/>
      <c r="B1547" s="1272" t="s">
        <v>488</v>
      </c>
      <c r="C1547" s="1273" t="s">
        <v>2486</v>
      </c>
      <c r="D1547" s="1274"/>
      <c r="E1547" s="1255"/>
      <c r="F1547" s="681" t="s">
        <v>1909</v>
      </c>
      <c r="G1547" s="681"/>
      <c r="H1547" s="683">
        <v>2</v>
      </c>
      <c r="I1547" s="689" t="s">
        <v>2532</v>
      </c>
      <c r="J1547" s="685"/>
      <c r="K1547" s="685"/>
      <c r="L1547" s="689"/>
      <c r="M1547" s="683"/>
      <c r="N1547" s="706"/>
      <c r="O1547" s="480"/>
      <c r="P1547" s="297"/>
      <c r="Q1547" s="297"/>
      <c r="R1547" s="297"/>
      <c r="S1547" s="297"/>
      <c r="T1547" s="297"/>
      <c r="U1547" s="297"/>
    </row>
    <row r="1548" spans="1:221" s="791" customFormat="1">
      <c r="A1548" s="1246" t="s">
        <v>918</v>
      </c>
      <c r="B1548" s="1272" t="s">
        <v>488</v>
      </c>
      <c r="C1548" s="1273" t="s">
        <v>919</v>
      </c>
      <c r="D1548" s="1274"/>
      <c r="E1548" s="1255">
        <v>35.5</v>
      </c>
      <c r="F1548" s="681" t="s">
        <v>1909</v>
      </c>
      <c r="G1548" s="681"/>
      <c r="H1548" s="683">
        <v>2</v>
      </c>
      <c r="I1548" s="689" t="s">
        <v>2532</v>
      </c>
      <c r="J1548" s="685"/>
      <c r="K1548" s="685"/>
      <c r="L1548" s="689">
        <v>61</v>
      </c>
      <c r="M1548" s="683">
        <v>25.5</v>
      </c>
      <c r="N1548" s="706">
        <v>5</v>
      </c>
      <c r="O1548" s="645"/>
      <c r="P1548" s="297"/>
      <c r="Q1548" s="297"/>
      <c r="R1548" s="297"/>
      <c r="S1548" s="297"/>
      <c r="T1548" s="297"/>
      <c r="U1548" s="297"/>
      <c r="V1548" s="305"/>
      <c r="W1548" s="305"/>
      <c r="X1548" s="305"/>
      <c r="Y1548" s="305"/>
      <c r="Z1548" s="305"/>
      <c r="AA1548" s="305"/>
      <c r="AB1548" s="305"/>
      <c r="AC1548" s="305"/>
      <c r="AD1548" s="305"/>
      <c r="AE1548" s="305"/>
      <c r="AF1548" s="305"/>
      <c r="AG1548" s="305"/>
      <c r="AH1548" s="305"/>
      <c r="AI1548" s="305"/>
      <c r="AJ1548" s="305"/>
      <c r="AK1548" s="305"/>
      <c r="AL1548" s="305"/>
      <c r="AM1548" s="305"/>
      <c r="AN1548" s="305"/>
      <c r="AO1548" s="305"/>
      <c r="AP1548" s="305"/>
      <c r="AQ1548" s="305"/>
      <c r="AR1548" s="305"/>
      <c r="AS1548" s="305"/>
      <c r="AT1548" s="305"/>
      <c r="AU1548" s="305"/>
      <c r="AV1548" s="305"/>
      <c r="AW1548" s="305"/>
      <c r="AX1548" s="305"/>
      <c r="AY1548" s="305"/>
      <c r="AZ1548" s="305"/>
      <c r="BA1548" s="305"/>
      <c r="BB1548" s="305"/>
      <c r="BC1548" s="305"/>
      <c r="BD1548" s="305"/>
      <c r="BE1548" s="305"/>
      <c r="BF1548" s="305"/>
      <c r="BG1548" s="305"/>
      <c r="BH1548" s="305"/>
      <c r="BI1548" s="305"/>
      <c r="BJ1548" s="305"/>
      <c r="BK1548" s="305"/>
      <c r="BL1548" s="305"/>
      <c r="BM1548" s="305"/>
      <c r="BN1548" s="305"/>
      <c r="BO1548" s="305"/>
      <c r="BP1548" s="305"/>
      <c r="BQ1548" s="305"/>
      <c r="BR1548" s="305"/>
      <c r="BS1548" s="305"/>
      <c r="BT1548" s="305"/>
      <c r="BU1548" s="305"/>
      <c r="BV1548" s="305"/>
      <c r="BW1548" s="305"/>
      <c r="BX1548" s="305"/>
      <c r="BY1548" s="305"/>
      <c r="BZ1548" s="305"/>
      <c r="CA1548" s="305"/>
      <c r="CB1548" s="305"/>
      <c r="CC1548" s="305"/>
      <c r="CD1548" s="305"/>
      <c r="CE1548" s="305"/>
      <c r="CF1548" s="305"/>
      <c r="CG1548" s="305"/>
      <c r="CH1548" s="305"/>
      <c r="CI1548" s="305"/>
      <c r="CJ1548" s="305"/>
      <c r="CK1548" s="305"/>
      <c r="CL1548" s="305"/>
      <c r="CM1548" s="305"/>
      <c r="CN1548" s="305"/>
      <c r="CO1548" s="305"/>
      <c r="CP1548" s="305"/>
      <c r="CQ1548" s="305"/>
      <c r="CR1548" s="305"/>
      <c r="CS1548" s="305"/>
      <c r="CT1548" s="305"/>
      <c r="CU1548" s="305"/>
      <c r="CV1548" s="305"/>
      <c r="CW1548" s="305"/>
      <c r="CX1548" s="305"/>
      <c r="CY1548" s="305"/>
      <c r="CZ1548" s="305"/>
      <c r="DA1548" s="305"/>
      <c r="DB1548" s="305"/>
      <c r="DC1548" s="305"/>
      <c r="DD1548" s="305"/>
      <c r="DE1548" s="305"/>
      <c r="DF1548" s="305"/>
      <c r="DG1548" s="305"/>
      <c r="DH1548" s="305"/>
      <c r="DI1548" s="305"/>
      <c r="DJ1548" s="305"/>
      <c r="DK1548" s="305"/>
      <c r="DL1548" s="305"/>
      <c r="DM1548" s="305"/>
      <c r="DN1548" s="305"/>
      <c r="DO1548" s="305"/>
      <c r="DP1548" s="305"/>
      <c r="DQ1548" s="305"/>
      <c r="DR1548" s="305"/>
      <c r="DS1548" s="305"/>
      <c r="DT1548" s="305"/>
      <c r="DU1548" s="305"/>
      <c r="DV1548" s="305"/>
      <c r="DW1548" s="305"/>
      <c r="DX1548" s="305"/>
      <c r="DY1548" s="305"/>
      <c r="DZ1548" s="305"/>
      <c r="EA1548" s="305"/>
      <c r="EB1548" s="305"/>
      <c r="EC1548" s="305"/>
      <c r="ED1548" s="305"/>
      <c r="EE1548" s="305"/>
      <c r="EF1548" s="305"/>
      <c r="EG1548" s="305"/>
      <c r="EH1548" s="305"/>
      <c r="EI1548" s="305"/>
      <c r="EJ1548" s="305"/>
      <c r="EK1548" s="305"/>
      <c r="EL1548" s="305"/>
      <c r="EM1548" s="305"/>
      <c r="EN1548" s="305"/>
      <c r="EO1548" s="305"/>
      <c r="EP1548" s="305"/>
      <c r="EQ1548" s="305"/>
      <c r="ER1548" s="305"/>
      <c r="ES1548" s="305"/>
      <c r="ET1548" s="305"/>
      <c r="EU1548" s="305"/>
      <c r="EV1548" s="305"/>
      <c r="EW1548" s="305"/>
      <c r="EX1548" s="305"/>
      <c r="EY1548" s="305"/>
      <c r="EZ1548" s="305"/>
      <c r="FA1548" s="305"/>
      <c r="FB1548" s="305"/>
      <c r="FC1548" s="305"/>
      <c r="FD1548" s="305"/>
      <c r="FE1548" s="305"/>
      <c r="FF1548" s="305"/>
      <c r="FG1548" s="305"/>
      <c r="FH1548" s="305"/>
      <c r="FI1548" s="305"/>
      <c r="FJ1548" s="305"/>
      <c r="FK1548" s="305"/>
      <c r="FL1548" s="305"/>
      <c r="FM1548" s="305"/>
      <c r="FN1548" s="305"/>
      <c r="FO1548" s="305"/>
      <c r="FP1548" s="305"/>
      <c r="FQ1548" s="305"/>
      <c r="FR1548" s="305"/>
      <c r="FS1548" s="305"/>
      <c r="FT1548" s="305"/>
      <c r="FU1548" s="305"/>
      <c r="FV1548" s="305"/>
      <c r="FW1548" s="305"/>
      <c r="FX1548" s="305"/>
      <c r="FY1548" s="305"/>
      <c r="FZ1548" s="305"/>
      <c r="GA1548" s="305"/>
      <c r="GB1548" s="305"/>
      <c r="GC1548" s="305"/>
      <c r="GD1548" s="305"/>
      <c r="GE1548" s="305"/>
      <c r="GF1548" s="305"/>
      <c r="GG1548" s="305"/>
      <c r="GH1548" s="305"/>
      <c r="GI1548" s="305"/>
      <c r="GJ1548" s="305"/>
      <c r="GK1548" s="305"/>
      <c r="GL1548" s="305"/>
      <c r="GM1548" s="305"/>
      <c r="GN1548" s="305"/>
      <c r="GO1548" s="305"/>
      <c r="GP1548" s="305"/>
      <c r="GQ1548" s="305"/>
      <c r="GR1548" s="305"/>
      <c r="GS1548" s="305"/>
      <c r="GT1548" s="305"/>
      <c r="GU1548" s="305"/>
      <c r="GV1548" s="305"/>
      <c r="GW1548" s="305"/>
      <c r="GX1548" s="305"/>
      <c r="GY1548" s="305"/>
      <c r="GZ1548" s="305"/>
      <c r="HA1548" s="305"/>
      <c r="HB1548" s="305"/>
      <c r="HC1548" s="305"/>
      <c r="HD1548" s="305"/>
      <c r="HE1548" s="305"/>
      <c r="HF1548" s="305"/>
      <c r="HG1548" s="305"/>
      <c r="HH1548" s="305"/>
      <c r="HI1548" s="305"/>
      <c r="HJ1548" s="305"/>
      <c r="HK1548" s="305"/>
      <c r="HL1548" s="305"/>
      <c r="HM1548" s="305"/>
    </row>
    <row r="1549" spans="1:221" s="305" customFormat="1">
      <c r="A1549" s="1246" t="s">
        <v>354</v>
      </c>
      <c r="B1549" s="1272" t="s">
        <v>488</v>
      </c>
      <c r="C1549" s="1273" t="s">
        <v>919</v>
      </c>
      <c r="D1549" s="1274"/>
      <c r="E1549" s="1255">
        <v>60</v>
      </c>
      <c r="F1549" s="681" t="s">
        <v>1909</v>
      </c>
      <c r="G1549" s="681"/>
      <c r="H1549" s="683">
        <v>2</v>
      </c>
      <c r="I1549" s="689" t="s">
        <v>2532</v>
      </c>
      <c r="J1549" s="685"/>
      <c r="K1549" s="685"/>
      <c r="L1549" s="689">
        <v>92</v>
      </c>
      <c r="M1549" s="683">
        <v>32</v>
      </c>
      <c r="N1549" s="706">
        <v>5</v>
      </c>
      <c r="O1549" s="480"/>
      <c r="P1549" s="297"/>
      <c r="Q1549" s="297"/>
      <c r="R1549" s="297"/>
      <c r="S1549" s="297"/>
      <c r="T1549" s="297"/>
      <c r="U1549" s="297"/>
    </row>
    <row r="1550" spans="1:221" s="791" customFormat="1">
      <c r="A1550" s="1246"/>
      <c r="B1550" s="1272" t="s">
        <v>488</v>
      </c>
      <c r="C1550" s="1273" t="s">
        <v>2408</v>
      </c>
      <c r="D1550" s="1274"/>
      <c r="E1550" s="1255">
        <v>29</v>
      </c>
      <c r="F1550" s="681"/>
      <c r="G1550" s="681"/>
      <c r="H1550" s="683">
        <v>2</v>
      </c>
      <c r="I1550" s="689" t="s">
        <v>2532</v>
      </c>
      <c r="J1550" s="685"/>
      <c r="K1550" s="685"/>
      <c r="L1550" s="689">
        <f>29+19</f>
        <v>48</v>
      </c>
      <c r="M1550" s="683">
        <v>19</v>
      </c>
      <c r="N1550" s="667"/>
      <c r="O1550" s="480"/>
      <c r="P1550" s="297"/>
      <c r="Q1550" s="297"/>
      <c r="R1550" s="297"/>
      <c r="S1550" s="297"/>
      <c r="T1550" s="297"/>
      <c r="U1550" s="297"/>
      <c r="V1550" s="305"/>
      <c r="W1550" s="305"/>
      <c r="X1550" s="305"/>
      <c r="Y1550" s="305"/>
      <c r="Z1550" s="305"/>
      <c r="AA1550" s="305"/>
      <c r="AB1550" s="305"/>
      <c r="AC1550" s="305"/>
      <c r="AD1550" s="305"/>
      <c r="AE1550" s="305"/>
      <c r="AF1550" s="305"/>
      <c r="AG1550" s="305"/>
      <c r="AH1550" s="305"/>
      <c r="AI1550" s="305"/>
      <c r="AJ1550" s="305"/>
      <c r="AK1550" s="305"/>
      <c r="AL1550" s="305"/>
      <c r="AM1550" s="305"/>
      <c r="AN1550" s="305"/>
      <c r="AO1550" s="305"/>
      <c r="AP1550" s="305"/>
      <c r="AQ1550" s="305"/>
      <c r="AR1550" s="305"/>
      <c r="AS1550" s="305"/>
      <c r="AT1550" s="305"/>
      <c r="AU1550" s="305"/>
      <c r="AV1550" s="305"/>
      <c r="AW1550" s="305"/>
      <c r="AX1550" s="305"/>
      <c r="AY1550" s="305"/>
      <c r="AZ1550" s="305"/>
      <c r="BA1550" s="305"/>
      <c r="BB1550" s="305"/>
      <c r="BC1550" s="305"/>
      <c r="BD1550" s="305"/>
      <c r="BE1550" s="305"/>
      <c r="BF1550" s="305"/>
      <c r="BG1550" s="305"/>
      <c r="BH1550" s="305"/>
      <c r="BI1550" s="305"/>
      <c r="BJ1550" s="305"/>
      <c r="BK1550" s="305"/>
      <c r="BL1550" s="305"/>
      <c r="BM1550" s="305"/>
      <c r="BN1550" s="305"/>
      <c r="BO1550" s="305"/>
      <c r="BP1550" s="305"/>
      <c r="BQ1550" s="305"/>
      <c r="BR1550" s="305"/>
      <c r="BS1550" s="305"/>
      <c r="BT1550" s="305"/>
      <c r="BU1550" s="305"/>
      <c r="BV1550" s="305"/>
      <c r="BW1550" s="305"/>
      <c r="BX1550" s="305"/>
      <c r="BY1550" s="305"/>
      <c r="BZ1550" s="305"/>
      <c r="CA1550" s="305"/>
      <c r="CB1550" s="305"/>
      <c r="CC1550" s="305"/>
      <c r="CD1550" s="305"/>
      <c r="CE1550" s="305"/>
      <c r="CF1550" s="305"/>
      <c r="CG1550" s="305"/>
      <c r="CH1550" s="305"/>
      <c r="CI1550" s="305"/>
      <c r="CJ1550" s="305"/>
      <c r="CK1550" s="305"/>
      <c r="CL1550" s="305"/>
      <c r="CM1550" s="305"/>
      <c r="CN1550" s="305"/>
      <c r="CO1550" s="305"/>
      <c r="CP1550" s="305"/>
      <c r="CQ1550" s="305"/>
      <c r="CR1550" s="305"/>
      <c r="CS1550" s="305"/>
      <c r="CT1550" s="305"/>
      <c r="CU1550" s="305"/>
      <c r="CV1550" s="305"/>
      <c r="CW1550" s="305"/>
      <c r="CX1550" s="305"/>
      <c r="CY1550" s="305"/>
      <c r="CZ1550" s="305"/>
      <c r="DA1550" s="305"/>
      <c r="DB1550" s="305"/>
      <c r="DC1550" s="305"/>
      <c r="DD1550" s="305"/>
      <c r="DE1550" s="305"/>
      <c r="DF1550" s="305"/>
      <c r="DG1550" s="305"/>
      <c r="DH1550" s="305"/>
      <c r="DI1550" s="305"/>
      <c r="DJ1550" s="305"/>
      <c r="DK1550" s="305"/>
      <c r="DL1550" s="305"/>
      <c r="DM1550" s="305"/>
      <c r="DN1550" s="305"/>
      <c r="DO1550" s="305"/>
      <c r="DP1550" s="305"/>
      <c r="DQ1550" s="305"/>
      <c r="DR1550" s="305"/>
      <c r="DS1550" s="305"/>
      <c r="DT1550" s="305"/>
      <c r="DU1550" s="305"/>
      <c r="DV1550" s="305"/>
      <c r="DW1550" s="305"/>
      <c r="DX1550" s="305"/>
      <c r="DY1550" s="305"/>
      <c r="DZ1550" s="305"/>
      <c r="EA1550" s="305"/>
      <c r="EB1550" s="305"/>
      <c r="EC1550" s="305"/>
      <c r="ED1550" s="305"/>
      <c r="EE1550" s="305"/>
      <c r="EF1550" s="305"/>
      <c r="EG1550" s="305"/>
      <c r="EH1550" s="305"/>
      <c r="EI1550" s="305"/>
      <c r="EJ1550" s="305"/>
      <c r="EK1550" s="305"/>
      <c r="EL1550" s="305"/>
      <c r="EM1550" s="305"/>
      <c r="EN1550" s="305"/>
      <c r="EO1550" s="305"/>
      <c r="EP1550" s="305"/>
      <c r="EQ1550" s="305"/>
      <c r="ER1550" s="305"/>
      <c r="ES1550" s="305"/>
      <c r="ET1550" s="305"/>
      <c r="EU1550" s="305"/>
      <c r="EV1550" s="305"/>
      <c r="EW1550" s="305"/>
      <c r="EX1550" s="305"/>
      <c r="EY1550" s="305"/>
      <c r="EZ1550" s="305"/>
      <c r="FA1550" s="305"/>
      <c r="FB1550" s="305"/>
      <c r="FC1550" s="305"/>
      <c r="FD1550" s="305"/>
      <c r="FE1550" s="305"/>
      <c r="FF1550" s="305"/>
      <c r="FG1550" s="305"/>
      <c r="FH1550" s="305"/>
      <c r="FI1550" s="305"/>
      <c r="FJ1550" s="305"/>
      <c r="FK1550" s="305"/>
      <c r="FL1550" s="305"/>
      <c r="FM1550" s="305"/>
      <c r="FN1550" s="305"/>
      <c r="FO1550" s="305"/>
      <c r="FP1550" s="305"/>
      <c r="FQ1550" s="305"/>
      <c r="FR1550" s="305"/>
      <c r="FS1550" s="305"/>
      <c r="FT1550" s="305"/>
      <c r="FU1550" s="305"/>
      <c r="FV1550" s="305"/>
      <c r="FW1550" s="305"/>
      <c r="FX1550" s="305"/>
      <c r="FY1550" s="305"/>
      <c r="FZ1550" s="305"/>
      <c r="GA1550" s="305"/>
      <c r="GB1550" s="305"/>
      <c r="GC1550" s="305"/>
      <c r="GD1550" s="305"/>
      <c r="GE1550" s="305"/>
      <c r="GF1550" s="305"/>
      <c r="GG1550" s="305"/>
      <c r="GH1550" s="305"/>
      <c r="GI1550" s="305"/>
      <c r="GJ1550" s="305"/>
      <c r="GK1550" s="305"/>
      <c r="GL1550" s="305"/>
      <c r="GM1550" s="305"/>
      <c r="GN1550" s="305"/>
      <c r="GO1550" s="305"/>
      <c r="GP1550" s="305"/>
      <c r="GQ1550" s="305"/>
      <c r="GR1550" s="305"/>
      <c r="GS1550" s="305"/>
      <c r="GT1550" s="305"/>
      <c r="GU1550" s="305"/>
      <c r="GV1550" s="305"/>
      <c r="GW1550" s="305"/>
      <c r="GX1550" s="305"/>
      <c r="GY1550" s="305"/>
      <c r="GZ1550" s="305"/>
      <c r="HA1550" s="305"/>
      <c r="HB1550" s="305"/>
      <c r="HC1550" s="305"/>
      <c r="HD1550" s="305"/>
      <c r="HE1550" s="305"/>
      <c r="HF1550" s="305"/>
      <c r="HG1550" s="305"/>
      <c r="HH1550" s="305"/>
      <c r="HI1550" s="305"/>
      <c r="HJ1550" s="305"/>
      <c r="HK1550" s="305"/>
      <c r="HL1550" s="305"/>
      <c r="HM1550" s="305"/>
    </row>
    <row r="1551" spans="1:221" s="305" customFormat="1">
      <c r="A1551" s="1360" t="s">
        <v>2727</v>
      </c>
      <c r="B1551" s="1314" t="s">
        <v>2725</v>
      </c>
      <c r="C1551" s="1316" t="s">
        <v>2726</v>
      </c>
      <c r="D1551" s="1312"/>
      <c r="E1551" s="1300">
        <v>31</v>
      </c>
      <c r="F1551" s="288"/>
      <c r="G1551" s="288"/>
      <c r="H1551" s="283"/>
      <c r="I1551" s="289"/>
      <c r="J1551" s="292"/>
      <c r="K1551" s="292"/>
      <c r="L1551" s="289">
        <f>M1551+E1551</f>
        <v>50</v>
      </c>
      <c r="M1551" s="283">
        <v>19</v>
      </c>
      <c r="N1551" s="634">
        <v>5</v>
      </c>
      <c r="O1551" s="645"/>
      <c r="P1551" s="297"/>
      <c r="Q1551" s="297"/>
      <c r="R1551" s="297"/>
      <c r="S1551" s="297"/>
      <c r="T1551" s="297"/>
      <c r="U1551" s="297"/>
    </row>
    <row r="1552" spans="1:221" s="305" customFormat="1">
      <c r="A1552" s="1360" t="s">
        <v>893</v>
      </c>
      <c r="B1552" s="1314" t="s">
        <v>2725</v>
      </c>
      <c r="C1552" s="1316" t="s">
        <v>2726</v>
      </c>
      <c r="D1552" s="1312"/>
      <c r="E1552" s="1300">
        <v>26</v>
      </c>
      <c r="F1552" s="288"/>
      <c r="G1552" s="288"/>
      <c r="H1552" s="283"/>
      <c r="I1552" s="289"/>
      <c r="J1552" s="292"/>
      <c r="K1552" s="292"/>
      <c r="L1552" s="289">
        <f>M1552+E1552</f>
        <v>45</v>
      </c>
      <c r="M1552" s="283">
        <v>19</v>
      </c>
      <c r="N1552" s="634">
        <v>5</v>
      </c>
      <c r="O1552" s="645"/>
      <c r="P1552" s="297"/>
      <c r="Q1552" s="297"/>
      <c r="R1552" s="297"/>
      <c r="S1552" s="297"/>
      <c r="T1552" s="297"/>
      <c r="U1552" s="297"/>
    </row>
    <row r="1553" spans="1:221" s="305" customFormat="1">
      <c r="A1553" s="1360" t="s">
        <v>2728</v>
      </c>
      <c r="B1553" s="1314" t="s">
        <v>2725</v>
      </c>
      <c r="C1553" s="1316" t="s">
        <v>2726</v>
      </c>
      <c r="D1553" s="1312"/>
      <c r="E1553" s="1300">
        <v>26</v>
      </c>
      <c r="F1553" s="288"/>
      <c r="G1553" s="288"/>
      <c r="H1553" s="283"/>
      <c r="I1553" s="289"/>
      <c r="J1553" s="292"/>
      <c r="K1553" s="292"/>
      <c r="L1553" s="289">
        <f>M1553+E1553</f>
        <v>45</v>
      </c>
      <c r="M1553" s="283">
        <v>19</v>
      </c>
      <c r="N1553" s="634"/>
      <c r="O1553" s="645"/>
      <c r="P1553" s="297"/>
      <c r="Q1553" s="297"/>
      <c r="R1553" s="297"/>
      <c r="S1553" s="297"/>
      <c r="T1553" s="297"/>
      <c r="U1553" s="297"/>
    </row>
    <row r="1554" spans="1:221" s="791" customFormat="1">
      <c r="A1554" s="810"/>
      <c r="B1554" s="1275" t="s">
        <v>1549</v>
      </c>
      <c r="C1554" s="1276" t="s">
        <v>1550</v>
      </c>
      <c r="D1554" s="1277"/>
      <c r="E1554" s="1278">
        <v>60</v>
      </c>
      <c r="F1554" s="785"/>
      <c r="G1554" s="785"/>
      <c r="H1554" s="786"/>
      <c r="I1554" s="787"/>
      <c r="J1554" s="788"/>
      <c r="K1554" s="788"/>
      <c r="L1554" s="787">
        <v>90</v>
      </c>
      <c r="M1554" s="786">
        <v>30</v>
      </c>
      <c r="N1554" s="797"/>
      <c r="O1554" s="803"/>
      <c r="P1554" s="798"/>
      <c r="Q1554" s="798"/>
      <c r="R1554" s="798"/>
      <c r="S1554" s="798"/>
      <c r="T1554" s="798"/>
      <c r="U1554" s="798"/>
    </row>
    <row r="1555" spans="1:221" s="791" customFormat="1">
      <c r="A1555" s="1246" t="s">
        <v>2410</v>
      </c>
      <c r="B1555" s="1272" t="s">
        <v>1549</v>
      </c>
      <c r="C1555" s="1273" t="s">
        <v>2409</v>
      </c>
      <c r="D1555" s="1274"/>
      <c r="E1555" s="1255">
        <v>55</v>
      </c>
      <c r="F1555" s="681"/>
      <c r="G1555" s="681"/>
      <c r="H1555" s="683"/>
      <c r="I1555" s="689"/>
      <c r="J1555" s="685"/>
      <c r="K1555" s="685"/>
      <c r="L1555" s="689">
        <f>55+15</f>
        <v>70</v>
      </c>
      <c r="M1555" s="683">
        <v>15</v>
      </c>
      <c r="N1555" s="706"/>
      <c r="O1555" s="803"/>
      <c r="P1555" s="798"/>
      <c r="Q1555" s="798"/>
      <c r="R1555" s="798"/>
      <c r="S1555" s="798"/>
      <c r="T1555" s="798"/>
      <c r="U1555" s="798"/>
    </row>
    <row r="1556" spans="1:221" s="791" customFormat="1">
      <c r="A1556" s="1246" t="s">
        <v>2411</v>
      </c>
      <c r="B1556" s="1272" t="s">
        <v>1549</v>
      </c>
      <c r="C1556" s="1273" t="s">
        <v>2409</v>
      </c>
      <c r="D1556" s="1274"/>
      <c r="E1556" s="1255">
        <v>57.5</v>
      </c>
      <c r="F1556" s="681"/>
      <c r="G1556" s="681"/>
      <c r="H1556" s="683"/>
      <c r="I1556" s="689"/>
      <c r="J1556" s="685"/>
      <c r="K1556" s="685"/>
      <c r="L1556" s="689">
        <f>57.5+20.5</f>
        <v>78</v>
      </c>
      <c r="M1556" s="683">
        <v>20.5</v>
      </c>
      <c r="N1556" s="706"/>
      <c r="O1556" s="803"/>
      <c r="P1556" s="798"/>
      <c r="Q1556" s="798"/>
      <c r="R1556" s="798"/>
      <c r="S1556" s="798"/>
      <c r="T1556" s="798"/>
      <c r="U1556" s="798"/>
    </row>
    <row r="1557" spans="1:221" s="791" customFormat="1">
      <c r="A1557" s="852"/>
      <c r="B1557" s="1272" t="s">
        <v>33</v>
      </c>
      <c r="C1557" s="1305" t="s">
        <v>34</v>
      </c>
      <c r="D1557" s="1274"/>
      <c r="E1557" s="1255">
        <v>32</v>
      </c>
      <c r="F1557" s="713"/>
      <c r="G1557" s="681" t="s">
        <v>1909</v>
      </c>
      <c r="H1557" s="713"/>
      <c r="I1557" s="714"/>
      <c r="J1557" s="714"/>
      <c r="K1557" s="714"/>
      <c r="L1557" s="714">
        <v>52</v>
      </c>
      <c r="M1557" s="713">
        <v>19</v>
      </c>
      <c r="N1557" s="723">
        <v>3</v>
      </c>
      <c r="O1557" s="674"/>
      <c r="P1557" s="675"/>
      <c r="Q1557" s="675"/>
      <c r="R1557" s="676"/>
      <c r="S1557" s="675"/>
      <c r="T1557" s="676"/>
      <c r="U1557" s="676"/>
      <c r="V1557" s="676"/>
      <c r="W1557" s="676"/>
      <c r="X1557" s="676"/>
      <c r="Y1557" s="676"/>
      <c r="Z1557" s="676"/>
      <c r="AA1557" s="676"/>
      <c r="AB1557" s="676"/>
      <c r="AC1557" s="676"/>
      <c r="AD1557" s="677"/>
      <c r="AE1557" s="677"/>
      <c r="AF1557" s="677"/>
      <c r="AG1557" s="677"/>
      <c r="AH1557" s="677"/>
      <c r="AI1557" s="677"/>
      <c r="AJ1557" s="677"/>
      <c r="AK1557" s="677"/>
      <c r="AL1557" s="677"/>
      <c r="AM1557" s="677"/>
      <c r="AN1557" s="677"/>
      <c r="AO1557" s="677"/>
      <c r="AP1557" s="677"/>
      <c r="AQ1557" s="677"/>
      <c r="AR1557" s="677"/>
      <c r="AS1557" s="677"/>
      <c r="AT1557" s="677"/>
      <c r="AU1557" s="677"/>
      <c r="AV1557" s="677"/>
      <c r="AW1557" s="677"/>
      <c r="AX1557" s="677"/>
      <c r="AY1557" s="677"/>
      <c r="AZ1557" s="677"/>
      <c r="BA1557" s="677"/>
      <c r="BB1557" s="677"/>
      <c r="BC1557" s="677"/>
      <c r="BD1557" s="677"/>
      <c r="BE1557" s="677"/>
      <c r="BF1557" s="677"/>
      <c r="BG1557" s="677"/>
      <c r="BH1557" s="677"/>
      <c r="BI1557" s="677"/>
      <c r="BJ1557" s="677"/>
      <c r="BK1557" s="677"/>
      <c r="BL1557" s="677"/>
      <c r="BM1557" s="677"/>
      <c r="BN1557" s="677"/>
      <c r="BO1557" s="677"/>
      <c r="BP1557" s="677"/>
      <c r="BQ1557" s="677"/>
      <c r="BR1557" s="661"/>
      <c r="BS1557" s="661"/>
      <c r="BT1557" s="661"/>
      <c r="BU1557" s="661"/>
      <c r="BV1557" s="661"/>
      <c r="BW1557" s="661"/>
      <c r="BX1557" s="661"/>
      <c r="BY1557" s="661"/>
      <c r="BZ1557" s="661"/>
      <c r="CA1557" s="661"/>
      <c r="CB1557" s="661"/>
      <c r="CC1557" s="661"/>
      <c r="CD1557" s="661"/>
      <c r="CE1557" s="661"/>
      <c r="CF1557" s="661"/>
      <c r="CG1557" s="661"/>
      <c r="CH1557" s="661"/>
      <c r="CI1557" s="661"/>
      <c r="CJ1557" s="661"/>
      <c r="CK1557" s="661"/>
      <c r="CL1557" s="661"/>
      <c r="CM1557" s="661"/>
      <c r="CN1557" s="661"/>
      <c r="CO1557" s="661"/>
      <c r="CP1557" s="661"/>
      <c r="CQ1557" s="661"/>
      <c r="CR1557" s="661"/>
      <c r="CS1557" s="661"/>
      <c r="CT1557" s="661"/>
      <c r="CU1557" s="661"/>
      <c r="CV1557" s="661"/>
      <c r="CW1557" s="661"/>
      <c r="CX1557" s="661"/>
      <c r="CY1557" s="661"/>
      <c r="CZ1557" s="661"/>
      <c r="DA1557" s="661"/>
      <c r="DB1557" s="661"/>
      <c r="DC1557" s="661"/>
      <c r="DD1557" s="661"/>
      <c r="DE1557" s="661"/>
      <c r="DF1557" s="661"/>
      <c r="DG1557" s="661"/>
      <c r="DH1557" s="661"/>
      <c r="DI1557" s="661"/>
      <c r="DJ1557" s="661"/>
      <c r="DK1557" s="661"/>
      <c r="DL1557" s="661"/>
      <c r="DM1557" s="661"/>
      <c r="DN1557" s="661"/>
      <c r="DO1557" s="661"/>
      <c r="DP1557" s="661"/>
      <c r="DQ1557" s="661"/>
      <c r="DR1557" s="661"/>
      <c r="DS1557" s="661"/>
      <c r="DT1557" s="661"/>
      <c r="DU1557" s="661"/>
      <c r="DV1557" s="661"/>
      <c r="DW1557" s="661"/>
      <c r="DX1557" s="661"/>
      <c r="DY1557" s="661"/>
      <c r="DZ1557" s="661"/>
      <c r="EA1557" s="661"/>
      <c r="EB1557" s="661"/>
      <c r="EC1557" s="661"/>
      <c r="ED1557" s="661"/>
      <c r="EE1557" s="661"/>
      <c r="EF1557" s="661"/>
      <c r="EG1557" s="661"/>
      <c r="EH1557" s="661"/>
      <c r="EI1557" s="661"/>
      <c r="EJ1557" s="661"/>
      <c r="EK1557" s="661"/>
      <c r="EL1557" s="661"/>
      <c r="EM1557" s="661"/>
      <c r="EN1557" s="661"/>
      <c r="EO1557" s="661"/>
      <c r="EP1557" s="661"/>
      <c r="EQ1557" s="661"/>
      <c r="ER1557" s="661"/>
      <c r="ES1557" s="661"/>
      <c r="ET1557" s="661"/>
      <c r="EU1557" s="661"/>
      <c r="EV1557" s="661"/>
      <c r="EW1557" s="661"/>
      <c r="EX1557" s="661"/>
      <c r="EY1557" s="661"/>
      <c r="EZ1557" s="661"/>
      <c r="FA1557" s="661"/>
      <c r="FB1557" s="661"/>
      <c r="FC1557" s="661"/>
      <c r="FD1557" s="661"/>
      <c r="FE1557" s="661"/>
      <c r="FF1557" s="661"/>
      <c r="FG1557" s="661"/>
      <c r="FH1557" s="661"/>
      <c r="FI1557" s="661"/>
      <c r="FJ1557" s="661"/>
      <c r="FK1557" s="661"/>
      <c r="FL1557" s="661"/>
      <c r="FM1557" s="661"/>
      <c r="FN1557" s="661"/>
      <c r="FO1557" s="661"/>
      <c r="FP1557" s="661"/>
      <c r="FQ1557" s="661"/>
      <c r="FR1557" s="661"/>
      <c r="FS1557" s="661"/>
      <c r="FT1557" s="661"/>
      <c r="FU1557" s="661"/>
      <c r="FV1557" s="661"/>
      <c r="FW1557" s="661"/>
      <c r="FX1557" s="661"/>
      <c r="FY1557" s="661"/>
      <c r="FZ1557" s="661"/>
      <c r="GA1557" s="661"/>
      <c r="GB1557" s="661"/>
      <c r="GC1557" s="661"/>
      <c r="GD1557" s="661"/>
      <c r="GE1557" s="661"/>
      <c r="GF1557" s="661"/>
      <c r="GG1557" s="661"/>
      <c r="GH1557" s="661"/>
      <c r="GI1557" s="661"/>
      <c r="GJ1557" s="661"/>
      <c r="GK1557" s="661"/>
      <c r="GL1557" s="661"/>
      <c r="GM1557" s="661"/>
      <c r="GN1557" s="661"/>
      <c r="GO1557" s="661"/>
      <c r="GP1557" s="661"/>
      <c r="GQ1557" s="661"/>
      <c r="GR1557" s="661"/>
      <c r="GS1557" s="661"/>
      <c r="GT1557" s="661"/>
      <c r="GU1557" s="661"/>
      <c r="GV1557" s="661"/>
      <c r="GW1557" s="661"/>
      <c r="GX1557" s="661"/>
      <c r="GY1557" s="661"/>
      <c r="GZ1557" s="661"/>
      <c r="HA1557" s="661"/>
      <c r="HB1557" s="661"/>
      <c r="HC1557" s="661"/>
      <c r="HD1557" s="661"/>
      <c r="HE1557" s="661"/>
      <c r="HF1557" s="661"/>
      <c r="HG1557" s="661"/>
      <c r="HH1557" s="661"/>
      <c r="HI1557" s="661"/>
      <c r="HJ1557" s="661"/>
      <c r="HK1557" s="661"/>
      <c r="HL1557" s="661"/>
      <c r="HM1557" s="661"/>
    </row>
    <row r="1558" spans="1:221" s="456" customFormat="1">
      <c r="A1558" s="679"/>
      <c r="B1558" s="1272" t="s">
        <v>33</v>
      </c>
      <c r="C1558" s="1273" t="s">
        <v>2495</v>
      </c>
      <c r="D1558" s="1274"/>
      <c r="E1558" s="1255"/>
      <c r="F1558" s="681"/>
      <c r="G1558" s="681" t="s">
        <v>1909</v>
      </c>
      <c r="H1558" s="683"/>
      <c r="I1558" s="689"/>
      <c r="J1558" s="685"/>
      <c r="K1558" s="685"/>
      <c r="L1558" s="689"/>
      <c r="M1558" s="683"/>
      <c r="N1558" s="706"/>
      <c r="O1558" s="480"/>
      <c r="P1558" s="479"/>
      <c r="Q1558" s="479"/>
      <c r="R1558" s="479"/>
      <c r="S1558" s="479"/>
      <c r="T1558" s="479"/>
      <c r="U1558" s="479"/>
    </row>
    <row r="1559" spans="1:221" s="456" customFormat="1">
      <c r="A1559" s="852" t="s">
        <v>2412</v>
      </c>
      <c r="B1559" s="1272" t="s">
        <v>33</v>
      </c>
      <c r="C1559" s="1273" t="s">
        <v>35</v>
      </c>
      <c r="D1559" s="1274"/>
      <c r="E1559" s="1255">
        <v>59.5</v>
      </c>
      <c r="F1559" s="713"/>
      <c r="G1559" s="713"/>
      <c r="H1559" s="717"/>
      <c r="I1559" s="714"/>
      <c r="J1559" s="714"/>
      <c r="K1559" s="714"/>
      <c r="L1559" s="714">
        <f>59.2+29.5</f>
        <v>88.7</v>
      </c>
      <c r="M1559" s="713">
        <v>29.5</v>
      </c>
      <c r="N1559" s="723">
        <v>5</v>
      </c>
      <c r="O1559" s="674"/>
      <c r="P1559" s="675"/>
      <c r="Q1559" s="675"/>
      <c r="R1559" s="676"/>
      <c r="S1559" s="675"/>
      <c r="T1559" s="676"/>
      <c r="U1559" s="676"/>
      <c r="V1559" s="676"/>
      <c r="W1559" s="676"/>
      <c r="X1559" s="676"/>
      <c r="Y1559" s="676"/>
      <c r="Z1559" s="676"/>
      <c r="AA1559" s="676"/>
      <c r="AB1559" s="676"/>
      <c r="AC1559" s="676"/>
      <c r="AD1559" s="677"/>
      <c r="AE1559" s="677"/>
      <c r="AF1559" s="677"/>
      <c r="AG1559" s="677"/>
      <c r="AH1559" s="677"/>
      <c r="AI1559" s="677"/>
      <c r="AJ1559" s="677"/>
      <c r="AK1559" s="677"/>
      <c r="AL1559" s="677"/>
      <c r="AM1559" s="677"/>
      <c r="AN1559" s="677"/>
      <c r="AO1559" s="677"/>
      <c r="AP1559" s="677"/>
      <c r="AQ1559" s="677"/>
      <c r="AR1559" s="677"/>
      <c r="AS1559" s="677"/>
      <c r="AT1559" s="677"/>
      <c r="AU1559" s="677"/>
      <c r="AV1559" s="677"/>
      <c r="AW1559" s="677"/>
      <c r="AX1559" s="677"/>
      <c r="AY1559" s="677"/>
      <c r="AZ1559" s="677"/>
      <c r="BA1559" s="677"/>
      <c r="BB1559" s="677"/>
      <c r="BC1559" s="677"/>
      <c r="BD1559" s="677"/>
      <c r="BE1559" s="677"/>
      <c r="BF1559" s="677"/>
      <c r="BG1559" s="677"/>
      <c r="BH1559" s="677"/>
      <c r="BI1559" s="677"/>
      <c r="BJ1559" s="677"/>
      <c r="BK1559" s="677"/>
      <c r="BL1559" s="677"/>
      <c r="BM1559" s="677"/>
      <c r="BN1559" s="677"/>
      <c r="BO1559" s="677"/>
      <c r="BP1559" s="677"/>
      <c r="BQ1559" s="677"/>
      <c r="BR1559" s="661"/>
      <c r="BS1559" s="661"/>
      <c r="BT1559" s="661"/>
      <c r="BU1559" s="661"/>
      <c r="BV1559" s="661"/>
      <c r="BW1559" s="661"/>
      <c r="BX1559" s="661"/>
      <c r="BY1559" s="661"/>
      <c r="BZ1559" s="661"/>
      <c r="CA1559" s="661"/>
      <c r="CB1559" s="661"/>
      <c r="CC1559" s="661"/>
      <c r="CD1559" s="661"/>
      <c r="CE1559" s="661"/>
      <c r="CF1559" s="661"/>
      <c r="CG1559" s="661"/>
      <c r="CH1559" s="661"/>
      <c r="CI1559" s="661"/>
      <c r="CJ1559" s="661"/>
      <c r="CK1559" s="661"/>
      <c r="CL1559" s="661"/>
      <c r="CM1559" s="661"/>
      <c r="CN1559" s="661"/>
      <c r="CO1559" s="661"/>
      <c r="CP1559" s="661"/>
      <c r="CQ1559" s="661"/>
      <c r="CR1559" s="661"/>
      <c r="CS1559" s="661"/>
      <c r="CT1559" s="661"/>
      <c r="CU1559" s="661"/>
      <c r="CV1559" s="661"/>
      <c r="CW1559" s="661"/>
      <c r="CX1559" s="661"/>
      <c r="CY1559" s="661"/>
      <c r="CZ1559" s="661"/>
      <c r="DA1559" s="661"/>
      <c r="DB1559" s="661"/>
      <c r="DC1559" s="661"/>
      <c r="DD1559" s="661"/>
      <c r="DE1559" s="661"/>
      <c r="DF1559" s="661"/>
      <c r="DG1559" s="661"/>
      <c r="DH1559" s="661"/>
      <c r="DI1559" s="661"/>
      <c r="DJ1559" s="661"/>
      <c r="DK1559" s="661"/>
      <c r="DL1559" s="661"/>
      <c r="DM1559" s="661"/>
      <c r="DN1559" s="661"/>
      <c r="DO1559" s="661"/>
      <c r="DP1559" s="661"/>
      <c r="DQ1559" s="661"/>
      <c r="DR1559" s="661"/>
      <c r="DS1559" s="661"/>
      <c r="DT1559" s="661"/>
      <c r="DU1559" s="661"/>
      <c r="DV1559" s="661"/>
      <c r="DW1559" s="661"/>
      <c r="DX1559" s="661"/>
      <c r="DY1559" s="661"/>
      <c r="DZ1559" s="661"/>
      <c r="EA1559" s="661"/>
      <c r="EB1559" s="661"/>
      <c r="EC1559" s="661"/>
      <c r="ED1559" s="661"/>
      <c r="EE1559" s="661"/>
      <c r="EF1559" s="661"/>
      <c r="EG1559" s="661"/>
      <c r="EH1559" s="661"/>
      <c r="EI1559" s="661"/>
      <c r="EJ1559" s="661"/>
      <c r="EK1559" s="661"/>
      <c r="EL1559" s="661"/>
      <c r="EM1559" s="661"/>
      <c r="EN1559" s="661"/>
      <c r="EO1559" s="661"/>
      <c r="EP1559" s="661"/>
      <c r="EQ1559" s="661"/>
      <c r="ER1559" s="661"/>
      <c r="ES1559" s="661"/>
      <c r="ET1559" s="661"/>
      <c r="EU1559" s="661"/>
      <c r="EV1559" s="661"/>
      <c r="EW1559" s="661"/>
      <c r="EX1559" s="661"/>
      <c r="EY1559" s="661"/>
      <c r="EZ1559" s="661"/>
      <c r="FA1559" s="661"/>
      <c r="FB1559" s="661"/>
      <c r="FC1559" s="661"/>
      <c r="FD1559" s="661"/>
      <c r="FE1559" s="661"/>
      <c r="FF1559" s="661"/>
      <c r="FG1559" s="661"/>
      <c r="FH1559" s="661"/>
      <c r="FI1559" s="661"/>
      <c r="FJ1559" s="661"/>
      <c r="FK1559" s="661"/>
      <c r="FL1559" s="661"/>
      <c r="FM1559" s="661"/>
      <c r="FN1559" s="661"/>
      <c r="FO1559" s="661"/>
      <c r="FP1559" s="661"/>
      <c r="FQ1559" s="661"/>
      <c r="FR1559" s="661"/>
      <c r="FS1559" s="661"/>
      <c r="FT1559" s="661"/>
      <c r="FU1559" s="661"/>
      <c r="FV1559" s="661"/>
      <c r="FW1559" s="661"/>
      <c r="FX1559" s="661"/>
      <c r="FY1559" s="661"/>
      <c r="FZ1559" s="661"/>
      <c r="GA1559" s="661"/>
      <c r="GB1559" s="661"/>
      <c r="GC1559" s="661"/>
      <c r="GD1559" s="661"/>
      <c r="GE1559" s="661"/>
      <c r="GF1559" s="661"/>
      <c r="GG1559" s="661"/>
      <c r="GH1559" s="661"/>
      <c r="GI1559" s="661"/>
      <c r="GJ1559" s="661"/>
      <c r="GK1559" s="661"/>
      <c r="GL1559" s="661"/>
      <c r="GM1559" s="661"/>
      <c r="GN1559" s="661"/>
      <c r="GO1559" s="661"/>
      <c r="GP1559" s="661"/>
      <c r="GQ1559" s="661"/>
      <c r="GR1559" s="661"/>
      <c r="GS1559" s="661"/>
      <c r="GT1559" s="661"/>
      <c r="GU1559" s="661"/>
      <c r="GV1559" s="661"/>
      <c r="GW1559" s="661"/>
      <c r="GX1559" s="661"/>
      <c r="GY1559" s="661"/>
      <c r="GZ1559" s="661"/>
      <c r="HA1559" s="661"/>
      <c r="HB1559" s="661"/>
      <c r="HC1559" s="661"/>
      <c r="HD1559" s="661"/>
      <c r="HE1559" s="661"/>
      <c r="HF1559" s="661"/>
      <c r="HG1559" s="661"/>
      <c r="HH1559" s="661"/>
      <c r="HI1559" s="661"/>
      <c r="HJ1559" s="661"/>
      <c r="HK1559" s="661"/>
      <c r="HL1559" s="661"/>
      <c r="HM1559" s="661"/>
    </row>
    <row r="1560" spans="1:221" s="456" customFormat="1">
      <c r="A1560" s="679" t="s">
        <v>2413</v>
      </c>
      <c r="B1560" s="1272" t="s">
        <v>33</v>
      </c>
      <c r="C1560" s="1273" t="s">
        <v>35</v>
      </c>
      <c r="D1560" s="1274"/>
      <c r="E1560" s="1255">
        <v>44.5</v>
      </c>
      <c r="F1560" s="681"/>
      <c r="G1560" s="681"/>
      <c r="H1560" s="1247"/>
      <c r="I1560" s="689"/>
      <c r="J1560" s="685"/>
      <c r="K1560" s="685"/>
      <c r="L1560" s="689">
        <f>44.5+34.5</f>
        <v>79</v>
      </c>
      <c r="M1560" s="683">
        <v>34.5</v>
      </c>
      <c r="N1560" s="723">
        <v>5</v>
      </c>
      <c r="O1560" s="644"/>
      <c r="P1560" s="297"/>
      <c r="Q1560" s="297"/>
      <c r="R1560" s="297"/>
      <c r="S1560" s="297"/>
      <c r="T1560" s="297"/>
      <c r="U1560" s="297"/>
      <c r="V1560" s="305"/>
      <c r="W1560" s="305"/>
      <c r="X1560" s="305"/>
      <c r="Y1560" s="305"/>
      <c r="Z1560" s="305"/>
      <c r="AA1560" s="305"/>
      <c r="AB1560" s="305"/>
      <c r="AC1560" s="305"/>
      <c r="AD1560" s="305"/>
      <c r="AE1560" s="305"/>
      <c r="AF1560" s="305"/>
      <c r="AG1560" s="305"/>
      <c r="AH1560" s="305"/>
      <c r="AI1560" s="305"/>
      <c r="AJ1560" s="305"/>
      <c r="AK1560" s="305"/>
      <c r="AL1560" s="305"/>
      <c r="AM1560" s="305"/>
      <c r="AN1560" s="305"/>
      <c r="AO1560" s="305"/>
      <c r="AP1560" s="305"/>
      <c r="AQ1560" s="305"/>
      <c r="AR1560" s="305"/>
      <c r="AS1560" s="305"/>
      <c r="AT1560" s="305"/>
      <c r="AU1560" s="305"/>
      <c r="AV1560" s="305"/>
      <c r="AW1560" s="305"/>
      <c r="AX1560" s="305"/>
      <c r="AY1560" s="305"/>
      <c r="AZ1560" s="305"/>
      <c r="BA1560" s="305"/>
      <c r="BB1560" s="305"/>
      <c r="BC1560" s="305"/>
      <c r="BD1560" s="305"/>
      <c r="BE1560" s="305"/>
      <c r="BF1560" s="305"/>
      <c r="BG1560" s="305"/>
      <c r="BH1560" s="305"/>
      <c r="BI1560" s="305"/>
      <c r="BJ1560" s="305"/>
      <c r="BK1560" s="305"/>
      <c r="BL1560" s="305"/>
      <c r="BM1560" s="305"/>
      <c r="BN1560" s="305"/>
      <c r="BO1560" s="305"/>
      <c r="BP1560" s="305"/>
      <c r="BQ1560" s="305"/>
      <c r="BR1560" s="305"/>
      <c r="BS1560" s="305"/>
      <c r="BT1560" s="305"/>
      <c r="BU1560" s="305"/>
      <c r="BV1560" s="305"/>
      <c r="BW1560" s="305"/>
      <c r="BX1560" s="305"/>
      <c r="BY1560" s="305"/>
      <c r="BZ1560" s="305"/>
      <c r="CA1560" s="305"/>
      <c r="CB1560" s="305"/>
      <c r="CC1560" s="305"/>
      <c r="CD1560" s="305"/>
      <c r="CE1560" s="305"/>
      <c r="CF1560" s="305"/>
      <c r="CG1560" s="305"/>
      <c r="CH1560" s="305"/>
      <c r="CI1560" s="305"/>
      <c r="CJ1560" s="305"/>
      <c r="CK1560" s="305"/>
      <c r="CL1560" s="305"/>
      <c r="CM1560" s="305"/>
      <c r="CN1560" s="305"/>
      <c r="CO1560" s="305"/>
      <c r="CP1560" s="305"/>
      <c r="CQ1560" s="305"/>
      <c r="CR1560" s="305"/>
      <c r="CS1560" s="305"/>
      <c r="CT1560" s="305"/>
      <c r="CU1560" s="305"/>
      <c r="CV1560" s="305"/>
      <c r="CW1560" s="305"/>
      <c r="CX1560" s="305"/>
      <c r="CY1560" s="305"/>
      <c r="CZ1560" s="305"/>
      <c r="DA1560" s="305"/>
      <c r="DB1560" s="305"/>
      <c r="DC1560" s="305"/>
      <c r="DD1560" s="305"/>
      <c r="DE1560" s="305"/>
      <c r="DF1560" s="305"/>
      <c r="DG1560" s="305"/>
      <c r="DH1560" s="305"/>
      <c r="DI1560" s="305"/>
      <c r="DJ1560" s="305"/>
      <c r="DK1560" s="305"/>
      <c r="DL1560" s="305"/>
      <c r="DM1560" s="305"/>
      <c r="DN1560" s="305"/>
      <c r="DO1560" s="305"/>
      <c r="DP1560" s="305"/>
      <c r="DQ1560" s="305"/>
      <c r="DR1560" s="305"/>
      <c r="DS1560" s="305"/>
      <c r="DT1560" s="305"/>
      <c r="DU1560" s="305"/>
      <c r="DV1560" s="305"/>
      <c r="DW1560" s="305"/>
      <c r="DX1560" s="305"/>
      <c r="DY1560" s="305"/>
      <c r="DZ1560" s="305"/>
      <c r="EA1560" s="305"/>
      <c r="EB1560" s="305"/>
      <c r="EC1560" s="305"/>
      <c r="ED1560" s="305"/>
      <c r="EE1560" s="305"/>
      <c r="EF1560" s="305"/>
      <c r="EG1560" s="305"/>
      <c r="EH1560" s="305"/>
      <c r="EI1560" s="305"/>
      <c r="EJ1560" s="305"/>
      <c r="EK1560" s="305"/>
      <c r="EL1560" s="305"/>
      <c r="EM1560" s="305"/>
      <c r="EN1560" s="305"/>
      <c r="EO1560" s="305"/>
      <c r="EP1560" s="305"/>
      <c r="EQ1560" s="305"/>
      <c r="ER1560" s="305"/>
      <c r="ES1560" s="305"/>
      <c r="ET1560" s="305"/>
      <c r="EU1560" s="305"/>
      <c r="EV1560" s="305"/>
      <c r="EW1560" s="305"/>
      <c r="EX1560" s="305"/>
      <c r="EY1560" s="305"/>
      <c r="EZ1560" s="305"/>
      <c r="FA1560" s="305"/>
      <c r="FB1560" s="305"/>
      <c r="FC1560" s="305"/>
      <c r="FD1560" s="305"/>
      <c r="FE1560" s="305"/>
      <c r="FF1560" s="305"/>
      <c r="FG1560" s="305"/>
      <c r="FH1560" s="305"/>
      <c r="FI1560" s="305"/>
      <c r="FJ1560" s="305"/>
      <c r="FK1560" s="305"/>
      <c r="FL1560" s="305"/>
      <c r="FM1560" s="305"/>
      <c r="FN1560" s="305"/>
      <c r="FO1560" s="305"/>
      <c r="FP1560" s="305"/>
      <c r="FQ1560" s="305"/>
      <c r="FR1560" s="305"/>
      <c r="FS1560" s="305"/>
      <c r="FT1560" s="305"/>
      <c r="FU1560" s="305"/>
      <c r="FV1560" s="305"/>
      <c r="FW1560" s="305"/>
      <c r="FX1560" s="305"/>
      <c r="FY1560" s="305"/>
      <c r="FZ1560" s="305"/>
      <c r="GA1560" s="305"/>
      <c r="GB1560" s="305"/>
      <c r="GC1560" s="305"/>
      <c r="GD1560" s="305"/>
      <c r="GE1560" s="305"/>
      <c r="GF1560" s="305"/>
      <c r="GG1560" s="305"/>
      <c r="GH1560" s="305"/>
      <c r="GI1560" s="305"/>
      <c r="GJ1560" s="305"/>
      <c r="GK1560" s="305"/>
      <c r="GL1560" s="305"/>
      <c r="GM1560" s="305"/>
      <c r="GN1560" s="305"/>
      <c r="GO1560" s="305"/>
      <c r="GP1560" s="305"/>
      <c r="GQ1560" s="305"/>
      <c r="GR1560" s="305"/>
      <c r="GS1560" s="305"/>
      <c r="GT1560" s="305"/>
      <c r="GU1560" s="305"/>
      <c r="GV1560" s="305"/>
      <c r="GW1560" s="305"/>
      <c r="GX1560" s="305"/>
      <c r="GY1560" s="305"/>
      <c r="GZ1560" s="305"/>
      <c r="HA1560" s="305"/>
      <c r="HB1560" s="305"/>
      <c r="HC1560" s="305"/>
      <c r="HD1560" s="305"/>
      <c r="HE1560" s="305"/>
      <c r="HF1560" s="305"/>
      <c r="HG1560" s="305"/>
      <c r="HH1560" s="305"/>
      <c r="HI1560" s="305"/>
      <c r="HJ1560" s="305"/>
      <c r="HK1560" s="305"/>
      <c r="HL1560" s="305"/>
      <c r="HM1560" s="305"/>
    </row>
    <row r="1561" spans="1:221" s="456" customFormat="1">
      <c r="A1561" s="679"/>
      <c r="B1561" s="1272" t="s">
        <v>2415</v>
      </c>
      <c r="C1561" s="1273" t="s">
        <v>2414</v>
      </c>
      <c r="D1561" s="1274"/>
      <c r="E1561" s="1255">
        <v>45</v>
      </c>
      <c r="F1561" s="681"/>
      <c r="G1561" s="681"/>
      <c r="H1561" s="1247"/>
      <c r="I1561" s="689"/>
      <c r="J1561" s="685"/>
      <c r="K1561" s="685"/>
      <c r="L1561" s="689">
        <f>45+26</f>
        <v>71</v>
      </c>
      <c r="M1561" s="683">
        <v>26</v>
      </c>
      <c r="N1561" s="723"/>
      <c r="O1561" s="644"/>
      <c r="P1561" s="297"/>
      <c r="Q1561" s="297"/>
      <c r="R1561" s="297"/>
      <c r="S1561" s="297"/>
      <c r="T1561" s="297"/>
      <c r="U1561" s="297"/>
      <c r="V1561" s="305"/>
      <c r="W1561" s="305"/>
      <c r="X1561" s="305"/>
      <c r="Y1561" s="305"/>
      <c r="Z1561" s="305"/>
      <c r="AA1561" s="305"/>
      <c r="AB1561" s="305"/>
      <c r="AC1561" s="305"/>
      <c r="AD1561" s="305"/>
      <c r="AE1561" s="305"/>
      <c r="AF1561" s="305"/>
      <c r="AG1561" s="305"/>
      <c r="AH1561" s="305"/>
      <c r="AI1561" s="305"/>
      <c r="AJ1561" s="305"/>
      <c r="AK1561" s="305"/>
      <c r="AL1561" s="305"/>
      <c r="AM1561" s="305"/>
      <c r="AN1561" s="305"/>
      <c r="AO1561" s="305"/>
      <c r="AP1561" s="305"/>
      <c r="AQ1561" s="305"/>
      <c r="AR1561" s="305"/>
      <c r="AS1561" s="305"/>
      <c r="AT1561" s="305"/>
      <c r="AU1561" s="305"/>
      <c r="AV1561" s="305"/>
      <c r="AW1561" s="305"/>
      <c r="AX1561" s="305"/>
      <c r="AY1561" s="305"/>
      <c r="AZ1561" s="305"/>
      <c r="BA1561" s="305"/>
      <c r="BB1561" s="305"/>
      <c r="BC1561" s="305"/>
      <c r="BD1561" s="305"/>
      <c r="BE1561" s="305"/>
      <c r="BF1561" s="305"/>
      <c r="BG1561" s="305"/>
      <c r="BH1561" s="305"/>
      <c r="BI1561" s="305"/>
      <c r="BJ1561" s="305"/>
      <c r="BK1561" s="305"/>
      <c r="BL1561" s="305"/>
      <c r="BM1561" s="305"/>
      <c r="BN1561" s="305"/>
      <c r="BO1561" s="305"/>
      <c r="BP1561" s="305"/>
      <c r="BQ1561" s="305"/>
      <c r="BR1561" s="305"/>
      <c r="BS1561" s="305"/>
      <c r="BT1561" s="305"/>
      <c r="BU1561" s="305"/>
      <c r="BV1561" s="305"/>
      <c r="BW1561" s="305"/>
      <c r="BX1561" s="305"/>
      <c r="BY1561" s="305"/>
      <c r="BZ1561" s="305"/>
      <c r="CA1561" s="305"/>
      <c r="CB1561" s="305"/>
      <c r="CC1561" s="305"/>
      <c r="CD1561" s="305"/>
      <c r="CE1561" s="305"/>
      <c r="CF1561" s="305"/>
      <c r="CG1561" s="305"/>
      <c r="CH1561" s="305"/>
      <c r="CI1561" s="305"/>
      <c r="CJ1561" s="305"/>
      <c r="CK1561" s="305"/>
      <c r="CL1561" s="305"/>
      <c r="CM1561" s="305"/>
      <c r="CN1561" s="305"/>
      <c r="CO1561" s="305"/>
      <c r="CP1561" s="305"/>
      <c r="CQ1561" s="305"/>
      <c r="CR1561" s="305"/>
      <c r="CS1561" s="305"/>
      <c r="CT1561" s="305"/>
      <c r="CU1561" s="305"/>
      <c r="CV1561" s="305"/>
      <c r="CW1561" s="305"/>
      <c r="CX1561" s="305"/>
      <c r="CY1561" s="305"/>
      <c r="CZ1561" s="305"/>
      <c r="DA1561" s="305"/>
      <c r="DB1561" s="305"/>
      <c r="DC1561" s="305"/>
      <c r="DD1561" s="305"/>
      <c r="DE1561" s="305"/>
      <c r="DF1561" s="305"/>
      <c r="DG1561" s="305"/>
      <c r="DH1561" s="305"/>
      <c r="DI1561" s="305"/>
      <c r="DJ1561" s="305"/>
      <c r="DK1561" s="305"/>
      <c r="DL1561" s="305"/>
      <c r="DM1561" s="305"/>
      <c r="DN1561" s="305"/>
      <c r="DO1561" s="305"/>
      <c r="DP1561" s="305"/>
      <c r="DQ1561" s="305"/>
      <c r="DR1561" s="305"/>
      <c r="DS1561" s="305"/>
      <c r="DT1561" s="305"/>
      <c r="DU1561" s="305"/>
      <c r="DV1561" s="305"/>
      <c r="DW1561" s="305"/>
      <c r="DX1561" s="305"/>
      <c r="DY1561" s="305"/>
      <c r="DZ1561" s="305"/>
      <c r="EA1561" s="305"/>
      <c r="EB1561" s="305"/>
      <c r="EC1561" s="305"/>
      <c r="ED1561" s="305"/>
      <c r="EE1561" s="305"/>
      <c r="EF1561" s="305"/>
      <c r="EG1561" s="305"/>
      <c r="EH1561" s="305"/>
      <c r="EI1561" s="305"/>
      <c r="EJ1561" s="305"/>
      <c r="EK1561" s="305"/>
      <c r="EL1561" s="305"/>
      <c r="EM1561" s="305"/>
      <c r="EN1561" s="305"/>
      <c r="EO1561" s="305"/>
      <c r="EP1561" s="305"/>
      <c r="EQ1561" s="305"/>
      <c r="ER1561" s="305"/>
      <c r="ES1561" s="305"/>
      <c r="ET1561" s="305"/>
      <c r="EU1561" s="305"/>
      <c r="EV1561" s="305"/>
      <c r="EW1561" s="305"/>
      <c r="EX1561" s="305"/>
      <c r="EY1561" s="305"/>
      <c r="EZ1561" s="305"/>
      <c r="FA1561" s="305"/>
      <c r="FB1561" s="305"/>
      <c r="FC1561" s="305"/>
      <c r="FD1561" s="305"/>
      <c r="FE1561" s="305"/>
      <c r="FF1561" s="305"/>
      <c r="FG1561" s="305"/>
      <c r="FH1561" s="305"/>
      <c r="FI1561" s="305"/>
      <c r="FJ1561" s="305"/>
      <c r="FK1561" s="305"/>
      <c r="FL1561" s="305"/>
      <c r="FM1561" s="305"/>
      <c r="FN1561" s="305"/>
      <c r="FO1561" s="305"/>
      <c r="FP1561" s="305"/>
      <c r="FQ1561" s="305"/>
      <c r="FR1561" s="305"/>
      <c r="FS1561" s="305"/>
      <c r="FT1561" s="305"/>
      <c r="FU1561" s="305"/>
      <c r="FV1561" s="305"/>
      <c r="FW1561" s="305"/>
      <c r="FX1561" s="305"/>
      <c r="FY1561" s="305"/>
      <c r="FZ1561" s="305"/>
      <c r="GA1561" s="305"/>
      <c r="GB1561" s="305"/>
      <c r="GC1561" s="305"/>
      <c r="GD1561" s="305"/>
      <c r="GE1561" s="305"/>
      <c r="GF1561" s="305"/>
      <c r="GG1561" s="305"/>
      <c r="GH1561" s="305"/>
      <c r="GI1561" s="305"/>
      <c r="GJ1561" s="305"/>
      <c r="GK1561" s="305"/>
      <c r="GL1561" s="305"/>
      <c r="GM1561" s="305"/>
      <c r="GN1561" s="305"/>
      <c r="GO1561" s="305"/>
      <c r="GP1561" s="305"/>
      <c r="GQ1561" s="305"/>
      <c r="GR1561" s="305"/>
      <c r="GS1561" s="305"/>
      <c r="GT1561" s="305"/>
      <c r="GU1561" s="305"/>
      <c r="GV1561" s="305"/>
      <c r="GW1561" s="305"/>
      <c r="GX1561" s="305"/>
      <c r="GY1561" s="305"/>
      <c r="GZ1561" s="305"/>
      <c r="HA1561" s="305"/>
      <c r="HB1561" s="305"/>
      <c r="HC1561" s="305"/>
      <c r="HD1561" s="305"/>
      <c r="HE1561" s="305"/>
      <c r="HF1561" s="305"/>
      <c r="HG1561" s="305"/>
      <c r="HH1561" s="305"/>
      <c r="HI1561" s="305"/>
      <c r="HJ1561" s="305"/>
      <c r="HK1561" s="305"/>
      <c r="HL1561" s="305"/>
      <c r="HM1561" s="305"/>
    </row>
    <row r="1562" spans="1:221" s="456" customFormat="1">
      <c r="A1562" s="1251"/>
      <c r="B1562" s="1272" t="s">
        <v>110</v>
      </c>
      <c r="C1562" s="1273" t="s">
        <v>111</v>
      </c>
      <c r="D1562" s="1274"/>
      <c r="E1562" s="1255"/>
      <c r="F1562" s="681"/>
      <c r="G1562" s="681" t="s">
        <v>1909</v>
      </c>
      <c r="H1562" s="1247"/>
      <c r="I1562" s="689"/>
      <c r="J1562" s="685"/>
      <c r="K1562" s="685"/>
      <c r="L1562" s="689"/>
      <c r="M1562" s="683"/>
      <c r="N1562" s="706"/>
      <c r="O1562" s="480"/>
      <c r="P1562" s="297"/>
      <c r="Q1562" s="297"/>
      <c r="R1562" s="297"/>
      <c r="S1562" s="297"/>
      <c r="T1562" s="297"/>
      <c r="U1562" s="297"/>
      <c r="V1562" s="305"/>
      <c r="W1562" s="305"/>
      <c r="X1562" s="305"/>
      <c r="Y1562" s="305"/>
      <c r="Z1562" s="305"/>
      <c r="AA1562" s="305"/>
      <c r="AB1562" s="305"/>
      <c r="AC1562" s="305"/>
      <c r="AD1562" s="305"/>
      <c r="AE1562" s="305"/>
      <c r="AF1562" s="305"/>
      <c r="AG1562" s="305"/>
      <c r="AH1562" s="305"/>
      <c r="AI1562" s="305"/>
      <c r="AJ1562" s="305"/>
      <c r="AK1562" s="305"/>
      <c r="AL1562" s="305"/>
      <c r="AM1562" s="305"/>
      <c r="AN1562" s="305"/>
      <c r="AO1562" s="305"/>
      <c r="AP1562" s="305"/>
      <c r="AQ1562" s="305"/>
      <c r="AR1562" s="305"/>
      <c r="AS1562" s="305"/>
      <c r="AT1562" s="305"/>
      <c r="AU1562" s="305"/>
      <c r="AV1562" s="305"/>
      <c r="AW1562" s="305"/>
      <c r="AX1562" s="305"/>
      <c r="AY1562" s="305"/>
      <c r="AZ1562" s="305"/>
      <c r="BA1562" s="305"/>
      <c r="BB1562" s="305"/>
      <c r="BC1562" s="305"/>
      <c r="BD1562" s="305"/>
      <c r="BE1562" s="305"/>
      <c r="BF1562" s="305"/>
      <c r="BG1562" s="305"/>
      <c r="BH1562" s="305"/>
      <c r="BI1562" s="305"/>
      <c r="BJ1562" s="305"/>
      <c r="BK1562" s="305"/>
      <c r="BL1562" s="305"/>
      <c r="BM1562" s="305"/>
      <c r="BN1562" s="305"/>
      <c r="BO1562" s="305"/>
      <c r="BP1562" s="305"/>
      <c r="BQ1562" s="305"/>
      <c r="BR1562" s="305"/>
      <c r="BS1562" s="305"/>
      <c r="BT1562" s="305"/>
      <c r="BU1562" s="305"/>
      <c r="BV1562" s="305"/>
      <c r="BW1562" s="305"/>
      <c r="BX1562" s="305"/>
      <c r="BY1562" s="305"/>
      <c r="BZ1562" s="305"/>
      <c r="CA1562" s="305"/>
      <c r="CB1562" s="305"/>
      <c r="CC1562" s="305"/>
      <c r="CD1562" s="305"/>
      <c r="CE1562" s="305"/>
      <c r="CF1562" s="305"/>
      <c r="CG1562" s="305"/>
      <c r="CH1562" s="305"/>
      <c r="CI1562" s="305"/>
      <c r="CJ1562" s="305"/>
      <c r="CK1562" s="305"/>
      <c r="CL1562" s="305"/>
      <c r="CM1562" s="305"/>
      <c r="CN1562" s="305"/>
      <c r="CO1562" s="305"/>
      <c r="CP1562" s="305"/>
      <c r="CQ1562" s="305"/>
      <c r="CR1562" s="305"/>
      <c r="CS1562" s="305"/>
      <c r="CT1562" s="305"/>
      <c r="CU1562" s="305"/>
      <c r="CV1562" s="305"/>
      <c r="CW1562" s="305"/>
      <c r="CX1562" s="305"/>
      <c r="CY1562" s="305"/>
      <c r="CZ1562" s="305"/>
      <c r="DA1562" s="305"/>
      <c r="DB1562" s="305"/>
      <c r="DC1562" s="305"/>
      <c r="DD1562" s="305"/>
      <c r="DE1562" s="305"/>
      <c r="DF1562" s="305"/>
      <c r="DG1562" s="305"/>
      <c r="DH1562" s="305"/>
      <c r="DI1562" s="305"/>
      <c r="DJ1562" s="305"/>
      <c r="DK1562" s="305"/>
      <c r="DL1562" s="305"/>
      <c r="DM1562" s="305"/>
      <c r="DN1562" s="305"/>
      <c r="DO1562" s="305"/>
      <c r="DP1562" s="305"/>
      <c r="DQ1562" s="305"/>
      <c r="DR1562" s="305"/>
      <c r="DS1562" s="305"/>
      <c r="DT1562" s="305"/>
      <c r="DU1562" s="305"/>
      <c r="DV1562" s="305"/>
      <c r="DW1562" s="305"/>
      <c r="DX1562" s="305"/>
      <c r="DY1562" s="305"/>
      <c r="DZ1562" s="305"/>
      <c r="EA1562" s="305"/>
      <c r="EB1562" s="305"/>
      <c r="EC1562" s="305"/>
      <c r="ED1562" s="305"/>
      <c r="EE1562" s="305"/>
      <c r="EF1562" s="305"/>
      <c r="EG1562" s="305"/>
      <c r="EH1562" s="305"/>
      <c r="EI1562" s="305"/>
      <c r="EJ1562" s="305"/>
      <c r="EK1562" s="305"/>
      <c r="EL1562" s="305"/>
      <c r="EM1562" s="305"/>
      <c r="EN1562" s="305"/>
      <c r="EO1562" s="305"/>
      <c r="EP1562" s="305"/>
      <c r="EQ1562" s="305"/>
      <c r="ER1562" s="305"/>
      <c r="ES1562" s="305"/>
      <c r="ET1562" s="305"/>
      <c r="EU1562" s="305"/>
      <c r="EV1562" s="305"/>
      <c r="EW1562" s="305"/>
      <c r="EX1562" s="305"/>
      <c r="EY1562" s="305"/>
      <c r="EZ1562" s="305"/>
      <c r="FA1562" s="305"/>
      <c r="FB1562" s="305"/>
      <c r="FC1562" s="305"/>
      <c r="FD1562" s="305"/>
      <c r="FE1562" s="305"/>
      <c r="FF1562" s="305"/>
      <c r="FG1562" s="305"/>
      <c r="FH1562" s="305"/>
      <c r="FI1562" s="305"/>
      <c r="FJ1562" s="305"/>
      <c r="FK1562" s="305"/>
      <c r="FL1562" s="305"/>
      <c r="FM1562" s="305"/>
      <c r="FN1562" s="305"/>
      <c r="FO1562" s="305"/>
      <c r="FP1562" s="305"/>
      <c r="FQ1562" s="305"/>
      <c r="FR1562" s="305"/>
      <c r="FS1562" s="305"/>
      <c r="FT1562" s="305"/>
      <c r="FU1562" s="305"/>
      <c r="FV1562" s="305"/>
      <c r="FW1562" s="305"/>
      <c r="FX1562" s="305"/>
      <c r="FY1562" s="305"/>
      <c r="FZ1562" s="305"/>
      <c r="GA1562" s="305"/>
      <c r="GB1562" s="305"/>
      <c r="GC1562" s="305"/>
      <c r="GD1562" s="305"/>
      <c r="GE1562" s="305"/>
      <c r="GF1562" s="305"/>
      <c r="GG1562" s="305"/>
      <c r="GH1562" s="305"/>
      <c r="GI1562" s="305"/>
      <c r="GJ1562" s="305"/>
      <c r="GK1562" s="305"/>
      <c r="GL1562" s="305"/>
      <c r="GM1562" s="305"/>
      <c r="GN1562" s="305"/>
      <c r="GO1562" s="305"/>
      <c r="GP1562" s="305"/>
      <c r="GQ1562" s="305"/>
      <c r="GR1562" s="305"/>
      <c r="GS1562" s="305"/>
      <c r="GT1562" s="305"/>
      <c r="GU1562" s="305"/>
      <c r="GV1562" s="305"/>
      <c r="GW1562" s="305"/>
      <c r="GX1562" s="305"/>
      <c r="GY1562" s="305"/>
      <c r="GZ1562" s="305"/>
      <c r="HA1562" s="305"/>
      <c r="HB1562" s="305"/>
      <c r="HC1562" s="305"/>
      <c r="HD1562" s="305"/>
      <c r="HE1562" s="305"/>
      <c r="HF1562" s="305"/>
      <c r="HG1562" s="305"/>
      <c r="HH1562" s="305"/>
      <c r="HI1562" s="305"/>
      <c r="HJ1562" s="305"/>
      <c r="HK1562" s="305"/>
      <c r="HL1562" s="305"/>
      <c r="HM1562" s="305"/>
    </row>
    <row r="1563" spans="1:221" s="456" customFormat="1">
      <c r="A1563" s="1252"/>
      <c r="B1563" s="1272" t="s">
        <v>480</v>
      </c>
      <c r="C1563" s="1273" t="s">
        <v>2496</v>
      </c>
      <c r="D1563" s="1274"/>
      <c r="E1563" s="1255"/>
      <c r="F1563" s="681"/>
      <c r="G1563" s="681" t="s">
        <v>1909</v>
      </c>
      <c r="H1563" s="1247"/>
      <c r="I1563" s="689"/>
      <c r="J1563" s="685"/>
      <c r="K1563" s="685"/>
      <c r="L1563" s="689"/>
      <c r="M1563" s="683"/>
      <c r="N1563" s="706"/>
      <c r="O1563" s="480"/>
      <c r="P1563" s="479"/>
      <c r="Q1563" s="479"/>
      <c r="R1563" s="479"/>
      <c r="S1563" s="479"/>
      <c r="T1563" s="479"/>
      <c r="U1563" s="479"/>
    </row>
    <row r="1564" spans="1:221" s="456" customFormat="1">
      <c r="A1564" s="1248"/>
      <c r="B1564" s="1272" t="s">
        <v>480</v>
      </c>
      <c r="C1564" s="1273" t="s">
        <v>2496</v>
      </c>
      <c r="D1564" s="1274"/>
      <c r="E1564" s="1255"/>
      <c r="F1564" s="681"/>
      <c r="G1564" s="681" t="s">
        <v>1909</v>
      </c>
      <c r="H1564" s="710"/>
      <c r="I1564" s="689"/>
      <c r="J1564" s="685"/>
      <c r="K1564" s="685"/>
      <c r="L1564" s="689"/>
      <c r="M1564" s="683"/>
      <c r="N1564" s="706"/>
      <c r="O1564" s="480"/>
      <c r="P1564" s="483"/>
      <c r="Q1564" s="483"/>
      <c r="R1564" s="479"/>
      <c r="S1564" s="483"/>
      <c r="T1564" s="479"/>
      <c r="U1564" s="479"/>
      <c r="V1564" s="479"/>
      <c r="W1564" s="479"/>
      <c r="X1564" s="479"/>
      <c r="Y1564" s="479"/>
      <c r="Z1564" s="479"/>
      <c r="AA1564" s="479"/>
      <c r="AB1564" s="479"/>
      <c r="AC1564" s="479"/>
    </row>
    <row r="1565" spans="1:221" s="305" customFormat="1">
      <c r="A1565" s="2422" t="s">
        <v>4117</v>
      </c>
      <c r="B1565" s="1286" t="s">
        <v>480</v>
      </c>
      <c r="C1565" s="1280" t="s">
        <v>49</v>
      </c>
      <c r="D1565" s="1312"/>
      <c r="E1565" s="1851">
        <v>47.1</v>
      </c>
      <c r="F1565" s="288"/>
      <c r="G1565" s="663" t="s">
        <v>4122</v>
      </c>
      <c r="H1565" s="283"/>
      <c r="I1565" s="665" t="s">
        <v>3882</v>
      </c>
      <c r="J1565" s="292"/>
      <c r="K1565" s="292"/>
      <c r="L1565" s="665">
        <v>81.099999999999994</v>
      </c>
      <c r="M1565" s="664">
        <f t="shared" ref="M1565:M1571" si="76">L1565-E1565</f>
        <v>33.999999999999993</v>
      </c>
      <c r="N1565" s="667">
        <v>4</v>
      </c>
      <c r="O1565" s="1856" t="s">
        <v>3880</v>
      </c>
      <c r="P1565" s="297"/>
      <c r="Q1565" s="2403" t="s">
        <v>4121</v>
      </c>
      <c r="R1565" s="297"/>
      <c r="S1565" s="297"/>
      <c r="T1565" s="297"/>
      <c r="U1565" s="297"/>
    </row>
    <row r="1566" spans="1:221" s="305" customFormat="1">
      <c r="A1566" s="2422" t="s">
        <v>4118</v>
      </c>
      <c r="B1566" s="1286" t="s">
        <v>480</v>
      </c>
      <c r="C1566" s="1280" t="s">
        <v>49</v>
      </c>
      <c r="D1566" s="1312"/>
      <c r="E1566" s="1851">
        <v>69.099999999999994</v>
      </c>
      <c r="F1566" s="663" t="s">
        <v>1785</v>
      </c>
      <c r="G1566" s="663" t="s">
        <v>4122</v>
      </c>
      <c r="H1566" s="283"/>
      <c r="I1566" s="665" t="s">
        <v>3882</v>
      </c>
      <c r="J1566" s="292"/>
      <c r="K1566" s="292"/>
      <c r="L1566" s="665">
        <v>123.1</v>
      </c>
      <c r="M1566" s="664">
        <f t="shared" si="76"/>
        <v>54</v>
      </c>
      <c r="N1566" s="667">
        <v>4</v>
      </c>
      <c r="O1566" s="1856" t="s">
        <v>3880</v>
      </c>
      <c r="P1566" s="297"/>
      <c r="Q1566" s="2403" t="s">
        <v>4121</v>
      </c>
      <c r="R1566" s="297"/>
      <c r="S1566" s="297"/>
      <c r="T1566" s="297"/>
      <c r="U1566" s="297"/>
    </row>
    <row r="1567" spans="1:221" s="305" customFormat="1">
      <c r="A1567" s="2422" t="s">
        <v>4119</v>
      </c>
      <c r="B1567" s="1286" t="s">
        <v>480</v>
      </c>
      <c r="C1567" s="1280" t="s">
        <v>49</v>
      </c>
      <c r="D1567" s="1312"/>
      <c r="E1567" s="1851">
        <v>75.099999999999994</v>
      </c>
      <c r="F1567" s="663" t="s">
        <v>4120</v>
      </c>
      <c r="G1567" s="663" t="s">
        <v>4122</v>
      </c>
      <c r="H1567" s="283"/>
      <c r="I1567" s="665" t="s">
        <v>3882</v>
      </c>
      <c r="J1567" s="292"/>
      <c r="K1567" s="292"/>
      <c r="L1567" s="665">
        <v>135.1</v>
      </c>
      <c r="M1567" s="664">
        <f t="shared" si="76"/>
        <v>60</v>
      </c>
      <c r="N1567" s="667">
        <v>4</v>
      </c>
      <c r="O1567" s="1856" t="s">
        <v>3880</v>
      </c>
      <c r="P1567" s="297"/>
      <c r="Q1567" s="2403" t="s">
        <v>4121</v>
      </c>
      <c r="R1567" s="297"/>
      <c r="S1567" s="297"/>
      <c r="T1567" s="297"/>
      <c r="U1567" s="297"/>
    </row>
    <row r="1568" spans="1:221" s="305" customFormat="1">
      <c r="A1568" s="2422" t="s">
        <v>3889</v>
      </c>
      <c r="B1568" s="1286" t="s">
        <v>480</v>
      </c>
      <c r="C1568" s="1280" t="s">
        <v>2567</v>
      </c>
      <c r="D1568" s="1281"/>
      <c r="E1568" s="1851">
        <v>44.5</v>
      </c>
      <c r="F1568" s="288"/>
      <c r="G1568" s="663" t="s">
        <v>3895</v>
      </c>
      <c r="H1568" s="283"/>
      <c r="I1568" s="665" t="s">
        <v>728</v>
      </c>
      <c r="J1568" s="292"/>
      <c r="K1568" s="292"/>
      <c r="L1568" s="665">
        <v>69</v>
      </c>
      <c r="M1568" s="664">
        <f t="shared" si="76"/>
        <v>24.5</v>
      </c>
      <c r="N1568" s="667">
        <v>5</v>
      </c>
      <c r="O1568" s="1856" t="s">
        <v>3880</v>
      </c>
      <c r="P1568" s="297"/>
      <c r="Q1568" s="2412" t="s">
        <v>3894</v>
      </c>
      <c r="R1568" s="297"/>
      <c r="S1568" s="297"/>
      <c r="T1568" s="297"/>
      <c r="U1568" s="297"/>
    </row>
    <row r="1569" spans="1:221" s="305" customFormat="1">
      <c r="A1569" s="2422" t="s">
        <v>3892</v>
      </c>
      <c r="B1569" s="1286" t="s">
        <v>480</v>
      </c>
      <c r="C1569" s="1280" t="s">
        <v>2567</v>
      </c>
      <c r="D1569" s="1281"/>
      <c r="E1569" s="1851">
        <v>47.5</v>
      </c>
      <c r="F1569" s="288"/>
      <c r="G1569" s="663" t="s">
        <v>3895</v>
      </c>
      <c r="H1569" s="283"/>
      <c r="I1569" s="665" t="s">
        <v>728</v>
      </c>
      <c r="J1569" s="292"/>
      <c r="K1569" s="292"/>
      <c r="L1569" s="665">
        <v>75</v>
      </c>
      <c r="M1569" s="664">
        <f t="shared" si="76"/>
        <v>27.5</v>
      </c>
      <c r="N1569" s="667">
        <v>5</v>
      </c>
      <c r="O1569" s="1856" t="s">
        <v>3880</v>
      </c>
      <c r="P1569" s="297"/>
      <c r="Q1569" s="2412" t="s">
        <v>3894</v>
      </c>
      <c r="R1569" s="297"/>
      <c r="S1569" s="297"/>
      <c r="T1569" s="297"/>
      <c r="U1569" s="297"/>
    </row>
    <row r="1570" spans="1:221" s="305" customFormat="1">
      <c r="A1570" s="2422" t="s">
        <v>3890</v>
      </c>
      <c r="B1570" s="1286" t="s">
        <v>480</v>
      </c>
      <c r="C1570" s="1280" t="s">
        <v>2567</v>
      </c>
      <c r="D1570" s="1281"/>
      <c r="E1570" s="1851">
        <v>59.5</v>
      </c>
      <c r="F1570" s="288"/>
      <c r="G1570" s="663" t="s">
        <v>3895</v>
      </c>
      <c r="H1570" s="283"/>
      <c r="I1570" s="665" t="s">
        <v>728</v>
      </c>
      <c r="J1570" s="292"/>
      <c r="K1570" s="292"/>
      <c r="L1570" s="665">
        <v>99</v>
      </c>
      <c r="M1570" s="664">
        <f t="shared" si="76"/>
        <v>39.5</v>
      </c>
      <c r="N1570" s="667">
        <v>5</v>
      </c>
      <c r="O1570" s="1856" t="s">
        <v>3880</v>
      </c>
      <c r="P1570" s="297"/>
      <c r="Q1570" s="2412" t="s">
        <v>3894</v>
      </c>
      <c r="R1570" s="297"/>
      <c r="S1570" s="297"/>
      <c r="T1570" s="297"/>
      <c r="U1570" s="297"/>
    </row>
    <row r="1571" spans="1:221" s="305" customFormat="1">
      <c r="A1571" s="2422" t="s">
        <v>3891</v>
      </c>
      <c r="B1571" s="1286" t="s">
        <v>480</v>
      </c>
      <c r="C1571" s="1280" t="s">
        <v>2567</v>
      </c>
      <c r="D1571" s="1281"/>
      <c r="E1571" s="1851">
        <v>69.5</v>
      </c>
      <c r="F1571" s="663" t="s">
        <v>3893</v>
      </c>
      <c r="G1571" s="663" t="s">
        <v>3895</v>
      </c>
      <c r="H1571" s="283"/>
      <c r="I1571" s="665" t="s">
        <v>728</v>
      </c>
      <c r="J1571" s="292"/>
      <c r="K1571" s="292"/>
      <c r="L1571" s="665">
        <v>119</v>
      </c>
      <c r="M1571" s="664">
        <f t="shared" si="76"/>
        <v>49.5</v>
      </c>
      <c r="N1571" s="667">
        <v>5</v>
      </c>
      <c r="O1571" s="1856" t="s">
        <v>3880</v>
      </c>
      <c r="P1571" s="297"/>
      <c r="Q1571" s="2412" t="s">
        <v>3894</v>
      </c>
      <c r="R1571" s="297"/>
      <c r="S1571" s="297"/>
      <c r="T1571" s="297"/>
      <c r="U1571" s="297"/>
    </row>
    <row r="1572" spans="1:221" s="661" customFormat="1">
      <c r="A1572" s="1248"/>
      <c r="B1572" s="1272" t="s">
        <v>480</v>
      </c>
      <c r="C1572" s="1273" t="s">
        <v>1449</v>
      </c>
      <c r="D1572" s="1274"/>
      <c r="E1572" s="1255">
        <v>75.5</v>
      </c>
      <c r="F1572" s="681"/>
      <c r="G1572" s="681"/>
      <c r="H1572" s="681"/>
      <c r="I1572" s="689" t="s">
        <v>728</v>
      </c>
      <c r="J1572" s="685"/>
      <c r="K1572" s="685"/>
      <c r="L1572" s="689">
        <f>75.5+67.5</f>
        <v>143</v>
      </c>
      <c r="M1572" s="683">
        <v>67.5</v>
      </c>
      <c r="N1572" s="706">
        <v>5</v>
      </c>
      <c r="O1572" s="480"/>
      <c r="P1572" s="483"/>
      <c r="Q1572" s="483"/>
      <c r="R1572" s="479"/>
      <c r="S1572" s="483"/>
      <c r="T1572" s="479"/>
      <c r="U1572" s="479"/>
      <c r="V1572" s="479"/>
      <c r="W1572" s="479"/>
      <c r="X1572" s="479"/>
      <c r="Y1572" s="479"/>
      <c r="Z1572" s="479"/>
      <c r="AA1572" s="479"/>
      <c r="AB1572" s="479"/>
      <c r="AC1572" s="479"/>
      <c r="AD1572" s="456"/>
      <c r="AE1572" s="456"/>
      <c r="AF1572" s="456"/>
      <c r="AG1572" s="456"/>
      <c r="AH1572" s="456"/>
      <c r="AI1572" s="456"/>
      <c r="AJ1572" s="456"/>
      <c r="AK1572" s="456"/>
      <c r="AL1572" s="456"/>
      <c r="AM1572" s="456"/>
      <c r="AN1572" s="456"/>
      <c r="AO1572" s="456"/>
      <c r="AP1572" s="456"/>
      <c r="AQ1572" s="456"/>
      <c r="AR1572" s="456"/>
      <c r="AS1572" s="456"/>
      <c r="AT1572" s="456"/>
      <c r="AU1572" s="456"/>
      <c r="AV1572" s="456"/>
      <c r="AW1572" s="456"/>
      <c r="AX1572" s="456"/>
      <c r="AY1572" s="456"/>
      <c r="AZ1572" s="456"/>
      <c r="BA1572" s="456"/>
      <c r="BB1572" s="456"/>
      <c r="BC1572" s="456"/>
      <c r="BD1572" s="456"/>
      <c r="BE1572" s="456"/>
      <c r="BF1572" s="456"/>
      <c r="BG1572" s="456"/>
      <c r="BH1572" s="456"/>
      <c r="BI1572" s="456"/>
      <c r="BJ1572" s="456"/>
      <c r="BK1572" s="456"/>
      <c r="BL1572" s="456"/>
      <c r="BM1572" s="456"/>
      <c r="BN1572" s="456"/>
      <c r="BO1572" s="456"/>
      <c r="BP1572" s="456"/>
      <c r="BQ1572" s="456"/>
      <c r="BR1572" s="456"/>
      <c r="BS1572" s="456"/>
      <c r="BT1572" s="456"/>
      <c r="BU1572" s="456"/>
      <c r="BV1572" s="456"/>
      <c r="BW1572" s="456"/>
      <c r="BX1572" s="456"/>
      <c r="BY1572" s="456"/>
      <c r="BZ1572" s="456"/>
      <c r="CA1572" s="456"/>
      <c r="CB1572" s="456"/>
      <c r="CC1572" s="456"/>
      <c r="CD1572" s="456"/>
      <c r="CE1572" s="456"/>
      <c r="CF1572" s="456"/>
      <c r="CG1572" s="456"/>
      <c r="CH1572" s="456"/>
      <c r="CI1572" s="456"/>
      <c r="CJ1572" s="456"/>
      <c r="CK1572" s="456"/>
      <c r="CL1572" s="456"/>
      <c r="CM1572" s="456"/>
      <c r="CN1572" s="456"/>
      <c r="CO1572" s="456"/>
      <c r="CP1572" s="456"/>
      <c r="CQ1572" s="456"/>
      <c r="CR1572" s="456"/>
      <c r="CS1572" s="456"/>
      <c r="CT1572" s="456"/>
      <c r="CU1572" s="456"/>
      <c r="CV1572" s="456"/>
      <c r="CW1572" s="456"/>
      <c r="CX1572" s="456"/>
      <c r="CY1572" s="456"/>
      <c r="CZ1572" s="456"/>
      <c r="DA1572" s="456"/>
      <c r="DB1572" s="456"/>
      <c r="DC1572" s="456"/>
      <c r="DD1572" s="456"/>
      <c r="DE1572" s="456"/>
      <c r="DF1572" s="456"/>
      <c r="DG1572" s="456"/>
      <c r="DH1572" s="456"/>
      <c r="DI1572" s="456"/>
      <c r="DJ1572" s="456"/>
      <c r="DK1572" s="456"/>
      <c r="DL1572" s="456"/>
      <c r="DM1572" s="456"/>
      <c r="DN1572" s="456"/>
      <c r="DO1572" s="456"/>
      <c r="DP1572" s="456"/>
      <c r="DQ1572" s="456"/>
      <c r="DR1572" s="456"/>
      <c r="DS1572" s="456"/>
      <c r="DT1572" s="456"/>
      <c r="DU1572" s="456"/>
      <c r="DV1572" s="456"/>
      <c r="DW1572" s="456"/>
      <c r="DX1572" s="456"/>
      <c r="DY1572" s="456"/>
      <c r="DZ1572" s="456"/>
      <c r="EA1572" s="456"/>
      <c r="EB1572" s="456"/>
      <c r="EC1572" s="456"/>
      <c r="ED1572" s="456"/>
      <c r="EE1572" s="456"/>
      <c r="EF1572" s="456"/>
      <c r="EG1572" s="456"/>
      <c r="EH1572" s="456"/>
      <c r="EI1572" s="456"/>
      <c r="EJ1572" s="456"/>
      <c r="EK1572" s="456"/>
      <c r="EL1572" s="456"/>
      <c r="EM1572" s="456"/>
      <c r="EN1572" s="456"/>
      <c r="EO1572" s="456"/>
      <c r="EP1572" s="456"/>
      <c r="EQ1572" s="456"/>
      <c r="ER1572" s="456"/>
      <c r="ES1572" s="456"/>
      <c r="ET1572" s="456"/>
      <c r="EU1572" s="456"/>
      <c r="EV1572" s="456"/>
      <c r="EW1572" s="456"/>
      <c r="EX1572" s="456"/>
      <c r="EY1572" s="456"/>
      <c r="EZ1572" s="456"/>
      <c r="FA1572" s="456"/>
      <c r="FB1572" s="456"/>
      <c r="FC1572" s="456"/>
      <c r="FD1572" s="456"/>
      <c r="FE1572" s="456"/>
      <c r="FF1572" s="456"/>
      <c r="FG1572" s="456"/>
      <c r="FH1572" s="456"/>
      <c r="FI1572" s="456"/>
      <c r="FJ1572" s="456"/>
      <c r="FK1572" s="456"/>
      <c r="FL1572" s="456"/>
      <c r="FM1572" s="456"/>
      <c r="FN1572" s="456"/>
      <c r="FO1572" s="456"/>
      <c r="FP1572" s="456"/>
      <c r="FQ1572" s="456"/>
      <c r="FR1572" s="456"/>
      <c r="FS1572" s="456"/>
      <c r="FT1572" s="456"/>
      <c r="FU1572" s="456"/>
      <c r="FV1572" s="456"/>
      <c r="FW1572" s="456"/>
      <c r="FX1572" s="456"/>
      <c r="FY1572" s="456"/>
      <c r="FZ1572" s="456"/>
      <c r="GA1572" s="456"/>
      <c r="GB1572" s="456"/>
      <c r="GC1572" s="456"/>
      <c r="GD1572" s="456"/>
      <c r="GE1572" s="456"/>
      <c r="GF1572" s="456"/>
      <c r="GG1572" s="456"/>
      <c r="GH1572" s="456"/>
      <c r="GI1572" s="456"/>
      <c r="GJ1572" s="456"/>
      <c r="GK1572" s="456"/>
      <c r="GL1572" s="456"/>
      <c r="GM1572" s="456"/>
      <c r="GN1572" s="456"/>
      <c r="GO1572" s="456"/>
      <c r="GP1572" s="456"/>
      <c r="GQ1572" s="456"/>
      <c r="GR1572" s="456"/>
      <c r="GS1572" s="456"/>
      <c r="GT1572" s="456"/>
      <c r="GU1572" s="456"/>
      <c r="GV1572" s="456"/>
      <c r="GW1572" s="456"/>
      <c r="GX1572" s="456"/>
      <c r="GY1572" s="456"/>
      <c r="GZ1572" s="456"/>
      <c r="HA1572" s="456"/>
      <c r="HB1572" s="456"/>
      <c r="HC1572" s="456"/>
      <c r="HD1572" s="456"/>
      <c r="HE1572" s="456"/>
      <c r="HF1572" s="456"/>
      <c r="HG1572" s="456"/>
      <c r="HH1572" s="456"/>
      <c r="HI1572" s="456"/>
      <c r="HJ1572" s="456"/>
      <c r="HK1572" s="456"/>
      <c r="HL1572" s="456"/>
      <c r="HM1572" s="456"/>
    </row>
    <row r="1573" spans="1:221" s="661" customFormat="1">
      <c r="A1573" s="1248"/>
      <c r="B1573" s="1272" t="s">
        <v>480</v>
      </c>
      <c r="C1573" s="1273" t="s">
        <v>1449</v>
      </c>
      <c r="D1573" s="1274"/>
      <c r="E1573" s="1255"/>
      <c r="F1573" s="681"/>
      <c r="G1573" s="681" t="s">
        <v>1909</v>
      </c>
      <c r="H1573" s="681"/>
      <c r="I1573" s="689"/>
      <c r="J1573" s="685"/>
      <c r="K1573" s="685"/>
      <c r="L1573" s="689"/>
      <c r="M1573" s="683"/>
      <c r="N1573" s="706"/>
      <c r="O1573" s="480"/>
      <c r="P1573" s="483"/>
      <c r="Q1573" s="483"/>
      <c r="R1573" s="479"/>
      <c r="S1573" s="483"/>
      <c r="T1573" s="479"/>
      <c r="U1573" s="479"/>
      <c r="V1573" s="479"/>
      <c r="W1573" s="479"/>
      <c r="X1573" s="479"/>
      <c r="Y1573" s="479"/>
      <c r="Z1573" s="479"/>
      <c r="AA1573" s="479"/>
      <c r="AB1573" s="479"/>
      <c r="AC1573" s="479"/>
      <c r="AD1573" s="456"/>
      <c r="AE1573" s="456"/>
      <c r="AF1573" s="456"/>
      <c r="AG1573" s="456"/>
      <c r="AH1573" s="456"/>
      <c r="AI1573" s="456"/>
      <c r="AJ1573" s="456"/>
      <c r="AK1573" s="456"/>
      <c r="AL1573" s="456"/>
      <c r="AM1573" s="456"/>
      <c r="AN1573" s="456"/>
      <c r="AO1573" s="456"/>
      <c r="AP1573" s="456"/>
      <c r="AQ1573" s="456"/>
      <c r="AR1573" s="456"/>
      <c r="AS1573" s="456"/>
      <c r="AT1573" s="456"/>
      <c r="AU1573" s="456"/>
      <c r="AV1573" s="456"/>
      <c r="AW1573" s="456"/>
      <c r="AX1573" s="456"/>
      <c r="AY1573" s="456"/>
      <c r="AZ1573" s="456"/>
      <c r="BA1573" s="456"/>
      <c r="BB1573" s="456"/>
      <c r="BC1573" s="456"/>
      <c r="BD1573" s="456"/>
      <c r="BE1573" s="456"/>
      <c r="BF1573" s="456"/>
      <c r="BG1573" s="456"/>
      <c r="BH1573" s="456"/>
      <c r="BI1573" s="456"/>
      <c r="BJ1573" s="456"/>
      <c r="BK1573" s="456"/>
      <c r="BL1573" s="456"/>
      <c r="BM1573" s="456"/>
      <c r="BN1573" s="456"/>
      <c r="BO1573" s="456"/>
      <c r="BP1573" s="456"/>
      <c r="BQ1573" s="456"/>
      <c r="BR1573" s="456"/>
      <c r="BS1573" s="456"/>
      <c r="BT1573" s="456"/>
      <c r="BU1573" s="456"/>
      <c r="BV1573" s="456"/>
      <c r="BW1573" s="456"/>
      <c r="BX1573" s="456"/>
      <c r="BY1573" s="456"/>
      <c r="BZ1573" s="456"/>
      <c r="CA1573" s="456"/>
      <c r="CB1573" s="456"/>
      <c r="CC1573" s="456"/>
      <c r="CD1573" s="456"/>
      <c r="CE1573" s="456"/>
      <c r="CF1573" s="456"/>
      <c r="CG1573" s="456"/>
      <c r="CH1573" s="456"/>
      <c r="CI1573" s="456"/>
      <c r="CJ1573" s="456"/>
      <c r="CK1573" s="456"/>
      <c r="CL1573" s="456"/>
      <c r="CM1573" s="456"/>
      <c r="CN1573" s="456"/>
      <c r="CO1573" s="456"/>
      <c r="CP1573" s="456"/>
      <c r="CQ1573" s="456"/>
      <c r="CR1573" s="456"/>
      <c r="CS1573" s="456"/>
      <c r="CT1573" s="456"/>
      <c r="CU1573" s="456"/>
      <c r="CV1573" s="456"/>
      <c r="CW1573" s="456"/>
      <c r="CX1573" s="456"/>
      <c r="CY1573" s="456"/>
      <c r="CZ1573" s="456"/>
      <c r="DA1573" s="456"/>
      <c r="DB1573" s="456"/>
      <c r="DC1573" s="456"/>
      <c r="DD1573" s="456"/>
      <c r="DE1573" s="456"/>
      <c r="DF1573" s="456"/>
      <c r="DG1573" s="456"/>
      <c r="DH1573" s="456"/>
      <c r="DI1573" s="456"/>
      <c r="DJ1573" s="456"/>
      <c r="DK1573" s="456"/>
      <c r="DL1573" s="456"/>
      <c r="DM1573" s="456"/>
      <c r="DN1573" s="456"/>
      <c r="DO1573" s="456"/>
      <c r="DP1573" s="456"/>
      <c r="DQ1573" s="456"/>
      <c r="DR1573" s="456"/>
      <c r="DS1573" s="456"/>
      <c r="DT1573" s="456"/>
      <c r="DU1573" s="456"/>
      <c r="DV1573" s="456"/>
      <c r="DW1573" s="456"/>
      <c r="DX1573" s="456"/>
      <c r="DY1573" s="456"/>
      <c r="DZ1573" s="456"/>
      <c r="EA1573" s="456"/>
      <c r="EB1573" s="456"/>
      <c r="EC1573" s="456"/>
      <c r="ED1573" s="456"/>
      <c r="EE1573" s="456"/>
      <c r="EF1573" s="456"/>
      <c r="EG1573" s="456"/>
      <c r="EH1573" s="456"/>
      <c r="EI1573" s="456"/>
      <c r="EJ1573" s="456"/>
      <c r="EK1573" s="456"/>
      <c r="EL1573" s="456"/>
      <c r="EM1573" s="456"/>
      <c r="EN1573" s="456"/>
      <c r="EO1573" s="456"/>
      <c r="EP1573" s="456"/>
      <c r="EQ1573" s="456"/>
      <c r="ER1573" s="456"/>
      <c r="ES1573" s="456"/>
      <c r="ET1573" s="456"/>
      <c r="EU1573" s="456"/>
      <c r="EV1573" s="456"/>
      <c r="EW1573" s="456"/>
      <c r="EX1573" s="456"/>
      <c r="EY1573" s="456"/>
      <c r="EZ1573" s="456"/>
      <c r="FA1573" s="456"/>
      <c r="FB1573" s="456"/>
      <c r="FC1573" s="456"/>
      <c r="FD1573" s="456"/>
      <c r="FE1573" s="456"/>
      <c r="FF1573" s="456"/>
      <c r="FG1573" s="456"/>
      <c r="FH1573" s="456"/>
      <c r="FI1573" s="456"/>
      <c r="FJ1573" s="456"/>
      <c r="FK1573" s="456"/>
      <c r="FL1573" s="456"/>
      <c r="FM1573" s="456"/>
      <c r="FN1573" s="456"/>
      <c r="FO1573" s="456"/>
      <c r="FP1573" s="456"/>
      <c r="FQ1573" s="456"/>
      <c r="FR1573" s="456"/>
      <c r="FS1573" s="456"/>
      <c r="FT1573" s="456"/>
      <c r="FU1573" s="456"/>
      <c r="FV1573" s="456"/>
      <c r="FW1573" s="456"/>
      <c r="FX1573" s="456"/>
      <c r="FY1573" s="456"/>
      <c r="FZ1573" s="456"/>
      <c r="GA1573" s="456"/>
      <c r="GB1573" s="456"/>
      <c r="GC1573" s="456"/>
      <c r="GD1573" s="456"/>
      <c r="GE1573" s="456"/>
      <c r="GF1573" s="456"/>
      <c r="GG1573" s="456"/>
      <c r="GH1573" s="456"/>
      <c r="GI1573" s="456"/>
      <c r="GJ1573" s="456"/>
      <c r="GK1573" s="456"/>
      <c r="GL1573" s="456"/>
      <c r="GM1573" s="456"/>
      <c r="GN1573" s="456"/>
      <c r="GO1573" s="456"/>
      <c r="GP1573" s="456"/>
      <c r="GQ1573" s="456"/>
      <c r="GR1573" s="456"/>
      <c r="GS1573" s="456"/>
      <c r="GT1573" s="456"/>
      <c r="GU1573" s="456"/>
      <c r="GV1573" s="456"/>
      <c r="GW1573" s="456"/>
      <c r="GX1573" s="456"/>
      <c r="GY1573" s="456"/>
      <c r="GZ1573" s="456"/>
      <c r="HA1573" s="456"/>
      <c r="HB1573" s="456"/>
      <c r="HC1573" s="456"/>
      <c r="HD1573" s="456"/>
      <c r="HE1573" s="456"/>
      <c r="HF1573" s="456"/>
      <c r="HG1573" s="456"/>
      <c r="HH1573" s="456"/>
      <c r="HI1573" s="456"/>
      <c r="HJ1573" s="456"/>
      <c r="HK1573" s="456"/>
      <c r="HL1573" s="456"/>
      <c r="HM1573" s="456"/>
    </row>
    <row r="1574" spans="1:221" s="718" customFormat="1">
      <c r="A1574" s="1248"/>
      <c r="B1574" s="1272" t="s">
        <v>2497</v>
      </c>
      <c r="C1574" s="1273" t="s">
        <v>2498</v>
      </c>
      <c r="D1574" s="1274"/>
      <c r="E1574" s="1255"/>
      <c r="F1574" s="681"/>
      <c r="G1574" s="681" t="s">
        <v>1909</v>
      </c>
      <c r="H1574" s="681"/>
      <c r="I1574" s="689"/>
      <c r="J1574" s="685"/>
      <c r="K1574" s="685"/>
      <c r="L1574" s="689"/>
      <c r="M1574" s="683"/>
      <c r="N1574" s="706"/>
      <c r="O1574" s="480"/>
      <c r="P1574" s="483"/>
      <c r="Q1574" s="483"/>
      <c r="R1574" s="479"/>
      <c r="S1574" s="483"/>
      <c r="T1574" s="479"/>
      <c r="U1574" s="479"/>
      <c r="V1574" s="479"/>
      <c r="W1574" s="479"/>
      <c r="X1574" s="479"/>
      <c r="Y1574" s="479"/>
      <c r="Z1574" s="479"/>
      <c r="AA1574" s="479"/>
      <c r="AB1574" s="479"/>
      <c r="AC1574" s="479"/>
      <c r="AD1574" s="456"/>
      <c r="AE1574" s="456"/>
      <c r="AF1574" s="456"/>
      <c r="AG1574" s="456"/>
      <c r="AH1574" s="456"/>
      <c r="AI1574" s="456"/>
      <c r="AJ1574" s="456"/>
      <c r="AK1574" s="456"/>
      <c r="AL1574" s="456"/>
      <c r="AM1574" s="456"/>
      <c r="AN1574" s="456"/>
      <c r="AO1574" s="456"/>
      <c r="AP1574" s="456"/>
      <c r="AQ1574" s="456"/>
      <c r="AR1574" s="456"/>
      <c r="AS1574" s="456"/>
      <c r="AT1574" s="456"/>
      <c r="AU1574" s="456"/>
      <c r="AV1574" s="456"/>
      <c r="AW1574" s="456"/>
      <c r="AX1574" s="456"/>
      <c r="AY1574" s="456"/>
      <c r="AZ1574" s="456"/>
      <c r="BA1574" s="456"/>
      <c r="BB1574" s="456"/>
      <c r="BC1574" s="456"/>
      <c r="BD1574" s="456"/>
      <c r="BE1574" s="456"/>
      <c r="BF1574" s="456"/>
      <c r="BG1574" s="456"/>
      <c r="BH1574" s="456"/>
      <c r="BI1574" s="456"/>
      <c r="BJ1574" s="456"/>
      <c r="BK1574" s="456"/>
      <c r="BL1574" s="456"/>
      <c r="BM1574" s="456"/>
      <c r="BN1574" s="456"/>
      <c r="BO1574" s="456"/>
      <c r="BP1574" s="456"/>
      <c r="BQ1574" s="456"/>
      <c r="BR1574" s="456"/>
      <c r="BS1574" s="456"/>
      <c r="BT1574" s="456"/>
      <c r="BU1574" s="456"/>
      <c r="BV1574" s="456"/>
      <c r="BW1574" s="456"/>
      <c r="BX1574" s="456"/>
      <c r="BY1574" s="456"/>
      <c r="BZ1574" s="456"/>
      <c r="CA1574" s="456"/>
      <c r="CB1574" s="456"/>
      <c r="CC1574" s="456"/>
      <c r="CD1574" s="456"/>
      <c r="CE1574" s="456"/>
      <c r="CF1574" s="456"/>
      <c r="CG1574" s="456"/>
      <c r="CH1574" s="456"/>
      <c r="CI1574" s="456"/>
      <c r="CJ1574" s="456"/>
      <c r="CK1574" s="456"/>
      <c r="CL1574" s="456"/>
      <c r="CM1574" s="456"/>
      <c r="CN1574" s="456"/>
      <c r="CO1574" s="456"/>
      <c r="CP1574" s="456"/>
      <c r="CQ1574" s="456"/>
      <c r="CR1574" s="456"/>
      <c r="CS1574" s="456"/>
      <c r="CT1574" s="456"/>
      <c r="CU1574" s="456"/>
      <c r="CV1574" s="456"/>
      <c r="CW1574" s="456"/>
      <c r="CX1574" s="456"/>
      <c r="CY1574" s="456"/>
      <c r="CZ1574" s="456"/>
      <c r="DA1574" s="456"/>
      <c r="DB1574" s="456"/>
      <c r="DC1574" s="456"/>
      <c r="DD1574" s="456"/>
      <c r="DE1574" s="456"/>
      <c r="DF1574" s="456"/>
      <c r="DG1574" s="456"/>
      <c r="DH1574" s="456"/>
      <c r="DI1574" s="456"/>
      <c r="DJ1574" s="456"/>
      <c r="DK1574" s="456"/>
      <c r="DL1574" s="456"/>
      <c r="DM1574" s="456"/>
      <c r="DN1574" s="456"/>
      <c r="DO1574" s="456"/>
      <c r="DP1574" s="456"/>
      <c r="DQ1574" s="456"/>
      <c r="DR1574" s="456"/>
      <c r="DS1574" s="456"/>
      <c r="DT1574" s="456"/>
      <c r="DU1574" s="456"/>
      <c r="DV1574" s="456"/>
      <c r="DW1574" s="456"/>
      <c r="DX1574" s="456"/>
      <c r="DY1574" s="456"/>
      <c r="DZ1574" s="456"/>
      <c r="EA1574" s="456"/>
      <c r="EB1574" s="456"/>
      <c r="EC1574" s="456"/>
      <c r="ED1574" s="456"/>
      <c r="EE1574" s="456"/>
      <c r="EF1574" s="456"/>
      <c r="EG1574" s="456"/>
      <c r="EH1574" s="456"/>
      <c r="EI1574" s="456"/>
      <c r="EJ1574" s="456"/>
      <c r="EK1574" s="456"/>
      <c r="EL1574" s="456"/>
      <c r="EM1574" s="456"/>
      <c r="EN1574" s="456"/>
      <c r="EO1574" s="456"/>
      <c r="EP1574" s="456"/>
      <c r="EQ1574" s="456"/>
      <c r="ER1574" s="456"/>
      <c r="ES1574" s="456"/>
      <c r="ET1574" s="456"/>
      <c r="EU1574" s="456"/>
      <c r="EV1574" s="456"/>
      <c r="EW1574" s="456"/>
      <c r="EX1574" s="456"/>
      <c r="EY1574" s="456"/>
      <c r="EZ1574" s="456"/>
      <c r="FA1574" s="456"/>
      <c r="FB1574" s="456"/>
      <c r="FC1574" s="456"/>
      <c r="FD1574" s="456"/>
      <c r="FE1574" s="456"/>
      <c r="FF1574" s="456"/>
      <c r="FG1574" s="456"/>
      <c r="FH1574" s="456"/>
      <c r="FI1574" s="456"/>
      <c r="FJ1574" s="456"/>
      <c r="FK1574" s="456"/>
      <c r="FL1574" s="456"/>
      <c r="FM1574" s="456"/>
      <c r="FN1574" s="456"/>
      <c r="FO1574" s="456"/>
      <c r="FP1574" s="456"/>
      <c r="FQ1574" s="456"/>
      <c r="FR1574" s="456"/>
      <c r="FS1574" s="456"/>
      <c r="FT1574" s="456"/>
      <c r="FU1574" s="456"/>
      <c r="FV1574" s="456"/>
      <c r="FW1574" s="456"/>
      <c r="FX1574" s="456"/>
      <c r="FY1574" s="456"/>
      <c r="FZ1574" s="456"/>
      <c r="GA1574" s="456"/>
      <c r="GB1574" s="456"/>
      <c r="GC1574" s="456"/>
      <c r="GD1574" s="456"/>
      <c r="GE1574" s="456"/>
      <c r="GF1574" s="456"/>
      <c r="GG1574" s="456"/>
      <c r="GH1574" s="456"/>
      <c r="GI1574" s="456"/>
      <c r="GJ1574" s="456"/>
      <c r="GK1574" s="456"/>
      <c r="GL1574" s="456"/>
      <c r="GM1574" s="456"/>
      <c r="GN1574" s="456"/>
      <c r="GO1574" s="456"/>
      <c r="GP1574" s="456"/>
      <c r="GQ1574" s="456"/>
      <c r="GR1574" s="456"/>
      <c r="GS1574" s="456"/>
      <c r="GT1574" s="456"/>
      <c r="GU1574" s="456"/>
      <c r="GV1574" s="456"/>
      <c r="GW1574" s="456"/>
      <c r="GX1574" s="456"/>
      <c r="GY1574" s="456"/>
      <c r="GZ1574" s="456"/>
      <c r="HA1574" s="456"/>
      <c r="HB1574" s="456"/>
      <c r="HC1574" s="456"/>
      <c r="HD1574" s="456"/>
      <c r="HE1574" s="456"/>
      <c r="HF1574" s="456"/>
      <c r="HG1574" s="456"/>
      <c r="HH1574" s="456"/>
      <c r="HI1574" s="456"/>
      <c r="HJ1574" s="456"/>
      <c r="HK1574" s="456"/>
      <c r="HL1574" s="456"/>
      <c r="HM1574" s="456"/>
    </row>
    <row r="1575" spans="1:221" s="718" customFormat="1">
      <c r="A1575" s="1248"/>
      <c r="B1575" s="1272" t="s">
        <v>2497</v>
      </c>
      <c r="C1575" s="1273" t="s">
        <v>2499</v>
      </c>
      <c r="D1575" s="1274"/>
      <c r="E1575" s="1255"/>
      <c r="F1575" s="681"/>
      <c r="G1575" s="681" t="s">
        <v>1909</v>
      </c>
      <c r="H1575" s="681"/>
      <c r="I1575" s="689"/>
      <c r="J1575" s="685"/>
      <c r="K1575" s="685"/>
      <c r="L1575" s="689"/>
      <c r="M1575" s="683"/>
      <c r="N1575" s="706"/>
      <c r="O1575" s="480"/>
      <c r="P1575" s="483"/>
      <c r="Q1575" s="483"/>
      <c r="R1575" s="479"/>
      <c r="S1575" s="483"/>
      <c r="T1575" s="479"/>
      <c r="U1575" s="479"/>
      <c r="V1575" s="479"/>
      <c r="W1575" s="479"/>
      <c r="X1575" s="479"/>
      <c r="Y1575" s="479"/>
      <c r="Z1575" s="479"/>
      <c r="AA1575" s="479"/>
      <c r="AB1575" s="479"/>
      <c r="AC1575" s="479"/>
      <c r="AD1575" s="456"/>
      <c r="AE1575" s="456"/>
      <c r="AF1575" s="456"/>
      <c r="AG1575" s="456"/>
      <c r="AH1575" s="456"/>
      <c r="AI1575" s="456"/>
      <c r="AJ1575" s="456"/>
      <c r="AK1575" s="456"/>
      <c r="AL1575" s="456"/>
      <c r="AM1575" s="456"/>
      <c r="AN1575" s="456"/>
      <c r="AO1575" s="456"/>
      <c r="AP1575" s="456"/>
      <c r="AQ1575" s="456"/>
      <c r="AR1575" s="456"/>
      <c r="AS1575" s="456"/>
      <c r="AT1575" s="456"/>
      <c r="AU1575" s="456"/>
      <c r="AV1575" s="456"/>
      <c r="AW1575" s="456"/>
      <c r="AX1575" s="456"/>
      <c r="AY1575" s="456"/>
      <c r="AZ1575" s="456"/>
      <c r="BA1575" s="456"/>
      <c r="BB1575" s="456"/>
      <c r="BC1575" s="456"/>
      <c r="BD1575" s="456"/>
      <c r="BE1575" s="456"/>
      <c r="BF1575" s="456"/>
      <c r="BG1575" s="456"/>
      <c r="BH1575" s="456"/>
      <c r="BI1575" s="456"/>
      <c r="BJ1575" s="456"/>
      <c r="BK1575" s="456"/>
      <c r="BL1575" s="456"/>
      <c r="BM1575" s="456"/>
      <c r="BN1575" s="456"/>
      <c r="BO1575" s="456"/>
      <c r="BP1575" s="456"/>
      <c r="BQ1575" s="456"/>
      <c r="BR1575" s="456"/>
      <c r="BS1575" s="456"/>
      <c r="BT1575" s="456"/>
      <c r="BU1575" s="456"/>
      <c r="BV1575" s="456"/>
      <c r="BW1575" s="456"/>
      <c r="BX1575" s="456"/>
      <c r="BY1575" s="456"/>
      <c r="BZ1575" s="456"/>
      <c r="CA1575" s="456"/>
      <c r="CB1575" s="456"/>
      <c r="CC1575" s="456"/>
      <c r="CD1575" s="456"/>
      <c r="CE1575" s="456"/>
      <c r="CF1575" s="456"/>
      <c r="CG1575" s="456"/>
      <c r="CH1575" s="456"/>
      <c r="CI1575" s="456"/>
      <c r="CJ1575" s="456"/>
      <c r="CK1575" s="456"/>
      <c r="CL1575" s="456"/>
      <c r="CM1575" s="456"/>
      <c r="CN1575" s="456"/>
      <c r="CO1575" s="456"/>
      <c r="CP1575" s="456"/>
      <c r="CQ1575" s="456"/>
      <c r="CR1575" s="456"/>
      <c r="CS1575" s="456"/>
      <c r="CT1575" s="456"/>
      <c r="CU1575" s="456"/>
      <c r="CV1575" s="456"/>
      <c r="CW1575" s="456"/>
      <c r="CX1575" s="456"/>
      <c r="CY1575" s="456"/>
      <c r="CZ1575" s="456"/>
      <c r="DA1575" s="456"/>
      <c r="DB1575" s="456"/>
      <c r="DC1575" s="456"/>
      <c r="DD1575" s="456"/>
      <c r="DE1575" s="456"/>
      <c r="DF1575" s="456"/>
      <c r="DG1575" s="456"/>
      <c r="DH1575" s="456"/>
      <c r="DI1575" s="456"/>
      <c r="DJ1575" s="456"/>
      <c r="DK1575" s="456"/>
      <c r="DL1575" s="456"/>
      <c r="DM1575" s="456"/>
      <c r="DN1575" s="456"/>
      <c r="DO1575" s="456"/>
      <c r="DP1575" s="456"/>
      <c r="DQ1575" s="456"/>
      <c r="DR1575" s="456"/>
      <c r="DS1575" s="456"/>
      <c r="DT1575" s="456"/>
      <c r="DU1575" s="456"/>
      <c r="DV1575" s="456"/>
      <c r="DW1575" s="456"/>
      <c r="DX1575" s="456"/>
      <c r="DY1575" s="456"/>
      <c r="DZ1575" s="456"/>
      <c r="EA1575" s="456"/>
      <c r="EB1575" s="456"/>
      <c r="EC1575" s="456"/>
      <c r="ED1575" s="456"/>
      <c r="EE1575" s="456"/>
      <c r="EF1575" s="456"/>
      <c r="EG1575" s="456"/>
      <c r="EH1575" s="456"/>
      <c r="EI1575" s="456"/>
      <c r="EJ1575" s="456"/>
      <c r="EK1575" s="456"/>
      <c r="EL1575" s="456"/>
      <c r="EM1575" s="456"/>
      <c r="EN1575" s="456"/>
      <c r="EO1575" s="456"/>
      <c r="EP1575" s="456"/>
      <c r="EQ1575" s="456"/>
      <c r="ER1575" s="456"/>
      <c r="ES1575" s="456"/>
      <c r="ET1575" s="456"/>
      <c r="EU1575" s="456"/>
      <c r="EV1575" s="456"/>
      <c r="EW1575" s="456"/>
      <c r="EX1575" s="456"/>
      <c r="EY1575" s="456"/>
      <c r="EZ1575" s="456"/>
      <c r="FA1575" s="456"/>
      <c r="FB1575" s="456"/>
      <c r="FC1575" s="456"/>
      <c r="FD1575" s="456"/>
      <c r="FE1575" s="456"/>
      <c r="FF1575" s="456"/>
      <c r="FG1575" s="456"/>
      <c r="FH1575" s="456"/>
      <c r="FI1575" s="456"/>
      <c r="FJ1575" s="456"/>
      <c r="FK1575" s="456"/>
      <c r="FL1575" s="456"/>
      <c r="FM1575" s="456"/>
      <c r="FN1575" s="456"/>
      <c r="FO1575" s="456"/>
      <c r="FP1575" s="456"/>
      <c r="FQ1575" s="456"/>
      <c r="FR1575" s="456"/>
      <c r="FS1575" s="456"/>
      <c r="FT1575" s="456"/>
      <c r="FU1575" s="456"/>
      <c r="FV1575" s="456"/>
      <c r="FW1575" s="456"/>
      <c r="FX1575" s="456"/>
      <c r="FY1575" s="456"/>
      <c r="FZ1575" s="456"/>
      <c r="GA1575" s="456"/>
      <c r="GB1575" s="456"/>
      <c r="GC1575" s="456"/>
      <c r="GD1575" s="456"/>
      <c r="GE1575" s="456"/>
      <c r="GF1575" s="456"/>
      <c r="GG1575" s="456"/>
      <c r="GH1575" s="456"/>
      <c r="GI1575" s="456"/>
      <c r="GJ1575" s="456"/>
      <c r="GK1575" s="456"/>
      <c r="GL1575" s="456"/>
      <c r="GM1575" s="456"/>
      <c r="GN1575" s="456"/>
      <c r="GO1575" s="456"/>
      <c r="GP1575" s="456"/>
      <c r="GQ1575" s="456"/>
      <c r="GR1575" s="456"/>
      <c r="GS1575" s="456"/>
      <c r="GT1575" s="456"/>
      <c r="GU1575" s="456"/>
      <c r="GV1575" s="456"/>
      <c r="GW1575" s="456"/>
      <c r="GX1575" s="456"/>
      <c r="GY1575" s="456"/>
      <c r="GZ1575" s="456"/>
      <c r="HA1575" s="456"/>
      <c r="HB1575" s="456"/>
      <c r="HC1575" s="456"/>
      <c r="HD1575" s="456"/>
      <c r="HE1575" s="456"/>
      <c r="HF1575" s="456"/>
      <c r="HG1575" s="456"/>
      <c r="HH1575" s="456"/>
      <c r="HI1575" s="456"/>
      <c r="HJ1575" s="456"/>
      <c r="HK1575" s="456"/>
      <c r="HL1575" s="456"/>
      <c r="HM1575" s="456"/>
    </row>
    <row r="1576" spans="1:221" s="718" customFormat="1">
      <c r="A1576" s="703"/>
      <c r="B1576" s="1272" t="s">
        <v>36</v>
      </c>
      <c r="C1576" s="1273" t="s">
        <v>1610</v>
      </c>
      <c r="D1576" s="1274"/>
      <c r="E1576" s="1255">
        <v>59</v>
      </c>
      <c r="F1576" s="681"/>
      <c r="G1576" s="683"/>
      <c r="H1576" s="683"/>
      <c r="I1576" s="689">
        <v>2</v>
      </c>
      <c r="J1576" s="685" t="s">
        <v>206</v>
      </c>
      <c r="K1576" s="685"/>
      <c r="L1576" s="689">
        <v>84</v>
      </c>
      <c r="M1576" s="683"/>
      <c r="N1576" s="706"/>
      <c r="O1576" s="711"/>
      <c r="P1576" s="712"/>
      <c r="Q1576" s="712"/>
      <c r="R1576" s="696"/>
      <c r="S1576" s="712"/>
      <c r="T1576" s="696"/>
      <c r="U1576" s="696"/>
      <c r="V1576" s="696"/>
      <c r="W1576" s="696"/>
      <c r="X1576" s="696"/>
      <c r="Y1576" s="696"/>
      <c r="Z1576" s="696"/>
      <c r="AA1576" s="696"/>
      <c r="AB1576" s="696"/>
      <c r="AC1576" s="696"/>
      <c r="AD1576" s="688"/>
      <c r="AE1576" s="688"/>
      <c r="AF1576" s="688"/>
      <c r="AG1576" s="688"/>
      <c r="AH1576" s="688"/>
      <c r="AI1576" s="688"/>
      <c r="AJ1576" s="688"/>
      <c r="AK1576" s="688"/>
      <c r="AL1576" s="688"/>
      <c r="AM1576" s="688"/>
      <c r="AN1576" s="688"/>
      <c r="AO1576" s="688"/>
      <c r="AP1576" s="688"/>
      <c r="AQ1576" s="688"/>
      <c r="AR1576" s="688"/>
      <c r="AS1576" s="688"/>
      <c r="AT1576" s="688"/>
      <c r="AU1576" s="688"/>
      <c r="AV1576" s="688"/>
      <c r="AW1576" s="688"/>
      <c r="AX1576" s="688"/>
      <c r="AY1576" s="688"/>
      <c r="AZ1576" s="688"/>
      <c r="BA1576" s="688"/>
      <c r="BB1576" s="688"/>
      <c r="BC1576" s="688"/>
      <c r="BD1576" s="688"/>
      <c r="BE1576" s="688"/>
      <c r="BF1576" s="688"/>
      <c r="BG1576" s="688"/>
      <c r="BH1576" s="688"/>
      <c r="BI1576" s="688"/>
      <c r="BJ1576" s="688"/>
      <c r="BK1576" s="688"/>
      <c r="BL1576" s="688"/>
      <c r="BM1576" s="688"/>
      <c r="BN1576" s="688"/>
      <c r="BO1576" s="688"/>
      <c r="BP1576" s="688"/>
      <c r="BQ1576" s="688"/>
      <c r="BR1576" s="688"/>
      <c r="BS1576" s="688"/>
      <c r="BT1576" s="688"/>
      <c r="BU1576" s="688"/>
      <c r="BV1576" s="688"/>
      <c r="BW1576" s="688"/>
      <c r="BX1576" s="688"/>
      <c r="BY1576" s="688"/>
      <c r="BZ1576" s="688"/>
      <c r="CA1576" s="688"/>
      <c r="CB1576" s="688"/>
      <c r="CC1576" s="688"/>
      <c r="CD1576" s="688"/>
      <c r="CE1576" s="688"/>
      <c r="CF1576" s="688"/>
      <c r="CG1576" s="688"/>
      <c r="CH1576" s="688"/>
      <c r="CI1576" s="688"/>
      <c r="CJ1576" s="688"/>
      <c r="CK1576" s="688"/>
      <c r="CL1576" s="688"/>
      <c r="CM1576" s="688"/>
      <c r="CN1576" s="688"/>
      <c r="CO1576" s="688"/>
      <c r="CP1576" s="688"/>
      <c r="CQ1576" s="688"/>
      <c r="CR1576" s="688"/>
      <c r="CS1576" s="688"/>
      <c r="CT1576" s="688"/>
      <c r="CU1576" s="688"/>
      <c r="CV1576" s="688"/>
      <c r="CW1576" s="688"/>
      <c r="CX1576" s="688"/>
      <c r="CY1576" s="688"/>
      <c r="CZ1576" s="688"/>
      <c r="DA1576" s="688"/>
      <c r="DB1576" s="688"/>
      <c r="DC1576" s="688"/>
      <c r="DD1576" s="688"/>
      <c r="DE1576" s="688"/>
      <c r="DF1576" s="688"/>
      <c r="DG1576" s="688"/>
      <c r="DH1576" s="688"/>
      <c r="DI1576" s="688"/>
      <c r="DJ1576" s="688"/>
      <c r="DK1576" s="688"/>
      <c r="DL1576" s="688"/>
      <c r="DM1576" s="688"/>
      <c r="DN1576" s="688"/>
      <c r="DO1576" s="688"/>
      <c r="DP1576" s="688"/>
      <c r="DQ1576" s="688"/>
      <c r="DR1576" s="688"/>
      <c r="DS1576" s="688"/>
      <c r="DT1576" s="688"/>
      <c r="DU1576" s="688"/>
      <c r="DV1576" s="688"/>
      <c r="DW1576" s="688"/>
      <c r="DX1576" s="688"/>
      <c r="DY1576" s="688"/>
      <c r="DZ1576" s="688"/>
      <c r="EA1576" s="688"/>
      <c r="EB1576" s="688"/>
      <c r="EC1576" s="688"/>
      <c r="ED1576" s="688"/>
      <c r="EE1576" s="688"/>
      <c r="EF1576" s="688"/>
      <c r="EG1576" s="688"/>
      <c r="EH1576" s="688"/>
      <c r="EI1576" s="688"/>
      <c r="EJ1576" s="688"/>
      <c r="EK1576" s="688"/>
      <c r="EL1576" s="688"/>
      <c r="EM1576" s="688"/>
      <c r="EN1576" s="688"/>
      <c r="EO1576" s="688"/>
      <c r="EP1576" s="688"/>
      <c r="EQ1576" s="688"/>
      <c r="ER1576" s="688"/>
      <c r="ES1576" s="688"/>
      <c r="ET1576" s="688"/>
      <c r="EU1576" s="688"/>
      <c r="EV1576" s="688"/>
      <c r="EW1576" s="688"/>
      <c r="EX1576" s="688"/>
      <c r="EY1576" s="688"/>
      <c r="EZ1576" s="688"/>
      <c r="FA1576" s="688"/>
      <c r="FB1576" s="688"/>
      <c r="FC1576" s="688"/>
      <c r="FD1576" s="688"/>
      <c r="FE1576" s="688"/>
      <c r="FF1576" s="688"/>
      <c r="FG1576" s="688"/>
      <c r="FH1576" s="688"/>
      <c r="FI1576" s="688"/>
      <c r="FJ1576" s="688"/>
      <c r="FK1576" s="688"/>
      <c r="FL1576" s="688"/>
      <c r="FM1576" s="688"/>
      <c r="FN1576" s="688"/>
      <c r="FO1576" s="688"/>
      <c r="FP1576" s="688"/>
      <c r="FQ1576" s="688"/>
      <c r="FR1576" s="688"/>
      <c r="FS1576" s="688"/>
      <c r="FT1576" s="688"/>
      <c r="FU1576" s="688"/>
      <c r="FV1576" s="688"/>
      <c r="FW1576" s="688"/>
      <c r="FX1576" s="688"/>
      <c r="FY1576" s="688"/>
      <c r="FZ1576" s="688"/>
      <c r="GA1576" s="688"/>
      <c r="GB1576" s="688"/>
      <c r="GC1576" s="688"/>
      <c r="GD1576" s="688"/>
      <c r="GE1576" s="688"/>
      <c r="GF1576" s="688"/>
      <c r="GG1576" s="688"/>
      <c r="GH1576" s="688"/>
      <c r="GI1576" s="688"/>
      <c r="GJ1576" s="688"/>
      <c r="GK1576" s="688"/>
      <c r="GL1576" s="688"/>
      <c r="GM1576" s="688"/>
      <c r="GN1576" s="688"/>
      <c r="GO1576" s="688"/>
      <c r="GP1576" s="688"/>
      <c r="GQ1576" s="688"/>
      <c r="GR1576" s="688"/>
      <c r="GS1576" s="688"/>
      <c r="GT1576" s="688"/>
      <c r="GU1576" s="688"/>
      <c r="GV1576" s="688"/>
      <c r="GW1576" s="688"/>
      <c r="GX1576" s="688"/>
      <c r="GY1576" s="688"/>
      <c r="GZ1576" s="688"/>
      <c r="HA1576" s="688"/>
      <c r="HB1576" s="688"/>
      <c r="HC1576" s="688"/>
      <c r="HD1576" s="688"/>
      <c r="HE1576" s="688"/>
      <c r="HF1576" s="688"/>
      <c r="HG1576" s="688"/>
      <c r="HH1576" s="688"/>
      <c r="HI1576" s="688"/>
      <c r="HJ1576" s="688"/>
      <c r="HK1576" s="688"/>
      <c r="HL1576" s="688"/>
      <c r="HM1576" s="688"/>
    </row>
    <row r="1577" spans="1:221" s="791" customFormat="1">
      <c r="A1577" s="703" t="s">
        <v>1543</v>
      </c>
      <c r="B1577" s="1272" t="s">
        <v>36</v>
      </c>
      <c r="C1577" s="1273" t="s">
        <v>922</v>
      </c>
      <c r="D1577" s="1274"/>
      <c r="E1577" s="1255">
        <v>35</v>
      </c>
      <c r="F1577" s="713"/>
      <c r="G1577" s="713"/>
      <c r="H1577" s="713"/>
      <c r="I1577" s="714">
        <v>2</v>
      </c>
      <c r="J1577" s="714" t="s">
        <v>206</v>
      </c>
      <c r="K1577" s="714"/>
      <c r="L1577" s="714">
        <v>60</v>
      </c>
      <c r="M1577" s="683">
        <v>25</v>
      </c>
      <c r="N1577" s="706">
        <v>3</v>
      </c>
      <c r="O1577" s="711" t="s">
        <v>1545</v>
      </c>
      <c r="P1577" s="715"/>
      <c r="Q1577" s="715"/>
      <c r="R1577" s="716"/>
      <c r="S1577" s="715"/>
      <c r="T1577" s="716"/>
      <c r="U1577" s="716"/>
      <c r="V1577" s="716"/>
      <c r="W1577" s="716"/>
      <c r="X1577" s="716"/>
      <c r="Y1577" s="716"/>
      <c r="Z1577" s="716"/>
      <c r="AA1577" s="716"/>
      <c r="AB1577" s="716"/>
      <c r="AC1577" s="716"/>
      <c r="AD1577" s="717"/>
      <c r="AE1577" s="717"/>
      <c r="AF1577" s="717"/>
      <c r="AG1577" s="717"/>
      <c r="AH1577" s="717"/>
      <c r="AI1577" s="717"/>
      <c r="AJ1577" s="717"/>
      <c r="AK1577" s="717"/>
      <c r="AL1577" s="717"/>
      <c r="AM1577" s="717"/>
      <c r="AN1577" s="717"/>
      <c r="AO1577" s="717"/>
      <c r="AP1577" s="717"/>
      <c r="AQ1577" s="717"/>
      <c r="AR1577" s="717"/>
      <c r="AS1577" s="717"/>
      <c r="AT1577" s="717"/>
      <c r="AU1577" s="717"/>
      <c r="AV1577" s="717"/>
      <c r="AW1577" s="717"/>
      <c r="AX1577" s="717"/>
      <c r="AY1577" s="717"/>
      <c r="AZ1577" s="717"/>
      <c r="BA1577" s="717"/>
      <c r="BB1577" s="717"/>
      <c r="BC1577" s="717"/>
      <c r="BD1577" s="717"/>
      <c r="BE1577" s="717"/>
      <c r="BF1577" s="717"/>
      <c r="BG1577" s="717"/>
      <c r="BH1577" s="717"/>
      <c r="BI1577" s="717"/>
      <c r="BJ1577" s="717"/>
      <c r="BK1577" s="717"/>
      <c r="BL1577" s="717"/>
      <c r="BM1577" s="717"/>
      <c r="BN1577" s="717"/>
      <c r="BO1577" s="717"/>
      <c r="BP1577" s="717"/>
      <c r="BQ1577" s="717"/>
      <c r="BR1577" s="718"/>
      <c r="BS1577" s="718"/>
      <c r="BT1577" s="718"/>
      <c r="BU1577" s="718"/>
      <c r="BV1577" s="718"/>
      <c r="BW1577" s="718"/>
      <c r="BX1577" s="718"/>
      <c r="BY1577" s="718"/>
      <c r="BZ1577" s="718"/>
      <c r="CA1577" s="718"/>
      <c r="CB1577" s="718"/>
      <c r="CC1577" s="718"/>
      <c r="CD1577" s="718"/>
      <c r="CE1577" s="718"/>
      <c r="CF1577" s="718"/>
      <c r="CG1577" s="718"/>
      <c r="CH1577" s="718"/>
      <c r="CI1577" s="718"/>
      <c r="CJ1577" s="718"/>
      <c r="CK1577" s="718"/>
      <c r="CL1577" s="718"/>
      <c r="CM1577" s="718"/>
      <c r="CN1577" s="718"/>
      <c r="CO1577" s="718"/>
      <c r="CP1577" s="718"/>
      <c r="CQ1577" s="718"/>
      <c r="CR1577" s="718"/>
      <c r="CS1577" s="718"/>
      <c r="CT1577" s="718"/>
      <c r="CU1577" s="718"/>
      <c r="CV1577" s="718"/>
      <c r="CW1577" s="718"/>
      <c r="CX1577" s="718"/>
      <c r="CY1577" s="718"/>
      <c r="CZ1577" s="718"/>
      <c r="DA1577" s="718"/>
      <c r="DB1577" s="718"/>
      <c r="DC1577" s="718"/>
      <c r="DD1577" s="718"/>
      <c r="DE1577" s="718"/>
      <c r="DF1577" s="718"/>
      <c r="DG1577" s="718"/>
      <c r="DH1577" s="718"/>
      <c r="DI1577" s="718"/>
      <c r="DJ1577" s="718"/>
      <c r="DK1577" s="718"/>
      <c r="DL1577" s="718"/>
      <c r="DM1577" s="718"/>
      <c r="DN1577" s="718"/>
      <c r="DO1577" s="718"/>
      <c r="DP1577" s="718"/>
      <c r="DQ1577" s="718"/>
      <c r="DR1577" s="718"/>
      <c r="DS1577" s="718"/>
      <c r="DT1577" s="718"/>
      <c r="DU1577" s="718"/>
      <c r="DV1577" s="718"/>
      <c r="DW1577" s="718"/>
      <c r="DX1577" s="718"/>
      <c r="DY1577" s="718"/>
      <c r="DZ1577" s="718"/>
      <c r="EA1577" s="718"/>
      <c r="EB1577" s="718"/>
      <c r="EC1577" s="718"/>
      <c r="ED1577" s="718"/>
      <c r="EE1577" s="718"/>
      <c r="EF1577" s="718"/>
      <c r="EG1577" s="718"/>
      <c r="EH1577" s="718"/>
      <c r="EI1577" s="718"/>
      <c r="EJ1577" s="718"/>
      <c r="EK1577" s="718"/>
      <c r="EL1577" s="718"/>
      <c r="EM1577" s="718"/>
      <c r="EN1577" s="718"/>
      <c r="EO1577" s="718"/>
      <c r="EP1577" s="718"/>
      <c r="EQ1577" s="718"/>
      <c r="ER1577" s="718"/>
      <c r="ES1577" s="718"/>
      <c r="ET1577" s="718"/>
      <c r="EU1577" s="718"/>
      <c r="EV1577" s="718"/>
      <c r="EW1577" s="718"/>
      <c r="EX1577" s="718"/>
      <c r="EY1577" s="718"/>
      <c r="EZ1577" s="718"/>
      <c r="FA1577" s="718"/>
      <c r="FB1577" s="718"/>
      <c r="FC1577" s="718"/>
      <c r="FD1577" s="718"/>
      <c r="FE1577" s="718"/>
      <c r="FF1577" s="718"/>
      <c r="FG1577" s="718"/>
      <c r="FH1577" s="718"/>
      <c r="FI1577" s="718"/>
      <c r="FJ1577" s="718"/>
      <c r="FK1577" s="718"/>
      <c r="FL1577" s="718"/>
      <c r="FM1577" s="718"/>
      <c r="FN1577" s="718"/>
      <c r="FO1577" s="718"/>
      <c r="FP1577" s="718"/>
      <c r="FQ1577" s="718"/>
      <c r="FR1577" s="718"/>
      <c r="FS1577" s="718"/>
      <c r="FT1577" s="718"/>
      <c r="FU1577" s="718"/>
      <c r="FV1577" s="718"/>
      <c r="FW1577" s="718"/>
      <c r="FX1577" s="718"/>
      <c r="FY1577" s="718"/>
      <c r="FZ1577" s="718"/>
      <c r="GA1577" s="718"/>
      <c r="GB1577" s="718"/>
      <c r="GC1577" s="718"/>
      <c r="GD1577" s="718"/>
      <c r="GE1577" s="718"/>
      <c r="GF1577" s="718"/>
      <c r="GG1577" s="718"/>
      <c r="GH1577" s="718"/>
      <c r="GI1577" s="718"/>
      <c r="GJ1577" s="718"/>
      <c r="GK1577" s="718"/>
      <c r="GL1577" s="718"/>
      <c r="GM1577" s="718"/>
      <c r="GN1577" s="718"/>
      <c r="GO1577" s="718"/>
      <c r="GP1577" s="718"/>
      <c r="GQ1577" s="718"/>
      <c r="GR1577" s="718"/>
      <c r="GS1577" s="718"/>
      <c r="GT1577" s="718"/>
      <c r="GU1577" s="718"/>
      <c r="GV1577" s="718"/>
      <c r="GW1577" s="718"/>
      <c r="GX1577" s="718"/>
      <c r="GY1577" s="718"/>
      <c r="GZ1577" s="718"/>
      <c r="HA1577" s="718"/>
      <c r="HB1577" s="718"/>
      <c r="HC1577" s="718"/>
      <c r="HD1577" s="718"/>
      <c r="HE1577" s="718"/>
      <c r="HF1577" s="718"/>
      <c r="HG1577" s="718"/>
      <c r="HH1577" s="718"/>
      <c r="HI1577" s="718"/>
      <c r="HJ1577" s="718"/>
      <c r="HK1577" s="718"/>
      <c r="HL1577" s="718"/>
      <c r="HM1577" s="718"/>
    </row>
    <row r="1578" spans="1:221" s="791" customFormat="1">
      <c r="A1578" s="703" t="s">
        <v>1544</v>
      </c>
      <c r="B1578" s="1272" t="s">
        <v>36</v>
      </c>
      <c r="C1578" s="1273" t="s">
        <v>922</v>
      </c>
      <c r="D1578" s="1274"/>
      <c r="E1578" s="1255">
        <v>44</v>
      </c>
      <c r="F1578" s="681"/>
      <c r="G1578" s="683"/>
      <c r="H1578" s="683"/>
      <c r="I1578" s="689">
        <v>2</v>
      </c>
      <c r="J1578" s="685" t="s">
        <v>206</v>
      </c>
      <c r="K1578" s="685"/>
      <c r="L1578" s="689">
        <v>72</v>
      </c>
      <c r="M1578" s="683">
        <v>28</v>
      </c>
      <c r="N1578" s="706">
        <v>3</v>
      </c>
      <c r="O1578" s="711" t="s">
        <v>1545</v>
      </c>
      <c r="P1578" s="715"/>
      <c r="Q1578" s="715"/>
      <c r="R1578" s="716"/>
      <c r="S1578" s="715"/>
      <c r="T1578" s="716"/>
      <c r="U1578" s="716"/>
      <c r="V1578" s="716"/>
      <c r="W1578" s="716"/>
      <c r="X1578" s="716"/>
      <c r="Y1578" s="716"/>
      <c r="Z1578" s="716"/>
      <c r="AA1578" s="716"/>
      <c r="AB1578" s="716"/>
      <c r="AC1578" s="716"/>
      <c r="AD1578" s="717"/>
      <c r="AE1578" s="717"/>
      <c r="AF1578" s="717"/>
      <c r="AG1578" s="717"/>
      <c r="AH1578" s="717"/>
      <c r="AI1578" s="717"/>
      <c r="AJ1578" s="717"/>
      <c r="AK1578" s="717"/>
      <c r="AL1578" s="717"/>
      <c r="AM1578" s="717"/>
      <c r="AN1578" s="717"/>
      <c r="AO1578" s="717"/>
      <c r="AP1578" s="717"/>
      <c r="AQ1578" s="717"/>
      <c r="AR1578" s="717"/>
      <c r="AS1578" s="717"/>
      <c r="AT1578" s="717"/>
      <c r="AU1578" s="717"/>
      <c r="AV1578" s="717"/>
      <c r="AW1578" s="717"/>
      <c r="AX1578" s="717"/>
      <c r="AY1578" s="717"/>
      <c r="AZ1578" s="717"/>
      <c r="BA1578" s="717"/>
      <c r="BB1578" s="717"/>
      <c r="BC1578" s="717"/>
      <c r="BD1578" s="717"/>
      <c r="BE1578" s="717"/>
      <c r="BF1578" s="717"/>
      <c r="BG1578" s="717"/>
      <c r="BH1578" s="717"/>
      <c r="BI1578" s="717"/>
      <c r="BJ1578" s="717"/>
      <c r="BK1578" s="717"/>
      <c r="BL1578" s="717"/>
      <c r="BM1578" s="717"/>
      <c r="BN1578" s="717"/>
      <c r="BO1578" s="717"/>
      <c r="BP1578" s="717"/>
      <c r="BQ1578" s="717"/>
      <c r="BR1578" s="718"/>
      <c r="BS1578" s="718"/>
      <c r="BT1578" s="718"/>
      <c r="BU1578" s="718"/>
      <c r="BV1578" s="718"/>
      <c r="BW1578" s="718"/>
      <c r="BX1578" s="718"/>
      <c r="BY1578" s="718"/>
      <c r="BZ1578" s="718"/>
      <c r="CA1578" s="718"/>
      <c r="CB1578" s="718"/>
      <c r="CC1578" s="718"/>
      <c r="CD1578" s="718"/>
      <c r="CE1578" s="718"/>
      <c r="CF1578" s="718"/>
      <c r="CG1578" s="718"/>
      <c r="CH1578" s="718"/>
      <c r="CI1578" s="718"/>
      <c r="CJ1578" s="718"/>
      <c r="CK1578" s="718"/>
      <c r="CL1578" s="718"/>
      <c r="CM1578" s="718"/>
      <c r="CN1578" s="718"/>
      <c r="CO1578" s="718"/>
      <c r="CP1578" s="718"/>
      <c r="CQ1578" s="718"/>
      <c r="CR1578" s="718"/>
      <c r="CS1578" s="718"/>
      <c r="CT1578" s="718"/>
      <c r="CU1578" s="718"/>
      <c r="CV1578" s="718"/>
      <c r="CW1578" s="718"/>
      <c r="CX1578" s="718"/>
      <c r="CY1578" s="718"/>
      <c r="CZ1578" s="718"/>
      <c r="DA1578" s="718"/>
      <c r="DB1578" s="718"/>
      <c r="DC1578" s="718"/>
      <c r="DD1578" s="718"/>
      <c r="DE1578" s="718"/>
      <c r="DF1578" s="718"/>
      <c r="DG1578" s="718"/>
      <c r="DH1578" s="718"/>
      <c r="DI1578" s="718"/>
      <c r="DJ1578" s="718"/>
      <c r="DK1578" s="718"/>
      <c r="DL1578" s="718"/>
      <c r="DM1578" s="718"/>
      <c r="DN1578" s="718"/>
      <c r="DO1578" s="718"/>
      <c r="DP1578" s="718"/>
      <c r="DQ1578" s="718"/>
      <c r="DR1578" s="718"/>
      <c r="DS1578" s="718"/>
      <c r="DT1578" s="718"/>
      <c r="DU1578" s="718"/>
      <c r="DV1578" s="718"/>
      <c r="DW1578" s="718"/>
      <c r="DX1578" s="718"/>
      <c r="DY1578" s="718"/>
      <c r="DZ1578" s="718"/>
      <c r="EA1578" s="718"/>
      <c r="EB1578" s="718"/>
      <c r="EC1578" s="718"/>
      <c r="ED1578" s="718"/>
      <c r="EE1578" s="718"/>
      <c r="EF1578" s="718"/>
      <c r="EG1578" s="718"/>
      <c r="EH1578" s="718"/>
      <c r="EI1578" s="718"/>
      <c r="EJ1578" s="718"/>
      <c r="EK1578" s="718"/>
      <c r="EL1578" s="718"/>
      <c r="EM1578" s="718"/>
      <c r="EN1578" s="718"/>
      <c r="EO1578" s="718"/>
      <c r="EP1578" s="718"/>
      <c r="EQ1578" s="718"/>
      <c r="ER1578" s="718"/>
      <c r="ES1578" s="718"/>
      <c r="ET1578" s="718"/>
      <c r="EU1578" s="718"/>
      <c r="EV1578" s="718"/>
      <c r="EW1578" s="718"/>
      <c r="EX1578" s="718"/>
      <c r="EY1578" s="718"/>
      <c r="EZ1578" s="718"/>
      <c r="FA1578" s="718"/>
      <c r="FB1578" s="718"/>
      <c r="FC1578" s="718"/>
      <c r="FD1578" s="718"/>
      <c r="FE1578" s="718"/>
      <c r="FF1578" s="718"/>
      <c r="FG1578" s="718"/>
      <c r="FH1578" s="718"/>
      <c r="FI1578" s="718"/>
      <c r="FJ1578" s="718"/>
      <c r="FK1578" s="718"/>
      <c r="FL1578" s="718"/>
      <c r="FM1578" s="718"/>
      <c r="FN1578" s="718"/>
      <c r="FO1578" s="718"/>
      <c r="FP1578" s="718"/>
      <c r="FQ1578" s="718"/>
      <c r="FR1578" s="718"/>
      <c r="FS1578" s="718"/>
      <c r="FT1578" s="718"/>
      <c r="FU1578" s="718"/>
      <c r="FV1578" s="718"/>
      <c r="FW1578" s="718"/>
      <c r="FX1578" s="718"/>
      <c r="FY1578" s="718"/>
      <c r="FZ1578" s="718"/>
      <c r="GA1578" s="718"/>
      <c r="GB1578" s="718"/>
      <c r="GC1578" s="718"/>
      <c r="GD1578" s="718"/>
      <c r="GE1578" s="718"/>
      <c r="GF1578" s="718"/>
      <c r="GG1578" s="718"/>
      <c r="GH1578" s="718"/>
      <c r="GI1578" s="718"/>
      <c r="GJ1578" s="718"/>
      <c r="GK1578" s="718"/>
      <c r="GL1578" s="718"/>
      <c r="GM1578" s="718"/>
      <c r="GN1578" s="718"/>
      <c r="GO1578" s="718"/>
      <c r="GP1578" s="718"/>
      <c r="GQ1578" s="718"/>
      <c r="GR1578" s="718"/>
      <c r="GS1578" s="718"/>
      <c r="GT1578" s="718"/>
      <c r="GU1578" s="718"/>
      <c r="GV1578" s="718"/>
      <c r="GW1578" s="718"/>
      <c r="GX1578" s="718"/>
      <c r="GY1578" s="718"/>
      <c r="GZ1578" s="718"/>
      <c r="HA1578" s="718"/>
      <c r="HB1578" s="718"/>
      <c r="HC1578" s="718"/>
      <c r="HD1578" s="718"/>
      <c r="HE1578" s="718"/>
      <c r="HF1578" s="718"/>
      <c r="HG1578" s="718"/>
      <c r="HH1578" s="718"/>
      <c r="HI1578" s="718"/>
      <c r="HJ1578" s="718"/>
      <c r="HK1578" s="718"/>
      <c r="HL1578" s="718"/>
      <c r="HM1578" s="718"/>
    </row>
    <row r="1579" spans="1:221" s="791" customFormat="1">
      <c r="A1579" s="703" t="s">
        <v>923</v>
      </c>
      <c r="B1579" s="1272" t="s">
        <v>36</v>
      </c>
      <c r="C1579" s="1273" t="s">
        <v>922</v>
      </c>
      <c r="D1579" s="1274"/>
      <c r="E1579" s="1255">
        <v>55</v>
      </c>
      <c r="F1579" s="681"/>
      <c r="G1579" s="683"/>
      <c r="H1579" s="683"/>
      <c r="I1579" s="689">
        <v>2</v>
      </c>
      <c r="J1579" s="685" t="s">
        <v>206</v>
      </c>
      <c r="K1579" s="685"/>
      <c r="L1579" s="689">
        <v>94</v>
      </c>
      <c r="M1579" s="683">
        <v>39</v>
      </c>
      <c r="N1579" s="706">
        <v>3</v>
      </c>
      <c r="O1579" s="711" t="s">
        <v>1545</v>
      </c>
      <c r="P1579" s="715"/>
      <c r="Q1579" s="715"/>
      <c r="R1579" s="716"/>
      <c r="S1579" s="715"/>
      <c r="T1579" s="716"/>
      <c r="U1579" s="716"/>
      <c r="V1579" s="716"/>
      <c r="W1579" s="716"/>
      <c r="X1579" s="716"/>
      <c r="Y1579" s="716"/>
      <c r="Z1579" s="716"/>
      <c r="AA1579" s="716"/>
      <c r="AB1579" s="716"/>
      <c r="AC1579" s="716"/>
      <c r="AD1579" s="717"/>
      <c r="AE1579" s="717"/>
      <c r="AF1579" s="717"/>
      <c r="AG1579" s="717"/>
      <c r="AH1579" s="717"/>
      <c r="AI1579" s="717"/>
      <c r="AJ1579" s="717"/>
      <c r="AK1579" s="717"/>
      <c r="AL1579" s="717"/>
      <c r="AM1579" s="717"/>
      <c r="AN1579" s="717"/>
      <c r="AO1579" s="717"/>
      <c r="AP1579" s="717"/>
      <c r="AQ1579" s="717"/>
      <c r="AR1579" s="717"/>
      <c r="AS1579" s="717"/>
      <c r="AT1579" s="717"/>
      <c r="AU1579" s="717"/>
      <c r="AV1579" s="717"/>
      <c r="AW1579" s="717"/>
      <c r="AX1579" s="717"/>
      <c r="AY1579" s="717"/>
      <c r="AZ1579" s="717"/>
      <c r="BA1579" s="717"/>
      <c r="BB1579" s="717"/>
      <c r="BC1579" s="717"/>
      <c r="BD1579" s="717"/>
      <c r="BE1579" s="717"/>
      <c r="BF1579" s="717"/>
      <c r="BG1579" s="717"/>
      <c r="BH1579" s="717"/>
      <c r="BI1579" s="717"/>
      <c r="BJ1579" s="717"/>
      <c r="BK1579" s="717"/>
      <c r="BL1579" s="717"/>
      <c r="BM1579" s="717"/>
      <c r="BN1579" s="717"/>
      <c r="BO1579" s="717"/>
      <c r="BP1579" s="717"/>
      <c r="BQ1579" s="717"/>
      <c r="BR1579" s="718"/>
      <c r="BS1579" s="718"/>
      <c r="BT1579" s="718"/>
      <c r="BU1579" s="718"/>
      <c r="BV1579" s="718"/>
      <c r="BW1579" s="718"/>
      <c r="BX1579" s="718"/>
      <c r="BY1579" s="718"/>
      <c r="BZ1579" s="718"/>
      <c r="CA1579" s="718"/>
      <c r="CB1579" s="718"/>
      <c r="CC1579" s="718"/>
      <c r="CD1579" s="718"/>
      <c r="CE1579" s="718"/>
      <c r="CF1579" s="718"/>
      <c r="CG1579" s="718"/>
      <c r="CH1579" s="718"/>
      <c r="CI1579" s="718"/>
      <c r="CJ1579" s="718"/>
      <c r="CK1579" s="718"/>
      <c r="CL1579" s="718"/>
      <c r="CM1579" s="718"/>
      <c r="CN1579" s="718"/>
      <c r="CO1579" s="718"/>
      <c r="CP1579" s="718"/>
      <c r="CQ1579" s="718"/>
      <c r="CR1579" s="718"/>
      <c r="CS1579" s="718"/>
      <c r="CT1579" s="718"/>
      <c r="CU1579" s="718"/>
      <c r="CV1579" s="718"/>
      <c r="CW1579" s="718"/>
      <c r="CX1579" s="718"/>
      <c r="CY1579" s="718"/>
      <c r="CZ1579" s="718"/>
      <c r="DA1579" s="718"/>
      <c r="DB1579" s="718"/>
      <c r="DC1579" s="718"/>
      <c r="DD1579" s="718"/>
      <c r="DE1579" s="718"/>
      <c r="DF1579" s="718"/>
      <c r="DG1579" s="718"/>
      <c r="DH1579" s="718"/>
      <c r="DI1579" s="718"/>
      <c r="DJ1579" s="718"/>
      <c r="DK1579" s="718"/>
      <c r="DL1579" s="718"/>
      <c r="DM1579" s="718"/>
      <c r="DN1579" s="718"/>
      <c r="DO1579" s="718"/>
      <c r="DP1579" s="718"/>
      <c r="DQ1579" s="718"/>
      <c r="DR1579" s="718"/>
      <c r="DS1579" s="718"/>
      <c r="DT1579" s="718"/>
      <c r="DU1579" s="718"/>
      <c r="DV1579" s="718"/>
      <c r="DW1579" s="718"/>
      <c r="DX1579" s="718"/>
      <c r="DY1579" s="718"/>
      <c r="DZ1579" s="718"/>
      <c r="EA1579" s="718"/>
      <c r="EB1579" s="718"/>
      <c r="EC1579" s="718"/>
      <c r="ED1579" s="718"/>
      <c r="EE1579" s="718"/>
      <c r="EF1579" s="718"/>
      <c r="EG1579" s="718"/>
      <c r="EH1579" s="718"/>
      <c r="EI1579" s="718"/>
      <c r="EJ1579" s="718"/>
      <c r="EK1579" s="718"/>
      <c r="EL1579" s="718"/>
      <c r="EM1579" s="718"/>
      <c r="EN1579" s="718"/>
      <c r="EO1579" s="718"/>
      <c r="EP1579" s="718"/>
      <c r="EQ1579" s="718"/>
      <c r="ER1579" s="718"/>
      <c r="ES1579" s="718"/>
      <c r="ET1579" s="718"/>
      <c r="EU1579" s="718"/>
      <c r="EV1579" s="718"/>
      <c r="EW1579" s="718"/>
      <c r="EX1579" s="718"/>
      <c r="EY1579" s="718"/>
      <c r="EZ1579" s="718"/>
      <c r="FA1579" s="718"/>
      <c r="FB1579" s="718"/>
      <c r="FC1579" s="718"/>
      <c r="FD1579" s="718"/>
      <c r="FE1579" s="718"/>
      <c r="FF1579" s="718"/>
      <c r="FG1579" s="718"/>
      <c r="FH1579" s="718"/>
      <c r="FI1579" s="718"/>
      <c r="FJ1579" s="718"/>
      <c r="FK1579" s="718"/>
      <c r="FL1579" s="718"/>
      <c r="FM1579" s="718"/>
      <c r="FN1579" s="718"/>
      <c r="FO1579" s="718"/>
      <c r="FP1579" s="718"/>
      <c r="FQ1579" s="718"/>
      <c r="FR1579" s="718"/>
      <c r="FS1579" s="718"/>
      <c r="FT1579" s="718"/>
      <c r="FU1579" s="718"/>
      <c r="FV1579" s="718"/>
      <c r="FW1579" s="718"/>
      <c r="FX1579" s="718"/>
      <c r="FY1579" s="718"/>
      <c r="FZ1579" s="718"/>
      <c r="GA1579" s="718"/>
      <c r="GB1579" s="718"/>
      <c r="GC1579" s="718"/>
      <c r="GD1579" s="718"/>
      <c r="GE1579" s="718"/>
      <c r="GF1579" s="718"/>
      <c r="GG1579" s="718"/>
      <c r="GH1579" s="718"/>
      <c r="GI1579" s="718"/>
      <c r="GJ1579" s="718"/>
      <c r="GK1579" s="718"/>
      <c r="GL1579" s="718"/>
      <c r="GM1579" s="718"/>
      <c r="GN1579" s="718"/>
      <c r="GO1579" s="718"/>
      <c r="GP1579" s="718"/>
      <c r="GQ1579" s="718"/>
      <c r="GR1579" s="718"/>
      <c r="GS1579" s="718"/>
      <c r="GT1579" s="718"/>
      <c r="GU1579" s="718"/>
      <c r="GV1579" s="718"/>
      <c r="GW1579" s="718"/>
      <c r="GX1579" s="718"/>
      <c r="GY1579" s="718"/>
      <c r="GZ1579" s="718"/>
      <c r="HA1579" s="718"/>
      <c r="HB1579" s="718"/>
      <c r="HC1579" s="718"/>
      <c r="HD1579" s="718"/>
      <c r="HE1579" s="718"/>
      <c r="HF1579" s="718"/>
      <c r="HG1579" s="718"/>
      <c r="HH1579" s="718"/>
      <c r="HI1579" s="718"/>
      <c r="HJ1579" s="718"/>
      <c r="HK1579" s="718"/>
      <c r="HL1579" s="718"/>
      <c r="HM1579" s="718"/>
    </row>
    <row r="1580" spans="1:221" s="791" customFormat="1">
      <c r="A1580" s="799" t="s">
        <v>1770</v>
      </c>
      <c r="B1580" s="1275" t="s">
        <v>36</v>
      </c>
      <c r="C1580" s="1276" t="s">
        <v>394</v>
      </c>
      <c r="D1580" s="1277"/>
      <c r="E1580" s="1278">
        <v>44</v>
      </c>
      <c r="F1580" s="785"/>
      <c r="G1580" s="786"/>
      <c r="H1580" s="786"/>
      <c r="I1580" s="787">
        <v>2</v>
      </c>
      <c r="J1580" s="788" t="s">
        <v>206</v>
      </c>
      <c r="K1580" s="788"/>
      <c r="L1580" s="787">
        <f t="shared" ref="L1580:L1585" si="77">E1580+M1580</f>
        <v>69</v>
      </c>
      <c r="M1580" s="786">
        <v>25</v>
      </c>
      <c r="N1580" s="797">
        <v>8</v>
      </c>
      <c r="O1580" s="803" t="s">
        <v>1776</v>
      </c>
      <c r="P1580" s="804"/>
      <c r="Q1580" s="804"/>
      <c r="R1580" s="798"/>
      <c r="S1580" s="804"/>
      <c r="T1580" s="798"/>
      <c r="U1580" s="798"/>
      <c r="V1580" s="798"/>
      <c r="W1580" s="798"/>
      <c r="X1580" s="798"/>
      <c r="Y1580" s="798"/>
      <c r="Z1580" s="798"/>
      <c r="AA1580" s="798"/>
      <c r="AB1580" s="798"/>
      <c r="AC1580" s="798"/>
    </row>
    <row r="1581" spans="1:221" s="791" customFormat="1">
      <c r="A1581" s="799" t="s">
        <v>1771</v>
      </c>
      <c r="B1581" s="1275" t="s">
        <v>36</v>
      </c>
      <c r="C1581" s="1276" t="s">
        <v>394</v>
      </c>
      <c r="D1581" s="1277"/>
      <c r="E1581" s="1278">
        <v>47</v>
      </c>
      <c r="F1581" s="785"/>
      <c r="G1581" s="786"/>
      <c r="H1581" s="786"/>
      <c r="I1581" s="787">
        <v>2</v>
      </c>
      <c r="J1581" s="788" t="s">
        <v>206</v>
      </c>
      <c r="K1581" s="788"/>
      <c r="L1581" s="787">
        <f t="shared" si="77"/>
        <v>72</v>
      </c>
      <c r="M1581" s="786">
        <v>25</v>
      </c>
      <c r="N1581" s="797">
        <v>8</v>
      </c>
      <c r="O1581" s="803" t="s">
        <v>1776</v>
      </c>
      <c r="P1581" s="804"/>
      <c r="Q1581" s="804"/>
      <c r="R1581" s="798"/>
      <c r="S1581" s="804"/>
      <c r="T1581" s="798"/>
      <c r="U1581" s="798"/>
      <c r="V1581" s="798"/>
      <c r="W1581" s="798"/>
      <c r="X1581" s="798"/>
      <c r="Y1581" s="798"/>
      <c r="Z1581" s="798"/>
      <c r="AA1581" s="798"/>
      <c r="AB1581" s="798"/>
      <c r="AC1581" s="798"/>
    </row>
    <row r="1582" spans="1:221" s="791" customFormat="1">
      <c r="A1582" s="799" t="s">
        <v>1774</v>
      </c>
      <c r="B1582" s="1275" t="s">
        <v>36</v>
      </c>
      <c r="C1582" s="1276" t="s">
        <v>394</v>
      </c>
      <c r="D1582" s="1277"/>
      <c r="E1582" s="1278">
        <v>34</v>
      </c>
      <c r="F1582" s="785"/>
      <c r="G1582" s="786"/>
      <c r="H1582" s="786"/>
      <c r="I1582" s="787">
        <v>2</v>
      </c>
      <c r="J1582" s="788" t="s">
        <v>206</v>
      </c>
      <c r="K1582" s="788"/>
      <c r="L1582" s="787">
        <f t="shared" si="77"/>
        <v>59</v>
      </c>
      <c r="M1582" s="786">
        <v>25</v>
      </c>
      <c r="N1582" s="797">
        <v>8</v>
      </c>
      <c r="O1582" s="803" t="s">
        <v>1776</v>
      </c>
      <c r="P1582" s="804"/>
      <c r="Q1582" s="804"/>
      <c r="R1582" s="798"/>
      <c r="S1582" s="804"/>
      <c r="T1582" s="798"/>
      <c r="U1582" s="798"/>
      <c r="V1582" s="798"/>
      <c r="W1582" s="798"/>
      <c r="X1582" s="798"/>
      <c r="Y1582" s="798"/>
      <c r="Z1582" s="798"/>
      <c r="AA1582" s="798"/>
      <c r="AB1582" s="798"/>
      <c r="AC1582" s="798"/>
    </row>
    <row r="1583" spans="1:221" s="688" customFormat="1">
      <c r="A1583" s="799" t="s">
        <v>1772</v>
      </c>
      <c r="B1583" s="1275" t="s">
        <v>36</v>
      </c>
      <c r="C1583" s="1276" t="s">
        <v>394</v>
      </c>
      <c r="D1583" s="1277"/>
      <c r="E1583" s="1278">
        <v>45</v>
      </c>
      <c r="F1583" s="785"/>
      <c r="G1583" s="786"/>
      <c r="H1583" s="786"/>
      <c r="I1583" s="787">
        <v>2</v>
      </c>
      <c r="J1583" s="788" t="s">
        <v>206</v>
      </c>
      <c r="K1583" s="788"/>
      <c r="L1583" s="787">
        <f t="shared" si="77"/>
        <v>70</v>
      </c>
      <c r="M1583" s="786">
        <v>25</v>
      </c>
      <c r="N1583" s="797">
        <v>8</v>
      </c>
      <c r="O1583" s="803" t="s">
        <v>1776</v>
      </c>
      <c r="P1583" s="804"/>
      <c r="Q1583" s="804"/>
      <c r="R1583" s="798"/>
      <c r="S1583" s="804"/>
      <c r="T1583" s="798"/>
      <c r="U1583" s="798"/>
      <c r="V1583" s="798"/>
      <c r="W1583" s="798"/>
      <c r="X1583" s="798"/>
      <c r="Y1583" s="798"/>
      <c r="Z1583" s="798"/>
      <c r="AA1583" s="798"/>
      <c r="AB1583" s="798"/>
      <c r="AC1583" s="798"/>
      <c r="AD1583" s="791"/>
      <c r="AE1583" s="791"/>
      <c r="AF1583" s="791"/>
      <c r="AG1583" s="791"/>
      <c r="AH1583" s="791"/>
      <c r="AI1583" s="791"/>
      <c r="AJ1583" s="791"/>
      <c r="AK1583" s="791"/>
      <c r="AL1583" s="791"/>
      <c r="AM1583" s="791"/>
      <c r="AN1583" s="791"/>
      <c r="AO1583" s="791"/>
      <c r="AP1583" s="791"/>
      <c r="AQ1583" s="791"/>
      <c r="AR1583" s="791"/>
      <c r="AS1583" s="791"/>
      <c r="AT1583" s="791"/>
      <c r="AU1583" s="791"/>
      <c r="AV1583" s="791"/>
      <c r="AW1583" s="791"/>
      <c r="AX1583" s="791"/>
      <c r="AY1583" s="791"/>
      <c r="AZ1583" s="791"/>
      <c r="BA1583" s="791"/>
      <c r="BB1583" s="791"/>
      <c r="BC1583" s="791"/>
      <c r="BD1583" s="791"/>
      <c r="BE1583" s="791"/>
      <c r="BF1583" s="791"/>
      <c r="BG1583" s="791"/>
      <c r="BH1583" s="791"/>
      <c r="BI1583" s="791"/>
      <c r="BJ1583" s="791"/>
      <c r="BK1583" s="791"/>
      <c r="BL1583" s="791"/>
      <c r="BM1583" s="791"/>
      <c r="BN1583" s="791"/>
      <c r="BO1583" s="791"/>
      <c r="BP1583" s="791"/>
      <c r="BQ1583" s="791"/>
      <c r="BR1583" s="791"/>
      <c r="BS1583" s="791"/>
      <c r="BT1583" s="791"/>
      <c r="BU1583" s="791"/>
      <c r="BV1583" s="791"/>
      <c r="BW1583" s="791"/>
      <c r="BX1583" s="791"/>
      <c r="BY1583" s="791"/>
      <c r="BZ1583" s="791"/>
      <c r="CA1583" s="791"/>
      <c r="CB1583" s="791"/>
      <c r="CC1583" s="791"/>
      <c r="CD1583" s="791"/>
      <c r="CE1583" s="791"/>
      <c r="CF1583" s="791"/>
      <c r="CG1583" s="791"/>
      <c r="CH1583" s="791"/>
      <c r="CI1583" s="791"/>
      <c r="CJ1583" s="791"/>
      <c r="CK1583" s="791"/>
      <c r="CL1583" s="791"/>
      <c r="CM1583" s="791"/>
      <c r="CN1583" s="791"/>
      <c r="CO1583" s="791"/>
      <c r="CP1583" s="791"/>
      <c r="CQ1583" s="791"/>
      <c r="CR1583" s="791"/>
      <c r="CS1583" s="791"/>
      <c r="CT1583" s="791"/>
      <c r="CU1583" s="791"/>
      <c r="CV1583" s="791"/>
      <c r="CW1583" s="791"/>
      <c r="CX1583" s="791"/>
      <c r="CY1583" s="791"/>
      <c r="CZ1583" s="791"/>
      <c r="DA1583" s="791"/>
      <c r="DB1583" s="791"/>
      <c r="DC1583" s="791"/>
      <c r="DD1583" s="791"/>
      <c r="DE1583" s="791"/>
      <c r="DF1583" s="791"/>
      <c r="DG1583" s="791"/>
      <c r="DH1583" s="791"/>
      <c r="DI1583" s="791"/>
      <c r="DJ1583" s="791"/>
      <c r="DK1583" s="791"/>
      <c r="DL1583" s="791"/>
      <c r="DM1583" s="791"/>
      <c r="DN1583" s="791"/>
      <c r="DO1583" s="791"/>
      <c r="DP1583" s="791"/>
      <c r="DQ1583" s="791"/>
      <c r="DR1583" s="791"/>
      <c r="DS1583" s="791"/>
      <c r="DT1583" s="791"/>
      <c r="DU1583" s="791"/>
      <c r="DV1583" s="791"/>
      <c r="DW1583" s="791"/>
      <c r="DX1583" s="791"/>
      <c r="DY1583" s="791"/>
      <c r="DZ1583" s="791"/>
      <c r="EA1583" s="791"/>
      <c r="EB1583" s="791"/>
      <c r="EC1583" s="791"/>
      <c r="ED1583" s="791"/>
      <c r="EE1583" s="791"/>
      <c r="EF1583" s="791"/>
      <c r="EG1583" s="791"/>
      <c r="EH1583" s="791"/>
      <c r="EI1583" s="791"/>
      <c r="EJ1583" s="791"/>
      <c r="EK1583" s="791"/>
      <c r="EL1583" s="791"/>
      <c r="EM1583" s="791"/>
      <c r="EN1583" s="791"/>
      <c r="EO1583" s="791"/>
      <c r="EP1583" s="791"/>
      <c r="EQ1583" s="791"/>
      <c r="ER1583" s="791"/>
      <c r="ES1583" s="791"/>
      <c r="ET1583" s="791"/>
      <c r="EU1583" s="791"/>
      <c r="EV1583" s="791"/>
      <c r="EW1583" s="791"/>
      <c r="EX1583" s="791"/>
      <c r="EY1583" s="791"/>
      <c r="EZ1583" s="791"/>
      <c r="FA1583" s="791"/>
      <c r="FB1583" s="791"/>
      <c r="FC1583" s="791"/>
      <c r="FD1583" s="791"/>
      <c r="FE1583" s="791"/>
      <c r="FF1583" s="791"/>
      <c r="FG1583" s="791"/>
      <c r="FH1583" s="791"/>
      <c r="FI1583" s="791"/>
      <c r="FJ1583" s="791"/>
      <c r="FK1583" s="791"/>
      <c r="FL1583" s="791"/>
      <c r="FM1583" s="791"/>
      <c r="FN1583" s="791"/>
      <c r="FO1583" s="791"/>
      <c r="FP1583" s="791"/>
      <c r="FQ1583" s="791"/>
      <c r="FR1583" s="791"/>
      <c r="FS1583" s="791"/>
      <c r="FT1583" s="791"/>
      <c r="FU1583" s="791"/>
      <c r="FV1583" s="791"/>
      <c r="FW1583" s="791"/>
      <c r="FX1583" s="791"/>
      <c r="FY1583" s="791"/>
      <c r="FZ1583" s="791"/>
      <c r="GA1583" s="791"/>
      <c r="GB1583" s="791"/>
      <c r="GC1583" s="791"/>
      <c r="GD1583" s="791"/>
      <c r="GE1583" s="791"/>
      <c r="GF1583" s="791"/>
      <c r="GG1583" s="791"/>
      <c r="GH1583" s="791"/>
      <c r="GI1583" s="791"/>
      <c r="GJ1583" s="791"/>
      <c r="GK1583" s="791"/>
      <c r="GL1583" s="791"/>
      <c r="GM1583" s="791"/>
      <c r="GN1583" s="791"/>
      <c r="GO1583" s="791"/>
      <c r="GP1583" s="791"/>
      <c r="GQ1583" s="791"/>
      <c r="GR1583" s="791"/>
      <c r="GS1583" s="791"/>
      <c r="GT1583" s="791"/>
      <c r="GU1583" s="791"/>
      <c r="GV1583" s="791"/>
      <c r="GW1583" s="791"/>
      <c r="GX1583" s="791"/>
      <c r="GY1583" s="791"/>
      <c r="GZ1583" s="791"/>
      <c r="HA1583" s="791"/>
      <c r="HB1583" s="791"/>
      <c r="HC1583" s="791"/>
      <c r="HD1583" s="791"/>
      <c r="HE1583" s="791"/>
      <c r="HF1583" s="791"/>
      <c r="HG1583" s="791"/>
      <c r="HH1583" s="791"/>
      <c r="HI1583" s="791"/>
      <c r="HJ1583" s="791"/>
      <c r="HK1583" s="791"/>
      <c r="HL1583" s="791"/>
      <c r="HM1583" s="791"/>
    </row>
    <row r="1584" spans="1:221" s="305" customFormat="1">
      <c r="A1584" s="799" t="s">
        <v>1773</v>
      </c>
      <c r="B1584" s="1275" t="s">
        <v>36</v>
      </c>
      <c r="C1584" s="1276" t="s">
        <v>394</v>
      </c>
      <c r="D1584" s="1277"/>
      <c r="E1584" s="1278">
        <v>48</v>
      </c>
      <c r="F1584" s="785"/>
      <c r="G1584" s="786"/>
      <c r="H1584" s="786"/>
      <c r="I1584" s="787">
        <v>2</v>
      </c>
      <c r="J1584" s="788" t="s">
        <v>206</v>
      </c>
      <c r="K1584" s="788"/>
      <c r="L1584" s="787">
        <f t="shared" si="77"/>
        <v>83</v>
      </c>
      <c r="M1584" s="786">
        <v>35</v>
      </c>
      <c r="N1584" s="797">
        <v>8</v>
      </c>
      <c r="O1584" s="803" t="s">
        <v>1776</v>
      </c>
      <c r="P1584" s="804"/>
      <c r="Q1584" s="804"/>
      <c r="R1584" s="798"/>
      <c r="S1584" s="804"/>
      <c r="T1584" s="798"/>
      <c r="U1584" s="798"/>
      <c r="V1584" s="798"/>
      <c r="W1584" s="798"/>
      <c r="X1584" s="798"/>
      <c r="Y1584" s="798"/>
      <c r="Z1584" s="798"/>
      <c r="AA1584" s="798"/>
      <c r="AB1584" s="798"/>
      <c r="AC1584" s="798"/>
      <c r="AD1584" s="791"/>
      <c r="AE1584" s="791"/>
      <c r="AF1584" s="791"/>
      <c r="AG1584" s="791"/>
      <c r="AH1584" s="791"/>
      <c r="AI1584" s="791"/>
      <c r="AJ1584" s="791"/>
      <c r="AK1584" s="791"/>
      <c r="AL1584" s="791"/>
      <c r="AM1584" s="791"/>
      <c r="AN1584" s="791"/>
      <c r="AO1584" s="791"/>
      <c r="AP1584" s="791"/>
      <c r="AQ1584" s="791"/>
      <c r="AR1584" s="791"/>
      <c r="AS1584" s="791"/>
      <c r="AT1584" s="791"/>
      <c r="AU1584" s="791"/>
      <c r="AV1584" s="791"/>
      <c r="AW1584" s="791"/>
      <c r="AX1584" s="791"/>
      <c r="AY1584" s="791"/>
      <c r="AZ1584" s="791"/>
      <c r="BA1584" s="791"/>
      <c r="BB1584" s="791"/>
      <c r="BC1584" s="791"/>
      <c r="BD1584" s="791"/>
      <c r="BE1584" s="791"/>
      <c r="BF1584" s="791"/>
      <c r="BG1584" s="791"/>
      <c r="BH1584" s="791"/>
      <c r="BI1584" s="791"/>
      <c r="BJ1584" s="791"/>
      <c r="BK1584" s="791"/>
      <c r="BL1584" s="791"/>
      <c r="BM1584" s="791"/>
      <c r="BN1584" s="791"/>
      <c r="BO1584" s="791"/>
      <c r="BP1584" s="791"/>
      <c r="BQ1584" s="791"/>
      <c r="BR1584" s="791"/>
      <c r="BS1584" s="791"/>
      <c r="BT1584" s="791"/>
      <c r="BU1584" s="791"/>
      <c r="BV1584" s="791"/>
      <c r="BW1584" s="791"/>
      <c r="BX1584" s="791"/>
      <c r="BY1584" s="791"/>
      <c r="BZ1584" s="791"/>
      <c r="CA1584" s="791"/>
      <c r="CB1584" s="791"/>
      <c r="CC1584" s="791"/>
      <c r="CD1584" s="791"/>
      <c r="CE1584" s="791"/>
      <c r="CF1584" s="791"/>
      <c r="CG1584" s="791"/>
      <c r="CH1584" s="791"/>
      <c r="CI1584" s="791"/>
      <c r="CJ1584" s="791"/>
      <c r="CK1584" s="791"/>
      <c r="CL1584" s="791"/>
      <c r="CM1584" s="791"/>
      <c r="CN1584" s="791"/>
      <c r="CO1584" s="791"/>
      <c r="CP1584" s="791"/>
      <c r="CQ1584" s="791"/>
      <c r="CR1584" s="791"/>
      <c r="CS1584" s="791"/>
      <c r="CT1584" s="791"/>
      <c r="CU1584" s="791"/>
      <c r="CV1584" s="791"/>
      <c r="CW1584" s="791"/>
      <c r="CX1584" s="791"/>
      <c r="CY1584" s="791"/>
      <c r="CZ1584" s="791"/>
      <c r="DA1584" s="791"/>
      <c r="DB1584" s="791"/>
      <c r="DC1584" s="791"/>
      <c r="DD1584" s="791"/>
      <c r="DE1584" s="791"/>
      <c r="DF1584" s="791"/>
      <c r="DG1584" s="791"/>
      <c r="DH1584" s="791"/>
      <c r="DI1584" s="791"/>
      <c r="DJ1584" s="791"/>
      <c r="DK1584" s="791"/>
      <c r="DL1584" s="791"/>
      <c r="DM1584" s="791"/>
      <c r="DN1584" s="791"/>
      <c r="DO1584" s="791"/>
      <c r="DP1584" s="791"/>
      <c r="DQ1584" s="791"/>
      <c r="DR1584" s="791"/>
      <c r="DS1584" s="791"/>
      <c r="DT1584" s="791"/>
      <c r="DU1584" s="791"/>
      <c r="DV1584" s="791"/>
      <c r="DW1584" s="791"/>
      <c r="DX1584" s="791"/>
      <c r="DY1584" s="791"/>
      <c r="DZ1584" s="791"/>
      <c r="EA1584" s="791"/>
      <c r="EB1584" s="791"/>
      <c r="EC1584" s="791"/>
      <c r="ED1584" s="791"/>
      <c r="EE1584" s="791"/>
      <c r="EF1584" s="791"/>
      <c r="EG1584" s="791"/>
      <c r="EH1584" s="791"/>
      <c r="EI1584" s="791"/>
      <c r="EJ1584" s="791"/>
      <c r="EK1584" s="791"/>
      <c r="EL1584" s="791"/>
      <c r="EM1584" s="791"/>
      <c r="EN1584" s="791"/>
      <c r="EO1584" s="791"/>
      <c r="EP1584" s="791"/>
      <c r="EQ1584" s="791"/>
      <c r="ER1584" s="791"/>
      <c r="ES1584" s="791"/>
      <c r="ET1584" s="791"/>
      <c r="EU1584" s="791"/>
      <c r="EV1584" s="791"/>
      <c r="EW1584" s="791"/>
      <c r="EX1584" s="791"/>
      <c r="EY1584" s="791"/>
      <c r="EZ1584" s="791"/>
      <c r="FA1584" s="791"/>
      <c r="FB1584" s="791"/>
      <c r="FC1584" s="791"/>
      <c r="FD1584" s="791"/>
      <c r="FE1584" s="791"/>
      <c r="FF1584" s="791"/>
      <c r="FG1584" s="791"/>
      <c r="FH1584" s="791"/>
      <c r="FI1584" s="791"/>
      <c r="FJ1584" s="791"/>
      <c r="FK1584" s="791"/>
      <c r="FL1584" s="791"/>
      <c r="FM1584" s="791"/>
      <c r="FN1584" s="791"/>
      <c r="FO1584" s="791"/>
      <c r="FP1584" s="791"/>
      <c r="FQ1584" s="791"/>
      <c r="FR1584" s="791"/>
      <c r="FS1584" s="791"/>
      <c r="FT1584" s="791"/>
      <c r="FU1584" s="791"/>
      <c r="FV1584" s="791"/>
      <c r="FW1584" s="791"/>
      <c r="FX1584" s="791"/>
      <c r="FY1584" s="791"/>
      <c r="FZ1584" s="791"/>
      <c r="GA1584" s="791"/>
      <c r="GB1584" s="791"/>
      <c r="GC1584" s="791"/>
      <c r="GD1584" s="791"/>
      <c r="GE1584" s="791"/>
      <c r="GF1584" s="791"/>
      <c r="GG1584" s="791"/>
      <c r="GH1584" s="791"/>
      <c r="GI1584" s="791"/>
      <c r="GJ1584" s="791"/>
      <c r="GK1584" s="791"/>
      <c r="GL1584" s="791"/>
      <c r="GM1584" s="791"/>
      <c r="GN1584" s="791"/>
      <c r="GO1584" s="791"/>
      <c r="GP1584" s="791"/>
      <c r="GQ1584" s="791"/>
      <c r="GR1584" s="791"/>
      <c r="GS1584" s="791"/>
      <c r="GT1584" s="791"/>
      <c r="GU1584" s="791"/>
      <c r="GV1584" s="791"/>
      <c r="GW1584" s="791"/>
      <c r="GX1584" s="791"/>
      <c r="GY1584" s="791"/>
      <c r="GZ1584" s="791"/>
      <c r="HA1584" s="791"/>
      <c r="HB1584" s="791"/>
      <c r="HC1584" s="791"/>
      <c r="HD1584" s="791"/>
      <c r="HE1584" s="791"/>
      <c r="HF1584" s="791"/>
      <c r="HG1584" s="791"/>
      <c r="HH1584" s="791"/>
      <c r="HI1584" s="791"/>
      <c r="HJ1584" s="791"/>
      <c r="HK1584" s="791"/>
      <c r="HL1584" s="791"/>
      <c r="HM1584" s="791"/>
    </row>
    <row r="1585" spans="1:221" s="456" customFormat="1">
      <c r="A1585" s="799" t="s">
        <v>1775</v>
      </c>
      <c r="B1585" s="1275" t="s">
        <v>36</v>
      </c>
      <c r="C1585" s="1276" t="s">
        <v>394</v>
      </c>
      <c r="D1585" s="1277"/>
      <c r="E1585" s="1278">
        <v>68</v>
      </c>
      <c r="F1585" s="785"/>
      <c r="G1585" s="786"/>
      <c r="H1585" s="786"/>
      <c r="I1585" s="787">
        <v>2</v>
      </c>
      <c r="J1585" s="788" t="s">
        <v>206</v>
      </c>
      <c r="K1585" s="788"/>
      <c r="L1585" s="787">
        <f t="shared" si="77"/>
        <v>103</v>
      </c>
      <c r="M1585" s="786">
        <v>35</v>
      </c>
      <c r="N1585" s="797">
        <v>8</v>
      </c>
      <c r="O1585" s="803" t="s">
        <v>1776</v>
      </c>
      <c r="P1585" s="804"/>
      <c r="Q1585" s="804"/>
      <c r="R1585" s="798"/>
      <c r="S1585" s="804"/>
      <c r="T1585" s="798"/>
      <c r="U1585" s="798"/>
      <c r="V1585" s="798"/>
      <c r="W1585" s="798"/>
      <c r="X1585" s="798"/>
      <c r="Y1585" s="798"/>
      <c r="Z1585" s="798"/>
      <c r="AA1585" s="798"/>
      <c r="AB1585" s="798"/>
      <c r="AC1585" s="798"/>
      <c r="AD1585" s="791"/>
      <c r="AE1585" s="791"/>
      <c r="AF1585" s="791"/>
      <c r="AG1585" s="791"/>
      <c r="AH1585" s="791"/>
      <c r="AI1585" s="791"/>
      <c r="AJ1585" s="791"/>
      <c r="AK1585" s="791"/>
      <c r="AL1585" s="791"/>
      <c r="AM1585" s="791"/>
      <c r="AN1585" s="791"/>
      <c r="AO1585" s="791"/>
      <c r="AP1585" s="791"/>
      <c r="AQ1585" s="791"/>
      <c r="AR1585" s="791"/>
      <c r="AS1585" s="791"/>
      <c r="AT1585" s="791"/>
      <c r="AU1585" s="791"/>
      <c r="AV1585" s="791"/>
      <c r="AW1585" s="791"/>
      <c r="AX1585" s="791"/>
      <c r="AY1585" s="791"/>
      <c r="AZ1585" s="791"/>
      <c r="BA1585" s="791"/>
      <c r="BB1585" s="791"/>
      <c r="BC1585" s="791"/>
      <c r="BD1585" s="791"/>
      <c r="BE1585" s="791"/>
      <c r="BF1585" s="791"/>
      <c r="BG1585" s="791"/>
      <c r="BH1585" s="791"/>
      <c r="BI1585" s="791"/>
      <c r="BJ1585" s="791"/>
      <c r="BK1585" s="791"/>
      <c r="BL1585" s="791"/>
      <c r="BM1585" s="791"/>
      <c r="BN1585" s="791"/>
      <c r="BO1585" s="791"/>
      <c r="BP1585" s="791"/>
      <c r="BQ1585" s="791"/>
      <c r="BR1585" s="791"/>
      <c r="BS1585" s="791"/>
      <c r="BT1585" s="791"/>
      <c r="BU1585" s="791"/>
      <c r="BV1585" s="791"/>
      <c r="BW1585" s="791"/>
      <c r="BX1585" s="791"/>
      <c r="BY1585" s="791"/>
      <c r="BZ1585" s="791"/>
      <c r="CA1585" s="791"/>
      <c r="CB1585" s="791"/>
      <c r="CC1585" s="791"/>
      <c r="CD1585" s="791"/>
      <c r="CE1585" s="791"/>
      <c r="CF1585" s="791"/>
      <c r="CG1585" s="791"/>
      <c r="CH1585" s="791"/>
      <c r="CI1585" s="791"/>
      <c r="CJ1585" s="791"/>
      <c r="CK1585" s="791"/>
      <c r="CL1585" s="791"/>
      <c r="CM1585" s="791"/>
      <c r="CN1585" s="791"/>
      <c r="CO1585" s="791"/>
      <c r="CP1585" s="791"/>
      <c r="CQ1585" s="791"/>
      <c r="CR1585" s="791"/>
      <c r="CS1585" s="791"/>
      <c r="CT1585" s="791"/>
      <c r="CU1585" s="791"/>
      <c r="CV1585" s="791"/>
      <c r="CW1585" s="791"/>
      <c r="CX1585" s="791"/>
      <c r="CY1585" s="791"/>
      <c r="CZ1585" s="791"/>
      <c r="DA1585" s="791"/>
      <c r="DB1585" s="791"/>
      <c r="DC1585" s="791"/>
      <c r="DD1585" s="791"/>
      <c r="DE1585" s="791"/>
      <c r="DF1585" s="791"/>
      <c r="DG1585" s="791"/>
      <c r="DH1585" s="791"/>
      <c r="DI1585" s="791"/>
      <c r="DJ1585" s="791"/>
      <c r="DK1585" s="791"/>
      <c r="DL1585" s="791"/>
      <c r="DM1585" s="791"/>
      <c r="DN1585" s="791"/>
      <c r="DO1585" s="791"/>
      <c r="DP1585" s="791"/>
      <c r="DQ1585" s="791"/>
      <c r="DR1585" s="791"/>
      <c r="DS1585" s="791"/>
      <c r="DT1585" s="791"/>
      <c r="DU1585" s="791"/>
      <c r="DV1585" s="791"/>
      <c r="DW1585" s="791"/>
      <c r="DX1585" s="791"/>
      <c r="DY1585" s="791"/>
      <c r="DZ1585" s="791"/>
      <c r="EA1585" s="791"/>
      <c r="EB1585" s="791"/>
      <c r="EC1585" s="791"/>
      <c r="ED1585" s="791"/>
      <c r="EE1585" s="791"/>
      <c r="EF1585" s="791"/>
      <c r="EG1585" s="791"/>
      <c r="EH1585" s="791"/>
      <c r="EI1585" s="791"/>
      <c r="EJ1585" s="791"/>
      <c r="EK1585" s="791"/>
      <c r="EL1585" s="791"/>
      <c r="EM1585" s="791"/>
      <c r="EN1585" s="791"/>
      <c r="EO1585" s="791"/>
      <c r="EP1585" s="791"/>
      <c r="EQ1585" s="791"/>
      <c r="ER1585" s="791"/>
      <c r="ES1585" s="791"/>
      <c r="ET1585" s="791"/>
      <c r="EU1585" s="791"/>
      <c r="EV1585" s="791"/>
      <c r="EW1585" s="791"/>
      <c r="EX1585" s="791"/>
      <c r="EY1585" s="791"/>
      <c r="EZ1585" s="791"/>
      <c r="FA1585" s="791"/>
      <c r="FB1585" s="791"/>
      <c r="FC1585" s="791"/>
      <c r="FD1585" s="791"/>
      <c r="FE1585" s="791"/>
      <c r="FF1585" s="791"/>
      <c r="FG1585" s="791"/>
      <c r="FH1585" s="791"/>
      <c r="FI1585" s="791"/>
      <c r="FJ1585" s="791"/>
      <c r="FK1585" s="791"/>
      <c r="FL1585" s="791"/>
      <c r="FM1585" s="791"/>
      <c r="FN1585" s="791"/>
      <c r="FO1585" s="791"/>
      <c r="FP1585" s="791"/>
      <c r="FQ1585" s="791"/>
      <c r="FR1585" s="791"/>
      <c r="FS1585" s="791"/>
      <c r="FT1585" s="791"/>
      <c r="FU1585" s="791"/>
      <c r="FV1585" s="791"/>
      <c r="FW1585" s="791"/>
      <c r="FX1585" s="791"/>
      <c r="FY1585" s="791"/>
      <c r="FZ1585" s="791"/>
      <c r="GA1585" s="791"/>
      <c r="GB1585" s="791"/>
      <c r="GC1585" s="791"/>
      <c r="GD1585" s="791"/>
      <c r="GE1585" s="791"/>
      <c r="GF1585" s="791"/>
      <c r="GG1585" s="791"/>
      <c r="GH1585" s="791"/>
      <c r="GI1585" s="791"/>
      <c r="GJ1585" s="791"/>
      <c r="GK1585" s="791"/>
      <c r="GL1585" s="791"/>
      <c r="GM1585" s="791"/>
      <c r="GN1585" s="791"/>
      <c r="GO1585" s="791"/>
      <c r="GP1585" s="791"/>
      <c r="GQ1585" s="791"/>
      <c r="GR1585" s="791"/>
      <c r="GS1585" s="791"/>
      <c r="GT1585" s="791"/>
      <c r="GU1585" s="791"/>
      <c r="GV1585" s="791"/>
      <c r="GW1585" s="791"/>
      <c r="GX1585" s="791"/>
      <c r="GY1585" s="791"/>
      <c r="GZ1585" s="791"/>
      <c r="HA1585" s="791"/>
      <c r="HB1585" s="791"/>
      <c r="HC1585" s="791"/>
      <c r="HD1585" s="791"/>
      <c r="HE1585" s="791"/>
      <c r="HF1585" s="791"/>
      <c r="HG1585" s="791"/>
      <c r="HH1585" s="791"/>
      <c r="HI1585" s="791"/>
      <c r="HJ1585" s="791"/>
      <c r="HK1585" s="791"/>
      <c r="HL1585" s="791"/>
      <c r="HM1585" s="791"/>
    </row>
    <row r="1586" spans="1:221" s="456" customFormat="1">
      <c r="A1586" s="2432" t="s">
        <v>4542</v>
      </c>
      <c r="B1586" s="1286" t="s">
        <v>36</v>
      </c>
      <c r="C1586" s="1280" t="s">
        <v>2416</v>
      </c>
      <c r="D1586" s="1277"/>
      <c r="E1586" s="1851">
        <v>60</v>
      </c>
      <c r="F1586" s="785"/>
      <c r="G1586" s="786"/>
      <c r="H1586" s="786"/>
      <c r="I1586" s="665">
        <v>3</v>
      </c>
      <c r="J1586" s="666" t="s">
        <v>206</v>
      </c>
      <c r="K1586" s="788"/>
      <c r="L1586" s="665">
        <v>90</v>
      </c>
      <c r="M1586" s="664">
        <f>L1586-E1586</f>
        <v>30</v>
      </c>
      <c r="N1586" s="667">
        <v>5</v>
      </c>
      <c r="O1586" s="1856" t="s">
        <v>4281</v>
      </c>
      <c r="P1586" s="804"/>
      <c r="Q1586" s="2483" t="s">
        <v>3817</v>
      </c>
      <c r="R1586" s="798"/>
      <c r="S1586" s="804"/>
      <c r="T1586" s="798"/>
      <c r="U1586" s="798"/>
      <c r="V1586" s="798"/>
      <c r="W1586" s="798"/>
      <c r="X1586" s="798"/>
      <c r="Y1586" s="798"/>
      <c r="Z1586" s="798"/>
      <c r="AA1586" s="798"/>
      <c r="AB1586" s="798"/>
      <c r="AC1586" s="798"/>
      <c r="AD1586" s="791"/>
      <c r="AE1586" s="791"/>
      <c r="AF1586" s="791"/>
      <c r="AG1586" s="791"/>
      <c r="AH1586" s="791"/>
      <c r="AI1586" s="791"/>
      <c r="AJ1586" s="791"/>
      <c r="AK1586" s="791"/>
      <c r="AL1586" s="791"/>
      <c r="AM1586" s="791"/>
      <c r="AN1586" s="791"/>
      <c r="AO1586" s="791"/>
      <c r="AP1586" s="791"/>
      <c r="AQ1586" s="791"/>
      <c r="AR1586" s="791"/>
      <c r="AS1586" s="791"/>
      <c r="AT1586" s="791"/>
      <c r="AU1586" s="791"/>
      <c r="AV1586" s="791"/>
      <c r="AW1586" s="791"/>
      <c r="AX1586" s="791"/>
      <c r="AY1586" s="791"/>
      <c r="AZ1586" s="791"/>
      <c r="BA1586" s="791"/>
      <c r="BB1586" s="791"/>
      <c r="BC1586" s="791"/>
      <c r="BD1586" s="791"/>
      <c r="BE1586" s="791"/>
      <c r="BF1586" s="791"/>
      <c r="BG1586" s="791"/>
      <c r="BH1586" s="791"/>
      <c r="BI1586" s="791"/>
      <c r="BJ1586" s="791"/>
      <c r="BK1586" s="791"/>
      <c r="BL1586" s="791"/>
      <c r="BM1586" s="791"/>
      <c r="BN1586" s="791"/>
      <c r="BO1586" s="791"/>
      <c r="BP1586" s="791"/>
      <c r="BQ1586" s="791"/>
      <c r="BR1586" s="791"/>
      <c r="BS1586" s="791"/>
      <c r="BT1586" s="791"/>
      <c r="BU1586" s="791"/>
      <c r="BV1586" s="791"/>
      <c r="BW1586" s="791"/>
      <c r="BX1586" s="791"/>
      <c r="BY1586" s="791"/>
      <c r="BZ1586" s="791"/>
      <c r="CA1586" s="791"/>
      <c r="CB1586" s="791"/>
      <c r="CC1586" s="791"/>
      <c r="CD1586" s="791"/>
      <c r="CE1586" s="791"/>
      <c r="CF1586" s="791"/>
      <c r="CG1586" s="791"/>
      <c r="CH1586" s="791"/>
      <c r="CI1586" s="791"/>
      <c r="CJ1586" s="791"/>
      <c r="CK1586" s="791"/>
      <c r="CL1586" s="791"/>
      <c r="CM1586" s="791"/>
      <c r="CN1586" s="791"/>
      <c r="CO1586" s="791"/>
      <c r="CP1586" s="791"/>
      <c r="CQ1586" s="791"/>
      <c r="CR1586" s="791"/>
      <c r="CS1586" s="791"/>
      <c r="CT1586" s="791"/>
      <c r="CU1586" s="791"/>
      <c r="CV1586" s="791"/>
      <c r="CW1586" s="791"/>
      <c r="CX1586" s="791"/>
      <c r="CY1586" s="791"/>
      <c r="CZ1586" s="791"/>
      <c r="DA1586" s="791"/>
      <c r="DB1586" s="791"/>
      <c r="DC1586" s="791"/>
      <c r="DD1586" s="791"/>
      <c r="DE1586" s="791"/>
      <c r="DF1586" s="791"/>
      <c r="DG1586" s="791"/>
      <c r="DH1586" s="791"/>
      <c r="DI1586" s="791"/>
      <c r="DJ1586" s="791"/>
      <c r="DK1586" s="791"/>
      <c r="DL1586" s="791"/>
      <c r="DM1586" s="791"/>
      <c r="DN1586" s="791"/>
      <c r="DO1586" s="791"/>
      <c r="DP1586" s="791"/>
      <c r="DQ1586" s="791"/>
      <c r="DR1586" s="791"/>
      <c r="DS1586" s="791"/>
      <c r="DT1586" s="791"/>
      <c r="DU1586" s="791"/>
      <c r="DV1586" s="791"/>
      <c r="DW1586" s="791"/>
      <c r="DX1586" s="791"/>
      <c r="DY1586" s="791"/>
      <c r="DZ1586" s="791"/>
      <c r="EA1586" s="791"/>
      <c r="EB1586" s="791"/>
      <c r="EC1586" s="791"/>
      <c r="ED1586" s="791"/>
      <c r="EE1586" s="791"/>
      <c r="EF1586" s="791"/>
      <c r="EG1586" s="791"/>
      <c r="EH1586" s="791"/>
      <c r="EI1586" s="791"/>
      <c r="EJ1586" s="791"/>
      <c r="EK1586" s="791"/>
      <c r="EL1586" s="791"/>
      <c r="EM1586" s="791"/>
      <c r="EN1586" s="791"/>
      <c r="EO1586" s="791"/>
      <c r="EP1586" s="791"/>
      <c r="EQ1586" s="791"/>
      <c r="ER1586" s="791"/>
      <c r="ES1586" s="791"/>
      <c r="ET1586" s="791"/>
      <c r="EU1586" s="791"/>
      <c r="EV1586" s="791"/>
      <c r="EW1586" s="791"/>
      <c r="EX1586" s="791"/>
      <c r="EY1586" s="791"/>
      <c r="EZ1586" s="791"/>
      <c r="FA1586" s="791"/>
      <c r="FB1586" s="791"/>
      <c r="FC1586" s="791"/>
      <c r="FD1586" s="791"/>
      <c r="FE1586" s="791"/>
      <c r="FF1586" s="791"/>
      <c r="FG1586" s="791"/>
      <c r="FH1586" s="791"/>
      <c r="FI1586" s="791"/>
      <c r="FJ1586" s="791"/>
      <c r="FK1586" s="791"/>
      <c r="FL1586" s="791"/>
      <c r="FM1586" s="791"/>
      <c r="FN1586" s="791"/>
      <c r="FO1586" s="791"/>
      <c r="FP1586" s="791"/>
      <c r="FQ1586" s="791"/>
      <c r="FR1586" s="791"/>
      <c r="FS1586" s="791"/>
      <c r="FT1586" s="791"/>
      <c r="FU1586" s="791"/>
      <c r="FV1586" s="791"/>
      <c r="FW1586" s="791"/>
      <c r="FX1586" s="791"/>
      <c r="FY1586" s="791"/>
      <c r="FZ1586" s="791"/>
      <c r="GA1586" s="791"/>
      <c r="GB1586" s="791"/>
      <c r="GC1586" s="791"/>
      <c r="GD1586" s="791"/>
      <c r="GE1586" s="791"/>
      <c r="GF1586" s="791"/>
      <c r="GG1586" s="791"/>
      <c r="GH1586" s="791"/>
      <c r="GI1586" s="791"/>
      <c r="GJ1586" s="791"/>
      <c r="GK1586" s="791"/>
      <c r="GL1586" s="791"/>
      <c r="GM1586" s="791"/>
      <c r="GN1586" s="791"/>
      <c r="GO1586" s="791"/>
      <c r="GP1586" s="791"/>
      <c r="GQ1586" s="791"/>
      <c r="GR1586" s="791"/>
      <c r="GS1586" s="791"/>
      <c r="GT1586" s="791"/>
      <c r="GU1586" s="791"/>
      <c r="GV1586" s="791"/>
      <c r="GW1586" s="791"/>
      <c r="GX1586" s="791"/>
      <c r="GY1586" s="791"/>
      <c r="GZ1586" s="791"/>
      <c r="HA1586" s="791"/>
      <c r="HB1586" s="791"/>
      <c r="HC1586" s="791"/>
      <c r="HD1586" s="791"/>
      <c r="HE1586" s="791"/>
      <c r="HF1586" s="791"/>
      <c r="HG1586" s="791"/>
      <c r="HH1586" s="791"/>
      <c r="HI1586" s="791"/>
      <c r="HJ1586" s="791"/>
      <c r="HK1586" s="791"/>
      <c r="HL1586" s="791"/>
      <c r="HM1586" s="791"/>
    </row>
    <row r="1587" spans="1:221" s="456" customFormat="1">
      <c r="A1587" s="2432" t="s">
        <v>4543</v>
      </c>
      <c r="B1587" s="1286" t="s">
        <v>36</v>
      </c>
      <c r="C1587" s="1280" t="s">
        <v>2416</v>
      </c>
      <c r="D1587" s="1277"/>
      <c r="E1587" s="1851">
        <v>50</v>
      </c>
      <c r="F1587" s="785"/>
      <c r="G1587" s="786"/>
      <c r="H1587" s="786"/>
      <c r="I1587" s="665">
        <v>3</v>
      </c>
      <c r="J1587" s="666" t="s">
        <v>206</v>
      </c>
      <c r="K1587" s="788"/>
      <c r="L1587" s="665">
        <v>85</v>
      </c>
      <c r="M1587" s="664">
        <f t="shared" ref="M1587:M1591" si="78">L1587-E1587</f>
        <v>35</v>
      </c>
      <c r="N1587" s="667">
        <v>5</v>
      </c>
      <c r="O1587" s="1856" t="s">
        <v>4281</v>
      </c>
      <c r="P1587" s="804"/>
      <c r="Q1587" s="2483" t="s">
        <v>3817</v>
      </c>
      <c r="R1587" s="798"/>
      <c r="S1587" s="804"/>
      <c r="T1587" s="798"/>
      <c r="U1587" s="798"/>
      <c r="V1587" s="798"/>
      <c r="W1587" s="798"/>
      <c r="X1587" s="798"/>
      <c r="Y1587" s="798"/>
      <c r="Z1587" s="798"/>
      <c r="AA1587" s="798"/>
      <c r="AB1587" s="798"/>
      <c r="AC1587" s="798"/>
      <c r="AD1587" s="791"/>
      <c r="AE1587" s="791"/>
      <c r="AF1587" s="791"/>
      <c r="AG1587" s="791"/>
      <c r="AH1587" s="791"/>
      <c r="AI1587" s="791"/>
      <c r="AJ1587" s="791"/>
      <c r="AK1587" s="791"/>
      <c r="AL1587" s="791"/>
      <c r="AM1587" s="791"/>
      <c r="AN1587" s="791"/>
      <c r="AO1587" s="791"/>
      <c r="AP1587" s="791"/>
      <c r="AQ1587" s="791"/>
      <c r="AR1587" s="791"/>
      <c r="AS1587" s="791"/>
      <c r="AT1587" s="791"/>
      <c r="AU1587" s="791"/>
      <c r="AV1587" s="791"/>
      <c r="AW1587" s="791"/>
      <c r="AX1587" s="791"/>
      <c r="AY1587" s="791"/>
      <c r="AZ1587" s="791"/>
      <c r="BA1587" s="791"/>
      <c r="BB1587" s="791"/>
      <c r="BC1587" s="791"/>
      <c r="BD1587" s="791"/>
      <c r="BE1587" s="791"/>
      <c r="BF1587" s="791"/>
      <c r="BG1587" s="791"/>
      <c r="BH1587" s="791"/>
      <c r="BI1587" s="791"/>
      <c r="BJ1587" s="791"/>
      <c r="BK1587" s="791"/>
      <c r="BL1587" s="791"/>
      <c r="BM1587" s="791"/>
      <c r="BN1587" s="791"/>
      <c r="BO1587" s="791"/>
      <c r="BP1587" s="791"/>
      <c r="BQ1587" s="791"/>
      <c r="BR1587" s="791"/>
      <c r="BS1587" s="791"/>
      <c r="BT1587" s="791"/>
      <c r="BU1587" s="791"/>
      <c r="BV1587" s="791"/>
      <c r="BW1587" s="791"/>
      <c r="BX1587" s="791"/>
      <c r="BY1587" s="791"/>
      <c r="BZ1587" s="791"/>
      <c r="CA1587" s="791"/>
      <c r="CB1587" s="791"/>
      <c r="CC1587" s="791"/>
      <c r="CD1587" s="791"/>
      <c r="CE1587" s="791"/>
      <c r="CF1587" s="791"/>
      <c r="CG1587" s="791"/>
      <c r="CH1587" s="791"/>
      <c r="CI1587" s="791"/>
      <c r="CJ1587" s="791"/>
      <c r="CK1587" s="791"/>
      <c r="CL1587" s="791"/>
      <c r="CM1587" s="791"/>
      <c r="CN1587" s="791"/>
      <c r="CO1587" s="791"/>
      <c r="CP1587" s="791"/>
      <c r="CQ1587" s="791"/>
      <c r="CR1587" s="791"/>
      <c r="CS1587" s="791"/>
      <c r="CT1587" s="791"/>
      <c r="CU1587" s="791"/>
      <c r="CV1587" s="791"/>
      <c r="CW1587" s="791"/>
      <c r="CX1587" s="791"/>
      <c r="CY1587" s="791"/>
      <c r="CZ1587" s="791"/>
      <c r="DA1587" s="791"/>
      <c r="DB1587" s="791"/>
      <c r="DC1587" s="791"/>
      <c r="DD1587" s="791"/>
      <c r="DE1587" s="791"/>
      <c r="DF1587" s="791"/>
      <c r="DG1587" s="791"/>
      <c r="DH1587" s="791"/>
      <c r="DI1587" s="791"/>
      <c r="DJ1587" s="791"/>
      <c r="DK1587" s="791"/>
      <c r="DL1587" s="791"/>
      <c r="DM1587" s="791"/>
      <c r="DN1587" s="791"/>
      <c r="DO1587" s="791"/>
      <c r="DP1587" s="791"/>
      <c r="DQ1587" s="791"/>
      <c r="DR1587" s="791"/>
      <c r="DS1587" s="791"/>
      <c r="DT1587" s="791"/>
      <c r="DU1587" s="791"/>
      <c r="DV1587" s="791"/>
      <c r="DW1587" s="791"/>
      <c r="DX1587" s="791"/>
      <c r="DY1587" s="791"/>
      <c r="DZ1587" s="791"/>
      <c r="EA1587" s="791"/>
      <c r="EB1587" s="791"/>
      <c r="EC1587" s="791"/>
      <c r="ED1587" s="791"/>
      <c r="EE1587" s="791"/>
      <c r="EF1587" s="791"/>
      <c r="EG1587" s="791"/>
      <c r="EH1587" s="791"/>
      <c r="EI1587" s="791"/>
      <c r="EJ1587" s="791"/>
      <c r="EK1587" s="791"/>
      <c r="EL1587" s="791"/>
      <c r="EM1587" s="791"/>
      <c r="EN1587" s="791"/>
      <c r="EO1587" s="791"/>
      <c r="EP1587" s="791"/>
      <c r="EQ1587" s="791"/>
      <c r="ER1587" s="791"/>
      <c r="ES1587" s="791"/>
      <c r="ET1587" s="791"/>
      <c r="EU1587" s="791"/>
      <c r="EV1587" s="791"/>
      <c r="EW1587" s="791"/>
      <c r="EX1587" s="791"/>
      <c r="EY1587" s="791"/>
      <c r="EZ1587" s="791"/>
      <c r="FA1587" s="791"/>
      <c r="FB1587" s="791"/>
      <c r="FC1587" s="791"/>
      <c r="FD1587" s="791"/>
      <c r="FE1587" s="791"/>
      <c r="FF1587" s="791"/>
      <c r="FG1587" s="791"/>
      <c r="FH1587" s="791"/>
      <c r="FI1587" s="791"/>
      <c r="FJ1587" s="791"/>
      <c r="FK1587" s="791"/>
      <c r="FL1587" s="791"/>
      <c r="FM1587" s="791"/>
      <c r="FN1587" s="791"/>
      <c r="FO1587" s="791"/>
      <c r="FP1587" s="791"/>
      <c r="FQ1587" s="791"/>
      <c r="FR1587" s="791"/>
      <c r="FS1587" s="791"/>
      <c r="FT1587" s="791"/>
      <c r="FU1587" s="791"/>
      <c r="FV1587" s="791"/>
      <c r="FW1587" s="791"/>
      <c r="FX1587" s="791"/>
      <c r="FY1587" s="791"/>
      <c r="FZ1587" s="791"/>
      <c r="GA1587" s="791"/>
      <c r="GB1587" s="791"/>
      <c r="GC1587" s="791"/>
      <c r="GD1587" s="791"/>
      <c r="GE1587" s="791"/>
      <c r="GF1587" s="791"/>
      <c r="GG1587" s="791"/>
      <c r="GH1587" s="791"/>
      <c r="GI1587" s="791"/>
      <c r="GJ1587" s="791"/>
      <c r="GK1587" s="791"/>
      <c r="GL1587" s="791"/>
      <c r="GM1587" s="791"/>
      <c r="GN1587" s="791"/>
      <c r="GO1587" s="791"/>
      <c r="GP1587" s="791"/>
      <c r="GQ1587" s="791"/>
      <c r="GR1587" s="791"/>
      <c r="GS1587" s="791"/>
      <c r="GT1587" s="791"/>
      <c r="GU1587" s="791"/>
      <c r="GV1587" s="791"/>
      <c r="GW1587" s="791"/>
      <c r="GX1587" s="791"/>
      <c r="GY1587" s="791"/>
      <c r="GZ1587" s="791"/>
      <c r="HA1587" s="791"/>
      <c r="HB1587" s="791"/>
      <c r="HC1587" s="791"/>
      <c r="HD1587" s="791"/>
      <c r="HE1587" s="791"/>
      <c r="HF1587" s="791"/>
      <c r="HG1587" s="791"/>
      <c r="HH1587" s="791"/>
      <c r="HI1587" s="791"/>
      <c r="HJ1587" s="791"/>
      <c r="HK1587" s="791"/>
      <c r="HL1587" s="791"/>
      <c r="HM1587" s="791"/>
    </row>
    <row r="1588" spans="1:221" s="456" customFormat="1">
      <c r="A1588" s="2432" t="s">
        <v>4544</v>
      </c>
      <c r="B1588" s="1286" t="s">
        <v>36</v>
      </c>
      <c r="C1588" s="1280" t="s">
        <v>2416</v>
      </c>
      <c r="D1588" s="1277"/>
      <c r="E1588" s="1851">
        <v>62</v>
      </c>
      <c r="F1588" s="785"/>
      <c r="G1588" s="786"/>
      <c r="H1588" s="786"/>
      <c r="I1588" s="665">
        <v>3</v>
      </c>
      <c r="J1588" s="666" t="s">
        <v>206</v>
      </c>
      <c r="K1588" s="788"/>
      <c r="L1588" s="665">
        <v>84</v>
      </c>
      <c r="M1588" s="664">
        <f t="shared" si="78"/>
        <v>22</v>
      </c>
      <c r="N1588" s="667">
        <v>5</v>
      </c>
      <c r="O1588" s="1856" t="s">
        <v>4281</v>
      </c>
      <c r="P1588" s="804"/>
      <c r="Q1588" s="2483" t="s">
        <v>3817</v>
      </c>
      <c r="R1588" s="798"/>
      <c r="S1588" s="804"/>
      <c r="T1588" s="798"/>
      <c r="U1588" s="798"/>
      <c r="V1588" s="798"/>
      <c r="W1588" s="798"/>
      <c r="X1588" s="798"/>
      <c r="Y1588" s="798"/>
      <c r="Z1588" s="798"/>
      <c r="AA1588" s="798"/>
      <c r="AB1588" s="798"/>
      <c r="AC1588" s="798"/>
      <c r="AD1588" s="791"/>
      <c r="AE1588" s="791"/>
      <c r="AF1588" s="791"/>
      <c r="AG1588" s="791"/>
      <c r="AH1588" s="791"/>
      <c r="AI1588" s="791"/>
      <c r="AJ1588" s="791"/>
      <c r="AK1588" s="791"/>
      <c r="AL1588" s="791"/>
      <c r="AM1588" s="791"/>
      <c r="AN1588" s="791"/>
      <c r="AO1588" s="791"/>
      <c r="AP1588" s="791"/>
      <c r="AQ1588" s="791"/>
      <c r="AR1588" s="791"/>
      <c r="AS1588" s="791"/>
      <c r="AT1588" s="791"/>
      <c r="AU1588" s="791"/>
      <c r="AV1588" s="791"/>
      <c r="AW1588" s="791"/>
      <c r="AX1588" s="791"/>
      <c r="AY1588" s="791"/>
      <c r="AZ1588" s="791"/>
      <c r="BA1588" s="791"/>
      <c r="BB1588" s="791"/>
      <c r="BC1588" s="791"/>
      <c r="BD1588" s="791"/>
      <c r="BE1588" s="791"/>
      <c r="BF1588" s="791"/>
      <c r="BG1588" s="791"/>
      <c r="BH1588" s="791"/>
      <c r="BI1588" s="791"/>
      <c r="BJ1588" s="791"/>
      <c r="BK1588" s="791"/>
      <c r="BL1588" s="791"/>
      <c r="BM1588" s="791"/>
      <c r="BN1588" s="791"/>
      <c r="BO1588" s="791"/>
      <c r="BP1588" s="791"/>
      <c r="BQ1588" s="791"/>
      <c r="BR1588" s="791"/>
      <c r="BS1588" s="791"/>
      <c r="BT1588" s="791"/>
      <c r="BU1588" s="791"/>
      <c r="BV1588" s="791"/>
      <c r="BW1588" s="791"/>
      <c r="BX1588" s="791"/>
      <c r="BY1588" s="791"/>
      <c r="BZ1588" s="791"/>
      <c r="CA1588" s="791"/>
      <c r="CB1588" s="791"/>
      <c r="CC1588" s="791"/>
      <c r="CD1588" s="791"/>
      <c r="CE1588" s="791"/>
      <c r="CF1588" s="791"/>
      <c r="CG1588" s="791"/>
      <c r="CH1588" s="791"/>
      <c r="CI1588" s="791"/>
      <c r="CJ1588" s="791"/>
      <c r="CK1588" s="791"/>
      <c r="CL1588" s="791"/>
      <c r="CM1588" s="791"/>
      <c r="CN1588" s="791"/>
      <c r="CO1588" s="791"/>
      <c r="CP1588" s="791"/>
      <c r="CQ1588" s="791"/>
      <c r="CR1588" s="791"/>
      <c r="CS1588" s="791"/>
      <c r="CT1588" s="791"/>
      <c r="CU1588" s="791"/>
      <c r="CV1588" s="791"/>
      <c r="CW1588" s="791"/>
      <c r="CX1588" s="791"/>
      <c r="CY1588" s="791"/>
      <c r="CZ1588" s="791"/>
      <c r="DA1588" s="791"/>
      <c r="DB1588" s="791"/>
      <c r="DC1588" s="791"/>
      <c r="DD1588" s="791"/>
      <c r="DE1588" s="791"/>
      <c r="DF1588" s="791"/>
      <c r="DG1588" s="791"/>
      <c r="DH1588" s="791"/>
      <c r="DI1588" s="791"/>
      <c r="DJ1588" s="791"/>
      <c r="DK1588" s="791"/>
      <c r="DL1588" s="791"/>
      <c r="DM1588" s="791"/>
      <c r="DN1588" s="791"/>
      <c r="DO1588" s="791"/>
      <c r="DP1588" s="791"/>
      <c r="DQ1588" s="791"/>
      <c r="DR1588" s="791"/>
      <c r="DS1588" s="791"/>
      <c r="DT1588" s="791"/>
      <c r="DU1588" s="791"/>
      <c r="DV1588" s="791"/>
      <c r="DW1588" s="791"/>
      <c r="DX1588" s="791"/>
      <c r="DY1588" s="791"/>
      <c r="DZ1588" s="791"/>
      <c r="EA1588" s="791"/>
      <c r="EB1588" s="791"/>
      <c r="EC1588" s="791"/>
      <c r="ED1588" s="791"/>
      <c r="EE1588" s="791"/>
      <c r="EF1588" s="791"/>
      <c r="EG1588" s="791"/>
      <c r="EH1588" s="791"/>
      <c r="EI1588" s="791"/>
      <c r="EJ1588" s="791"/>
      <c r="EK1588" s="791"/>
      <c r="EL1588" s="791"/>
      <c r="EM1588" s="791"/>
      <c r="EN1588" s="791"/>
      <c r="EO1588" s="791"/>
      <c r="EP1588" s="791"/>
      <c r="EQ1588" s="791"/>
      <c r="ER1588" s="791"/>
      <c r="ES1588" s="791"/>
      <c r="ET1588" s="791"/>
      <c r="EU1588" s="791"/>
      <c r="EV1588" s="791"/>
      <c r="EW1588" s="791"/>
      <c r="EX1588" s="791"/>
      <c r="EY1588" s="791"/>
      <c r="EZ1588" s="791"/>
      <c r="FA1588" s="791"/>
      <c r="FB1588" s="791"/>
      <c r="FC1588" s="791"/>
      <c r="FD1588" s="791"/>
      <c r="FE1588" s="791"/>
      <c r="FF1588" s="791"/>
      <c r="FG1588" s="791"/>
      <c r="FH1588" s="791"/>
      <c r="FI1588" s="791"/>
      <c r="FJ1588" s="791"/>
      <c r="FK1588" s="791"/>
      <c r="FL1588" s="791"/>
      <c r="FM1588" s="791"/>
      <c r="FN1588" s="791"/>
      <c r="FO1588" s="791"/>
      <c r="FP1588" s="791"/>
      <c r="FQ1588" s="791"/>
      <c r="FR1588" s="791"/>
      <c r="FS1588" s="791"/>
      <c r="FT1588" s="791"/>
      <c r="FU1588" s="791"/>
      <c r="FV1588" s="791"/>
      <c r="FW1588" s="791"/>
      <c r="FX1588" s="791"/>
      <c r="FY1588" s="791"/>
      <c r="FZ1588" s="791"/>
      <c r="GA1588" s="791"/>
      <c r="GB1588" s="791"/>
      <c r="GC1588" s="791"/>
      <c r="GD1588" s="791"/>
      <c r="GE1588" s="791"/>
      <c r="GF1588" s="791"/>
      <c r="GG1588" s="791"/>
      <c r="GH1588" s="791"/>
      <c r="GI1588" s="791"/>
      <c r="GJ1588" s="791"/>
      <c r="GK1588" s="791"/>
      <c r="GL1588" s="791"/>
      <c r="GM1588" s="791"/>
      <c r="GN1588" s="791"/>
      <c r="GO1588" s="791"/>
      <c r="GP1588" s="791"/>
      <c r="GQ1588" s="791"/>
      <c r="GR1588" s="791"/>
      <c r="GS1588" s="791"/>
      <c r="GT1588" s="791"/>
      <c r="GU1588" s="791"/>
      <c r="GV1588" s="791"/>
      <c r="GW1588" s="791"/>
      <c r="GX1588" s="791"/>
      <c r="GY1588" s="791"/>
      <c r="GZ1588" s="791"/>
      <c r="HA1588" s="791"/>
      <c r="HB1588" s="791"/>
      <c r="HC1588" s="791"/>
      <c r="HD1588" s="791"/>
      <c r="HE1588" s="791"/>
      <c r="HF1588" s="791"/>
      <c r="HG1588" s="791"/>
      <c r="HH1588" s="791"/>
      <c r="HI1588" s="791"/>
      <c r="HJ1588" s="791"/>
      <c r="HK1588" s="791"/>
      <c r="HL1588" s="791"/>
      <c r="HM1588" s="791"/>
    </row>
    <row r="1589" spans="1:221" s="456" customFormat="1">
      <c r="A1589" s="2432" t="s">
        <v>4547</v>
      </c>
      <c r="B1589" s="1286" t="s">
        <v>36</v>
      </c>
      <c r="C1589" s="1280" t="s">
        <v>2416</v>
      </c>
      <c r="D1589" s="1277"/>
      <c r="E1589" s="1851">
        <v>94.5</v>
      </c>
      <c r="F1589" s="785"/>
      <c r="G1589" s="786"/>
      <c r="H1589" s="786"/>
      <c r="I1589" s="665">
        <v>3</v>
      </c>
      <c r="J1589" s="666" t="s">
        <v>206</v>
      </c>
      <c r="K1589" s="788"/>
      <c r="L1589" s="665">
        <v>154</v>
      </c>
      <c r="M1589" s="664">
        <f t="shared" si="78"/>
        <v>59.5</v>
      </c>
      <c r="N1589" s="667">
        <v>5</v>
      </c>
      <c r="O1589" s="1856" t="s">
        <v>4281</v>
      </c>
      <c r="P1589" s="804"/>
      <c r="Q1589" s="2483" t="s">
        <v>3817</v>
      </c>
      <c r="R1589" s="798"/>
      <c r="S1589" s="804"/>
      <c r="T1589" s="798"/>
      <c r="U1589" s="798"/>
      <c r="V1589" s="798"/>
      <c r="W1589" s="798"/>
      <c r="X1589" s="798"/>
      <c r="Y1589" s="798"/>
      <c r="Z1589" s="798"/>
      <c r="AA1589" s="798"/>
      <c r="AB1589" s="798"/>
      <c r="AC1589" s="798"/>
      <c r="AD1589" s="791"/>
      <c r="AE1589" s="791"/>
      <c r="AF1589" s="791"/>
      <c r="AG1589" s="791"/>
      <c r="AH1589" s="791"/>
      <c r="AI1589" s="791"/>
      <c r="AJ1589" s="791"/>
      <c r="AK1589" s="791"/>
      <c r="AL1589" s="791"/>
      <c r="AM1589" s="791"/>
      <c r="AN1589" s="791"/>
      <c r="AO1589" s="791"/>
      <c r="AP1589" s="791"/>
      <c r="AQ1589" s="791"/>
      <c r="AR1589" s="791"/>
      <c r="AS1589" s="791"/>
      <c r="AT1589" s="791"/>
      <c r="AU1589" s="791"/>
      <c r="AV1589" s="791"/>
      <c r="AW1589" s="791"/>
      <c r="AX1589" s="791"/>
      <c r="AY1589" s="791"/>
      <c r="AZ1589" s="791"/>
      <c r="BA1589" s="791"/>
      <c r="BB1589" s="791"/>
      <c r="BC1589" s="791"/>
      <c r="BD1589" s="791"/>
      <c r="BE1589" s="791"/>
      <c r="BF1589" s="791"/>
      <c r="BG1589" s="791"/>
      <c r="BH1589" s="791"/>
      <c r="BI1589" s="791"/>
      <c r="BJ1589" s="791"/>
      <c r="BK1589" s="791"/>
      <c r="BL1589" s="791"/>
      <c r="BM1589" s="791"/>
      <c r="BN1589" s="791"/>
      <c r="BO1589" s="791"/>
      <c r="BP1589" s="791"/>
      <c r="BQ1589" s="791"/>
      <c r="BR1589" s="791"/>
      <c r="BS1589" s="791"/>
      <c r="BT1589" s="791"/>
      <c r="BU1589" s="791"/>
      <c r="BV1589" s="791"/>
      <c r="BW1589" s="791"/>
      <c r="BX1589" s="791"/>
      <c r="BY1589" s="791"/>
      <c r="BZ1589" s="791"/>
      <c r="CA1589" s="791"/>
      <c r="CB1589" s="791"/>
      <c r="CC1589" s="791"/>
      <c r="CD1589" s="791"/>
      <c r="CE1589" s="791"/>
      <c r="CF1589" s="791"/>
      <c r="CG1589" s="791"/>
      <c r="CH1589" s="791"/>
      <c r="CI1589" s="791"/>
      <c r="CJ1589" s="791"/>
      <c r="CK1589" s="791"/>
      <c r="CL1589" s="791"/>
      <c r="CM1589" s="791"/>
      <c r="CN1589" s="791"/>
      <c r="CO1589" s="791"/>
      <c r="CP1589" s="791"/>
      <c r="CQ1589" s="791"/>
      <c r="CR1589" s="791"/>
      <c r="CS1589" s="791"/>
      <c r="CT1589" s="791"/>
      <c r="CU1589" s="791"/>
      <c r="CV1589" s="791"/>
      <c r="CW1589" s="791"/>
      <c r="CX1589" s="791"/>
      <c r="CY1589" s="791"/>
      <c r="CZ1589" s="791"/>
      <c r="DA1589" s="791"/>
      <c r="DB1589" s="791"/>
      <c r="DC1589" s="791"/>
      <c r="DD1589" s="791"/>
      <c r="DE1589" s="791"/>
      <c r="DF1589" s="791"/>
      <c r="DG1589" s="791"/>
      <c r="DH1589" s="791"/>
      <c r="DI1589" s="791"/>
      <c r="DJ1589" s="791"/>
      <c r="DK1589" s="791"/>
      <c r="DL1589" s="791"/>
      <c r="DM1589" s="791"/>
      <c r="DN1589" s="791"/>
      <c r="DO1589" s="791"/>
      <c r="DP1589" s="791"/>
      <c r="DQ1589" s="791"/>
      <c r="DR1589" s="791"/>
      <c r="DS1589" s="791"/>
      <c r="DT1589" s="791"/>
      <c r="DU1589" s="791"/>
      <c r="DV1589" s="791"/>
      <c r="DW1589" s="791"/>
      <c r="DX1589" s="791"/>
      <c r="DY1589" s="791"/>
      <c r="DZ1589" s="791"/>
      <c r="EA1589" s="791"/>
      <c r="EB1589" s="791"/>
      <c r="EC1589" s="791"/>
      <c r="ED1589" s="791"/>
      <c r="EE1589" s="791"/>
      <c r="EF1589" s="791"/>
      <c r="EG1589" s="791"/>
      <c r="EH1589" s="791"/>
      <c r="EI1589" s="791"/>
      <c r="EJ1589" s="791"/>
      <c r="EK1589" s="791"/>
      <c r="EL1589" s="791"/>
      <c r="EM1589" s="791"/>
      <c r="EN1589" s="791"/>
      <c r="EO1589" s="791"/>
      <c r="EP1589" s="791"/>
      <c r="EQ1589" s="791"/>
      <c r="ER1589" s="791"/>
      <c r="ES1589" s="791"/>
      <c r="ET1589" s="791"/>
      <c r="EU1589" s="791"/>
      <c r="EV1589" s="791"/>
      <c r="EW1589" s="791"/>
      <c r="EX1589" s="791"/>
      <c r="EY1589" s="791"/>
      <c r="EZ1589" s="791"/>
      <c r="FA1589" s="791"/>
      <c r="FB1589" s="791"/>
      <c r="FC1589" s="791"/>
      <c r="FD1589" s="791"/>
      <c r="FE1589" s="791"/>
      <c r="FF1589" s="791"/>
      <c r="FG1589" s="791"/>
      <c r="FH1589" s="791"/>
      <c r="FI1589" s="791"/>
      <c r="FJ1589" s="791"/>
      <c r="FK1589" s="791"/>
      <c r="FL1589" s="791"/>
      <c r="FM1589" s="791"/>
      <c r="FN1589" s="791"/>
      <c r="FO1589" s="791"/>
      <c r="FP1589" s="791"/>
      <c r="FQ1589" s="791"/>
      <c r="FR1589" s="791"/>
      <c r="FS1589" s="791"/>
      <c r="FT1589" s="791"/>
      <c r="FU1589" s="791"/>
      <c r="FV1589" s="791"/>
      <c r="FW1589" s="791"/>
      <c r="FX1589" s="791"/>
      <c r="FY1589" s="791"/>
      <c r="FZ1589" s="791"/>
      <c r="GA1589" s="791"/>
      <c r="GB1589" s="791"/>
      <c r="GC1589" s="791"/>
      <c r="GD1589" s="791"/>
      <c r="GE1589" s="791"/>
      <c r="GF1589" s="791"/>
      <c r="GG1589" s="791"/>
      <c r="GH1589" s="791"/>
      <c r="GI1589" s="791"/>
      <c r="GJ1589" s="791"/>
      <c r="GK1589" s="791"/>
      <c r="GL1589" s="791"/>
      <c r="GM1589" s="791"/>
      <c r="GN1589" s="791"/>
      <c r="GO1589" s="791"/>
      <c r="GP1589" s="791"/>
      <c r="GQ1589" s="791"/>
      <c r="GR1589" s="791"/>
      <c r="GS1589" s="791"/>
      <c r="GT1589" s="791"/>
      <c r="GU1589" s="791"/>
      <c r="GV1589" s="791"/>
      <c r="GW1589" s="791"/>
      <c r="GX1589" s="791"/>
      <c r="GY1589" s="791"/>
      <c r="GZ1589" s="791"/>
      <c r="HA1589" s="791"/>
      <c r="HB1589" s="791"/>
      <c r="HC1589" s="791"/>
      <c r="HD1589" s="791"/>
      <c r="HE1589" s="791"/>
      <c r="HF1589" s="791"/>
      <c r="HG1589" s="791"/>
      <c r="HH1589" s="791"/>
      <c r="HI1589" s="791"/>
      <c r="HJ1589" s="791"/>
      <c r="HK1589" s="791"/>
      <c r="HL1589" s="791"/>
      <c r="HM1589" s="791"/>
    </row>
    <row r="1590" spans="1:221" s="456" customFormat="1">
      <c r="A1590" s="2432" t="s">
        <v>4545</v>
      </c>
      <c r="B1590" s="1286" t="s">
        <v>36</v>
      </c>
      <c r="C1590" s="1280" t="s">
        <v>2416</v>
      </c>
      <c r="D1590" s="1277"/>
      <c r="E1590" s="1851">
        <v>64.5</v>
      </c>
      <c r="F1590" s="785"/>
      <c r="G1590" s="786"/>
      <c r="H1590" s="786"/>
      <c r="I1590" s="665">
        <v>3</v>
      </c>
      <c r="J1590" s="666" t="s">
        <v>206</v>
      </c>
      <c r="K1590" s="788"/>
      <c r="L1590" s="665">
        <v>99</v>
      </c>
      <c r="M1590" s="664">
        <f t="shared" si="78"/>
        <v>34.5</v>
      </c>
      <c r="N1590" s="667">
        <v>5</v>
      </c>
      <c r="O1590" s="1856" t="s">
        <v>4281</v>
      </c>
      <c r="P1590" s="804"/>
      <c r="Q1590" s="2483" t="s">
        <v>3817</v>
      </c>
      <c r="R1590" s="798"/>
      <c r="S1590" s="804"/>
      <c r="T1590" s="798"/>
      <c r="U1590" s="798"/>
      <c r="V1590" s="798"/>
      <c r="W1590" s="798"/>
      <c r="X1590" s="798"/>
      <c r="Y1590" s="798"/>
      <c r="Z1590" s="798"/>
      <c r="AA1590" s="798"/>
      <c r="AB1590" s="798"/>
      <c r="AC1590" s="798"/>
      <c r="AD1590" s="791"/>
      <c r="AE1590" s="791"/>
      <c r="AF1590" s="791"/>
      <c r="AG1590" s="791"/>
      <c r="AH1590" s="791"/>
      <c r="AI1590" s="791"/>
      <c r="AJ1590" s="791"/>
      <c r="AK1590" s="791"/>
      <c r="AL1590" s="791"/>
      <c r="AM1590" s="791"/>
      <c r="AN1590" s="791"/>
      <c r="AO1590" s="791"/>
      <c r="AP1590" s="791"/>
      <c r="AQ1590" s="791"/>
      <c r="AR1590" s="791"/>
      <c r="AS1590" s="791"/>
      <c r="AT1590" s="791"/>
      <c r="AU1590" s="791"/>
      <c r="AV1590" s="791"/>
      <c r="AW1590" s="791"/>
      <c r="AX1590" s="791"/>
      <c r="AY1590" s="791"/>
      <c r="AZ1590" s="791"/>
      <c r="BA1590" s="791"/>
      <c r="BB1590" s="791"/>
      <c r="BC1590" s="791"/>
      <c r="BD1590" s="791"/>
      <c r="BE1590" s="791"/>
      <c r="BF1590" s="791"/>
      <c r="BG1590" s="791"/>
      <c r="BH1590" s="791"/>
      <c r="BI1590" s="791"/>
      <c r="BJ1590" s="791"/>
      <c r="BK1590" s="791"/>
      <c r="BL1590" s="791"/>
      <c r="BM1590" s="791"/>
      <c r="BN1590" s="791"/>
      <c r="BO1590" s="791"/>
      <c r="BP1590" s="791"/>
      <c r="BQ1590" s="791"/>
      <c r="BR1590" s="791"/>
      <c r="BS1590" s="791"/>
      <c r="BT1590" s="791"/>
      <c r="BU1590" s="791"/>
      <c r="BV1590" s="791"/>
      <c r="BW1590" s="791"/>
      <c r="BX1590" s="791"/>
      <c r="BY1590" s="791"/>
      <c r="BZ1590" s="791"/>
      <c r="CA1590" s="791"/>
      <c r="CB1590" s="791"/>
      <c r="CC1590" s="791"/>
      <c r="CD1590" s="791"/>
      <c r="CE1590" s="791"/>
      <c r="CF1590" s="791"/>
      <c r="CG1590" s="791"/>
      <c r="CH1590" s="791"/>
      <c r="CI1590" s="791"/>
      <c r="CJ1590" s="791"/>
      <c r="CK1590" s="791"/>
      <c r="CL1590" s="791"/>
      <c r="CM1590" s="791"/>
      <c r="CN1590" s="791"/>
      <c r="CO1590" s="791"/>
      <c r="CP1590" s="791"/>
      <c r="CQ1590" s="791"/>
      <c r="CR1590" s="791"/>
      <c r="CS1590" s="791"/>
      <c r="CT1590" s="791"/>
      <c r="CU1590" s="791"/>
      <c r="CV1590" s="791"/>
      <c r="CW1590" s="791"/>
      <c r="CX1590" s="791"/>
      <c r="CY1590" s="791"/>
      <c r="CZ1590" s="791"/>
      <c r="DA1590" s="791"/>
      <c r="DB1590" s="791"/>
      <c r="DC1590" s="791"/>
      <c r="DD1590" s="791"/>
      <c r="DE1590" s="791"/>
      <c r="DF1590" s="791"/>
      <c r="DG1590" s="791"/>
      <c r="DH1590" s="791"/>
      <c r="DI1590" s="791"/>
      <c r="DJ1590" s="791"/>
      <c r="DK1590" s="791"/>
      <c r="DL1590" s="791"/>
      <c r="DM1590" s="791"/>
      <c r="DN1590" s="791"/>
      <c r="DO1590" s="791"/>
      <c r="DP1590" s="791"/>
      <c r="DQ1590" s="791"/>
      <c r="DR1590" s="791"/>
      <c r="DS1590" s="791"/>
      <c r="DT1590" s="791"/>
      <c r="DU1590" s="791"/>
      <c r="DV1590" s="791"/>
      <c r="DW1590" s="791"/>
      <c r="DX1590" s="791"/>
      <c r="DY1590" s="791"/>
      <c r="DZ1590" s="791"/>
      <c r="EA1590" s="791"/>
      <c r="EB1590" s="791"/>
      <c r="EC1590" s="791"/>
      <c r="ED1590" s="791"/>
      <c r="EE1590" s="791"/>
      <c r="EF1590" s="791"/>
      <c r="EG1590" s="791"/>
      <c r="EH1590" s="791"/>
      <c r="EI1590" s="791"/>
      <c r="EJ1590" s="791"/>
      <c r="EK1590" s="791"/>
      <c r="EL1590" s="791"/>
      <c r="EM1590" s="791"/>
      <c r="EN1590" s="791"/>
      <c r="EO1590" s="791"/>
      <c r="EP1590" s="791"/>
      <c r="EQ1590" s="791"/>
      <c r="ER1590" s="791"/>
      <c r="ES1590" s="791"/>
      <c r="ET1590" s="791"/>
      <c r="EU1590" s="791"/>
      <c r="EV1590" s="791"/>
      <c r="EW1590" s="791"/>
      <c r="EX1590" s="791"/>
      <c r="EY1590" s="791"/>
      <c r="EZ1590" s="791"/>
      <c r="FA1590" s="791"/>
      <c r="FB1590" s="791"/>
      <c r="FC1590" s="791"/>
      <c r="FD1590" s="791"/>
      <c r="FE1590" s="791"/>
      <c r="FF1590" s="791"/>
      <c r="FG1590" s="791"/>
      <c r="FH1590" s="791"/>
      <c r="FI1590" s="791"/>
      <c r="FJ1590" s="791"/>
      <c r="FK1590" s="791"/>
      <c r="FL1590" s="791"/>
      <c r="FM1590" s="791"/>
      <c r="FN1590" s="791"/>
      <c r="FO1590" s="791"/>
      <c r="FP1590" s="791"/>
      <c r="FQ1590" s="791"/>
      <c r="FR1590" s="791"/>
      <c r="FS1590" s="791"/>
      <c r="FT1590" s="791"/>
      <c r="FU1590" s="791"/>
      <c r="FV1590" s="791"/>
      <c r="FW1590" s="791"/>
      <c r="FX1590" s="791"/>
      <c r="FY1590" s="791"/>
      <c r="FZ1590" s="791"/>
      <c r="GA1590" s="791"/>
      <c r="GB1590" s="791"/>
      <c r="GC1590" s="791"/>
      <c r="GD1590" s="791"/>
      <c r="GE1590" s="791"/>
      <c r="GF1590" s="791"/>
      <c r="GG1590" s="791"/>
      <c r="GH1590" s="791"/>
      <c r="GI1590" s="791"/>
      <c r="GJ1590" s="791"/>
      <c r="GK1590" s="791"/>
      <c r="GL1590" s="791"/>
      <c r="GM1590" s="791"/>
      <c r="GN1590" s="791"/>
      <c r="GO1590" s="791"/>
      <c r="GP1590" s="791"/>
      <c r="GQ1590" s="791"/>
      <c r="GR1590" s="791"/>
      <c r="GS1590" s="791"/>
      <c r="GT1590" s="791"/>
      <c r="GU1590" s="791"/>
      <c r="GV1590" s="791"/>
      <c r="GW1590" s="791"/>
      <c r="GX1590" s="791"/>
      <c r="GY1590" s="791"/>
      <c r="GZ1590" s="791"/>
      <c r="HA1590" s="791"/>
      <c r="HB1590" s="791"/>
      <c r="HC1590" s="791"/>
      <c r="HD1590" s="791"/>
      <c r="HE1590" s="791"/>
      <c r="HF1590" s="791"/>
      <c r="HG1590" s="791"/>
      <c r="HH1590" s="791"/>
      <c r="HI1590" s="791"/>
      <c r="HJ1590" s="791"/>
      <c r="HK1590" s="791"/>
      <c r="HL1590" s="791"/>
      <c r="HM1590" s="791"/>
    </row>
    <row r="1591" spans="1:221" s="305" customFormat="1">
      <c r="A1591" s="2432" t="s">
        <v>4546</v>
      </c>
      <c r="B1591" s="1286" t="s">
        <v>36</v>
      </c>
      <c r="C1591" s="1280" t="s">
        <v>2416</v>
      </c>
      <c r="D1591" s="1312"/>
      <c r="E1591" s="1851">
        <v>59.5</v>
      </c>
      <c r="F1591" s="288"/>
      <c r="G1591" s="283"/>
      <c r="H1591" s="283"/>
      <c r="I1591" s="665">
        <v>3</v>
      </c>
      <c r="J1591" s="666" t="s">
        <v>206</v>
      </c>
      <c r="K1591" s="292"/>
      <c r="L1591" s="665">
        <v>89</v>
      </c>
      <c r="M1591" s="664">
        <f t="shared" si="78"/>
        <v>29.5</v>
      </c>
      <c r="N1591" s="667">
        <v>5</v>
      </c>
      <c r="O1591" s="1856" t="s">
        <v>4281</v>
      </c>
      <c r="P1591" s="296"/>
      <c r="Q1591" s="2483" t="s">
        <v>3817</v>
      </c>
      <c r="R1591" s="297"/>
      <c r="S1591" s="296"/>
      <c r="T1591" s="297"/>
      <c r="U1591" s="297"/>
      <c r="V1591" s="297"/>
      <c r="W1591" s="297"/>
      <c r="X1591" s="297"/>
      <c r="Y1591" s="297"/>
      <c r="Z1591" s="297"/>
      <c r="AA1591" s="297"/>
      <c r="AB1591" s="297"/>
      <c r="AC1591" s="297"/>
    </row>
    <row r="1592" spans="1:221" s="456" customFormat="1">
      <c r="A1592" s="703"/>
      <c r="B1592" s="1272" t="s">
        <v>36</v>
      </c>
      <c r="C1592" s="1273" t="s">
        <v>2500</v>
      </c>
      <c r="D1592" s="1274"/>
      <c r="E1592" s="1255"/>
      <c r="F1592" s="681"/>
      <c r="G1592" s="681" t="s">
        <v>1909</v>
      </c>
      <c r="H1592" s="683"/>
      <c r="I1592" s="689"/>
      <c r="J1592" s="685"/>
      <c r="K1592" s="685"/>
      <c r="L1592" s="689"/>
      <c r="M1592" s="683"/>
      <c r="N1592" s="706"/>
      <c r="O1592" s="480"/>
      <c r="P1592" s="479"/>
      <c r="Q1592" s="479"/>
      <c r="R1592" s="479"/>
      <c r="S1592" s="479"/>
      <c r="T1592" s="479"/>
      <c r="U1592" s="479"/>
    </row>
    <row r="1593" spans="1:221" s="456" customFormat="1">
      <c r="A1593" s="703"/>
      <c r="B1593" s="1272" t="s">
        <v>112</v>
      </c>
      <c r="C1593" s="1273" t="s">
        <v>2473</v>
      </c>
      <c r="D1593" s="1274"/>
      <c r="E1593" s="1255">
        <v>94.5</v>
      </c>
      <c r="F1593" s="681"/>
      <c r="G1593" s="683"/>
      <c r="H1593" s="683"/>
      <c r="I1593" s="689"/>
      <c r="J1593" s="685" t="s">
        <v>876</v>
      </c>
      <c r="K1593" s="685"/>
      <c r="L1593" s="689">
        <v>169</v>
      </c>
      <c r="M1593" s="683">
        <f>L1593-94.5</f>
        <v>74.5</v>
      </c>
      <c r="N1593" s="706"/>
      <c r="O1593" s="480"/>
      <c r="P1593" s="479"/>
      <c r="Q1593" s="479"/>
      <c r="R1593" s="479"/>
      <c r="S1593" s="479"/>
      <c r="T1593" s="479"/>
      <c r="U1593" s="479"/>
    </row>
    <row r="1594" spans="1:221" s="456" customFormat="1">
      <c r="A1594" s="1248" t="s">
        <v>2475</v>
      </c>
      <c r="B1594" s="1272" t="s">
        <v>112</v>
      </c>
      <c r="C1594" s="1273" t="s">
        <v>926</v>
      </c>
      <c r="D1594" s="1274"/>
      <c r="E1594" s="1255">
        <v>46.5</v>
      </c>
      <c r="F1594" s="681"/>
      <c r="G1594" s="681"/>
      <c r="H1594" s="683"/>
      <c r="I1594" s="689"/>
      <c r="J1594" s="685" t="s">
        <v>876</v>
      </c>
      <c r="K1594" s="685"/>
      <c r="L1594" s="689">
        <v>74</v>
      </c>
      <c r="M1594" s="683">
        <f>L1594-46.5</f>
        <v>27.5</v>
      </c>
      <c r="N1594" s="706">
        <v>5</v>
      </c>
      <c r="O1594" s="480"/>
      <c r="P1594" s="479"/>
      <c r="Q1594" s="479"/>
      <c r="R1594" s="479"/>
      <c r="S1594" s="479"/>
      <c r="T1594" s="479"/>
      <c r="U1594" s="479"/>
    </row>
    <row r="1595" spans="1:221" s="305" customFormat="1">
      <c r="A1595" s="703" t="s">
        <v>927</v>
      </c>
      <c r="B1595" s="1272" t="s">
        <v>112</v>
      </c>
      <c r="C1595" s="1273" t="s">
        <v>929</v>
      </c>
      <c r="D1595" s="1274"/>
      <c r="E1595" s="1255">
        <v>40.5</v>
      </c>
      <c r="F1595" s="681"/>
      <c r="G1595" s="681" t="s">
        <v>1909</v>
      </c>
      <c r="H1595" s="683"/>
      <c r="I1595" s="689"/>
      <c r="J1595" s="685"/>
      <c r="K1595" s="685"/>
      <c r="L1595" s="689">
        <v>63</v>
      </c>
      <c r="M1595" s="683">
        <v>22.5</v>
      </c>
      <c r="N1595" s="706">
        <v>6</v>
      </c>
      <c r="O1595" s="645"/>
      <c r="P1595" s="297"/>
      <c r="Q1595" s="297"/>
      <c r="R1595" s="297"/>
      <c r="S1595" s="297"/>
      <c r="T1595" s="297"/>
      <c r="U1595" s="297"/>
    </row>
    <row r="1596" spans="1:221" s="305" customFormat="1">
      <c r="A1596" s="703"/>
      <c r="B1596" s="1272" t="s">
        <v>112</v>
      </c>
      <c r="C1596" s="1273" t="s">
        <v>54</v>
      </c>
      <c r="D1596" s="1274"/>
      <c r="E1596" s="1255">
        <v>72</v>
      </c>
      <c r="F1596" s="681"/>
      <c r="G1596" s="681" t="s">
        <v>1909</v>
      </c>
      <c r="H1596" s="683"/>
      <c r="I1596" s="689" t="s">
        <v>55</v>
      </c>
      <c r="J1596" s="685"/>
      <c r="K1596" s="685"/>
      <c r="L1596" s="689">
        <v>132</v>
      </c>
      <c r="M1596" s="683">
        <v>60</v>
      </c>
      <c r="N1596" s="706">
        <v>5</v>
      </c>
      <c r="O1596" s="480"/>
      <c r="P1596" s="479"/>
      <c r="Q1596" s="479"/>
      <c r="R1596" s="479"/>
      <c r="S1596" s="479"/>
      <c r="T1596" s="479"/>
      <c r="U1596" s="479"/>
      <c r="V1596" s="456"/>
      <c r="W1596" s="456"/>
      <c r="X1596" s="456"/>
      <c r="Y1596" s="456"/>
      <c r="Z1596" s="456"/>
      <c r="AA1596" s="456"/>
      <c r="AB1596" s="456"/>
      <c r="AC1596" s="456"/>
      <c r="AD1596" s="456"/>
      <c r="AE1596" s="456"/>
      <c r="AF1596" s="456"/>
      <c r="AG1596" s="456"/>
      <c r="AH1596" s="456"/>
      <c r="AI1596" s="456"/>
      <c r="AJ1596" s="456"/>
      <c r="AK1596" s="456"/>
      <c r="AL1596" s="456"/>
      <c r="AM1596" s="456"/>
      <c r="AN1596" s="456"/>
      <c r="AO1596" s="456"/>
      <c r="AP1596" s="456"/>
      <c r="AQ1596" s="456"/>
      <c r="AR1596" s="456"/>
      <c r="AS1596" s="456"/>
      <c r="AT1596" s="456"/>
      <c r="AU1596" s="456"/>
      <c r="AV1596" s="456"/>
      <c r="AW1596" s="456"/>
      <c r="AX1596" s="456"/>
      <c r="AY1596" s="456"/>
      <c r="AZ1596" s="456"/>
      <c r="BA1596" s="456"/>
      <c r="BB1596" s="456"/>
      <c r="BC1596" s="456"/>
      <c r="BD1596" s="456"/>
      <c r="BE1596" s="456"/>
      <c r="BF1596" s="456"/>
      <c r="BG1596" s="456"/>
      <c r="BH1596" s="456"/>
      <c r="BI1596" s="456"/>
      <c r="BJ1596" s="456"/>
      <c r="BK1596" s="456"/>
      <c r="BL1596" s="456"/>
      <c r="BM1596" s="456"/>
      <c r="BN1596" s="456"/>
      <c r="BO1596" s="456"/>
      <c r="BP1596" s="456"/>
      <c r="BQ1596" s="456"/>
      <c r="BR1596" s="456"/>
      <c r="BS1596" s="456"/>
      <c r="BT1596" s="456"/>
      <c r="BU1596" s="456"/>
      <c r="BV1596" s="456"/>
      <c r="BW1596" s="456"/>
      <c r="BX1596" s="456"/>
      <c r="BY1596" s="456"/>
      <c r="BZ1596" s="456"/>
      <c r="CA1596" s="456"/>
      <c r="CB1596" s="456"/>
      <c r="CC1596" s="456"/>
      <c r="CD1596" s="456"/>
      <c r="CE1596" s="456"/>
      <c r="CF1596" s="456"/>
      <c r="CG1596" s="456"/>
      <c r="CH1596" s="456"/>
      <c r="CI1596" s="456"/>
      <c r="CJ1596" s="456"/>
      <c r="CK1596" s="456"/>
      <c r="CL1596" s="456"/>
      <c r="CM1596" s="456"/>
      <c r="CN1596" s="456"/>
      <c r="CO1596" s="456"/>
      <c r="CP1596" s="456"/>
      <c r="CQ1596" s="456"/>
      <c r="CR1596" s="456"/>
      <c r="CS1596" s="456"/>
      <c r="CT1596" s="456"/>
      <c r="CU1596" s="456"/>
      <c r="CV1596" s="456"/>
      <c r="CW1596" s="456"/>
      <c r="CX1596" s="456"/>
      <c r="CY1596" s="456"/>
      <c r="CZ1596" s="456"/>
      <c r="DA1596" s="456"/>
      <c r="DB1596" s="456"/>
      <c r="DC1596" s="456"/>
      <c r="DD1596" s="456"/>
      <c r="DE1596" s="456"/>
      <c r="DF1596" s="456"/>
      <c r="DG1596" s="456"/>
      <c r="DH1596" s="456"/>
      <c r="DI1596" s="456"/>
      <c r="DJ1596" s="456"/>
      <c r="DK1596" s="456"/>
      <c r="DL1596" s="456"/>
      <c r="DM1596" s="456"/>
      <c r="DN1596" s="456"/>
      <c r="DO1596" s="456"/>
      <c r="DP1596" s="456"/>
      <c r="DQ1596" s="456"/>
      <c r="DR1596" s="456"/>
      <c r="DS1596" s="456"/>
      <c r="DT1596" s="456"/>
      <c r="DU1596" s="456"/>
      <c r="DV1596" s="456"/>
      <c r="DW1596" s="456"/>
      <c r="DX1596" s="456"/>
      <c r="DY1596" s="456"/>
      <c r="DZ1596" s="456"/>
      <c r="EA1596" s="456"/>
      <c r="EB1596" s="456"/>
      <c r="EC1596" s="456"/>
      <c r="ED1596" s="456"/>
      <c r="EE1596" s="456"/>
      <c r="EF1596" s="456"/>
      <c r="EG1596" s="456"/>
      <c r="EH1596" s="456"/>
      <c r="EI1596" s="456"/>
      <c r="EJ1596" s="456"/>
      <c r="EK1596" s="456"/>
      <c r="EL1596" s="456"/>
      <c r="EM1596" s="456"/>
      <c r="EN1596" s="456"/>
      <c r="EO1596" s="456"/>
      <c r="EP1596" s="456"/>
      <c r="EQ1596" s="456"/>
      <c r="ER1596" s="456"/>
      <c r="ES1596" s="456"/>
      <c r="ET1596" s="456"/>
      <c r="EU1596" s="456"/>
      <c r="EV1596" s="456"/>
      <c r="EW1596" s="456"/>
      <c r="EX1596" s="456"/>
      <c r="EY1596" s="456"/>
      <c r="EZ1596" s="456"/>
      <c r="FA1596" s="456"/>
      <c r="FB1596" s="456"/>
      <c r="FC1596" s="456"/>
      <c r="FD1596" s="456"/>
      <c r="FE1596" s="456"/>
      <c r="FF1596" s="456"/>
      <c r="FG1596" s="456"/>
      <c r="FH1596" s="456"/>
      <c r="FI1596" s="456"/>
      <c r="FJ1596" s="456"/>
      <c r="FK1596" s="456"/>
      <c r="FL1596" s="456"/>
      <c r="FM1596" s="456"/>
      <c r="FN1596" s="456"/>
      <c r="FO1596" s="456"/>
      <c r="FP1596" s="456"/>
      <c r="FQ1596" s="456"/>
      <c r="FR1596" s="456"/>
      <c r="FS1596" s="456"/>
      <c r="FT1596" s="456"/>
      <c r="FU1596" s="456"/>
      <c r="FV1596" s="456"/>
      <c r="FW1596" s="456"/>
      <c r="FX1596" s="456"/>
      <c r="FY1596" s="456"/>
      <c r="FZ1596" s="456"/>
      <c r="GA1596" s="456"/>
      <c r="GB1596" s="456"/>
      <c r="GC1596" s="456"/>
      <c r="GD1596" s="456"/>
      <c r="GE1596" s="456"/>
      <c r="GF1596" s="456"/>
      <c r="GG1596" s="456"/>
      <c r="GH1596" s="456"/>
      <c r="GI1596" s="456"/>
      <c r="GJ1596" s="456"/>
      <c r="GK1596" s="456"/>
      <c r="GL1596" s="456"/>
      <c r="GM1596" s="456"/>
      <c r="GN1596" s="456"/>
      <c r="GO1596" s="456"/>
      <c r="GP1596" s="456"/>
      <c r="GQ1596" s="456"/>
      <c r="GR1596" s="456"/>
      <c r="GS1596" s="456"/>
      <c r="GT1596" s="456"/>
      <c r="GU1596" s="456"/>
      <c r="GV1596" s="456"/>
      <c r="GW1596" s="456"/>
      <c r="GX1596" s="456"/>
      <c r="GY1596" s="456"/>
      <c r="GZ1596" s="456"/>
      <c r="HA1596" s="456"/>
      <c r="HB1596" s="456"/>
      <c r="HC1596" s="456"/>
      <c r="HD1596" s="456"/>
      <c r="HE1596" s="456"/>
      <c r="HF1596" s="456"/>
      <c r="HG1596" s="456"/>
      <c r="HH1596" s="456"/>
      <c r="HI1596" s="456"/>
      <c r="HJ1596" s="456"/>
      <c r="HK1596" s="456"/>
      <c r="HL1596" s="456"/>
      <c r="HM1596" s="456"/>
    </row>
    <row r="1597" spans="1:221" s="456" customFormat="1">
      <c r="A1597" s="703"/>
      <c r="B1597" s="1272" t="s">
        <v>112</v>
      </c>
      <c r="C1597" s="1273" t="s">
        <v>59</v>
      </c>
      <c r="D1597" s="1274"/>
      <c r="E1597" s="1255">
        <v>70</v>
      </c>
      <c r="F1597" s="681"/>
      <c r="G1597" s="681" t="s">
        <v>1909</v>
      </c>
      <c r="H1597" s="683"/>
      <c r="I1597" s="689"/>
      <c r="J1597" s="685"/>
      <c r="K1597" s="685"/>
      <c r="L1597" s="689">
        <v>128</v>
      </c>
      <c r="M1597" s="683">
        <v>58</v>
      </c>
      <c r="N1597" s="706">
        <v>5</v>
      </c>
      <c r="O1597" s="645"/>
      <c r="P1597" s="479"/>
      <c r="Q1597" s="479"/>
      <c r="R1597" s="479"/>
      <c r="S1597" s="479"/>
      <c r="T1597" s="479"/>
      <c r="U1597" s="479"/>
    </row>
    <row r="1598" spans="1:221" s="456" customFormat="1">
      <c r="A1598" s="703" t="s">
        <v>324</v>
      </c>
      <c r="B1598" s="1272" t="s">
        <v>112</v>
      </c>
      <c r="C1598" s="1273" t="s">
        <v>59</v>
      </c>
      <c r="D1598" s="1274"/>
      <c r="E1598" s="1255">
        <v>65</v>
      </c>
      <c r="F1598" s="681"/>
      <c r="G1598" s="681" t="s">
        <v>1909</v>
      </c>
      <c r="H1598" s="683"/>
      <c r="I1598" s="689"/>
      <c r="J1598" s="685"/>
      <c r="K1598" s="685"/>
      <c r="L1598" s="689">
        <v>116</v>
      </c>
      <c r="M1598" s="683">
        <v>51</v>
      </c>
      <c r="N1598" s="706">
        <v>5</v>
      </c>
      <c r="O1598" s="645"/>
      <c r="P1598" s="479"/>
      <c r="Q1598" s="479"/>
      <c r="R1598" s="479"/>
      <c r="S1598" s="479"/>
      <c r="T1598" s="479"/>
      <c r="U1598" s="479"/>
    </row>
    <row r="1599" spans="1:221" s="305" customFormat="1">
      <c r="A1599" s="703"/>
      <c r="B1599" s="1272" t="s">
        <v>112</v>
      </c>
      <c r="C1599" s="1273" t="s">
        <v>925</v>
      </c>
      <c r="D1599" s="1274"/>
      <c r="E1599" s="1255">
        <v>65</v>
      </c>
      <c r="F1599" s="681"/>
      <c r="G1599" s="681" t="s">
        <v>1909</v>
      </c>
      <c r="H1599" s="683"/>
      <c r="I1599" s="689" t="s">
        <v>55</v>
      </c>
      <c r="J1599" s="685"/>
      <c r="K1599" s="685"/>
      <c r="L1599" s="689">
        <v>109</v>
      </c>
      <c r="M1599" s="683">
        <v>44</v>
      </c>
      <c r="N1599" s="706">
        <v>5</v>
      </c>
      <c r="O1599" s="480"/>
      <c r="P1599" s="479"/>
      <c r="Q1599" s="479"/>
      <c r="R1599" s="479"/>
      <c r="S1599" s="479"/>
      <c r="T1599" s="479"/>
      <c r="U1599" s="479"/>
      <c r="V1599" s="456"/>
      <c r="W1599" s="456"/>
      <c r="X1599" s="456"/>
      <c r="Y1599" s="456"/>
      <c r="Z1599" s="456"/>
      <c r="AA1599" s="456"/>
      <c r="AB1599" s="456"/>
      <c r="AC1599" s="456"/>
      <c r="AD1599" s="456"/>
      <c r="AE1599" s="456"/>
      <c r="AF1599" s="456"/>
      <c r="AG1599" s="456"/>
      <c r="AH1599" s="456"/>
      <c r="AI1599" s="456"/>
      <c r="AJ1599" s="456"/>
      <c r="AK1599" s="456"/>
      <c r="AL1599" s="456"/>
      <c r="AM1599" s="456"/>
      <c r="AN1599" s="456"/>
      <c r="AO1599" s="456"/>
      <c r="AP1599" s="456"/>
      <c r="AQ1599" s="456"/>
      <c r="AR1599" s="456"/>
      <c r="AS1599" s="456"/>
      <c r="AT1599" s="456"/>
      <c r="AU1599" s="456"/>
      <c r="AV1599" s="456"/>
      <c r="AW1599" s="456"/>
      <c r="AX1599" s="456"/>
      <c r="AY1599" s="456"/>
      <c r="AZ1599" s="456"/>
      <c r="BA1599" s="456"/>
      <c r="BB1599" s="456"/>
      <c r="BC1599" s="456"/>
      <c r="BD1599" s="456"/>
      <c r="BE1599" s="456"/>
      <c r="BF1599" s="456"/>
      <c r="BG1599" s="456"/>
      <c r="BH1599" s="456"/>
      <c r="BI1599" s="456"/>
      <c r="BJ1599" s="456"/>
      <c r="BK1599" s="456"/>
      <c r="BL1599" s="456"/>
      <c r="BM1599" s="456"/>
      <c r="BN1599" s="456"/>
      <c r="BO1599" s="456"/>
      <c r="BP1599" s="456"/>
      <c r="BQ1599" s="456"/>
      <c r="BR1599" s="456"/>
      <c r="BS1599" s="456"/>
      <c r="BT1599" s="456"/>
      <c r="BU1599" s="456"/>
      <c r="BV1599" s="456"/>
      <c r="BW1599" s="456"/>
      <c r="BX1599" s="456"/>
      <c r="BY1599" s="456"/>
      <c r="BZ1599" s="456"/>
      <c r="CA1599" s="456"/>
      <c r="CB1599" s="456"/>
      <c r="CC1599" s="456"/>
      <c r="CD1599" s="456"/>
      <c r="CE1599" s="456"/>
      <c r="CF1599" s="456"/>
      <c r="CG1599" s="456"/>
      <c r="CH1599" s="456"/>
      <c r="CI1599" s="456"/>
      <c r="CJ1599" s="456"/>
      <c r="CK1599" s="456"/>
      <c r="CL1599" s="456"/>
      <c r="CM1599" s="456"/>
      <c r="CN1599" s="456"/>
      <c r="CO1599" s="456"/>
      <c r="CP1599" s="456"/>
      <c r="CQ1599" s="456"/>
      <c r="CR1599" s="456"/>
      <c r="CS1599" s="456"/>
      <c r="CT1599" s="456"/>
      <c r="CU1599" s="456"/>
      <c r="CV1599" s="456"/>
      <c r="CW1599" s="456"/>
      <c r="CX1599" s="456"/>
      <c r="CY1599" s="456"/>
      <c r="CZ1599" s="456"/>
      <c r="DA1599" s="456"/>
      <c r="DB1599" s="456"/>
      <c r="DC1599" s="456"/>
      <c r="DD1599" s="456"/>
      <c r="DE1599" s="456"/>
      <c r="DF1599" s="456"/>
      <c r="DG1599" s="456"/>
      <c r="DH1599" s="456"/>
      <c r="DI1599" s="456"/>
      <c r="DJ1599" s="456"/>
      <c r="DK1599" s="456"/>
      <c r="DL1599" s="456"/>
      <c r="DM1599" s="456"/>
      <c r="DN1599" s="456"/>
      <c r="DO1599" s="456"/>
      <c r="DP1599" s="456"/>
      <c r="DQ1599" s="456"/>
      <c r="DR1599" s="456"/>
      <c r="DS1599" s="456"/>
      <c r="DT1599" s="456"/>
      <c r="DU1599" s="456"/>
      <c r="DV1599" s="456"/>
      <c r="DW1599" s="456"/>
      <c r="DX1599" s="456"/>
      <c r="DY1599" s="456"/>
      <c r="DZ1599" s="456"/>
      <c r="EA1599" s="456"/>
      <c r="EB1599" s="456"/>
      <c r="EC1599" s="456"/>
      <c r="ED1599" s="456"/>
      <c r="EE1599" s="456"/>
      <c r="EF1599" s="456"/>
      <c r="EG1599" s="456"/>
      <c r="EH1599" s="456"/>
      <c r="EI1599" s="456"/>
      <c r="EJ1599" s="456"/>
      <c r="EK1599" s="456"/>
      <c r="EL1599" s="456"/>
      <c r="EM1599" s="456"/>
      <c r="EN1599" s="456"/>
      <c r="EO1599" s="456"/>
      <c r="EP1599" s="456"/>
      <c r="EQ1599" s="456"/>
      <c r="ER1599" s="456"/>
      <c r="ES1599" s="456"/>
      <c r="ET1599" s="456"/>
      <c r="EU1599" s="456"/>
      <c r="EV1599" s="456"/>
      <c r="EW1599" s="456"/>
      <c r="EX1599" s="456"/>
      <c r="EY1599" s="456"/>
      <c r="EZ1599" s="456"/>
      <c r="FA1599" s="456"/>
      <c r="FB1599" s="456"/>
      <c r="FC1599" s="456"/>
      <c r="FD1599" s="456"/>
      <c r="FE1599" s="456"/>
      <c r="FF1599" s="456"/>
      <c r="FG1599" s="456"/>
      <c r="FH1599" s="456"/>
      <c r="FI1599" s="456"/>
      <c r="FJ1599" s="456"/>
      <c r="FK1599" s="456"/>
      <c r="FL1599" s="456"/>
      <c r="FM1599" s="456"/>
      <c r="FN1599" s="456"/>
      <c r="FO1599" s="456"/>
      <c r="FP1599" s="456"/>
      <c r="FQ1599" s="456"/>
      <c r="FR1599" s="456"/>
      <c r="FS1599" s="456"/>
      <c r="FT1599" s="456"/>
      <c r="FU1599" s="456"/>
      <c r="FV1599" s="456"/>
      <c r="FW1599" s="456"/>
      <c r="FX1599" s="456"/>
      <c r="FY1599" s="456"/>
      <c r="FZ1599" s="456"/>
      <c r="GA1599" s="456"/>
      <c r="GB1599" s="456"/>
      <c r="GC1599" s="456"/>
      <c r="GD1599" s="456"/>
      <c r="GE1599" s="456"/>
      <c r="GF1599" s="456"/>
      <c r="GG1599" s="456"/>
      <c r="GH1599" s="456"/>
      <c r="GI1599" s="456"/>
      <c r="GJ1599" s="456"/>
      <c r="GK1599" s="456"/>
      <c r="GL1599" s="456"/>
      <c r="GM1599" s="456"/>
      <c r="GN1599" s="456"/>
      <c r="GO1599" s="456"/>
      <c r="GP1599" s="456"/>
      <c r="GQ1599" s="456"/>
      <c r="GR1599" s="456"/>
      <c r="GS1599" s="456"/>
      <c r="GT1599" s="456"/>
      <c r="GU1599" s="456"/>
      <c r="GV1599" s="456"/>
      <c r="GW1599" s="456"/>
      <c r="GX1599" s="456"/>
      <c r="GY1599" s="456"/>
      <c r="GZ1599" s="456"/>
      <c r="HA1599" s="456"/>
      <c r="HB1599" s="456"/>
      <c r="HC1599" s="456"/>
      <c r="HD1599" s="456"/>
      <c r="HE1599" s="456"/>
      <c r="HF1599" s="456"/>
      <c r="HG1599" s="456"/>
      <c r="HH1599" s="456"/>
      <c r="HI1599" s="456"/>
      <c r="HJ1599" s="456"/>
      <c r="HK1599" s="456"/>
      <c r="HL1599" s="456"/>
      <c r="HM1599" s="456"/>
    </row>
    <row r="1600" spans="1:221" s="305" customFormat="1">
      <c r="A1600" s="703"/>
      <c r="B1600" s="1272" t="s">
        <v>112</v>
      </c>
      <c r="C1600" s="1273" t="s">
        <v>928</v>
      </c>
      <c r="D1600" s="1274"/>
      <c r="E1600" s="1255">
        <v>52</v>
      </c>
      <c r="F1600" s="681"/>
      <c r="G1600" s="681" t="s">
        <v>1909</v>
      </c>
      <c r="H1600" s="683"/>
      <c r="I1600" s="689"/>
      <c r="J1600" s="685"/>
      <c r="K1600" s="685"/>
      <c r="L1600" s="689">
        <v>79</v>
      </c>
      <c r="M1600" s="683">
        <v>27</v>
      </c>
      <c r="N1600" s="706">
        <v>6</v>
      </c>
      <c r="O1600" s="645"/>
      <c r="P1600" s="297"/>
      <c r="Q1600" s="297"/>
      <c r="R1600" s="297"/>
      <c r="S1600" s="297"/>
      <c r="T1600" s="297"/>
      <c r="U1600" s="297"/>
    </row>
    <row r="1601" spans="1:221" s="305" customFormat="1">
      <c r="A1601" s="703" t="s">
        <v>2417</v>
      </c>
      <c r="B1601" s="1272" t="s">
        <v>403</v>
      </c>
      <c r="C1601" s="1273" t="s">
        <v>419</v>
      </c>
      <c r="D1601" s="1274"/>
      <c r="E1601" s="1255">
        <v>74.5</v>
      </c>
      <c r="F1601" s="681"/>
      <c r="G1601" s="681"/>
      <c r="H1601" s="683"/>
      <c r="I1601" s="689"/>
      <c r="J1601" s="685"/>
      <c r="K1601" s="685"/>
      <c r="L1601" s="689">
        <f>74.5+64.5</f>
        <v>139</v>
      </c>
      <c r="M1601" s="683">
        <v>64.5</v>
      </c>
      <c r="N1601" s="706">
        <v>6</v>
      </c>
      <c r="O1601" s="645"/>
      <c r="P1601" s="297"/>
      <c r="Q1601" s="297"/>
      <c r="R1601" s="297"/>
      <c r="S1601" s="297"/>
      <c r="T1601" s="297"/>
      <c r="U1601" s="297"/>
    </row>
    <row r="1602" spans="1:221" s="305" customFormat="1">
      <c r="A1602" s="703" t="s">
        <v>2418</v>
      </c>
      <c r="B1602" s="1272" t="s">
        <v>403</v>
      </c>
      <c r="C1602" s="1273" t="s">
        <v>419</v>
      </c>
      <c r="D1602" s="1274"/>
      <c r="E1602" s="1255">
        <v>90</v>
      </c>
      <c r="F1602" s="681"/>
      <c r="G1602" s="681"/>
      <c r="H1602" s="683"/>
      <c r="I1602" s="689"/>
      <c r="J1602" s="685"/>
      <c r="K1602" s="685"/>
      <c r="L1602" s="689">
        <f>90+75</f>
        <v>165</v>
      </c>
      <c r="M1602" s="683">
        <v>75</v>
      </c>
      <c r="N1602" s="706">
        <v>6</v>
      </c>
      <c r="O1602" s="645"/>
      <c r="P1602" s="297"/>
      <c r="Q1602" s="297"/>
      <c r="R1602" s="297"/>
      <c r="S1602" s="297"/>
      <c r="T1602" s="297"/>
      <c r="U1602" s="297"/>
    </row>
    <row r="1603" spans="1:221" s="305" customFormat="1">
      <c r="A1603" s="703" t="s">
        <v>1926</v>
      </c>
      <c r="B1603" s="1272" t="s">
        <v>403</v>
      </c>
      <c r="C1603" s="1273" t="s">
        <v>419</v>
      </c>
      <c r="D1603" s="1274"/>
      <c r="E1603" s="1255">
        <v>80</v>
      </c>
      <c r="F1603" s="681"/>
      <c r="G1603" s="681"/>
      <c r="H1603" s="683"/>
      <c r="I1603" s="689"/>
      <c r="J1603" s="685"/>
      <c r="K1603" s="685"/>
      <c r="L1603" s="689">
        <v>145</v>
      </c>
      <c r="M1603" s="683">
        <v>65</v>
      </c>
      <c r="N1603" s="706">
        <v>6</v>
      </c>
      <c r="O1603" s="645"/>
      <c r="P1603" s="297"/>
      <c r="Q1603" s="297"/>
      <c r="R1603" s="297"/>
      <c r="S1603" s="297"/>
      <c r="T1603" s="297"/>
      <c r="U1603" s="297"/>
    </row>
    <row r="1604" spans="1:221" s="305" customFormat="1">
      <c r="A1604" s="703" t="s">
        <v>2419</v>
      </c>
      <c r="B1604" s="1272" t="s">
        <v>403</v>
      </c>
      <c r="C1604" s="1273" t="s">
        <v>419</v>
      </c>
      <c r="D1604" s="1274"/>
      <c r="E1604" s="1255">
        <v>67.5</v>
      </c>
      <c r="F1604" s="681"/>
      <c r="G1604" s="681"/>
      <c r="H1604" s="683"/>
      <c r="I1604" s="689"/>
      <c r="J1604" s="685"/>
      <c r="K1604" s="685"/>
      <c r="L1604" s="689">
        <f>67.5+52.5</f>
        <v>120</v>
      </c>
      <c r="M1604" s="683">
        <v>52.5</v>
      </c>
      <c r="N1604" s="706">
        <v>6</v>
      </c>
      <c r="O1604" s="645"/>
      <c r="P1604" s="297"/>
      <c r="Q1604" s="297"/>
      <c r="R1604" s="297"/>
      <c r="S1604" s="297"/>
      <c r="T1604" s="297"/>
      <c r="U1604" s="297"/>
    </row>
    <row r="1605" spans="1:221" s="305" customFormat="1">
      <c r="A1605" s="703" t="s">
        <v>1921</v>
      </c>
      <c r="B1605" s="1272" t="s">
        <v>403</v>
      </c>
      <c r="C1605" s="1273" t="s">
        <v>419</v>
      </c>
      <c r="D1605" s="1274"/>
      <c r="E1605" s="1255">
        <v>52.5</v>
      </c>
      <c r="F1605" s="681"/>
      <c r="G1605" s="681"/>
      <c r="H1605" s="683"/>
      <c r="I1605" s="689"/>
      <c r="J1605" s="685"/>
      <c r="K1605" s="685"/>
      <c r="L1605" s="689">
        <f>52.5+37.5</f>
        <v>90</v>
      </c>
      <c r="M1605" s="683">
        <v>37.5</v>
      </c>
      <c r="N1605" s="706">
        <v>6</v>
      </c>
      <c r="O1605" s="645"/>
      <c r="P1605" s="297"/>
      <c r="Q1605" s="297"/>
      <c r="R1605" s="297"/>
      <c r="S1605" s="297"/>
      <c r="T1605" s="297"/>
      <c r="U1605" s="297"/>
    </row>
    <row r="1606" spans="1:221" s="305" customFormat="1">
      <c r="A1606" s="703" t="s">
        <v>1928</v>
      </c>
      <c r="B1606" s="1272" t="s">
        <v>403</v>
      </c>
      <c r="C1606" s="1273" t="s">
        <v>419</v>
      </c>
      <c r="D1606" s="1274"/>
      <c r="E1606" s="1255">
        <v>86</v>
      </c>
      <c r="F1606" s="681"/>
      <c r="G1606" s="681"/>
      <c r="H1606" s="683"/>
      <c r="I1606" s="689"/>
      <c r="J1606" s="685"/>
      <c r="K1606" s="685"/>
      <c r="L1606" s="689">
        <f>86+71</f>
        <v>157</v>
      </c>
      <c r="M1606" s="683">
        <v>71</v>
      </c>
      <c r="N1606" s="706">
        <v>6</v>
      </c>
      <c r="O1606" s="645"/>
      <c r="P1606" s="297"/>
      <c r="Q1606" s="297"/>
      <c r="R1606" s="297"/>
      <c r="S1606" s="297"/>
      <c r="T1606" s="297"/>
      <c r="U1606" s="297"/>
    </row>
    <row r="1607" spans="1:221" s="305" customFormat="1">
      <c r="A1607" s="703" t="s">
        <v>1923</v>
      </c>
      <c r="B1607" s="1272" t="s">
        <v>403</v>
      </c>
      <c r="C1607" s="1273" t="s">
        <v>419</v>
      </c>
      <c r="D1607" s="1274"/>
      <c r="E1607" s="1255">
        <v>75</v>
      </c>
      <c r="F1607" s="681"/>
      <c r="G1607" s="681"/>
      <c r="H1607" s="683"/>
      <c r="I1607" s="689"/>
      <c r="J1607" s="685"/>
      <c r="K1607" s="685"/>
      <c r="L1607" s="689">
        <f>75+60</f>
        <v>135</v>
      </c>
      <c r="M1607" s="683">
        <v>60</v>
      </c>
      <c r="N1607" s="706">
        <v>6</v>
      </c>
      <c r="O1607" s="645"/>
      <c r="P1607" s="297"/>
      <c r="Q1607" s="297"/>
      <c r="R1607" s="297"/>
      <c r="S1607" s="297"/>
      <c r="T1607" s="297"/>
      <c r="U1607" s="297"/>
    </row>
    <row r="1608" spans="1:221" s="305" customFormat="1">
      <c r="A1608" s="703"/>
      <c r="B1608" s="1272" t="s">
        <v>403</v>
      </c>
      <c r="C1608" s="1273" t="s">
        <v>494</v>
      </c>
      <c r="D1608" s="1274"/>
      <c r="E1608" s="1255">
        <v>41</v>
      </c>
      <c r="F1608" s="681"/>
      <c r="G1608" s="681" t="s">
        <v>1909</v>
      </c>
      <c r="H1608" s="683"/>
      <c r="I1608" s="689"/>
      <c r="J1608" s="685"/>
      <c r="K1608" s="685"/>
      <c r="L1608" s="689">
        <v>68</v>
      </c>
      <c r="M1608" s="683">
        <v>27</v>
      </c>
      <c r="N1608" s="706">
        <v>3</v>
      </c>
      <c r="O1608" s="645"/>
      <c r="P1608" s="297"/>
      <c r="Q1608" s="297"/>
      <c r="R1608" s="297"/>
      <c r="S1608" s="297"/>
      <c r="T1608" s="297"/>
      <c r="U1608" s="297"/>
    </row>
    <row r="1609" spans="1:221" s="305" customFormat="1">
      <c r="A1609" s="703" t="s">
        <v>495</v>
      </c>
      <c r="B1609" s="1272" t="s">
        <v>403</v>
      </c>
      <c r="C1609" s="1273" t="s">
        <v>494</v>
      </c>
      <c r="D1609" s="1274"/>
      <c r="E1609" s="1255">
        <v>44</v>
      </c>
      <c r="F1609" s="681"/>
      <c r="G1609" s="681" t="s">
        <v>1909</v>
      </c>
      <c r="H1609" s="683"/>
      <c r="I1609" s="689"/>
      <c r="J1609" s="685"/>
      <c r="K1609" s="685"/>
      <c r="L1609" s="689">
        <v>72</v>
      </c>
      <c r="M1609" s="683">
        <v>28</v>
      </c>
      <c r="N1609" s="706">
        <v>3</v>
      </c>
      <c r="O1609" s="645"/>
      <c r="P1609" s="297"/>
      <c r="Q1609" s="297"/>
      <c r="R1609" s="297"/>
      <c r="S1609" s="297"/>
      <c r="T1609" s="297"/>
      <c r="U1609" s="297"/>
    </row>
    <row r="1610" spans="1:221" s="305" customFormat="1">
      <c r="A1610" s="703" t="s">
        <v>2421</v>
      </c>
      <c r="B1610" s="1272" t="s">
        <v>403</v>
      </c>
      <c r="C1610" s="1273" t="s">
        <v>930</v>
      </c>
      <c r="D1610" s="1274"/>
      <c r="E1610" s="1255">
        <v>38</v>
      </c>
      <c r="F1610" s="681" t="s">
        <v>2422</v>
      </c>
      <c r="G1610" s="681"/>
      <c r="H1610" s="683"/>
      <c r="I1610" s="689"/>
      <c r="J1610" s="685"/>
      <c r="K1610" s="685"/>
      <c r="L1610" s="689">
        <f>38+30</f>
        <v>68</v>
      </c>
      <c r="M1610" s="683">
        <v>30</v>
      </c>
      <c r="N1610" s="706">
        <v>5</v>
      </c>
      <c r="O1610" s="480"/>
      <c r="P1610" s="297"/>
      <c r="Q1610" s="297"/>
      <c r="R1610" s="297"/>
      <c r="S1610" s="297"/>
      <c r="T1610" s="297"/>
      <c r="U1610" s="297"/>
    </row>
    <row r="1611" spans="1:221" s="456" customFormat="1">
      <c r="A1611" s="703"/>
      <c r="B1611" s="1272" t="s">
        <v>403</v>
      </c>
      <c r="C1611" s="1273" t="s">
        <v>493</v>
      </c>
      <c r="D1611" s="1274"/>
      <c r="E1611" s="1255">
        <v>29</v>
      </c>
      <c r="F1611" s="681" t="s">
        <v>2420</v>
      </c>
      <c r="G1611" s="681"/>
      <c r="H1611" s="683"/>
      <c r="I1611" s="689"/>
      <c r="J1611" s="685"/>
      <c r="K1611" s="685"/>
      <c r="L1611" s="689">
        <f>29+26</f>
        <v>55</v>
      </c>
      <c r="M1611" s="683">
        <v>26</v>
      </c>
      <c r="N1611" s="706">
        <v>5</v>
      </c>
      <c r="O1611" s="645"/>
      <c r="P1611" s="297"/>
      <c r="Q1611" s="297"/>
      <c r="R1611" s="297"/>
      <c r="S1611" s="297"/>
      <c r="T1611" s="297"/>
      <c r="U1611" s="297"/>
      <c r="V1611" s="305"/>
      <c r="W1611" s="305"/>
      <c r="X1611" s="305"/>
      <c r="Y1611" s="305"/>
      <c r="Z1611" s="305"/>
      <c r="AA1611" s="305"/>
      <c r="AB1611" s="305"/>
      <c r="AC1611" s="305"/>
      <c r="AD1611" s="305"/>
      <c r="AE1611" s="305"/>
      <c r="AF1611" s="305"/>
      <c r="AG1611" s="305"/>
      <c r="AH1611" s="305"/>
      <c r="AI1611" s="305"/>
      <c r="AJ1611" s="305"/>
      <c r="AK1611" s="305"/>
      <c r="AL1611" s="305"/>
      <c r="AM1611" s="305"/>
      <c r="AN1611" s="305"/>
      <c r="AO1611" s="305"/>
      <c r="AP1611" s="305"/>
      <c r="AQ1611" s="305"/>
      <c r="AR1611" s="305"/>
      <c r="AS1611" s="305"/>
      <c r="AT1611" s="305"/>
      <c r="AU1611" s="305"/>
      <c r="AV1611" s="305"/>
      <c r="AW1611" s="305"/>
      <c r="AX1611" s="305"/>
      <c r="AY1611" s="305"/>
      <c r="AZ1611" s="305"/>
      <c r="BA1611" s="305"/>
      <c r="BB1611" s="305"/>
      <c r="BC1611" s="305"/>
      <c r="BD1611" s="305"/>
      <c r="BE1611" s="305"/>
      <c r="BF1611" s="305"/>
      <c r="BG1611" s="305"/>
      <c r="BH1611" s="305"/>
      <c r="BI1611" s="305"/>
      <c r="BJ1611" s="305"/>
      <c r="BK1611" s="305"/>
      <c r="BL1611" s="305"/>
      <c r="BM1611" s="305"/>
      <c r="BN1611" s="305"/>
      <c r="BO1611" s="305"/>
      <c r="BP1611" s="305"/>
      <c r="BQ1611" s="305"/>
      <c r="BR1611" s="305"/>
      <c r="BS1611" s="305"/>
      <c r="BT1611" s="305"/>
      <c r="BU1611" s="305"/>
      <c r="BV1611" s="305"/>
      <c r="BW1611" s="305"/>
      <c r="BX1611" s="305"/>
      <c r="BY1611" s="305"/>
      <c r="BZ1611" s="305"/>
      <c r="CA1611" s="305"/>
      <c r="CB1611" s="305"/>
      <c r="CC1611" s="305"/>
      <c r="CD1611" s="305"/>
      <c r="CE1611" s="305"/>
      <c r="CF1611" s="305"/>
      <c r="CG1611" s="305"/>
      <c r="CH1611" s="305"/>
      <c r="CI1611" s="305"/>
      <c r="CJ1611" s="305"/>
      <c r="CK1611" s="305"/>
      <c r="CL1611" s="305"/>
      <c r="CM1611" s="305"/>
      <c r="CN1611" s="305"/>
      <c r="CO1611" s="305"/>
      <c r="CP1611" s="305"/>
      <c r="CQ1611" s="305"/>
      <c r="CR1611" s="305"/>
      <c r="CS1611" s="305"/>
      <c r="CT1611" s="305"/>
      <c r="CU1611" s="305"/>
      <c r="CV1611" s="305"/>
      <c r="CW1611" s="305"/>
      <c r="CX1611" s="305"/>
      <c r="CY1611" s="305"/>
      <c r="CZ1611" s="305"/>
      <c r="DA1611" s="305"/>
      <c r="DB1611" s="305"/>
      <c r="DC1611" s="305"/>
      <c r="DD1611" s="305"/>
      <c r="DE1611" s="305"/>
      <c r="DF1611" s="305"/>
      <c r="DG1611" s="305"/>
      <c r="DH1611" s="305"/>
      <c r="DI1611" s="305"/>
      <c r="DJ1611" s="305"/>
      <c r="DK1611" s="305"/>
      <c r="DL1611" s="305"/>
      <c r="DM1611" s="305"/>
      <c r="DN1611" s="305"/>
      <c r="DO1611" s="305"/>
      <c r="DP1611" s="305"/>
      <c r="DQ1611" s="305"/>
      <c r="DR1611" s="305"/>
      <c r="DS1611" s="305"/>
      <c r="DT1611" s="305"/>
      <c r="DU1611" s="305"/>
      <c r="DV1611" s="305"/>
      <c r="DW1611" s="305"/>
      <c r="DX1611" s="305"/>
      <c r="DY1611" s="305"/>
      <c r="DZ1611" s="305"/>
      <c r="EA1611" s="305"/>
      <c r="EB1611" s="305"/>
      <c r="EC1611" s="305"/>
      <c r="ED1611" s="305"/>
      <c r="EE1611" s="305"/>
      <c r="EF1611" s="305"/>
      <c r="EG1611" s="305"/>
      <c r="EH1611" s="305"/>
      <c r="EI1611" s="305"/>
      <c r="EJ1611" s="305"/>
      <c r="EK1611" s="305"/>
      <c r="EL1611" s="305"/>
      <c r="EM1611" s="305"/>
      <c r="EN1611" s="305"/>
      <c r="EO1611" s="305"/>
      <c r="EP1611" s="305"/>
      <c r="EQ1611" s="305"/>
      <c r="ER1611" s="305"/>
      <c r="ES1611" s="305"/>
      <c r="ET1611" s="305"/>
      <c r="EU1611" s="305"/>
      <c r="EV1611" s="305"/>
      <c r="EW1611" s="305"/>
      <c r="EX1611" s="305"/>
      <c r="EY1611" s="305"/>
      <c r="EZ1611" s="305"/>
      <c r="FA1611" s="305"/>
      <c r="FB1611" s="305"/>
      <c r="FC1611" s="305"/>
      <c r="FD1611" s="305"/>
      <c r="FE1611" s="305"/>
      <c r="FF1611" s="305"/>
      <c r="FG1611" s="305"/>
      <c r="FH1611" s="305"/>
      <c r="FI1611" s="305"/>
      <c r="FJ1611" s="305"/>
      <c r="FK1611" s="305"/>
      <c r="FL1611" s="305"/>
      <c r="FM1611" s="305"/>
      <c r="FN1611" s="305"/>
      <c r="FO1611" s="305"/>
      <c r="FP1611" s="305"/>
      <c r="FQ1611" s="305"/>
      <c r="FR1611" s="305"/>
      <c r="FS1611" s="305"/>
      <c r="FT1611" s="305"/>
      <c r="FU1611" s="305"/>
      <c r="FV1611" s="305"/>
      <c r="FW1611" s="305"/>
      <c r="FX1611" s="305"/>
      <c r="FY1611" s="305"/>
      <c r="FZ1611" s="305"/>
      <c r="GA1611" s="305"/>
      <c r="GB1611" s="305"/>
      <c r="GC1611" s="305"/>
      <c r="GD1611" s="305"/>
      <c r="GE1611" s="305"/>
      <c r="GF1611" s="305"/>
      <c r="GG1611" s="305"/>
      <c r="GH1611" s="305"/>
      <c r="GI1611" s="305"/>
      <c r="GJ1611" s="305"/>
      <c r="GK1611" s="305"/>
      <c r="GL1611" s="305"/>
      <c r="GM1611" s="305"/>
      <c r="GN1611" s="305"/>
      <c r="GO1611" s="305"/>
      <c r="GP1611" s="305"/>
      <c r="GQ1611" s="305"/>
      <c r="GR1611" s="305"/>
      <c r="GS1611" s="305"/>
      <c r="GT1611" s="305"/>
      <c r="GU1611" s="305"/>
      <c r="GV1611" s="305"/>
      <c r="GW1611" s="305"/>
      <c r="GX1611" s="305"/>
      <c r="GY1611" s="305"/>
      <c r="GZ1611" s="305"/>
      <c r="HA1611" s="305"/>
      <c r="HB1611" s="305"/>
      <c r="HC1611" s="305"/>
      <c r="HD1611" s="305"/>
      <c r="HE1611" s="305"/>
      <c r="HF1611" s="305"/>
      <c r="HG1611" s="305"/>
      <c r="HH1611" s="305"/>
      <c r="HI1611" s="305"/>
      <c r="HJ1611" s="305"/>
      <c r="HK1611" s="305"/>
      <c r="HL1611" s="305"/>
      <c r="HM1611" s="305"/>
    </row>
    <row r="1612" spans="1:221" s="305" customFormat="1">
      <c r="A1612" s="703"/>
      <c r="B1612" s="1272" t="s">
        <v>403</v>
      </c>
      <c r="C1612" s="1273" t="s">
        <v>54</v>
      </c>
      <c r="D1612" s="1274"/>
      <c r="E1612" s="1255">
        <v>62</v>
      </c>
      <c r="F1612" s="681"/>
      <c r="G1612" s="681"/>
      <c r="H1612" s="683"/>
      <c r="I1612" s="689"/>
      <c r="J1612" s="685"/>
      <c r="K1612" s="685"/>
      <c r="L1612" s="689">
        <f>62+45</f>
        <v>107</v>
      </c>
      <c r="M1612" s="683">
        <v>45</v>
      </c>
      <c r="N1612" s="706">
        <v>3</v>
      </c>
      <c r="O1612" s="480"/>
      <c r="P1612" s="479"/>
      <c r="Q1612" s="479"/>
      <c r="R1612" s="479"/>
      <c r="S1612" s="479"/>
      <c r="T1612" s="479"/>
      <c r="U1612" s="479"/>
      <c r="V1612" s="456"/>
      <c r="W1612" s="456"/>
      <c r="X1612" s="456"/>
      <c r="Y1612" s="456"/>
      <c r="Z1612" s="456"/>
      <c r="AA1612" s="456"/>
      <c r="AB1612" s="456"/>
      <c r="AC1612" s="456"/>
      <c r="AD1612" s="456"/>
      <c r="AE1612" s="456"/>
      <c r="AF1612" s="456"/>
      <c r="AG1612" s="456"/>
      <c r="AH1612" s="456"/>
      <c r="AI1612" s="456"/>
      <c r="AJ1612" s="456"/>
      <c r="AK1612" s="456"/>
      <c r="AL1612" s="456"/>
      <c r="AM1612" s="456"/>
      <c r="AN1612" s="456"/>
      <c r="AO1612" s="456"/>
      <c r="AP1612" s="456"/>
      <c r="AQ1612" s="456"/>
      <c r="AR1612" s="456"/>
      <c r="AS1612" s="456"/>
      <c r="AT1612" s="456"/>
      <c r="AU1612" s="456"/>
      <c r="AV1612" s="456"/>
      <c r="AW1612" s="456"/>
      <c r="AX1612" s="456"/>
      <c r="AY1612" s="456"/>
      <c r="AZ1612" s="456"/>
      <c r="BA1612" s="456"/>
      <c r="BB1612" s="456"/>
      <c r="BC1612" s="456"/>
      <c r="BD1612" s="456"/>
      <c r="BE1612" s="456"/>
      <c r="BF1612" s="456"/>
      <c r="BG1612" s="456"/>
      <c r="BH1612" s="456"/>
      <c r="BI1612" s="456"/>
      <c r="BJ1612" s="456"/>
      <c r="BK1612" s="456"/>
      <c r="BL1612" s="456"/>
      <c r="BM1612" s="456"/>
      <c r="BN1612" s="456"/>
      <c r="BO1612" s="456"/>
      <c r="BP1612" s="456"/>
      <c r="BQ1612" s="456"/>
      <c r="BR1612" s="456"/>
      <c r="BS1612" s="456"/>
      <c r="BT1612" s="456"/>
      <c r="BU1612" s="456"/>
      <c r="BV1612" s="456"/>
      <c r="BW1612" s="456"/>
      <c r="BX1612" s="456"/>
      <c r="BY1612" s="456"/>
      <c r="BZ1612" s="456"/>
      <c r="CA1612" s="456"/>
      <c r="CB1612" s="456"/>
      <c r="CC1612" s="456"/>
      <c r="CD1612" s="456"/>
      <c r="CE1612" s="456"/>
      <c r="CF1612" s="456"/>
      <c r="CG1612" s="456"/>
      <c r="CH1612" s="456"/>
      <c r="CI1612" s="456"/>
      <c r="CJ1612" s="456"/>
      <c r="CK1612" s="456"/>
      <c r="CL1612" s="456"/>
      <c r="CM1612" s="456"/>
      <c r="CN1612" s="456"/>
      <c r="CO1612" s="456"/>
      <c r="CP1612" s="456"/>
      <c r="CQ1612" s="456"/>
      <c r="CR1612" s="456"/>
      <c r="CS1612" s="456"/>
      <c r="CT1612" s="456"/>
      <c r="CU1612" s="456"/>
      <c r="CV1612" s="456"/>
      <c r="CW1612" s="456"/>
      <c r="CX1612" s="456"/>
      <c r="CY1612" s="456"/>
      <c r="CZ1612" s="456"/>
      <c r="DA1612" s="456"/>
      <c r="DB1612" s="456"/>
      <c r="DC1612" s="456"/>
      <c r="DD1612" s="456"/>
      <c r="DE1612" s="456"/>
      <c r="DF1612" s="456"/>
      <c r="DG1612" s="456"/>
      <c r="DH1612" s="456"/>
      <c r="DI1612" s="456"/>
      <c r="DJ1612" s="456"/>
      <c r="DK1612" s="456"/>
      <c r="DL1612" s="456"/>
      <c r="DM1612" s="456"/>
      <c r="DN1612" s="456"/>
      <c r="DO1612" s="456"/>
      <c r="DP1612" s="456"/>
      <c r="DQ1612" s="456"/>
      <c r="DR1612" s="456"/>
      <c r="DS1612" s="456"/>
      <c r="DT1612" s="456"/>
      <c r="DU1612" s="456"/>
      <c r="DV1612" s="456"/>
      <c r="DW1612" s="456"/>
      <c r="DX1612" s="456"/>
      <c r="DY1612" s="456"/>
      <c r="DZ1612" s="456"/>
      <c r="EA1612" s="456"/>
      <c r="EB1612" s="456"/>
      <c r="EC1612" s="456"/>
      <c r="ED1612" s="456"/>
      <c r="EE1612" s="456"/>
      <c r="EF1612" s="456"/>
      <c r="EG1612" s="456"/>
      <c r="EH1612" s="456"/>
      <c r="EI1612" s="456"/>
      <c r="EJ1612" s="456"/>
      <c r="EK1612" s="456"/>
      <c r="EL1612" s="456"/>
      <c r="EM1612" s="456"/>
      <c r="EN1612" s="456"/>
      <c r="EO1612" s="456"/>
      <c r="EP1612" s="456"/>
      <c r="EQ1612" s="456"/>
      <c r="ER1612" s="456"/>
      <c r="ES1612" s="456"/>
      <c r="ET1612" s="456"/>
      <c r="EU1612" s="456"/>
      <c r="EV1612" s="456"/>
      <c r="EW1612" s="456"/>
      <c r="EX1612" s="456"/>
      <c r="EY1612" s="456"/>
      <c r="EZ1612" s="456"/>
      <c r="FA1612" s="456"/>
      <c r="FB1612" s="456"/>
      <c r="FC1612" s="456"/>
      <c r="FD1612" s="456"/>
      <c r="FE1612" s="456"/>
      <c r="FF1612" s="456"/>
      <c r="FG1612" s="456"/>
      <c r="FH1612" s="456"/>
      <c r="FI1612" s="456"/>
      <c r="FJ1612" s="456"/>
      <c r="FK1612" s="456"/>
      <c r="FL1612" s="456"/>
      <c r="FM1612" s="456"/>
      <c r="FN1612" s="456"/>
      <c r="FO1612" s="456"/>
      <c r="FP1612" s="456"/>
      <c r="FQ1612" s="456"/>
      <c r="FR1612" s="456"/>
      <c r="FS1612" s="456"/>
      <c r="FT1612" s="456"/>
      <c r="FU1612" s="456"/>
      <c r="FV1612" s="456"/>
      <c r="FW1612" s="456"/>
      <c r="FX1612" s="456"/>
      <c r="FY1612" s="456"/>
      <c r="FZ1612" s="456"/>
      <c r="GA1612" s="456"/>
      <c r="GB1612" s="456"/>
      <c r="GC1612" s="456"/>
      <c r="GD1612" s="456"/>
      <c r="GE1612" s="456"/>
      <c r="GF1612" s="456"/>
      <c r="GG1612" s="456"/>
      <c r="GH1612" s="456"/>
      <c r="GI1612" s="456"/>
      <c r="GJ1612" s="456"/>
      <c r="GK1612" s="456"/>
      <c r="GL1612" s="456"/>
      <c r="GM1612" s="456"/>
      <c r="GN1612" s="456"/>
      <c r="GO1612" s="456"/>
      <c r="GP1612" s="456"/>
      <c r="GQ1612" s="456"/>
      <c r="GR1612" s="456"/>
      <c r="GS1612" s="456"/>
      <c r="GT1612" s="456"/>
      <c r="GU1612" s="456"/>
      <c r="GV1612" s="456"/>
      <c r="GW1612" s="456"/>
      <c r="GX1612" s="456"/>
      <c r="GY1612" s="456"/>
      <c r="GZ1612" s="456"/>
      <c r="HA1612" s="456"/>
      <c r="HB1612" s="456"/>
      <c r="HC1612" s="456"/>
      <c r="HD1612" s="456"/>
      <c r="HE1612" s="456"/>
      <c r="HF1612" s="456"/>
      <c r="HG1612" s="456"/>
      <c r="HH1612" s="456"/>
      <c r="HI1612" s="456"/>
      <c r="HJ1612" s="456"/>
      <c r="HK1612" s="456"/>
      <c r="HL1612" s="456"/>
      <c r="HM1612" s="456"/>
    </row>
    <row r="1613" spans="1:221" s="791" customFormat="1">
      <c r="A1613" s="799"/>
      <c r="B1613" s="1275" t="s">
        <v>403</v>
      </c>
      <c r="C1613" s="1276" t="s">
        <v>2501</v>
      </c>
      <c r="D1613" s="1277"/>
      <c r="E1613" s="1278"/>
      <c r="F1613" s="785" t="s">
        <v>302</v>
      </c>
      <c r="G1613" s="785" t="s">
        <v>1909</v>
      </c>
      <c r="H1613" s="786"/>
      <c r="I1613" s="787"/>
      <c r="J1613" s="788"/>
      <c r="K1613" s="788"/>
      <c r="L1613" s="787"/>
      <c r="M1613" s="786"/>
      <c r="N1613" s="797"/>
      <c r="O1613" s="803"/>
      <c r="P1613" s="798"/>
      <c r="Q1613" s="798"/>
      <c r="R1613" s="798"/>
      <c r="S1613" s="798"/>
      <c r="T1613" s="798"/>
      <c r="U1613" s="798"/>
    </row>
    <row r="1614" spans="1:221" s="791" customFormat="1">
      <c r="A1614" s="799"/>
      <c r="B1614" s="1275" t="s">
        <v>250</v>
      </c>
      <c r="C1614" s="1276" t="s">
        <v>2502</v>
      </c>
      <c r="D1614" s="1277"/>
      <c r="E1614" s="1278">
        <v>41</v>
      </c>
      <c r="F1614" s="785" t="s">
        <v>302</v>
      </c>
      <c r="G1614" s="785" t="s">
        <v>1909</v>
      </c>
      <c r="H1614" s="786"/>
      <c r="I1614" s="787"/>
      <c r="J1614" s="788"/>
      <c r="K1614" s="788"/>
      <c r="L1614" s="787"/>
      <c r="M1614" s="786"/>
      <c r="N1614" s="797"/>
      <c r="O1614" s="803"/>
      <c r="P1614" s="798"/>
      <c r="Q1614" s="798"/>
      <c r="R1614" s="798"/>
      <c r="S1614" s="798"/>
      <c r="T1614" s="798"/>
      <c r="U1614" s="798"/>
    </row>
    <row r="1615" spans="1:221" s="456" customFormat="1">
      <c r="A1615" s="703" t="s">
        <v>2476</v>
      </c>
      <c r="B1615" s="1272" t="s">
        <v>931</v>
      </c>
      <c r="C1615" s="1273" t="s">
        <v>932</v>
      </c>
      <c r="D1615" s="1274"/>
      <c r="E1615" s="1255">
        <v>86</v>
      </c>
      <c r="F1615" s="681"/>
      <c r="G1615" s="681"/>
      <c r="H1615" s="683"/>
      <c r="I1615" s="689"/>
      <c r="J1615" s="685" t="s">
        <v>876</v>
      </c>
      <c r="K1615" s="685"/>
      <c r="L1615" s="689">
        <v>146</v>
      </c>
      <c r="M1615" s="683">
        <f>L1615-86</f>
        <v>60</v>
      </c>
      <c r="N1615" s="706"/>
      <c r="O1615" s="480"/>
      <c r="P1615" s="479"/>
      <c r="Q1615" s="479"/>
      <c r="R1615" s="479"/>
      <c r="S1615" s="479"/>
      <c r="T1615" s="479"/>
      <c r="U1615" s="479"/>
    </row>
    <row r="1616" spans="1:221" s="456" customFormat="1">
      <c r="A1616" s="703" t="s">
        <v>2477</v>
      </c>
      <c r="B1616" s="1272" t="s">
        <v>931</v>
      </c>
      <c r="C1616" s="1273" t="s">
        <v>932</v>
      </c>
      <c r="D1616" s="1274"/>
      <c r="E1616" s="1255">
        <v>37.5</v>
      </c>
      <c r="F1616" s="681"/>
      <c r="G1616" s="681"/>
      <c r="H1616" s="683"/>
      <c r="I1616" s="689"/>
      <c r="J1616" s="685" t="s">
        <v>876</v>
      </c>
      <c r="K1616" s="685"/>
      <c r="L1616" s="689">
        <v>75</v>
      </c>
      <c r="M1616" s="683">
        <f>L1616-37.5</f>
        <v>37.5</v>
      </c>
      <c r="N1616" s="706"/>
      <c r="O1616" s="480"/>
      <c r="P1616" s="479"/>
      <c r="Q1616" s="479"/>
      <c r="R1616" s="479"/>
      <c r="S1616" s="479"/>
      <c r="T1616" s="479"/>
      <c r="U1616" s="479"/>
    </row>
    <row r="1617" spans="1:221" s="456" customFormat="1">
      <c r="A1617" s="703" t="s">
        <v>2478</v>
      </c>
      <c r="B1617" s="1272" t="s">
        <v>931</v>
      </c>
      <c r="C1617" s="1273" t="s">
        <v>932</v>
      </c>
      <c r="D1617" s="1274"/>
      <c r="E1617" s="1255">
        <v>39</v>
      </c>
      <c r="F1617" s="681"/>
      <c r="G1617" s="681"/>
      <c r="H1617" s="683"/>
      <c r="I1617" s="689"/>
      <c r="J1617" s="685" t="s">
        <v>876</v>
      </c>
      <c r="K1617" s="685"/>
      <c r="L1617" s="689">
        <v>59</v>
      </c>
      <c r="M1617" s="683">
        <f>L1617-39</f>
        <v>20</v>
      </c>
      <c r="N1617" s="706"/>
      <c r="O1617" s="480"/>
      <c r="P1617" s="479"/>
      <c r="Q1617" s="479"/>
      <c r="R1617" s="479"/>
      <c r="S1617" s="479"/>
      <c r="T1617" s="479"/>
      <c r="U1617" s="479"/>
    </row>
    <row r="1618" spans="1:221" s="456" customFormat="1">
      <c r="A1618" s="703"/>
      <c r="B1618" s="1272" t="s">
        <v>931</v>
      </c>
      <c r="C1618" s="1273" t="s">
        <v>2503</v>
      </c>
      <c r="D1618" s="1274"/>
      <c r="E1618" s="1255"/>
      <c r="F1618" s="681"/>
      <c r="G1618" s="681" t="s">
        <v>1909</v>
      </c>
      <c r="H1618" s="683"/>
      <c r="I1618" s="689"/>
      <c r="J1618" s="685"/>
      <c r="K1618" s="685"/>
      <c r="L1618" s="689"/>
      <c r="M1618" s="683"/>
      <c r="N1618" s="706"/>
      <c r="O1618" s="480"/>
      <c r="P1618" s="297"/>
      <c r="Q1618" s="297"/>
      <c r="R1618" s="297"/>
      <c r="S1618" s="297"/>
      <c r="T1618" s="297"/>
      <c r="U1618" s="297"/>
      <c r="V1618" s="305"/>
      <c r="W1618" s="305"/>
      <c r="X1618" s="305"/>
      <c r="Y1618" s="305"/>
      <c r="Z1618" s="305"/>
      <c r="AA1618" s="305"/>
      <c r="AB1618" s="305"/>
      <c r="AC1618" s="305"/>
      <c r="AD1618" s="305"/>
      <c r="AE1618" s="305"/>
      <c r="AF1618" s="305"/>
      <c r="AG1618" s="305"/>
      <c r="AH1618" s="305"/>
      <c r="AI1618" s="305"/>
      <c r="AJ1618" s="305"/>
      <c r="AK1618" s="305"/>
      <c r="AL1618" s="305"/>
      <c r="AM1618" s="305"/>
      <c r="AN1618" s="305"/>
      <c r="AO1618" s="305"/>
      <c r="AP1618" s="305"/>
      <c r="AQ1618" s="305"/>
      <c r="AR1618" s="305"/>
      <c r="AS1618" s="305"/>
      <c r="AT1618" s="305"/>
      <c r="AU1618" s="305"/>
      <c r="AV1618" s="305"/>
      <c r="AW1618" s="305"/>
      <c r="AX1618" s="305"/>
      <c r="AY1618" s="305"/>
      <c r="AZ1618" s="305"/>
      <c r="BA1618" s="305"/>
      <c r="BB1618" s="305"/>
      <c r="BC1618" s="305"/>
      <c r="BD1618" s="305"/>
      <c r="BE1618" s="305"/>
      <c r="BF1618" s="305"/>
      <c r="BG1618" s="305"/>
      <c r="BH1618" s="305"/>
      <c r="BI1618" s="305"/>
      <c r="BJ1618" s="305"/>
      <c r="BK1618" s="305"/>
      <c r="BL1618" s="305"/>
      <c r="BM1618" s="305"/>
      <c r="BN1618" s="305"/>
      <c r="BO1618" s="305"/>
      <c r="BP1618" s="305"/>
      <c r="BQ1618" s="305"/>
      <c r="BR1618" s="305"/>
      <c r="BS1618" s="305"/>
      <c r="BT1618" s="305"/>
      <c r="BU1618" s="305"/>
      <c r="BV1618" s="305"/>
      <c r="BW1618" s="305"/>
      <c r="BX1618" s="305"/>
      <c r="BY1618" s="305"/>
      <c r="BZ1618" s="305"/>
      <c r="CA1618" s="305"/>
      <c r="CB1618" s="305"/>
      <c r="CC1618" s="305"/>
      <c r="CD1618" s="305"/>
      <c r="CE1618" s="305"/>
      <c r="CF1618" s="305"/>
      <c r="CG1618" s="305"/>
      <c r="CH1618" s="305"/>
      <c r="CI1618" s="305"/>
      <c r="CJ1618" s="305"/>
      <c r="CK1618" s="305"/>
      <c r="CL1618" s="305"/>
      <c r="CM1618" s="305"/>
      <c r="CN1618" s="305"/>
      <c r="CO1618" s="305"/>
      <c r="CP1618" s="305"/>
      <c r="CQ1618" s="305"/>
      <c r="CR1618" s="305"/>
      <c r="CS1618" s="305"/>
      <c r="CT1618" s="305"/>
      <c r="CU1618" s="305"/>
      <c r="CV1618" s="305"/>
      <c r="CW1618" s="305"/>
      <c r="CX1618" s="305"/>
      <c r="CY1618" s="305"/>
      <c r="CZ1618" s="305"/>
      <c r="DA1618" s="305"/>
      <c r="DB1618" s="305"/>
      <c r="DC1618" s="305"/>
      <c r="DD1618" s="305"/>
      <c r="DE1618" s="305"/>
      <c r="DF1618" s="305"/>
      <c r="DG1618" s="305"/>
      <c r="DH1618" s="305"/>
      <c r="DI1618" s="305"/>
      <c r="DJ1618" s="305"/>
      <c r="DK1618" s="305"/>
      <c r="DL1618" s="305"/>
      <c r="DM1618" s="305"/>
      <c r="DN1618" s="305"/>
      <c r="DO1618" s="305"/>
      <c r="DP1618" s="305"/>
      <c r="DQ1618" s="305"/>
      <c r="DR1618" s="305"/>
      <c r="DS1618" s="305"/>
      <c r="DT1618" s="305"/>
      <c r="DU1618" s="305"/>
      <c r="DV1618" s="305"/>
      <c r="DW1618" s="305"/>
      <c r="DX1618" s="305"/>
      <c r="DY1618" s="305"/>
      <c r="DZ1618" s="305"/>
      <c r="EA1618" s="305"/>
      <c r="EB1618" s="305"/>
      <c r="EC1618" s="305"/>
      <c r="ED1618" s="305"/>
      <c r="EE1618" s="305"/>
      <c r="EF1618" s="305"/>
      <c r="EG1618" s="305"/>
      <c r="EH1618" s="305"/>
      <c r="EI1618" s="305"/>
      <c r="EJ1618" s="305"/>
      <c r="EK1618" s="305"/>
      <c r="EL1618" s="305"/>
      <c r="EM1618" s="305"/>
      <c r="EN1618" s="305"/>
      <c r="EO1618" s="305"/>
      <c r="EP1618" s="305"/>
      <c r="EQ1618" s="305"/>
      <c r="ER1618" s="305"/>
      <c r="ES1618" s="305"/>
      <c r="ET1618" s="305"/>
      <c r="EU1618" s="305"/>
      <c r="EV1618" s="305"/>
      <c r="EW1618" s="305"/>
      <c r="EX1618" s="305"/>
      <c r="EY1618" s="305"/>
      <c r="EZ1618" s="305"/>
      <c r="FA1618" s="305"/>
      <c r="FB1618" s="305"/>
      <c r="FC1618" s="305"/>
      <c r="FD1618" s="305"/>
      <c r="FE1618" s="305"/>
      <c r="FF1618" s="305"/>
      <c r="FG1618" s="305"/>
      <c r="FH1618" s="305"/>
      <c r="FI1618" s="305"/>
      <c r="FJ1618" s="305"/>
      <c r="FK1618" s="305"/>
      <c r="FL1618" s="305"/>
      <c r="FM1618" s="305"/>
      <c r="FN1618" s="305"/>
      <c r="FO1618" s="305"/>
      <c r="FP1618" s="305"/>
      <c r="FQ1618" s="305"/>
      <c r="FR1618" s="305"/>
      <c r="FS1618" s="305"/>
      <c r="FT1618" s="305"/>
      <c r="FU1618" s="305"/>
      <c r="FV1618" s="305"/>
      <c r="FW1618" s="305"/>
      <c r="FX1618" s="305"/>
      <c r="FY1618" s="305"/>
      <c r="FZ1618" s="305"/>
      <c r="GA1618" s="305"/>
      <c r="GB1618" s="305"/>
      <c r="GC1618" s="305"/>
      <c r="GD1618" s="305"/>
      <c r="GE1618" s="305"/>
      <c r="GF1618" s="305"/>
      <c r="GG1618" s="305"/>
      <c r="GH1618" s="305"/>
      <c r="GI1618" s="305"/>
      <c r="GJ1618" s="305"/>
      <c r="GK1618" s="305"/>
      <c r="GL1618" s="305"/>
      <c r="GM1618" s="305"/>
      <c r="GN1618" s="305"/>
      <c r="GO1618" s="305"/>
      <c r="GP1618" s="305"/>
      <c r="GQ1618" s="305"/>
      <c r="GR1618" s="305"/>
      <c r="GS1618" s="305"/>
      <c r="GT1618" s="305"/>
      <c r="GU1618" s="305"/>
      <c r="GV1618" s="305"/>
      <c r="GW1618" s="305"/>
      <c r="GX1618" s="305"/>
      <c r="GY1618" s="305"/>
      <c r="GZ1618" s="305"/>
      <c r="HA1618" s="305"/>
      <c r="HB1618" s="305"/>
      <c r="HC1618" s="305"/>
      <c r="HD1618" s="305"/>
      <c r="HE1618" s="305"/>
      <c r="HF1618" s="305"/>
      <c r="HG1618" s="305"/>
      <c r="HH1618" s="305"/>
      <c r="HI1618" s="305"/>
      <c r="HJ1618" s="305"/>
      <c r="HK1618" s="305"/>
      <c r="HL1618" s="305"/>
      <c r="HM1618" s="305"/>
    </row>
    <row r="1619" spans="1:221" s="456" customFormat="1">
      <c r="A1619" s="1892" t="s">
        <v>3409</v>
      </c>
      <c r="B1619" s="1286" t="s">
        <v>175</v>
      </c>
      <c r="C1619" s="1280" t="s">
        <v>3423</v>
      </c>
      <c r="D1619" s="1274"/>
      <c r="E1619" s="1851">
        <v>85</v>
      </c>
      <c r="F1619" s="713"/>
      <c r="G1619" s="1852" t="s">
        <v>420</v>
      </c>
      <c r="H1619" s="713"/>
      <c r="I1619" s="713"/>
      <c r="J1619" s="713"/>
      <c r="K1619" s="713"/>
      <c r="L1619" s="1852">
        <v>105</v>
      </c>
      <c r="M1619" s="1852">
        <f>L1619-E1619</f>
        <v>20</v>
      </c>
      <c r="N1619" s="1893"/>
      <c r="O1619" s="1897" t="s">
        <v>3880</v>
      </c>
      <c r="P1619" s="297"/>
      <c r="Q1619" s="297"/>
      <c r="R1619" s="297"/>
      <c r="S1619" s="297"/>
      <c r="T1619" s="297"/>
      <c r="U1619" s="297"/>
      <c r="V1619" s="305"/>
      <c r="W1619" s="305"/>
      <c r="X1619" s="305"/>
      <c r="Y1619" s="305"/>
      <c r="Z1619" s="305"/>
      <c r="AA1619" s="305"/>
      <c r="AB1619" s="305"/>
      <c r="AC1619" s="305"/>
      <c r="AD1619" s="305"/>
      <c r="AE1619" s="305"/>
      <c r="AF1619" s="305"/>
      <c r="AG1619" s="305"/>
      <c r="AH1619" s="305"/>
      <c r="AI1619" s="305"/>
      <c r="AJ1619" s="305"/>
      <c r="AK1619" s="305"/>
      <c r="AL1619" s="305"/>
      <c r="AM1619" s="305"/>
      <c r="AN1619" s="305"/>
      <c r="AO1619" s="305"/>
      <c r="AP1619" s="305"/>
      <c r="AQ1619" s="305"/>
      <c r="AR1619" s="305"/>
      <c r="AS1619" s="305"/>
      <c r="AT1619" s="305"/>
      <c r="AU1619" s="305"/>
      <c r="AV1619" s="305"/>
      <c r="AW1619" s="305"/>
      <c r="AX1619" s="305"/>
      <c r="AY1619" s="305"/>
      <c r="AZ1619" s="305"/>
      <c r="BA1619" s="305"/>
      <c r="BB1619" s="305"/>
      <c r="BC1619" s="305"/>
      <c r="BD1619" s="305"/>
      <c r="BE1619" s="305"/>
      <c r="BF1619" s="305"/>
      <c r="BG1619" s="305"/>
      <c r="BH1619" s="305"/>
      <c r="BI1619" s="305"/>
      <c r="BJ1619" s="305"/>
      <c r="BK1619" s="305"/>
      <c r="BL1619" s="305"/>
      <c r="BM1619" s="305"/>
      <c r="BN1619" s="305"/>
      <c r="BO1619" s="305"/>
      <c r="BP1619" s="305"/>
      <c r="BQ1619" s="305"/>
      <c r="BR1619" s="305"/>
      <c r="BS1619" s="305"/>
      <c r="BT1619" s="305"/>
      <c r="BU1619" s="305"/>
      <c r="BV1619" s="305"/>
      <c r="BW1619" s="305"/>
      <c r="BX1619" s="305"/>
      <c r="BY1619" s="305"/>
      <c r="BZ1619" s="305"/>
      <c r="CA1619" s="305"/>
      <c r="CB1619" s="305"/>
      <c r="CC1619" s="305"/>
      <c r="CD1619" s="305"/>
      <c r="CE1619" s="305"/>
      <c r="CF1619" s="305"/>
      <c r="CG1619" s="305"/>
      <c r="CH1619" s="305"/>
      <c r="CI1619" s="305"/>
      <c r="CJ1619" s="305"/>
      <c r="CK1619" s="305"/>
      <c r="CL1619" s="305"/>
      <c r="CM1619" s="305"/>
      <c r="CN1619" s="305"/>
      <c r="CO1619" s="305"/>
      <c r="CP1619" s="305"/>
      <c r="CQ1619" s="305"/>
      <c r="CR1619" s="305"/>
      <c r="CS1619" s="305"/>
      <c r="CT1619" s="305"/>
      <c r="CU1619" s="305"/>
      <c r="CV1619" s="305"/>
      <c r="CW1619" s="305"/>
      <c r="CX1619" s="305"/>
      <c r="CY1619" s="305"/>
      <c r="CZ1619" s="305"/>
      <c r="DA1619" s="305"/>
      <c r="DB1619" s="305"/>
      <c r="DC1619" s="305"/>
      <c r="DD1619" s="305"/>
      <c r="DE1619" s="305"/>
      <c r="DF1619" s="305"/>
      <c r="DG1619" s="305"/>
      <c r="DH1619" s="305"/>
      <c r="DI1619" s="305"/>
      <c r="DJ1619" s="305"/>
      <c r="DK1619" s="305"/>
      <c r="DL1619" s="305"/>
      <c r="DM1619" s="305"/>
      <c r="DN1619" s="305"/>
      <c r="DO1619" s="305"/>
      <c r="DP1619" s="305"/>
      <c r="DQ1619" s="305"/>
      <c r="DR1619" s="305"/>
      <c r="DS1619" s="305"/>
      <c r="DT1619" s="305"/>
      <c r="DU1619" s="305"/>
      <c r="DV1619" s="305"/>
      <c r="DW1619" s="305"/>
      <c r="DX1619" s="305"/>
      <c r="DY1619" s="305"/>
      <c r="DZ1619" s="305"/>
      <c r="EA1619" s="305"/>
      <c r="EB1619" s="305"/>
      <c r="EC1619" s="305"/>
      <c r="ED1619" s="305"/>
      <c r="EE1619" s="305"/>
      <c r="EF1619" s="305"/>
      <c r="EG1619" s="305"/>
      <c r="EH1619" s="305"/>
      <c r="EI1619" s="305"/>
      <c r="EJ1619" s="305"/>
      <c r="EK1619" s="305"/>
      <c r="EL1619" s="305"/>
      <c r="EM1619" s="305"/>
      <c r="EN1619" s="305"/>
      <c r="EO1619" s="305"/>
      <c r="EP1619" s="305"/>
      <c r="EQ1619" s="305"/>
      <c r="ER1619" s="305"/>
      <c r="ES1619" s="305"/>
      <c r="ET1619" s="305"/>
      <c r="EU1619" s="305"/>
      <c r="EV1619" s="305"/>
      <c r="EW1619" s="305"/>
      <c r="EX1619" s="305"/>
      <c r="EY1619" s="305"/>
      <c r="EZ1619" s="305"/>
      <c r="FA1619" s="305"/>
      <c r="FB1619" s="305"/>
      <c r="FC1619" s="305"/>
      <c r="FD1619" s="305"/>
      <c r="FE1619" s="305"/>
      <c r="FF1619" s="305"/>
      <c r="FG1619" s="305"/>
      <c r="FH1619" s="305"/>
      <c r="FI1619" s="305"/>
      <c r="FJ1619" s="305"/>
      <c r="FK1619" s="305"/>
      <c r="FL1619" s="305"/>
      <c r="FM1619" s="305"/>
      <c r="FN1619" s="305"/>
      <c r="FO1619" s="305"/>
      <c r="FP1619" s="305"/>
      <c r="FQ1619" s="305"/>
      <c r="FR1619" s="305"/>
      <c r="FS1619" s="305"/>
      <c r="FT1619" s="305"/>
      <c r="FU1619" s="305"/>
      <c r="FV1619" s="305"/>
      <c r="FW1619" s="305"/>
      <c r="FX1619" s="305"/>
      <c r="FY1619" s="305"/>
      <c r="FZ1619" s="305"/>
      <c r="GA1619" s="305"/>
      <c r="GB1619" s="305"/>
      <c r="GC1619" s="305"/>
      <c r="GD1619" s="305"/>
      <c r="GE1619" s="305"/>
      <c r="GF1619" s="305"/>
      <c r="GG1619" s="305"/>
      <c r="GH1619" s="305"/>
      <c r="GI1619" s="305"/>
      <c r="GJ1619" s="305"/>
      <c r="GK1619" s="305"/>
      <c r="GL1619" s="305"/>
      <c r="GM1619" s="305"/>
      <c r="GN1619" s="305"/>
      <c r="GO1619" s="305"/>
      <c r="GP1619" s="305"/>
      <c r="GQ1619" s="305"/>
      <c r="GR1619" s="305"/>
      <c r="GS1619" s="305"/>
      <c r="GT1619" s="305"/>
      <c r="GU1619" s="305"/>
      <c r="GV1619" s="305"/>
      <c r="GW1619" s="305"/>
      <c r="GX1619" s="305"/>
      <c r="GY1619" s="305"/>
      <c r="GZ1619" s="305"/>
      <c r="HA1619" s="305"/>
      <c r="HB1619" s="305"/>
      <c r="HC1619" s="305"/>
      <c r="HD1619" s="305"/>
      <c r="HE1619" s="305"/>
      <c r="HF1619" s="305"/>
      <c r="HG1619" s="305"/>
      <c r="HH1619" s="305"/>
      <c r="HI1619" s="305"/>
      <c r="HJ1619" s="305"/>
      <c r="HK1619" s="305"/>
      <c r="HL1619" s="305"/>
      <c r="HM1619" s="305"/>
    </row>
    <row r="1620" spans="1:221" s="456" customFormat="1">
      <c r="A1620" s="1892" t="s">
        <v>3806</v>
      </c>
      <c r="B1620" s="1286" t="s">
        <v>175</v>
      </c>
      <c r="C1620" s="1280" t="s">
        <v>3423</v>
      </c>
      <c r="D1620" s="1274"/>
      <c r="E1620" s="1851">
        <v>80</v>
      </c>
      <c r="F1620" s="713"/>
      <c r="G1620" s="1852" t="s">
        <v>420</v>
      </c>
      <c r="H1620" s="713"/>
      <c r="I1620" s="713"/>
      <c r="J1620" s="713"/>
      <c r="K1620" s="713"/>
      <c r="L1620" s="1852">
        <v>100</v>
      </c>
      <c r="M1620" s="1852">
        <f>L1620-E1620</f>
        <v>20</v>
      </c>
      <c r="N1620" s="1893"/>
      <c r="O1620" s="1897" t="s">
        <v>3880</v>
      </c>
      <c r="P1620" s="297"/>
      <c r="Q1620" s="297"/>
      <c r="R1620" s="297"/>
      <c r="S1620" s="297"/>
      <c r="T1620" s="297"/>
      <c r="U1620" s="297"/>
      <c r="V1620" s="305"/>
      <c r="W1620" s="305"/>
      <c r="X1620" s="305"/>
      <c r="Y1620" s="305"/>
      <c r="Z1620" s="305"/>
      <c r="AA1620" s="305"/>
      <c r="AB1620" s="305"/>
      <c r="AC1620" s="305"/>
      <c r="AD1620" s="305"/>
      <c r="AE1620" s="305"/>
      <c r="AF1620" s="305"/>
      <c r="AG1620" s="305"/>
      <c r="AH1620" s="305"/>
      <c r="AI1620" s="305"/>
      <c r="AJ1620" s="305"/>
      <c r="AK1620" s="305"/>
      <c r="AL1620" s="305"/>
      <c r="AM1620" s="305"/>
      <c r="AN1620" s="305"/>
      <c r="AO1620" s="305"/>
      <c r="AP1620" s="305"/>
      <c r="AQ1620" s="305"/>
      <c r="AR1620" s="305"/>
      <c r="AS1620" s="305"/>
      <c r="AT1620" s="305"/>
      <c r="AU1620" s="305"/>
      <c r="AV1620" s="305"/>
      <c r="AW1620" s="305"/>
      <c r="AX1620" s="305"/>
      <c r="AY1620" s="305"/>
      <c r="AZ1620" s="305"/>
      <c r="BA1620" s="305"/>
      <c r="BB1620" s="305"/>
      <c r="BC1620" s="305"/>
      <c r="BD1620" s="305"/>
      <c r="BE1620" s="305"/>
      <c r="BF1620" s="305"/>
      <c r="BG1620" s="305"/>
      <c r="BH1620" s="305"/>
      <c r="BI1620" s="305"/>
      <c r="BJ1620" s="305"/>
      <c r="BK1620" s="305"/>
      <c r="BL1620" s="305"/>
      <c r="BM1620" s="305"/>
      <c r="BN1620" s="305"/>
      <c r="BO1620" s="305"/>
      <c r="BP1620" s="305"/>
      <c r="BQ1620" s="305"/>
      <c r="BR1620" s="305"/>
      <c r="BS1620" s="305"/>
      <c r="BT1620" s="305"/>
      <c r="BU1620" s="305"/>
      <c r="BV1620" s="305"/>
      <c r="BW1620" s="305"/>
      <c r="BX1620" s="305"/>
      <c r="BY1620" s="305"/>
      <c r="BZ1620" s="305"/>
      <c r="CA1620" s="305"/>
      <c r="CB1620" s="305"/>
      <c r="CC1620" s="305"/>
      <c r="CD1620" s="305"/>
      <c r="CE1620" s="305"/>
      <c r="CF1620" s="305"/>
      <c r="CG1620" s="305"/>
      <c r="CH1620" s="305"/>
      <c r="CI1620" s="305"/>
      <c r="CJ1620" s="305"/>
      <c r="CK1620" s="305"/>
      <c r="CL1620" s="305"/>
      <c r="CM1620" s="305"/>
      <c r="CN1620" s="305"/>
      <c r="CO1620" s="305"/>
      <c r="CP1620" s="305"/>
      <c r="CQ1620" s="305"/>
      <c r="CR1620" s="305"/>
      <c r="CS1620" s="305"/>
      <c r="CT1620" s="305"/>
      <c r="CU1620" s="305"/>
      <c r="CV1620" s="305"/>
      <c r="CW1620" s="305"/>
      <c r="CX1620" s="305"/>
      <c r="CY1620" s="305"/>
      <c r="CZ1620" s="305"/>
      <c r="DA1620" s="305"/>
      <c r="DB1620" s="305"/>
      <c r="DC1620" s="305"/>
      <c r="DD1620" s="305"/>
      <c r="DE1620" s="305"/>
      <c r="DF1620" s="305"/>
      <c r="DG1620" s="305"/>
      <c r="DH1620" s="305"/>
      <c r="DI1620" s="305"/>
      <c r="DJ1620" s="305"/>
      <c r="DK1620" s="305"/>
      <c r="DL1620" s="305"/>
      <c r="DM1620" s="305"/>
      <c r="DN1620" s="305"/>
      <c r="DO1620" s="305"/>
      <c r="DP1620" s="305"/>
      <c r="DQ1620" s="305"/>
      <c r="DR1620" s="305"/>
      <c r="DS1620" s="305"/>
      <c r="DT1620" s="305"/>
      <c r="DU1620" s="305"/>
      <c r="DV1620" s="305"/>
      <c r="DW1620" s="305"/>
      <c r="DX1620" s="305"/>
      <c r="DY1620" s="305"/>
      <c r="DZ1620" s="305"/>
      <c r="EA1620" s="305"/>
      <c r="EB1620" s="305"/>
      <c r="EC1620" s="305"/>
      <c r="ED1620" s="305"/>
      <c r="EE1620" s="305"/>
      <c r="EF1620" s="305"/>
      <c r="EG1620" s="305"/>
      <c r="EH1620" s="305"/>
      <c r="EI1620" s="305"/>
      <c r="EJ1620" s="305"/>
      <c r="EK1620" s="305"/>
      <c r="EL1620" s="305"/>
      <c r="EM1620" s="305"/>
      <c r="EN1620" s="305"/>
      <c r="EO1620" s="305"/>
      <c r="EP1620" s="305"/>
      <c r="EQ1620" s="305"/>
      <c r="ER1620" s="305"/>
      <c r="ES1620" s="305"/>
      <c r="ET1620" s="305"/>
      <c r="EU1620" s="305"/>
      <c r="EV1620" s="305"/>
      <c r="EW1620" s="305"/>
      <c r="EX1620" s="305"/>
      <c r="EY1620" s="305"/>
      <c r="EZ1620" s="305"/>
      <c r="FA1620" s="305"/>
      <c r="FB1620" s="305"/>
      <c r="FC1620" s="305"/>
      <c r="FD1620" s="305"/>
      <c r="FE1620" s="305"/>
      <c r="FF1620" s="305"/>
      <c r="FG1620" s="305"/>
      <c r="FH1620" s="305"/>
      <c r="FI1620" s="305"/>
      <c r="FJ1620" s="305"/>
      <c r="FK1620" s="305"/>
      <c r="FL1620" s="305"/>
      <c r="FM1620" s="305"/>
      <c r="FN1620" s="305"/>
      <c r="FO1620" s="305"/>
      <c r="FP1620" s="305"/>
      <c r="FQ1620" s="305"/>
      <c r="FR1620" s="305"/>
      <c r="FS1620" s="305"/>
      <c r="FT1620" s="305"/>
      <c r="FU1620" s="305"/>
      <c r="FV1620" s="305"/>
      <c r="FW1620" s="305"/>
      <c r="FX1620" s="305"/>
      <c r="FY1620" s="305"/>
      <c r="FZ1620" s="305"/>
      <c r="GA1620" s="305"/>
      <c r="GB1620" s="305"/>
      <c r="GC1620" s="305"/>
      <c r="GD1620" s="305"/>
      <c r="GE1620" s="305"/>
      <c r="GF1620" s="305"/>
      <c r="GG1620" s="305"/>
      <c r="GH1620" s="305"/>
      <c r="GI1620" s="305"/>
      <c r="GJ1620" s="305"/>
      <c r="GK1620" s="305"/>
      <c r="GL1620" s="305"/>
      <c r="GM1620" s="305"/>
      <c r="GN1620" s="305"/>
      <c r="GO1620" s="305"/>
      <c r="GP1620" s="305"/>
      <c r="GQ1620" s="305"/>
      <c r="GR1620" s="305"/>
      <c r="GS1620" s="305"/>
      <c r="GT1620" s="305"/>
      <c r="GU1620" s="305"/>
      <c r="GV1620" s="305"/>
      <c r="GW1620" s="305"/>
      <c r="GX1620" s="305"/>
      <c r="GY1620" s="305"/>
      <c r="GZ1620" s="305"/>
      <c r="HA1620" s="305"/>
      <c r="HB1620" s="305"/>
      <c r="HC1620" s="305"/>
      <c r="HD1620" s="305"/>
      <c r="HE1620" s="305"/>
      <c r="HF1620" s="305"/>
      <c r="HG1620" s="305"/>
      <c r="HH1620" s="305"/>
      <c r="HI1620" s="305"/>
      <c r="HJ1620" s="305"/>
      <c r="HK1620" s="305"/>
      <c r="HL1620" s="305"/>
      <c r="HM1620" s="305"/>
    </row>
    <row r="1621" spans="1:221" s="456" customFormat="1">
      <c r="A1621" s="1253"/>
      <c r="B1621" s="1272" t="s">
        <v>10</v>
      </c>
      <c r="C1621" s="1273" t="s">
        <v>11</v>
      </c>
      <c r="D1621" s="1274"/>
      <c r="E1621" s="1255">
        <v>30</v>
      </c>
      <c r="F1621" s="713" t="s">
        <v>12</v>
      </c>
      <c r="G1621" s="681" t="s">
        <v>1909</v>
      </c>
      <c r="H1621" s="713"/>
      <c r="I1621" s="714"/>
      <c r="J1621" s="714"/>
      <c r="K1621" s="714"/>
      <c r="L1621" s="714">
        <v>50</v>
      </c>
      <c r="M1621" s="713">
        <v>20</v>
      </c>
      <c r="N1621" s="1254">
        <v>3</v>
      </c>
      <c r="O1621" s="480"/>
      <c r="P1621" s="297"/>
      <c r="Q1621" s="297"/>
      <c r="R1621" s="297"/>
      <c r="S1621" s="297"/>
      <c r="T1621" s="297"/>
      <c r="U1621" s="297"/>
      <c r="V1621" s="305"/>
      <c r="W1621" s="305"/>
      <c r="X1621" s="305"/>
      <c r="Y1621" s="305"/>
      <c r="Z1621" s="305"/>
      <c r="AA1621" s="305"/>
      <c r="AB1621" s="305"/>
      <c r="AC1621" s="305"/>
      <c r="AD1621" s="305"/>
      <c r="AE1621" s="305"/>
      <c r="AF1621" s="305"/>
      <c r="AG1621" s="305"/>
      <c r="AH1621" s="305"/>
      <c r="AI1621" s="305"/>
      <c r="AJ1621" s="305"/>
      <c r="AK1621" s="305"/>
      <c r="AL1621" s="305"/>
      <c r="AM1621" s="305"/>
      <c r="AN1621" s="305"/>
      <c r="AO1621" s="305"/>
      <c r="AP1621" s="305"/>
      <c r="AQ1621" s="305"/>
      <c r="AR1621" s="305"/>
      <c r="AS1621" s="305"/>
      <c r="AT1621" s="305"/>
      <c r="AU1621" s="305"/>
      <c r="AV1621" s="305"/>
      <c r="AW1621" s="305"/>
      <c r="AX1621" s="305"/>
      <c r="AY1621" s="305"/>
      <c r="AZ1621" s="305"/>
      <c r="BA1621" s="305"/>
      <c r="BB1621" s="305"/>
      <c r="BC1621" s="305"/>
      <c r="BD1621" s="305"/>
      <c r="BE1621" s="305"/>
      <c r="BF1621" s="305"/>
      <c r="BG1621" s="305"/>
      <c r="BH1621" s="305"/>
      <c r="BI1621" s="305"/>
      <c r="BJ1621" s="305"/>
      <c r="BK1621" s="305"/>
      <c r="BL1621" s="305"/>
      <c r="BM1621" s="305"/>
      <c r="BN1621" s="305"/>
      <c r="BO1621" s="305"/>
      <c r="BP1621" s="305"/>
      <c r="BQ1621" s="305"/>
      <c r="BR1621" s="305"/>
      <c r="BS1621" s="305"/>
      <c r="BT1621" s="305"/>
      <c r="BU1621" s="305"/>
      <c r="BV1621" s="305"/>
      <c r="BW1621" s="305"/>
      <c r="BX1621" s="305"/>
      <c r="BY1621" s="305"/>
      <c r="BZ1621" s="305"/>
      <c r="CA1621" s="305"/>
      <c r="CB1621" s="305"/>
      <c r="CC1621" s="305"/>
      <c r="CD1621" s="305"/>
      <c r="CE1621" s="305"/>
      <c r="CF1621" s="305"/>
      <c r="CG1621" s="305"/>
      <c r="CH1621" s="305"/>
      <c r="CI1621" s="305"/>
      <c r="CJ1621" s="305"/>
      <c r="CK1621" s="305"/>
      <c r="CL1621" s="305"/>
      <c r="CM1621" s="305"/>
      <c r="CN1621" s="305"/>
      <c r="CO1621" s="305"/>
      <c r="CP1621" s="305"/>
      <c r="CQ1621" s="305"/>
      <c r="CR1621" s="305"/>
      <c r="CS1621" s="305"/>
      <c r="CT1621" s="305"/>
      <c r="CU1621" s="305"/>
      <c r="CV1621" s="305"/>
      <c r="CW1621" s="305"/>
      <c r="CX1621" s="305"/>
      <c r="CY1621" s="305"/>
      <c r="CZ1621" s="305"/>
      <c r="DA1621" s="305"/>
      <c r="DB1621" s="305"/>
      <c r="DC1621" s="305"/>
      <c r="DD1621" s="305"/>
      <c r="DE1621" s="305"/>
      <c r="DF1621" s="305"/>
      <c r="DG1621" s="305"/>
      <c r="DH1621" s="305"/>
      <c r="DI1621" s="305"/>
      <c r="DJ1621" s="305"/>
      <c r="DK1621" s="305"/>
      <c r="DL1621" s="305"/>
      <c r="DM1621" s="305"/>
      <c r="DN1621" s="305"/>
      <c r="DO1621" s="305"/>
      <c r="DP1621" s="305"/>
      <c r="DQ1621" s="305"/>
      <c r="DR1621" s="305"/>
      <c r="DS1621" s="305"/>
      <c r="DT1621" s="305"/>
      <c r="DU1621" s="305"/>
      <c r="DV1621" s="305"/>
      <c r="DW1621" s="305"/>
      <c r="DX1621" s="305"/>
      <c r="DY1621" s="305"/>
      <c r="DZ1621" s="305"/>
      <c r="EA1621" s="305"/>
      <c r="EB1621" s="305"/>
      <c r="EC1621" s="305"/>
      <c r="ED1621" s="305"/>
      <c r="EE1621" s="305"/>
      <c r="EF1621" s="305"/>
      <c r="EG1621" s="305"/>
      <c r="EH1621" s="305"/>
      <c r="EI1621" s="305"/>
      <c r="EJ1621" s="305"/>
      <c r="EK1621" s="305"/>
      <c r="EL1621" s="305"/>
      <c r="EM1621" s="305"/>
      <c r="EN1621" s="305"/>
      <c r="EO1621" s="305"/>
      <c r="EP1621" s="305"/>
      <c r="EQ1621" s="305"/>
      <c r="ER1621" s="305"/>
      <c r="ES1621" s="305"/>
      <c r="ET1621" s="305"/>
      <c r="EU1621" s="305"/>
      <c r="EV1621" s="305"/>
      <c r="EW1621" s="305"/>
      <c r="EX1621" s="305"/>
      <c r="EY1621" s="305"/>
      <c r="EZ1621" s="305"/>
      <c r="FA1621" s="305"/>
      <c r="FB1621" s="305"/>
      <c r="FC1621" s="305"/>
      <c r="FD1621" s="305"/>
      <c r="FE1621" s="305"/>
      <c r="FF1621" s="305"/>
      <c r="FG1621" s="305"/>
      <c r="FH1621" s="305"/>
      <c r="FI1621" s="305"/>
      <c r="FJ1621" s="305"/>
      <c r="FK1621" s="305"/>
      <c r="FL1621" s="305"/>
      <c r="FM1621" s="305"/>
      <c r="FN1621" s="305"/>
      <c r="FO1621" s="305"/>
      <c r="FP1621" s="305"/>
      <c r="FQ1621" s="305"/>
      <c r="FR1621" s="305"/>
      <c r="FS1621" s="305"/>
      <c r="FT1621" s="305"/>
      <c r="FU1621" s="305"/>
      <c r="FV1621" s="305"/>
      <c r="FW1621" s="305"/>
      <c r="FX1621" s="305"/>
      <c r="FY1621" s="305"/>
      <c r="FZ1621" s="305"/>
      <c r="GA1621" s="305"/>
      <c r="GB1621" s="305"/>
      <c r="GC1621" s="305"/>
      <c r="GD1621" s="305"/>
      <c r="GE1621" s="305"/>
      <c r="GF1621" s="305"/>
      <c r="GG1621" s="305"/>
      <c r="GH1621" s="305"/>
      <c r="GI1621" s="305"/>
      <c r="GJ1621" s="305"/>
      <c r="GK1621" s="305"/>
      <c r="GL1621" s="305"/>
      <c r="GM1621" s="305"/>
      <c r="GN1621" s="305"/>
      <c r="GO1621" s="305"/>
      <c r="GP1621" s="305"/>
      <c r="GQ1621" s="305"/>
      <c r="GR1621" s="305"/>
      <c r="GS1621" s="305"/>
      <c r="GT1621" s="305"/>
      <c r="GU1621" s="305"/>
      <c r="GV1621" s="305"/>
      <c r="GW1621" s="305"/>
      <c r="GX1621" s="305"/>
      <c r="GY1621" s="305"/>
      <c r="GZ1621" s="305"/>
      <c r="HA1621" s="305"/>
      <c r="HB1621" s="305"/>
      <c r="HC1621" s="305"/>
      <c r="HD1621" s="305"/>
      <c r="HE1621" s="305"/>
      <c r="HF1621" s="305"/>
      <c r="HG1621" s="305"/>
      <c r="HH1621" s="305"/>
      <c r="HI1621" s="305"/>
      <c r="HJ1621" s="305"/>
      <c r="HK1621" s="305"/>
      <c r="HL1621" s="305"/>
      <c r="HM1621" s="305"/>
    </row>
    <row r="1622" spans="1:221" s="456" customFormat="1">
      <c r="A1622" s="1249" t="s">
        <v>190</v>
      </c>
      <c r="B1622" s="1272" t="s">
        <v>933</v>
      </c>
      <c r="C1622" s="1273" t="s">
        <v>934</v>
      </c>
      <c r="D1622" s="1274"/>
      <c r="E1622" s="1255">
        <v>26</v>
      </c>
      <c r="F1622" s="713"/>
      <c r="G1622" s="681" t="s">
        <v>1909</v>
      </c>
      <c r="H1622" s="713"/>
      <c r="I1622" s="714"/>
      <c r="J1622" s="714"/>
      <c r="K1622" s="714"/>
      <c r="L1622" s="714">
        <v>47</v>
      </c>
      <c r="M1622" s="713">
        <v>11</v>
      </c>
      <c r="N1622" s="1254">
        <v>4</v>
      </c>
      <c r="O1622" s="645"/>
      <c r="P1622" s="297"/>
      <c r="Q1622" s="297"/>
      <c r="R1622" s="297"/>
      <c r="S1622" s="297"/>
      <c r="T1622" s="297"/>
      <c r="U1622" s="297"/>
      <c r="V1622" s="305"/>
      <c r="W1622" s="305"/>
      <c r="X1622" s="305"/>
      <c r="Y1622" s="305"/>
      <c r="Z1622" s="305"/>
      <c r="AA1622" s="305"/>
      <c r="AB1622" s="305"/>
      <c r="AC1622" s="305"/>
      <c r="AD1622" s="305"/>
      <c r="AE1622" s="305"/>
      <c r="AF1622" s="305"/>
      <c r="AG1622" s="305"/>
      <c r="AH1622" s="305"/>
      <c r="AI1622" s="305"/>
      <c r="AJ1622" s="305"/>
      <c r="AK1622" s="305"/>
      <c r="AL1622" s="305"/>
      <c r="AM1622" s="305"/>
      <c r="AN1622" s="305"/>
      <c r="AO1622" s="305"/>
      <c r="AP1622" s="305"/>
      <c r="AQ1622" s="305"/>
      <c r="AR1622" s="305"/>
      <c r="AS1622" s="305"/>
      <c r="AT1622" s="305"/>
      <c r="AU1622" s="305"/>
      <c r="AV1622" s="305"/>
      <c r="AW1622" s="305"/>
      <c r="AX1622" s="305"/>
      <c r="AY1622" s="305"/>
      <c r="AZ1622" s="305"/>
      <c r="BA1622" s="305"/>
      <c r="BB1622" s="305"/>
      <c r="BC1622" s="305"/>
      <c r="BD1622" s="305"/>
      <c r="BE1622" s="305"/>
      <c r="BF1622" s="305"/>
      <c r="BG1622" s="305"/>
      <c r="BH1622" s="305"/>
      <c r="BI1622" s="305"/>
      <c r="BJ1622" s="305"/>
      <c r="BK1622" s="305"/>
      <c r="BL1622" s="305"/>
      <c r="BM1622" s="305"/>
      <c r="BN1622" s="305"/>
      <c r="BO1622" s="305"/>
      <c r="BP1622" s="305"/>
      <c r="BQ1622" s="305"/>
      <c r="BR1622" s="305"/>
      <c r="BS1622" s="305"/>
      <c r="BT1622" s="305"/>
      <c r="BU1622" s="305"/>
      <c r="BV1622" s="305"/>
      <c r="BW1622" s="305"/>
      <c r="BX1622" s="305"/>
      <c r="BY1622" s="305"/>
      <c r="BZ1622" s="305"/>
      <c r="CA1622" s="305"/>
      <c r="CB1622" s="305"/>
      <c r="CC1622" s="305"/>
      <c r="CD1622" s="305"/>
      <c r="CE1622" s="305"/>
      <c r="CF1622" s="305"/>
      <c r="CG1622" s="305"/>
      <c r="CH1622" s="305"/>
      <c r="CI1622" s="305"/>
      <c r="CJ1622" s="305"/>
      <c r="CK1622" s="305"/>
      <c r="CL1622" s="305"/>
      <c r="CM1622" s="305"/>
      <c r="CN1622" s="305"/>
      <c r="CO1622" s="305"/>
      <c r="CP1622" s="305"/>
      <c r="CQ1622" s="305"/>
      <c r="CR1622" s="305"/>
      <c r="CS1622" s="305"/>
      <c r="CT1622" s="305"/>
      <c r="CU1622" s="305"/>
      <c r="CV1622" s="305"/>
      <c r="CW1622" s="305"/>
      <c r="CX1622" s="305"/>
      <c r="CY1622" s="305"/>
      <c r="CZ1622" s="305"/>
      <c r="DA1622" s="305"/>
      <c r="DB1622" s="305"/>
      <c r="DC1622" s="305"/>
      <c r="DD1622" s="305"/>
      <c r="DE1622" s="305"/>
      <c r="DF1622" s="305"/>
      <c r="DG1622" s="305"/>
      <c r="DH1622" s="305"/>
      <c r="DI1622" s="305"/>
      <c r="DJ1622" s="305"/>
      <c r="DK1622" s="305"/>
      <c r="DL1622" s="305"/>
      <c r="DM1622" s="305"/>
      <c r="DN1622" s="305"/>
      <c r="DO1622" s="305"/>
      <c r="DP1622" s="305"/>
      <c r="DQ1622" s="305"/>
      <c r="DR1622" s="305"/>
      <c r="DS1622" s="305"/>
      <c r="DT1622" s="305"/>
      <c r="DU1622" s="305"/>
      <c r="DV1622" s="305"/>
      <c r="DW1622" s="305"/>
      <c r="DX1622" s="305"/>
      <c r="DY1622" s="305"/>
      <c r="DZ1622" s="305"/>
      <c r="EA1622" s="305"/>
      <c r="EB1622" s="305"/>
      <c r="EC1622" s="305"/>
      <c r="ED1622" s="305"/>
      <c r="EE1622" s="305"/>
      <c r="EF1622" s="305"/>
      <c r="EG1622" s="305"/>
      <c r="EH1622" s="305"/>
      <c r="EI1622" s="305"/>
      <c r="EJ1622" s="305"/>
      <c r="EK1622" s="305"/>
      <c r="EL1622" s="305"/>
      <c r="EM1622" s="305"/>
      <c r="EN1622" s="305"/>
      <c r="EO1622" s="305"/>
      <c r="EP1622" s="305"/>
      <c r="EQ1622" s="305"/>
      <c r="ER1622" s="305"/>
      <c r="ES1622" s="305"/>
      <c r="ET1622" s="305"/>
      <c r="EU1622" s="305"/>
      <c r="EV1622" s="305"/>
      <c r="EW1622" s="305"/>
      <c r="EX1622" s="305"/>
      <c r="EY1622" s="305"/>
      <c r="EZ1622" s="305"/>
      <c r="FA1622" s="305"/>
      <c r="FB1622" s="305"/>
      <c r="FC1622" s="305"/>
      <c r="FD1622" s="305"/>
      <c r="FE1622" s="305"/>
      <c r="FF1622" s="305"/>
      <c r="FG1622" s="305"/>
      <c r="FH1622" s="305"/>
      <c r="FI1622" s="305"/>
      <c r="FJ1622" s="305"/>
      <c r="FK1622" s="305"/>
      <c r="FL1622" s="305"/>
      <c r="FM1622" s="305"/>
      <c r="FN1622" s="305"/>
      <c r="FO1622" s="305"/>
      <c r="FP1622" s="305"/>
      <c r="FQ1622" s="305"/>
      <c r="FR1622" s="305"/>
      <c r="FS1622" s="305"/>
      <c r="FT1622" s="305"/>
      <c r="FU1622" s="305"/>
      <c r="FV1622" s="305"/>
      <c r="FW1622" s="305"/>
      <c r="FX1622" s="305"/>
      <c r="FY1622" s="305"/>
      <c r="FZ1622" s="305"/>
      <c r="GA1622" s="305"/>
      <c r="GB1622" s="305"/>
      <c r="GC1622" s="305"/>
      <c r="GD1622" s="305"/>
      <c r="GE1622" s="305"/>
      <c r="GF1622" s="305"/>
      <c r="GG1622" s="305"/>
      <c r="GH1622" s="305"/>
      <c r="GI1622" s="305"/>
      <c r="GJ1622" s="305"/>
      <c r="GK1622" s="305"/>
      <c r="GL1622" s="305"/>
      <c r="GM1622" s="305"/>
      <c r="GN1622" s="305"/>
      <c r="GO1622" s="305"/>
      <c r="GP1622" s="305"/>
      <c r="GQ1622" s="305"/>
      <c r="GR1622" s="305"/>
      <c r="GS1622" s="305"/>
      <c r="GT1622" s="305"/>
      <c r="GU1622" s="305"/>
      <c r="GV1622" s="305"/>
      <c r="GW1622" s="305"/>
      <c r="GX1622" s="305"/>
      <c r="GY1622" s="305"/>
      <c r="GZ1622" s="305"/>
      <c r="HA1622" s="305"/>
      <c r="HB1622" s="305"/>
      <c r="HC1622" s="305"/>
      <c r="HD1622" s="305"/>
      <c r="HE1622" s="305"/>
      <c r="HF1622" s="305"/>
      <c r="HG1622" s="305"/>
      <c r="HH1622" s="305"/>
      <c r="HI1622" s="305"/>
      <c r="HJ1622" s="305"/>
      <c r="HK1622" s="305"/>
      <c r="HL1622" s="305"/>
      <c r="HM1622" s="305"/>
    </row>
    <row r="1623" spans="1:221" s="456" customFormat="1">
      <c r="A1623" s="1249" t="s">
        <v>354</v>
      </c>
      <c r="B1623" s="1272" t="s">
        <v>933</v>
      </c>
      <c r="C1623" s="1273" t="s">
        <v>934</v>
      </c>
      <c r="D1623" s="1274"/>
      <c r="E1623" s="1255">
        <v>36</v>
      </c>
      <c r="F1623" s="713"/>
      <c r="G1623" s="681" t="s">
        <v>1909</v>
      </c>
      <c r="H1623" s="713"/>
      <c r="I1623" s="714"/>
      <c r="J1623" s="714"/>
      <c r="K1623" s="714"/>
      <c r="L1623" s="714">
        <v>56</v>
      </c>
      <c r="M1623" s="713">
        <v>20</v>
      </c>
      <c r="N1623" s="1254">
        <v>4</v>
      </c>
      <c r="O1623" s="645"/>
      <c r="P1623" s="297"/>
      <c r="Q1623" s="297"/>
      <c r="R1623" s="297"/>
      <c r="S1623" s="297"/>
      <c r="T1623" s="297"/>
      <c r="U1623" s="297"/>
      <c r="V1623" s="305"/>
      <c r="W1623" s="305"/>
      <c r="X1623" s="305"/>
      <c r="Y1623" s="305"/>
      <c r="Z1623" s="305"/>
      <c r="AA1623" s="305"/>
      <c r="AB1623" s="305"/>
      <c r="AC1623" s="305"/>
      <c r="AD1623" s="305"/>
      <c r="AE1623" s="305"/>
      <c r="AF1623" s="305"/>
      <c r="AG1623" s="305"/>
      <c r="AH1623" s="305"/>
      <c r="AI1623" s="305"/>
      <c r="AJ1623" s="305"/>
      <c r="AK1623" s="305"/>
      <c r="AL1623" s="305"/>
      <c r="AM1623" s="305"/>
      <c r="AN1623" s="305"/>
      <c r="AO1623" s="305"/>
      <c r="AP1623" s="305"/>
      <c r="AQ1623" s="305"/>
      <c r="AR1623" s="305"/>
      <c r="AS1623" s="305"/>
      <c r="AT1623" s="305"/>
      <c r="AU1623" s="305"/>
      <c r="AV1623" s="305"/>
      <c r="AW1623" s="305"/>
      <c r="AX1623" s="305"/>
      <c r="AY1623" s="305"/>
      <c r="AZ1623" s="305"/>
      <c r="BA1623" s="305"/>
      <c r="BB1623" s="305"/>
      <c r="BC1623" s="305"/>
      <c r="BD1623" s="305"/>
      <c r="BE1623" s="305"/>
      <c r="BF1623" s="305"/>
      <c r="BG1623" s="305"/>
      <c r="BH1623" s="305"/>
      <c r="BI1623" s="305"/>
      <c r="BJ1623" s="305"/>
      <c r="BK1623" s="305"/>
      <c r="BL1623" s="305"/>
      <c r="BM1623" s="305"/>
      <c r="BN1623" s="305"/>
      <c r="BO1623" s="305"/>
      <c r="BP1623" s="305"/>
      <c r="BQ1623" s="305"/>
      <c r="BR1623" s="305"/>
      <c r="BS1623" s="305"/>
      <c r="BT1623" s="305"/>
      <c r="BU1623" s="305"/>
      <c r="BV1623" s="305"/>
      <c r="BW1623" s="305"/>
      <c r="BX1623" s="305"/>
      <c r="BY1623" s="305"/>
      <c r="BZ1623" s="305"/>
      <c r="CA1623" s="305"/>
      <c r="CB1623" s="305"/>
      <c r="CC1623" s="305"/>
      <c r="CD1623" s="305"/>
      <c r="CE1623" s="305"/>
      <c r="CF1623" s="305"/>
      <c r="CG1623" s="305"/>
      <c r="CH1623" s="305"/>
      <c r="CI1623" s="305"/>
      <c r="CJ1623" s="305"/>
      <c r="CK1623" s="305"/>
      <c r="CL1623" s="305"/>
      <c r="CM1623" s="305"/>
      <c r="CN1623" s="305"/>
      <c r="CO1623" s="305"/>
      <c r="CP1623" s="305"/>
      <c r="CQ1623" s="305"/>
      <c r="CR1623" s="305"/>
      <c r="CS1623" s="305"/>
      <c r="CT1623" s="305"/>
      <c r="CU1623" s="305"/>
      <c r="CV1623" s="305"/>
      <c r="CW1623" s="305"/>
      <c r="CX1623" s="305"/>
      <c r="CY1623" s="305"/>
      <c r="CZ1623" s="305"/>
      <c r="DA1623" s="305"/>
      <c r="DB1623" s="305"/>
      <c r="DC1623" s="305"/>
      <c r="DD1623" s="305"/>
      <c r="DE1623" s="305"/>
      <c r="DF1623" s="305"/>
      <c r="DG1623" s="305"/>
      <c r="DH1623" s="305"/>
      <c r="DI1623" s="305"/>
      <c r="DJ1623" s="305"/>
      <c r="DK1623" s="305"/>
      <c r="DL1623" s="305"/>
      <c r="DM1623" s="305"/>
      <c r="DN1623" s="305"/>
      <c r="DO1623" s="305"/>
      <c r="DP1623" s="305"/>
      <c r="DQ1623" s="305"/>
      <c r="DR1623" s="305"/>
      <c r="DS1623" s="305"/>
      <c r="DT1623" s="305"/>
      <c r="DU1623" s="305"/>
      <c r="DV1623" s="305"/>
      <c r="DW1623" s="305"/>
      <c r="DX1623" s="305"/>
      <c r="DY1623" s="305"/>
      <c r="DZ1623" s="305"/>
      <c r="EA1623" s="305"/>
      <c r="EB1623" s="305"/>
      <c r="EC1623" s="305"/>
      <c r="ED1623" s="305"/>
      <c r="EE1623" s="305"/>
      <c r="EF1623" s="305"/>
      <c r="EG1623" s="305"/>
      <c r="EH1623" s="305"/>
      <c r="EI1623" s="305"/>
      <c r="EJ1623" s="305"/>
      <c r="EK1623" s="305"/>
      <c r="EL1623" s="305"/>
      <c r="EM1623" s="305"/>
      <c r="EN1623" s="305"/>
      <c r="EO1623" s="305"/>
      <c r="EP1623" s="305"/>
      <c r="EQ1623" s="305"/>
      <c r="ER1623" s="305"/>
      <c r="ES1623" s="305"/>
      <c r="ET1623" s="305"/>
      <c r="EU1623" s="305"/>
      <c r="EV1623" s="305"/>
      <c r="EW1623" s="305"/>
      <c r="EX1623" s="305"/>
      <c r="EY1623" s="305"/>
      <c r="EZ1623" s="305"/>
      <c r="FA1623" s="305"/>
      <c r="FB1623" s="305"/>
      <c r="FC1623" s="305"/>
      <c r="FD1623" s="305"/>
      <c r="FE1623" s="305"/>
      <c r="FF1623" s="305"/>
      <c r="FG1623" s="305"/>
      <c r="FH1623" s="305"/>
      <c r="FI1623" s="305"/>
      <c r="FJ1623" s="305"/>
      <c r="FK1623" s="305"/>
      <c r="FL1623" s="305"/>
      <c r="FM1623" s="305"/>
      <c r="FN1623" s="305"/>
      <c r="FO1623" s="305"/>
      <c r="FP1623" s="305"/>
      <c r="FQ1623" s="305"/>
      <c r="FR1623" s="305"/>
      <c r="FS1623" s="305"/>
      <c r="FT1623" s="305"/>
      <c r="FU1623" s="305"/>
      <c r="FV1623" s="305"/>
      <c r="FW1623" s="305"/>
      <c r="FX1623" s="305"/>
      <c r="FY1623" s="305"/>
      <c r="FZ1623" s="305"/>
      <c r="GA1623" s="305"/>
      <c r="GB1623" s="305"/>
      <c r="GC1623" s="305"/>
      <c r="GD1623" s="305"/>
      <c r="GE1623" s="305"/>
      <c r="GF1623" s="305"/>
      <c r="GG1623" s="305"/>
      <c r="GH1623" s="305"/>
      <c r="GI1623" s="305"/>
      <c r="GJ1623" s="305"/>
      <c r="GK1623" s="305"/>
      <c r="GL1623" s="305"/>
      <c r="GM1623" s="305"/>
      <c r="GN1623" s="305"/>
      <c r="GO1623" s="305"/>
      <c r="GP1623" s="305"/>
      <c r="GQ1623" s="305"/>
      <c r="GR1623" s="305"/>
      <c r="GS1623" s="305"/>
      <c r="GT1623" s="305"/>
      <c r="GU1623" s="305"/>
      <c r="GV1623" s="305"/>
      <c r="GW1623" s="305"/>
      <c r="GX1623" s="305"/>
      <c r="GY1623" s="305"/>
      <c r="GZ1623" s="305"/>
      <c r="HA1623" s="305"/>
      <c r="HB1623" s="305"/>
      <c r="HC1623" s="305"/>
      <c r="HD1623" s="305"/>
      <c r="HE1623" s="305"/>
      <c r="HF1623" s="305"/>
      <c r="HG1623" s="305"/>
      <c r="HH1623" s="305"/>
      <c r="HI1623" s="305"/>
      <c r="HJ1623" s="305"/>
      <c r="HK1623" s="305"/>
      <c r="HL1623" s="305"/>
      <c r="HM1623" s="305"/>
    </row>
    <row r="1624" spans="1:221" s="456" customFormat="1">
      <c r="A1624" s="1249"/>
      <c r="B1624" s="1272" t="s">
        <v>933</v>
      </c>
      <c r="C1624" s="1273" t="s">
        <v>924</v>
      </c>
      <c r="D1624" s="1274"/>
      <c r="E1624" s="1255">
        <v>34.5</v>
      </c>
      <c r="F1624" s="713" t="s">
        <v>889</v>
      </c>
      <c r="G1624" s="681" t="s">
        <v>1909</v>
      </c>
      <c r="H1624" s="713"/>
      <c r="I1624" s="714"/>
      <c r="J1624" s="714"/>
      <c r="K1624" s="714"/>
      <c r="L1624" s="714">
        <v>57</v>
      </c>
      <c r="M1624" s="713">
        <v>22.5</v>
      </c>
      <c r="N1624" s="1254">
        <v>5</v>
      </c>
      <c r="O1624" s="480"/>
      <c r="P1624" s="297"/>
      <c r="Q1624" s="297"/>
      <c r="R1624" s="297"/>
      <c r="S1624" s="297"/>
      <c r="T1624" s="297"/>
      <c r="U1624" s="297"/>
      <c r="V1624" s="305"/>
      <c r="W1624" s="305"/>
      <c r="X1624" s="305"/>
      <c r="Y1624" s="305"/>
      <c r="Z1624" s="305"/>
      <c r="AA1624" s="305"/>
      <c r="AB1624" s="305"/>
      <c r="AC1624" s="305"/>
      <c r="AD1624" s="305"/>
      <c r="AE1624" s="305"/>
      <c r="AF1624" s="305"/>
      <c r="AG1624" s="305"/>
      <c r="AH1624" s="305"/>
      <c r="AI1624" s="305"/>
      <c r="AJ1624" s="305"/>
      <c r="AK1624" s="305"/>
      <c r="AL1624" s="305"/>
      <c r="AM1624" s="305"/>
      <c r="AN1624" s="305"/>
      <c r="AO1624" s="305"/>
      <c r="AP1624" s="305"/>
      <c r="AQ1624" s="305"/>
      <c r="AR1624" s="305"/>
      <c r="AS1624" s="305"/>
      <c r="AT1624" s="305"/>
      <c r="AU1624" s="305"/>
      <c r="AV1624" s="305"/>
      <c r="AW1624" s="305"/>
      <c r="AX1624" s="305"/>
      <c r="AY1624" s="305"/>
      <c r="AZ1624" s="305"/>
      <c r="BA1624" s="305"/>
      <c r="BB1624" s="305"/>
      <c r="BC1624" s="305"/>
      <c r="BD1624" s="305"/>
      <c r="BE1624" s="305"/>
      <c r="BF1624" s="305"/>
      <c r="BG1624" s="305"/>
      <c r="BH1624" s="305"/>
      <c r="BI1624" s="305"/>
      <c r="BJ1624" s="305"/>
      <c r="BK1624" s="305"/>
      <c r="BL1624" s="305"/>
      <c r="BM1624" s="305"/>
      <c r="BN1624" s="305"/>
      <c r="BO1624" s="305"/>
      <c r="BP1624" s="305"/>
      <c r="BQ1624" s="305"/>
      <c r="BR1624" s="305"/>
      <c r="BS1624" s="305"/>
      <c r="BT1624" s="305"/>
      <c r="BU1624" s="305"/>
      <c r="BV1624" s="305"/>
      <c r="BW1624" s="305"/>
      <c r="BX1624" s="305"/>
      <c r="BY1624" s="305"/>
      <c r="BZ1624" s="305"/>
      <c r="CA1624" s="305"/>
      <c r="CB1624" s="305"/>
      <c r="CC1624" s="305"/>
      <c r="CD1624" s="305"/>
      <c r="CE1624" s="305"/>
      <c r="CF1624" s="305"/>
      <c r="CG1624" s="305"/>
      <c r="CH1624" s="305"/>
      <c r="CI1624" s="305"/>
      <c r="CJ1624" s="305"/>
      <c r="CK1624" s="305"/>
      <c r="CL1624" s="305"/>
      <c r="CM1624" s="305"/>
      <c r="CN1624" s="305"/>
      <c r="CO1624" s="305"/>
      <c r="CP1624" s="305"/>
      <c r="CQ1624" s="305"/>
      <c r="CR1624" s="305"/>
      <c r="CS1624" s="305"/>
      <c r="CT1624" s="305"/>
      <c r="CU1624" s="305"/>
      <c r="CV1624" s="305"/>
      <c r="CW1624" s="305"/>
      <c r="CX1624" s="305"/>
      <c r="CY1624" s="305"/>
      <c r="CZ1624" s="305"/>
      <c r="DA1624" s="305"/>
      <c r="DB1624" s="305"/>
      <c r="DC1624" s="305"/>
      <c r="DD1624" s="305"/>
      <c r="DE1624" s="305"/>
      <c r="DF1624" s="305"/>
      <c r="DG1624" s="305"/>
      <c r="DH1624" s="305"/>
      <c r="DI1624" s="305"/>
      <c r="DJ1624" s="305"/>
      <c r="DK1624" s="305"/>
      <c r="DL1624" s="305"/>
      <c r="DM1624" s="305"/>
      <c r="DN1624" s="305"/>
      <c r="DO1624" s="305"/>
      <c r="DP1624" s="305"/>
      <c r="DQ1624" s="305"/>
      <c r="DR1624" s="305"/>
      <c r="DS1624" s="305"/>
      <c r="DT1624" s="305"/>
      <c r="DU1624" s="305"/>
      <c r="DV1624" s="305"/>
      <c r="DW1624" s="305"/>
      <c r="DX1624" s="305"/>
      <c r="DY1624" s="305"/>
      <c r="DZ1624" s="305"/>
      <c r="EA1624" s="305"/>
      <c r="EB1624" s="305"/>
      <c r="EC1624" s="305"/>
      <c r="ED1624" s="305"/>
      <c r="EE1624" s="305"/>
      <c r="EF1624" s="305"/>
      <c r="EG1624" s="305"/>
      <c r="EH1624" s="305"/>
      <c r="EI1624" s="305"/>
      <c r="EJ1624" s="305"/>
      <c r="EK1624" s="305"/>
      <c r="EL1624" s="305"/>
      <c r="EM1624" s="305"/>
      <c r="EN1624" s="305"/>
      <c r="EO1624" s="305"/>
      <c r="EP1624" s="305"/>
      <c r="EQ1624" s="305"/>
      <c r="ER1624" s="305"/>
      <c r="ES1624" s="305"/>
      <c r="ET1624" s="305"/>
      <c r="EU1624" s="305"/>
      <c r="EV1624" s="305"/>
      <c r="EW1624" s="305"/>
      <c r="EX1624" s="305"/>
      <c r="EY1624" s="305"/>
      <c r="EZ1624" s="305"/>
      <c r="FA1624" s="305"/>
      <c r="FB1624" s="305"/>
      <c r="FC1624" s="305"/>
      <c r="FD1624" s="305"/>
      <c r="FE1624" s="305"/>
      <c r="FF1624" s="305"/>
      <c r="FG1624" s="305"/>
      <c r="FH1624" s="305"/>
      <c r="FI1624" s="305"/>
      <c r="FJ1624" s="305"/>
      <c r="FK1624" s="305"/>
      <c r="FL1624" s="305"/>
      <c r="FM1624" s="305"/>
      <c r="FN1624" s="305"/>
      <c r="FO1624" s="305"/>
      <c r="FP1624" s="305"/>
      <c r="FQ1624" s="305"/>
      <c r="FR1624" s="305"/>
      <c r="FS1624" s="305"/>
      <c r="FT1624" s="305"/>
      <c r="FU1624" s="305"/>
      <c r="FV1624" s="305"/>
      <c r="FW1624" s="305"/>
      <c r="FX1624" s="305"/>
      <c r="FY1624" s="305"/>
      <c r="FZ1624" s="305"/>
      <c r="GA1624" s="305"/>
      <c r="GB1624" s="305"/>
      <c r="GC1624" s="305"/>
      <c r="GD1624" s="305"/>
      <c r="GE1624" s="305"/>
      <c r="GF1624" s="305"/>
      <c r="GG1624" s="305"/>
      <c r="GH1624" s="305"/>
      <c r="GI1624" s="305"/>
      <c r="GJ1624" s="305"/>
      <c r="GK1624" s="305"/>
      <c r="GL1624" s="305"/>
      <c r="GM1624" s="305"/>
      <c r="GN1624" s="305"/>
      <c r="GO1624" s="305"/>
      <c r="GP1624" s="305"/>
      <c r="GQ1624" s="305"/>
      <c r="GR1624" s="305"/>
      <c r="GS1624" s="305"/>
      <c r="GT1624" s="305"/>
      <c r="GU1624" s="305"/>
      <c r="GV1624" s="305"/>
      <c r="GW1624" s="305"/>
      <c r="GX1624" s="305"/>
      <c r="GY1624" s="305"/>
      <c r="GZ1624" s="305"/>
      <c r="HA1624" s="305"/>
      <c r="HB1624" s="305"/>
      <c r="HC1624" s="305"/>
      <c r="HD1624" s="305"/>
      <c r="HE1624" s="305"/>
      <c r="HF1624" s="305"/>
      <c r="HG1624" s="305"/>
      <c r="HH1624" s="305"/>
      <c r="HI1624" s="305"/>
      <c r="HJ1624" s="305"/>
      <c r="HK1624" s="305"/>
      <c r="HL1624" s="305"/>
      <c r="HM1624" s="305"/>
    </row>
    <row r="1625" spans="1:221" s="456" customFormat="1">
      <c r="A1625" s="1249"/>
      <c r="B1625" s="1272" t="s">
        <v>2423</v>
      </c>
      <c r="C1625" s="1273" t="s">
        <v>2424</v>
      </c>
      <c r="D1625" s="1274"/>
      <c r="E1625" s="1255">
        <v>44.5</v>
      </c>
      <c r="F1625" s="713"/>
      <c r="G1625" s="713"/>
      <c r="H1625" s="713"/>
      <c r="I1625" s="714"/>
      <c r="J1625" s="714"/>
      <c r="K1625" s="714"/>
      <c r="L1625" s="714">
        <f>44.5+20.5</f>
        <v>65</v>
      </c>
      <c r="M1625" s="713">
        <v>20.5</v>
      </c>
      <c r="N1625" s="672"/>
      <c r="O1625" s="480"/>
      <c r="P1625" s="297"/>
      <c r="Q1625" s="297"/>
      <c r="R1625" s="297"/>
      <c r="S1625" s="297"/>
      <c r="T1625" s="297"/>
      <c r="U1625" s="297"/>
      <c r="V1625" s="305"/>
      <c r="W1625" s="305"/>
      <c r="X1625" s="305"/>
      <c r="Y1625" s="305"/>
      <c r="Z1625" s="305"/>
      <c r="AA1625" s="305"/>
      <c r="AB1625" s="305"/>
      <c r="AC1625" s="305"/>
      <c r="AD1625" s="305"/>
      <c r="AE1625" s="305"/>
      <c r="AF1625" s="305"/>
      <c r="AG1625" s="305"/>
      <c r="AH1625" s="305"/>
      <c r="AI1625" s="305"/>
      <c r="AJ1625" s="305"/>
      <c r="AK1625" s="305"/>
      <c r="AL1625" s="305"/>
      <c r="AM1625" s="305"/>
      <c r="AN1625" s="305"/>
      <c r="AO1625" s="305"/>
      <c r="AP1625" s="305"/>
      <c r="AQ1625" s="305"/>
      <c r="AR1625" s="305"/>
      <c r="AS1625" s="305"/>
      <c r="AT1625" s="305"/>
      <c r="AU1625" s="305"/>
      <c r="AV1625" s="305"/>
      <c r="AW1625" s="305"/>
      <c r="AX1625" s="305"/>
      <c r="AY1625" s="305"/>
      <c r="AZ1625" s="305"/>
      <c r="BA1625" s="305"/>
      <c r="BB1625" s="305"/>
      <c r="BC1625" s="305"/>
      <c r="BD1625" s="305"/>
      <c r="BE1625" s="305"/>
      <c r="BF1625" s="305"/>
      <c r="BG1625" s="305"/>
      <c r="BH1625" s="305"/>
      <c r="BI1625" s="305"/>
      <c r="BJ1625" s="305"/>
      <c r="BK1625" s="305"/>
      <c r="BL1625" s="305"/>
      <c r="BM1625" s="305"/>
      <c r="BN1625" s="305"/>
      <c r="BO1625" s="305"/>
      <c r="BP1625" s="305"/>
      <c r="BQ1625" s="305"/>
      <c r="BR1625" s="305"/>
      <c r="BS1625" s="305"/>
      <c r="BT1625" s="305"/>
      <c r="BU1625" s="305"/>
      <c r="BV1625" s="305"/>
      <c r="BW1625" s="305"/>
      <c r="BX1625" s="305"/>
      <c r="BY1625" s="305"/>
      <c r="BZ1625" s="305"/>
      <c r="CA1625" s="305"/>
      <c r="CB1625" s="305"/>
      <c r="CC1625" s="305"/>
      <c r="CD1625" s="305"/>
      <c r="CE1625" s="305"/>
      <c r="CF1625" s="305"/>
      <c r="CG1625" s="305"/>
      <c r="CH1625" s="305"/>
      <c r="CI1625" s="305"/>
      <c r="CJ1625" s="305"/>
      <c r="CK1625" s="305"/>
      <c r="CL1625" s="305"/>
      <c r="CM1625" s="305"/>
      <c r="CN1625" s="305"/>
      <c r="CO1625" s="305"/>
      <c r="CP1625" s="305"/>
      <c r="CQ1625" s="305"/>
      <c r="CR1625" s="305"/>
      <c r="CS1625" s="305"/>
      <c r="CT1625" s="305"/>
      <c r="CU1625" s="305"/>
      <c r="CV1625" s="305"/>
      <c r="CW1625" s="305"/>
      <c r="CX1625" s="305"/>
      <c r="CY1625" s="305"/>
      <c r="CZ1625" s="305"/>
      <c r="DA1625" s="305"/>
      <c r="DB1625" s="305"/>
      <c r="DC1625" s="305"/>
      <c r="DD1625" s="305"/>
      <c r="DE1625" s="305"/>
      <c r="DF1625" s="305"/>
      <c r="DG1625" s="305"/>
      <c r="DH1625" s="305"/>
      <c r="DI1625" s="305"/>
      <c r="DJ1625" s="305"/>
      <c r="DK1625" s="305"/>
      <c r="DL1625" s="305"/>
      <c r="DM1625" s="305"/>
      <c r="DN1625" s="305"/>
      <c r="DO1625" s="305"/>
      <c r="DP1625" s="305"/>
      <c r="DQ1625" s="305"/>
      <c r="DR1625" s="305"/>
      <c r="DS1625" s="305"/>
      <c r="DT1625" s="305"/>
      <c r="DU1625" s="305"/>
      <c r="DV1625" s="305"/>
      <c r="DW1625" s="305"/>
      <c r="DX1625" s="305"/>
      <c r="DY1625" s="305"/>
      <c r="DZ1625" s="305"/>
      <c r="EA1625" s="305"/>
      <c r="EB1625" s="305"/>
      <c r="EC1625" s="305"/>
      <c r="ED1625" s="305"/>
      <c r="EE1625" s="305"/>
      <c r="EF1625" s="305"/>
      <c r="EG1625" s="305"/>
      <c r="EH1625" s="305"/>
      <c r="EI1625" s="305"/>
      <c r="EJ1625" s="305"/>
      <c r="EK1625" s="305"/>
      <c r="EL1625" s="305"/>
      <c r="EM1625" s="305"/>
      <c r="EN1625" s="305"/>
      <c r="EO1625" s="305"/>
      <c r="EP1625" s="305"/>
      <c r="EQ1625" s="305"/>
      <c r="ER1625" s="305"/>
      <c r="ES1625" s="305"/>
      <c r="ET1625" s="305"/>
      <c r="EU1625" s="305"/>
      <c r="EV1625" s="305"/>
      <c r="EW1625" s="305"/>
      <c r="EX1625" s="305"/>
      <c r="EY1625" s="305"/>
      <c r="EZ1625" s="305"/>
      <c r="FA1625" s="305"/>
      <c r="FB1625" s="305"/>
      <c r="FC1625" s="305"/>
      <c r="FD1625" s="305"/>
      <c r="FE1625" s="305"/>
      <c r="FF1625" s="305"/>
      <c r="FG1625" s="305"/>
      <c r="FH1625" s="305"/>
      <c r="FI1625" s="305"/>
      <c r="FJ1625" s="305"/>
      <c r="FK1625" s="305"/>
      <c r="FL1625" s="305"/>
      <c r="FM1625" s="305"/>
      <c r="FN1625" s="305"/>
      <c r="FO1625" s="305"/>
      <c r="FP1625" s="305"/>
      <c r="FQ1625" s="305"/>
      <c r="FR1625" s="305"/>
      <c r="FS1625" s="305"/>
      <c r="FT1625" s="305"/>
      <c r="FU1625" s="305"/>
      <c r="FV1625" s="305"/>
      <c r="FW1625" s="305"/>
      <c r="FX1625" s="305"/>
      <c r="FY1625" s="305"/>
      <c r="FZ1625" s="305"/>
      <c r="GA1625" s="305"/>
      <c r="GB1625" s="305"/>
      <c r="GC1625" s="305"/>
      <c r="GD1625" s="305"/>
      <c r="GE1625" s="305"/>
      <c r="GF1625" s="305"/>
      <c r="GG1625" s="305"/>
      <c r="GH1625" s="305"/>
      <c r="GI1625" s="305"/>
      <c r="GJ1625" s="305"/>
      <c r="GK1625" s="305"/>
      <c r="GL1625" s="305"/>
      <c r="GM1625" s="305"/>
      <c r="GN1625" s="305"/>
      <c r="GO1625" s="305"/>
      <c r="GP1625" s="305"/>
      <c r="GQ1625" s="305"/>
      <c r="GR1625" s="305"/>
      <c r="GS1625" s="305"/>
      <c r="GT1625" s="305"/>
      <c r="GU1625" s="305"/>
      <c r="GV1625" s="305"/>
      <c r="GW1625" s="305"/>
      <c r="GX1625" s="305"/>
      <c r="GY1625" s="305"/>
      <c r="GZ1625" s="305"/>
      <c r="HA1625" s="305"/>
      <c r="HB1625" s="305"/>
      <c r="HC1625" s="305"/>
      <c r="HD1625" s="305"/>
      <c r="HE1625" s="305"/>
      <c r="HF1625" s="305"/>
      <c r="HG1625" s="305"/>
      <c r="HH1625" s="305"/>
      <c r="HI1625" s="305"/>
      <c r="HJ1625" s="305"/>
      <c r="HK1625" s="305"/>
      <c r="HL1625" s="305"/>
      <c r="HM1625" s="305"/>
    </row>
    <row r="1626" spans="1:221" s="456" customFormat="1">
      <c r="A1626" s="1253"/>
      <c r="B1626" s="1272" t="s">
        <v>46</v>
      </c>
      <c r="C1626" s="1273" t="s">
        <v>47</v>
      </c>
      <c r="D1626" s="1274"/>
      <c r="E1626" s="1255"/>
      <c r="F1626" s="713" t="s">
        <v>397</v>
      </c>
      <c r="G1626" s="681" t="s">
        <v>1909</v>
      </c>
      <c r="H1626" s="713"/>
      <c r="I1626" s="714"/>
      <c r="J1626" s="714"/>
      <c r="K1626" s="714"/>
      <c r="L1626" s="714"/>
      <c r="M1626" s="713"/>
      <c r="N1626" s="1254"/>
      <c r="O1626" s="645"/>
      <c r="P1626" s="479"/>
      <c r="Q1626" s="479"/>
      <c r="R1626" s="479"/>
      <c r="S1626" s="479"/>
      <c r="T1626" s="479"/>
      <c r="U1626" s="479"/>
    </row>
    <row r="1627" spans="1:221" s="305" customFormat="1">
      <c r="A1627" s="698"/>
      <c r="B1627" s="1272" t="s">
        <v>8</v>
      </c>
      <c r="C1627" s="1273" t="s">
        <v>2504</v>
      </c>
      <c r="D1627" s="1274"/>
      <c r="E1627" s="1255"/>
      <c r="F1627" s="681"/>
      <c r="G1627" s="681" t="s">
        <v>1909</v>
      </c>
      <c r="H1627" s="683"/>
      <c r="I1627" s="689"/>
      <c r="J1627" s="685"/>
      <c r="K1627" s="685"/>
      <c r="L1627" s="689"/>
      <c r="M1627" s="683"/>
      <c r="N1627" s="706"/>
      <c r="O1627" s="645"/>
      <c r="P1627" s="297"/>
      <c r="Q1627" s="297"/>
      <c r="R1627" s="297"/>
      <c r="S1627" s="297"/>
      <c r="T1627" s="297"/>
      <c r="U1627" s="297"/>
    </row>
    <row r="1628" spans="1:221" s="305" customFormat="1">
      <c r="A1628" s="698"/>
      <c r="B1628" s="1272" t="s">
        <v>8</v>
      </c>
      <c r="C1628" s="1273" t="s">
        <v>2505</v>
      </c>
      <c r="D1628" s="1274"/>
      <c r="E1628" s="1255"/>
      <c r="F1628" s="681"/>
      <c r="G1628" s="681" t="s">
        <v>1909</v>
      </c>
      <c r="H1628" s="683"/>
      <c r="I1628" s="689"/>
      <c r="J1628" s="685"/>
      <c r="K1628" s="685"/>
      <c r="L1628" s="689"/>
      <c r="M1628" s="683"/>
      <c r="N1628" s="706"/>
      <c r="O1628" s="645"/>
      <c r="P1628" s="479"/>
      <c r="Q1628" s="479"/>
      <c r="R1628" s="479"/>
      <c r="S1628" s="479"/>
      <c r="T1628" s="479"/>
      <c r="U1628" s="479"/>
      <c r="V1628" s="456"/>
      <c r="W1628" s="456"/>
      <c r="X1628" s="456"/>
      <c r="Y1628" s="456"/>
      <c r="Z1628" s="456"/>
      <c r="AA1628" s="456"/>
      <c r="AB1628" s="456"/>
      <c r="AC1628" s="456"/>
      <c r="AD1628" s="456"/>
      <c r="AE1628" s="456"/>
      <c r="AF1628" s="456"/>
      <c r="AG1628" s="456"/>
      <c r="AH1628" s="456"/>
      <c r="AI1628" s="456"/>
      <c r="AJ1628" s="456"/>
      <c r="AK1628" s="456"/>
      <c r="AL1628" s="456"/>
      <c r="AM1628" s="456"/>
      <c r="AN1628" s="456"/>
      <c r="AO1628" s="456"/>
      <c r="AP1628" s="456"/>
      <c r="AQ1628" s="456"/>
      <c r="AR1628" s="456"/>
      <c r="AS1628" s="456"/>
      <c r="AT1628" s="456"/>
      <c r="AU1628" s="456"/>
      <c r="AV1628" s="456"/>
      <c r="AW1628" s="456"/>
      <c r="AX1628" s="456"/>
      <c r="AY1628" s="456"/>
      <c r="AZ1628" s="456"/>
      <c r="BA1628" s="456"/>
      <c r="BB1628" s="456"/>
      <c r="BC1628" s="456"/>
      <c r="BD1628" s="456"/>
      <c r="BE1628" s="456"/>
      <c r="BF1628" s="456"/>
      <c r="BG1628" s="456"/>
      <c r="BH1628" s="456"/>
      <c r="BI1628" s="456"/>
      <c r="BJ1628" s="456"/>
      <c r="BK1628" s="456"/>
      <c r="BL1628" s="456"/>
      <c r="BM1628" s="456"/>
      <c r="BN1628" s="456"/>
      <c r="BO1628" s="456"/>
      <c r="BP1628" s="456"/>
      <c r="BQ1628" s="456"/>
      <c r="BR1628" s="456"/>
      <c r="BS1628" s="456"/>
      <c r="BT1628" s="456"/>
      <c r="BU1628" s="456"/>
      <c r="BV1628" s="456"/>
      <c r="BW1628" s="456"/>
      <c r="BX1628" s="456"/>
      <c r="BY1628" s="456"/>
      <c r="BZ1628" s="456"/>
      <c r="CA1628" s="456"/>
      <c r="CB1628" s="456"/>
      <c r="CC1628" s="456"/>
      <c r="CD1628" s="456"/>
      <c r="CE1628" s="456"/>
      <c r="CF1628" s="456"/>
      <c r="CG1628" s="456"/>
      <c r="CH1628" s="456"/>
      <c r="CI1628" s="456"/>
      <c r="CJ1628" s="456"/>
      <c r="CK1628" s="456"/>
      <c r="CL1628" s="456"/>
      <c r="CM1628" s="456"/>
      <c r="CN1628" s="456"/>
      <c r="CO1628" s="456"/>
      <c r="CP1628" s="456"/>
      <c r="CQ1628" s="456"/>
      <c r="CR1628" s="456"/>
      <c r="CS1628" s="456"/>
      <c r="CT1628" s="456"/>
      <c r="CU1628" s="456"/>
      <c r="CV1628" s="456"/>
      <c r="CW1628" s="456"/>
      <c r="CX1628" s="456"/>
      <c r="CY1628" s="456"/>
      <c r="CZ1628" s="456"/>
      <c r="DA1628" s="456"/>
      <c r="DB1628" s="456"/>
      <c r="DC1628" s="456"/>
      <c r="DD1628" s="456"/>
      <c r="DE1628" s="456"/>
      <c r="DF1628" s="456"/>
      <c r="DG1628" s="456"/>
      <c r="DH1628" s="456"/>
      <c r="DI1628" s="456"/>
      <c r="DJ1628" s="456"/>
      <c r="DK1628" s="456"/>
      <c r="DL1628" s="456"/>
      <c r="DM1628" s="456"/>
      <c r="DN1628" s="456"/>
      <c r="DO1628" s="456"/>
      <c r="DP1628" s="456"/>
      <c r="DQ1628" s="456"/>
      <c r="DR1628" s="456"/>
      <c r="DS1628" s="456"/>
      <c r="DT1628" s="456"/>
      <c r="DU1628" s="456"/>
      <c r="DV1628" s="456"/>
      <c r="DW1628" s="456"/>
      <c r="DX1628" s="456"/>
      <c r="DY1628" s="456"/>
      <c r="DZ1628" s="456"/>
      <c r="EA1628" s="456"/>
      <c r="EB1628" s="456"/>
      <c r="EC1628" s="456"/>
      <c r="ED1628" s="456"/>
      <c r="EE1628" s="456"/>
      <c r="EF1628" s="456"/>
      <c r="EG1628" s="456"/>
      <c r="EH1628" s="456"/>
      <c r="EI1628" s="456"/>
      <c r="EJ1628" s="456"/>
      <c r="EK1628" s="456"/>
      <c r="EL1628" s="456"/>
      <c r="EM1628" s="456"/>
      <c r="EN1628" s="456"/>
      <c r="EO1628" s="456"/>
      <c r="EP1628" s="456"/>
      <c r="EQ1628" s="456"/>
      <c r="ER1628" s="456"/>
      <c r="ES1628" s="456"/>
      <c r="ET1628" s="456"/>
      <c r="EU1628" s="456"/>
      <c r="EV1628" s="456"/>
      <c r="EW1628" s="456"/>
      <c r="EX1628" s="456"/>
      <c r="EY1628" s="456"/>
      <c r="EZ1628" s="456"/>
      <c r="FA1628" s="456"/>
      <c r="FB1628" s="456"/>
      <c r="FC1628" s="456"/>
      <c r="FD1628" s="456"/>
      <c r="FE1628" s="456"/>
      <c r="FF1628" s="456"/>
      <c r="FG1628" s="456"/>
      <c r="FH1628" s="456"/>
      <c r="FI1628" s="456"/>
      <c r="FJ1628" s="456"/>
      <c r="FK1628" s="456"/>
      <c r="FL1628" s="456"/>
      <c r="FM1628" s="456"/>
      <c r="FN1628" s="456"/>
      <c r="FO1628" s="456"/>
      <c r="FP1628" s="456"/>
      <c r="FQ1628" s="456"/>
      <c r="FR1628" s="456"/>
      <c r="FS1628" s="456"/>
      <c r="FT1628" s="456"/>
      <c r="FU1628" s="456"/>
      <c r="FV1628" s="456"/>
      <c r="FW1628" s="456"/>
      <c r="FX1628" s="456"/>
      <c r="FY1628" s="456"/>
      <c r="FZ1628" s="456"/>
      <c r="GA1628" s="456"/>
      <c r="GB1628" s="456"/>
      <c r="GC1628" s="456"/>
      <c r="GD1628" s="456"/>
      <c r="GE1628" s="456"/>
      <c r="GF1628" s="456"/>
      <c r="GG1628" s="456"/>
      <c r="GH1628" s="456"/>
      <c r="GI1628" s="456"/>
      <c r="GJ1628" s="456"/>
      <c r="GK1628" s="456"/>
      <c r="GL1628" s="456"/>
      <c r="GM1628" s="456"/>
      <c r="GN1628" s="456"/>
      <c r="GO1628" s="456"/>
      <c r="GP1628" s="456"/>
      <c r="GQ1628" s="456"/>
      <c r="GR1628" s="456"/>
      <c r="GS1628" s="456"/>
      <c r="GT1628" s="456"/>
      <c r="GU1628" s="456"/>
      <c r="GV1628" s="456"/>
      <c r="GW1628" s="456"/>
      <c r="GX1628" s="456"/>
      <c r="GY1628" s="456"/>
      <c r="GZ1628" s="456"/>
      <c r="HA1628" s="456"/>
      <c r="HB1628" s="456"/>
      <c r="HC1628" s="456"/>
      <c r="HD1628" s="456"/>
      <c r="HE1628" s="456"/>
      <c r="HF1628" s="456"/>
      <c r="HG1628" s="456"/>
      <c r="HH1628" s="456"/>
      <c r="HI1628" s="456"/>
      <c r="HJ1628" s="456"/>
      <c r="HK1628" s="456"/>
      <c r="HL1628" s="456"/>
      <c r="HM1628" s="456"/>
    </row>
    <row r="1629" spans="1:221" s="305" customFormat="1">
      <c r="A1629" s="698"/>
      <c r="B1629" s="1272" t="s">
        <v>8</v>
      </c>
      <c r="C1629" s="1273" t="s">
        <v>2505</v>
      </c>
      <c r="D1629" s="1274"/>
      <c r="E1629" s="1255"/>
      <c r="F1629" s="681"/>
      <c r="G1629" s="681" t="s">
        <v>1909</v>
      </c>
      <c r="H1629" s="683"/>
      <c r="I1629" s="689"/>
      <c r="J1629" s="685"/>
      <c r="K1629" s="685"/>
      <c r="L1629" s="689"/>
      <c r="M1629" s="683"/>
      <c r="N1629" s="706"/>
      <c r="O1629" s="645"/>
      <c r="P1629" s="297"/>
      <c r="Q1629" s="297"/>
      <c r="R1629" s="297"/>
      <c r="S1629" s="297"/>
      <c r="T1629" s="297"/>
      <c r="U1629" s="297"/>
    </row>
    <row r="1630" spans="1:221" s="305" customFormat="1">
      <c r="A1630" s="698" t="s">
        <v>190</v>
      </c>
      <c r="B1630" s="1272" t="s">
        <v>8</v>
      </c>
      <c r="C1630" s="1273" t="s">
        <v>56</v>
      </c>
      <c r="D1630" s="1274"/>
      <c r="E1630" s="1255">
        <v>56</v>
      </c>
      <c r="F1630" s="681"/>
      <c r="G1630" s="681" t="s">
        <v>1909</v>
      </c>
      <c r="H1630" s="683"/>
      <c r="I1630" s="689"/>
      <c r="J1630" s="685"/>
      <c r="K1630" s="685"/>
      <c r="L1630" s="689">
        <v>97</v>
      </c>
      <c r="M1630" s="683">
        <v>41</v>
      </c>
      <c r="N1630" s="706">
        <v>5</v>
      </c>
      <c r="O1630" s="645"/>
      <c r="P1630" s="479"/>
      <c r="Q1630" s="479"/>
      <c r="R1630" s="479"/>
      <c r="S1630" s="479"/>
      <c r="T1630" s="479"/>
      <c r="U1630" s="479"/>
      <c r="V1630" s="456"/>
      <c r="W1630" s="456"/>
      <c r="X1630" s="456"/>
      <c r="Y1630" s="456"/>
      <c r="Z1630" s="456"/>
      <c r="AA1630" s="456"/>
      <c r="AB1630" s="456"/>
      <c r="AC1630" s="456"/>
      <c r="AD1630" s="456"/>
      <c r="AE1630" s="456"/>
      <c r="AF1630" s="456"/>
      <c r="AG1630" s="456"/>
      <c r="AH1630" s="456"/>
      <c r="AI1630" s="456"/>
      <c r="AJ1630" s="456"/>
      <c r="AK1630" s="456"/>
      <c r="AL1630" s="456"/>
      <c r="AM1630" s="456"/>
      <c r="AN1630" s="456"/>
      <c r="AO1630" s="456"/>
      <c r="AP1630" s="456"/>
      <c r="AQ1630" s="456"/>
      <c r="AR1630" s="456"/>
      <c r="AS1630" s="456"/>
      <c r="AT1630" s="456"/>
      <c r="AU1630" s="456"/>
      <c r="AV1630" s="456"/>
      <c r="AW1630" s="456"/>
      <c r="AX1630" s="456"/>
      <c r="AY1630" s="456"/>
      <c r="AZ1630" s="456"/>
      <c r="BA1630" s="456"/>
      <c r="BB1630" s="456"/>
      <c r="BC1630" s="456"/>
      <c r="BD1630" s="456"/>
      <c r="BE1630" s="456"/>
      <c r="BF1630" s="456"/>
      <c r="BG1630" s="456"/>
      <c r="BH1630" s="456"/>
      <c r="BI1630" s="456"/>
      <c r="BJ1630" s="456"/>
      <c r="BK1630" s="456"/>
      <c r="BL1630" s="456"/>
      <c r="BM1630" s="456"/>
      <c r="BN1630" s="456"/>
      <c r="BO1630" s="456"/>
      <c r="BP1630" s="456"/>
      <c r="BQ1630" s="456"/>
      <c r="BR1630" s="456"/>
      <c r="BS1630" s="456"/>
      <c r="BT1630" s="456"/>
      <c r="BU1630" s="456"/>
      <c r="BV1630" s="456"/>
      <c r="BW1630" s="456"/>
      <c r="BX1630" s="456"/>
      <c r="BY1630" s="456"/>
      <c r="BZ1630" s="456"/>
      <c r="CA1630" s="456"/>
      <c r="CB1630" s="456"/>
      <c r="CC1630" s="456"/>
      <c r="CD1630" s="456"/>
      <c r="CE1630" s="456"/>
      <c r="CF1630" s="456"/>
      <c r="CG1630" s="456"/>
      <c r="CH1630" s="456"/>
      <c r="CI1630" s="456"/>
      <c r="CJ1630" s="456"/>
      <c r="CK1630" s="456"/>
      <c r="CL1630" s="456"/>
      <c r="CM1630" s="456"/>
      <c r="CN1630" s="456"/>
      <c r="CO1630" s="456"/>
      <c r="CP1630" s="456"/>
      <c r="CQ1630" s="456"/>
      <c r="CR1630" s="456"/>
      <c r="CS1630" s="456"/>
      <c r="CT1630" s="456"/>
      <c r="CU1630" s="456"/>
      <c r="CV1630" s="456"/>
      <c r="CW1630" s="456"/>
      <c r="CX1630" s="456"/>
      <c r="CY1630" s="456"/>
      <c r="CZ1630" s="456"/>
      <c r="DA1630" s="456"/>
      <c r="DB1630" s="456"/>
      <c r="DC1630" s="456"/>
      <c r="DD1630" s="456"/>
      <c r="DE1630" s="456"/>
      <c r="DF1630" s="456"/>
      <c r="DG1630" s="456"/>
      <c r="DH1630" s="456"/>
      <c r="DI1630" s="456"/>
      <c r="DJ1630" s="456"/>
      <c r="DK1630" s="456"/>
      <c r="DL1630" s="456"/>
      <c r="DM1630" s="456"/>
      <c r="DN1630" s="456"/>
      <c r="DO1630" s="456"/>
      <c r="DP1630" s="456"/>
      <c r="DQ1630" s="456"/>
      <c r="DR1630" s="456"/>
      <c r="DS1630" s="456"/>
      <c r="DT1630" s="456"/>
      <c r="DU1630" s="456"/>
      <c r="DV1630" s="456"/>
      <c r="DW1630" s="456"/>
      <c r="DX1630" s="456"/>
      <c r="DY1630" s="456"/>
      <c r="DZ1630" s="456"/>
      <c r="EA1630" s="456"/>
      <c r="EB1630" s="456"/>
      <c r="EC1630" s="456"/>
      <c r="ED1630" s="456"/>
      <c r="EE1630" s="456"/>
      <c r="EF1630" s="456"/>
      <c r="EG1630" s="456"/>
      <c r="EH1630" s="456"/>
      <c r="EI1630" s="456"/>
      <c r="EJ1630" s="456"/>
      <c r="EK1630" s="456"/>
      <c r="EL1630" s="456"/>
      <c r="EM1630" s="456"/>
      <c r="EN1630" s="456"/>
      <c r="EO1630" s="456"/>
      <c r="EP1630" s="456"/>
      <c r="EQ1630" s="456"/>
      <c r="ER1630" s="456"/>
      <c r="ES1630" s="456"/>
      <c r="ET1630" s="456"/>
      <c r="EU1630" s="456"/>
      <c r="EV1630" s="456"/>
      <c r="EW1630" s="456"/>
      <c r="EX1630" s="456"/>
      <c r="EY1630" s="456"/>
      <c r="EZ1630" s="456"/>
      <c r="FA1630" s="456"/>
      <c r="FB1630" s="456"/>
      <c r="FC1630" s="456"/>
      <c r="FD1630" s="456"/>
      <c r="FE1630" s="456"/>
      <c r="FF1630" s="456"/>
      <c r="FG1630" s="456"/>
      <c r="FH1630" s="456"/>
      <c r="FI1630" s="456"/>
      <c r="FJ1630" s="456"/>
      <c r="FK1630" s="456"/>
      <c r="FL1630" s="456"/>
      <c r="FM1630" s="456"/>
      <c r="FN1630" s="456"/>
      <c r="FO1630" s="456"/>
      <c r="FP1630" s="456"/>
      <c r="FQ1630" s="456"/>
      <c r="FR1630" s="456"/>
      <c r="FS1630" s="456"/>
      <c r="FT1630" s="456"/>
      <c r="FU1630" s="456"/>
      <c r="FV1630" s="456"/>
      <c r="FW1630" s="456"/>
      <c r="FX1630" s="456"/>
      <c r="FY1630" s="456"/>
      <c r="FZ1630" s="456"/>
      <c r="GA1630" s="456"/>
      <c r="GB1630" s="456"/>
      <c r="GC1630" s="456"/>
      <c r="GD1630" s="456"/>
      <c r="GE1630" s="456"/>
      <c r="GF1630" s="456"/>
      <c r="GG1630" s="456"/>
      <c r="GH1630" s="456"/>
      <c r="GI1630" s="456"/>
      <c r="GJ1630" s="456"/>
      <c r="GK1630" s="456"/>
      <c r="GL1630" s="456"/>
      <c r="GM1630" s="456"/>
      <c r="GN1630" s="456"/>
      <c r="GO1630" s="456"/>
      <c r="GP1630" s="456"/>
      <c r="GQ1630" s="456"/>
      <c r="GR1630" s="456"/>
      <c r="GS1630" s="456"/>
      <c r="GT1630" s="456"/>
      <c r="GU1630" s="456"/>
      <c r="GV1630" s="456"/>
      <c r="GW1630" s="456"/>
      <c r="GX1630" s="456"/>
      <c r="GY1630" s="456"/>
      <c r="GZ1630" s="456"/>
      <c r="HA1630" s="456"/>
      <c r="HB1630" s="456"/>
      <c r="HC1630" s="456"/>
      <c r="HD1630" s="456"/>
      <c r="HE1630" s="456"/>
      <c r="HF1630" s="456"/>
      <c r="HG1630" s="456"/>
      <c r="HH1630" s="456"/>
      <c r="HI1630" s="456"/>
      <c r="HJ1630" s="456"/>
      <c r="HK1630" s="456"/>
      <c r="HL1630" s="456"/>
      <c r="HM1630" s="456"/>
    </row>
    <row r="1631" spans="1:221" s="305" customFormat="1">
      <c r="A1631" s="698" t="s">
        <v>354</v>
      </c>
      <c r="B1631" s="1272" t="s">
        <v>8</v>
      </c>
      <c r="C1631" s="1273" t="s">
        <v>56</v>
      </c>
      <c r="D1631" s="1274"/>
      <c r="E1631" s="1255">
        <v>74</v>
      </c>
      <c r="F1631" s="681"/>
      <c r="G1631" s="681" t="s">
        <v>1909</v>
      </c>
      <c r="H1631" s="683"/>
      <c r="I1631" s="689"/>
      <c r="J1631" s="685"/>
      <c r="K1631" s="685"/>
      <c r="L1631" s="689">
        <v>134</v>
      </c>
      <c r="M1631" s="683">
        <v>60</v>
      </c>
      <c r="N1631" s="706">
        <v>5</v>
      </c>
      <c r="O1631" s="645"/>
      <c r="P1631" s="479"/>
      <c r="Q1631" s="479"/>
      <c r="R1631" s="479"/>
      <c r="S1631" s="479"/>
      <c r="T1631" s="479"/>
      <c r="U1631" s="479"/>
      <c r="V1631" s="456"/>
      <c r="W1631" s="456"/>
      <c r="X1631" s="456"/>
      <c r="Y1631" s="456"/>
      <c r="Z1631" s="456"/>
      <c r="AA1631" s="456"/>
      <c r="AB1631" s="456"/>
      <c r="AC1631" s="456"/>
      <c r="AD1631" s="456"/>
      <c r="AE1631" s="456"/>
      <c r="AF1631" s="456"/>
      <c r="AG1631" s="456"/>
      <c r="AH1631" s="456"/>
      <c r="AI1631" s="456"/>
      <c r="AJ1631" s="456"/>
      <c r="AK1631" s="456"/>
      <c r="AL1631" s="456"/>
      <c r="AM1631" s="456"/>
      <c r="AN1631" s="456"/>
      <c r="AO1631" s="456"/>
      <c r="AP1631" s="456"/>
      <c r="AQ1631" s="456"/>
      <c r="AR1631" s="456"/>
      <c r="AS1631" s="456"/>
      <c r="AT1631" s="456"/>
      <c r="AU1631" s="456"/>
      <c r="AV1631" s="456"/>
      <c r="AW1631" s="456"/>
      <c r="AX1631" s="456"/>
      <c r="AY1631" s="456"/>
      <c r="AZ1631" s="456"/>
      <c r="BA1631" s="456"/>
      <c r="BB1631" s="456"/>
      <c r="BC1631" s="456"/>
      <c r="BD1631" s="456"/>
      <c r="BE1631" s="456"/>
      <c r="BF1631" s="456"/>
      <c r="BG1631" s="456"/>
      <c r="BH1631" s="456"/>
      <c r="BI1631" s="456"/>
      <c r="BJ1631" s="456"/>
      <c r="BK1631" s="456"/>
      <c r="BL1631" s="456"/>
      <c r="BM1631" s="456"/>
      <c r="BN1631" s="456"/>
      <c r="BO1631" s="456"/>
      <c r="BP1631" s="456"/>
      <c r="BQ1631" s="456"/>
      <c r="BR1631" s="456"/>
      <c r="BS1631" s="456"/>
      <c r="BT1631" s="456"/>
      <c r="BU1631" s="456"/>
      <c r="BV1631" s="456"/>
      <c r="BW1631" s="456"/>
      <c r="BX1631" s="456"/>
      <c r="BY1631" s="456"/>
      <c r="BZ1631" s="456"/>
      <c r="CA1631" s="456"/>
      <c r="CB1631" s="456"/>
      <c r="CC1631" s="456"/>
      <c r="CD1631" s="456"/>
      <c r="CE1631" s="456"/>
      <c r="CF1631" s="456"/>
      <c r="CG1631" s="456"/>
      <c r="CH1631" s="456"/>
      <c r="CI1631" s="456"/>
      <c r="CJ1631" s="456"/>
      <c r="CK1631" s="456"/>
      <c r="CL1631" s="456"/>
      <c r="CM1631" s="456"/>
      <c r="CN1631" s="456"/>
      <c r="CO1631" s="456"/>
      <c r="CP1631" s="456"/>
      <c r="CQ1631" s="456"/>
      <c r="CR1631" s="456"/>
      <c r="CS1631" s="456"/>
      <c r="CT1631" s="456"/>
      <c r="CU1631" s="456"/>
      <c r="CV1631" s="456"/>
      <c r="CW1631" s="456"/>
      <c r="CX1631" s="456"/>
      <c r="CY1631" s="456"/>
      <c r="CZ1631" s="456"/>
      <c r="DA1631" s="456"/>
      <c r="DB1631" s="456"/>
      <c r="DC1631" s="456"/>
      <c r="DD1631" s="456"/>
      <c r="DE1631" s="456"/>
      <c r="DF1631" s="456"/>
      <c r="DG1631" s="456"/>
      <c r="DH1631" s="456"/>
      <c r="DI1631" s="456"/>
      <c r="DJ1631" s="456"/>
      <c r="DK1631" s="456"/>
      <c r="DL1631" s="456"/>
      <c r="DM1631" s="456"/>
      <c r="DN1631" s="456"/>
      <c r="DO1631" s="456"/>
      <c r="DP1631" s="456"/>
      <c r="DQ1631" s="456"/>
      <c r="DR1631" s="456"/>
      <c r="DS1631" s="456"/>
      <c r="DT1631" s="456"/>
      <c r="DU1631" s="456"/>
      <c r="DV1631" s="456"/>
      <c r="DW1631" s="456"/>
      <c r="DX1631" s="456"/>
      <c r="DY1631" s="456"/>
      <c r="DZ1631" s="456"/>
      <c r="EA1631" s="456"/>
      <c r="EB1631" s="456"/>
      <c r="EC1631" s="456"/>
      <c r="ED1631" s="456"/>
      <c r="EE1631" s="456"/>
      <c r="EF1631" s="456"/>
      <c r="EG1631" s="456"/>
      <c r="EH1631" s="456"/>
      <c r="EI1631" s="456"/>
      <c r="EJ1631" s="456"/>
      <c r="EK1631" s="456"/>
      <c r="EL1631" s="456"/>
      <c r="EM1631" s="456"/>
      <c r="EN1631" s="456"/>
      <c r="EO1631" s="456"/>
      <c r="EP1631" s="456"/>
      <c r="EQ1631" s="456"/>
      <c r="ER1631" s="456"/>
      <c r="ES1631" s="456"/>
      <c r="ET1631" s="456"/>
      <c r="EU1631" s="456"/>
      <c r="EV1631" s="456"/>
      <c r="EW1631" s="456"/>
      <c r="EX1631" s="456"/>
      <c r="EY1631" s="456"/>
      <c r="EZ1631" s="456"/>
      <c r="FA1631" s="456"/>
      <c r="FB1631" s="456"/>
      <c r="FC1631" s="456"/>
      <c r="FD1631" s="456"/>
      <c r="FE1631" s="456"/>
      <c r="FF1631" s="456"/>
      <c r="FG1631" s="456"/>
      <c r="FH1631" s="456"/>
      <c r="FI1631" s="456"/>
      <c r="FJ1631" s="456"/>
      <c r="FK1631" s="456"/>
      <c r="FL1631" s="456"/>
      <c r="FM1631" s="456"/>
      <c r="FN1631" s="456"/>
      <c r="FO1631" s="456"/>
      <c r="FP1631" s="456"/>
      <c r="FQ1631" s="456"/>
      <c r="FR1631" s="456"/>
      <c r="FS1631" s="456"/>
      <c r="FT1631" s="456"/>
      <c r="FU1631" s="456"/>
      <c r="FV1631" s="456"/>
      <c r="FW1631" s="456"/>
      <c r="FX1631" s="456"/>
      <c r="FY1631" s="456"/>
      <c r="FZ1631" s="456"/>
      <c r="GA1631" s="456"/>
      <c r="GB1631" s="456"/>
      <c r="GC1631" s="456"/>
      <c r="GD1631" s="456"/>
      <c r="GE1631" s="456"/>
      <c r="GF1631" s="456"/>
      <c r="GG1631" s="456"/>
      <c r="GH1631" s="456"/>
      <c r="GI1631" s="456"/>
      <c r="GJ1631" s="456"/>
      <c r="GK1631" s="456"/>
      <c r="GL1631" s="456"/>
      <c r="GM1631" s="456"/>
      <c r="GN1631" s="456"/>
      <c r="GO1631" s="456"/>
      <c r="GP1631" s="456"/>
      <c r="GQ1631" s="456"/>
      <c r="GR1631" s="456"/>
      <c r="GS1631" s="456"/>
      <c r="GT1631" s="456"/>
      <c r="GU1631" s="456"/>
      <c r="GV1631" s="456"/>
      <c r="GW1631" s="456"/>
      <c r="GX1631" s="456"/>
      <c r="GY1631" s="456"/>
      <c r="GZ1631" s="456"/>
      <c r="HA1631" s="456"/>
      <c r="HB1631" s="456"/>
      <c r="HC1631" s="456"/>
      <c r="HD1631" s="456"/>
      <c r="HE1631" s="456"/>
      <c r="HF1631" s="456"/>
      <c r="HG1631" s="456"/>
      <c r="HH1631" s="456"/>
      <c r="HI1631" s="456"/>
      <c r="HJ1631" s="456"/>
      <c r="HK1631" s="456"/>
      <c r="HL1631" s="456"/>
      <c r="HM1631" s="456"/>
    </row>
    <row r="1632" spans="1:221" s="305" customFormat="1">
      <c r="A1632" s="698"/>
      <c r="B1632" s="1272" t="s">
        <v>8</v>
      </c>
      <c r="C1632" s="1273" t="s">
        <v>2506</v>
      </c>
      <c r="D1632" s="1274"/>
      <c r="E1632" s="1255"/>
      <c r="F1632" s="681"/>
      <c r="G1632" s="681" t="s">
        <v>1909</v>
      </c>
      <c r="H1632" s="683"/>
      <c r="I1632" s="689"/>
      <c r="J1632" s="685"/>
      <c r="K1632" s="685"/>
      <c r="L1632" s="689"/>
      <c r="M1632" s="683"/>
      <c r="N1632" s="706"/>
      <c r="O1632" s="645"/>
      <c r="P1632" s="479"/>
      <c r="Q1632" s="479"/>
      <c r="R1632" s="479"/>
      <c r="S1632" s="479"/>
      <c r="T1632" s="479"/>
      <c r="U1632" s="479"/>
      <c r="V1632" s="456"/>
      <c r="W1632" s="456"/>
      <c r="X1632" s="456"/>
      <c r="Y1632" s="456"/>
      <c r="Z1632" s="456"/>
      <c r="AA1632" s="456"/>
      <c r="AB1632" s="456"/>
      <c r="AC1632" s="456"/>
      <c r="AD1632" s="456"/>
      <c r="AE1632" s="456"/>
      <c r="AF1632" s="456"/>
      <c r="AG1632" s="456"/>
      <c r="AH1632" s="456"/>
      <c r="AI1632" s="456"/>
      <c r="AJ1632" s="456"/>
      <c r="AK1632" s="456"/>
      <c r="AL1632" s="456"/>
      <c r="AM1632" s="456"/>
      <c r="AN1632" s="456"/>
      <c r="AO1632" s="456"/>
      <c r="AP1632" s="456"/>
      <c r="AQ1632" s="456"/>
      <c r="AR1632" s="456"/>
      <c r="AS1632" s="456"/>
      <c r="AT1632" s="456"/>
      <c r="AU1632" s="456"/>
      <c r="AV1632" s="456"/>
      <c r="AW1632" s="456"/>
      <c r="AX1632" s="456"/>
      <c r="AY1632" s="456"/>
      <c r="AZ1632" s="456"/>
      <c r="BA1632" s="456"/>
      <c r="BB1632" s="456"/>
      <c r="BC1632" s="456"/>
      <c r="BD1632" s="456"/>
      <c r="BE1632" s="456"/>
      <c r="BF1632" s="456"/>
      <c r="BG1632" s="456"/>
      <c r="BH1632" s="456"/>
      <c r="BI1632" s="456"/>
      <c r="BJ1632" s="456"/>
      <c r="BK1632" s="456"/>
      <c r="BL1632" s="456"/>
      <c r="BM1632" s="456"/>
      <c r="BN1632" s="456"/>
      <c r="BO1632" s="456"/>
      <c r="BP1632" s="456"/>
      <c r="BQ1632" s="456"/>
      <c r="BR1632" s="456"/>
      <c r="BS1632" s="456"/>
      <c r="BT1632" s="456"/>
      <c r="BU1632" s="456"/>
      <c r="BV1632" s="456"/>
      <c r="BW1632" s="456"/>
      <c r="BX1632" s="456"/>
      <c r="BY1632" s="456"/>
      <c r="BZ1632" s="456"/>
      <c r="CA1632" s="456"/>
      <c r="CB1632" s="456"/>
      <c r="CC1632" s="456"/>
      <c r="CD1632" s="456"/>
      <c r="CE1632" s="456"/>
      <c r="CF1632" s="456"/>
      <c r="CG1632" s="456"/>
      <c r="CH1632" s="456"/>
      <c r="CI1632" s="456"/>
      <c r="CJ1632" s="456"/>
      <c r="CK1632" s="456"/>
      <c r="CL1632" s="456"/>
      <c r="CM1632" s="456"/>
      <c r="CN1632" s="456"/>
      <c r="CO1632" s="456"/>
      <c r="CP1632" s="456"/>
      <c r="CQ1632" s="456"/>
      <c r="CR1632" s="456"/>
      <c r="CS1632" s="456"/>
      <c r="CT1632" s="456"/>
      <c r="CU1632" s="456"/>
      <c r="CV1632" s="456"/>
      <c r="CW1632" s="456"/>
      <c r="CX1632" s="456"/>
      <c r="CY1632" s="456"/>
      <c r="CZ1632" s="456"/>
      <c r="DA1632" s="456"/>
      <c r="DB1632" s="456"/>
      <c r="DC1632" s="456"/>
      <c r="DD1632" s="456"/>
      <c r="DE1632" s="456"/>
      <c r="DF1632" s="456"/>
      <c r="DG1632" s="456"/>
      <c r="DH1632" s="456"/>
      <c r="DI1632" s="456"/>
      <c r="DJ1632" s="456"/>
      <c r="DK1632" s="456"/>
      <c r="DL1632" s="456"/>
      <c r="DM1632" s="456"/>
      <c r="DN1632" s="456"/>
      <c r="DO1632" s="456"/>
      <c r="DP1632" s="456"/>
      <c r="DQ1632" s="456"/>
      <c r="DR1632" s="456"/>
      <c r="DS1632" s="456"/>
      <c r="DT1632" s="456"/>
      <c r="DU1632" s="456"/>
      <c r="DV1632" s="456"/>
      <c r="DW1632" s="456"/>
      <c r="DX1632" s="456"/>
      <c r="DY1632" s="456"/>
      <c r="DZ1632" s="456"/>
      <c r="EA1632" s="456"/>
      <c r="EB1632" s="456"/>
      <c r="EC1632" s="456"/>
      <c r="ED1632" s="456"/>
      <c r="EE1632" s="456"/>
      <c r="EF1632" s="456"/>
      <c r="EG1632" s="456"/>
      <c r="EH1632" s="456"/>
      <c r="EI1632" s="456"/>
      <c r="EJ1632" s="456"/>
      <c r="EK1632" s="456"/>
      <c r="EL1632" s="456"/>
      <c r="EM1632" s="456"/>
      <c r="EN1632" s="456"/>
      <c r="EO1632" s="456"/>
      <c r="EP1632" s="456"/>
      <c r="EQ1632" s="456"/>
      <c r="ER1632" s="456"/>
      <c r="ES1632" s="456"/>
      <c r="ET1632" s="456"/>
      <c r="EU1632" s="456"/>
      <c r="EV1632" s="456"/>
      <c r="EW1632" s="456"/>
      <c r="EX1632" s="456"/>
      <c r="EY1632" s="456"/>
      <c r="EZ1632" s="456"/>
      <c r="FA1632" s="456"/>
      <c r="FB1632" s="456"/>
      <c r="FC1632" s="456"/>
      <c r="FD1632" s="456"/>
      <c r="FE1632" s="456"/>
      <c r="FF1632" s="456"/>
      <c r="FG1632" s="456"/>
      <c r="FH1632" s="456"/>
      <c r="FI1632" s="456"/>
      <c r="FJ1632" s="456"/>
      <c r="FK1632" s="456"/>
      <c r="FL1632" s="456"/>
      <c r="FM1632" s="456"/>
      <c r="FN1632" s="456"/>
      <c r="FO1632" s="456"/>
      <c r="FP1632" s="456"/>
      <c r="FQ1632" s="456"/>
      <c r="FR1632" s="456"/>
      <c r="FS1632" s="456"/>
      <c r="FT1632" s="456"/>
      <c r="FU1632" s="456"/>
      <c r="FV1632" s="456"/>
      <c r="FW1632" s="456"/>
      <c r="FX1632" s="456"/>
      <c r="FY1632" s="456"/>
      <c r="FZ1632" s="456"/>
      <c r="GA1632" s="456"/>
      <c r="GB1632" s="456"/>
      <c r="GC1632" s="456"/>
      <c r="GD1632" s="456"/>
      <c r="GE1632" s="456"/>
      <c r="GF1632" s="456"/>
      <c r="GG1632" s="456"/>
      <c r="GH1632" s="456"/>
      <c r="GI1632" s="456"/>
      <c r="GJ1632" s="456"/>
      <c r="GK1632" s="456"/>
      <c r="GL1632" s="456"/>
      <c r="GM1632" s="456"/>
      <c r="GN1632" s="456"/>
      <c r="GO1632" s="456"/>
      <c r="GP1632" s="456"/>
      <c r="GQ1632" s="456"/>
      <c r="GR1632" s="456"/>
      <c r="GS1632" s="456"/>
      <c r="GT1632" s="456"/>
      <c r="GU1632" s="456"/>
      <c r="GV1632" s="456"/>
      <c r="GW1632" s="456"/>
      <c r="GX1632" s="456"/>
      <c r="GY1632" s="456"/>
      <c r="GZ1632" s="456"/>
      <c r="HA1632" s="456"/>
      <c r="HB1632" s="456"/>
      <c r="HC1632" s="456"/>
      <c r="HD1632" s="456"/>
      <c r="HE1632" s="456"/>
      <c r="HF1632" s="456"/>
      <c r="HG1632" s="456"/>
      <c r="HH1632" s="456"/>
      <c r="HI1632" s="456"/>
      <c r="HJ1632" s="456"/>
      <c r="HK1632" s="456"/>
      <c r="HL1632" s="456"/>
      <c r="HM1632" s="456"/>
    </row>
    <row r="1633" spans="1:221" s="305" customFormat="1">
      <c r="A1633" s="698"/>
      <c r="B1633" s="1272" t="s">
        <v>8</v>
      </c>
      <c r="C1633" s="1273" t="s">
        <v>2425</v>
      </c>
      <c r="D1633" s="1274"/>
      <c r="E1633" s="1255">
        <v>33.5</v>
      </c>
      <c r="F1633" s="681"/>
      <c r="G1633" s="681"/>
      <c r="H1633" s="683"/>
      <c r="I1633" s="689"/>
      <c r="J1633" s="685"/>
      <c r="K1633" s="685"/>
      <c r="L1633" s="689">
        <f>33.5+25</f>
        <v>58.5</v>
      </c>
      <c r="M1633" s="683">
        <v>25</v>
      </c>
      <c r="N1633" s="706">
        <v>5</v>
      </c>
      <c r="O1633" s="480"/>
      <c r="P1633" s="479"/>
      <c r="Q1633" s="479"/>
      <c r="R1633" s="479"/>
      <c r="S1633" s="479"/>
      <c r="T1633" s="479"/>
      <c r="U1633" s="479"/>
      <c r="V1633" s="456"/>
      <c r="W1633" s="456"/>
      <c r="X1633" s="456"/>
      <c r="Y1633" s="456"/>
      <c r="Z1633" s="456"/>
      <c r="AA1633" s="456"/>
      <c r="AB1633" s="456"/>
      <c r="AC1633" s="456"/>
      <c r="AD1633" s="456"/>
      <c r="AE1633" s="456"/>
      <c r="AF1633" s="456"/>
      <c r="AG1633" s="456"/>
      <c r="AH1633" s="456"/>
      <c r="AI1633" s="456"/>
      <c r="AJ1633" s="456"/>
      <c r="AK1633" s="456"/>
      <c r="AL1633" s="456"/>
      <c r="AM1633" s="456"/>
      <c r="AN1633" s="456"/>
      <c r="AO1633" s="456"/>
      <c r="AP1633" s="456"/>
      <c r="AQ1633" s="456"/>
      <c r="AR1633" s="456"/>
      <c r="AS1633" s="456"/>
      <c r="AT1633" s="456"/>
      <c r="AU1633" s="456"/>
      <c r="AV1633" s="456"/>
      <c r="AW1633" s="456"/>
      <c r="AX1633" s="456"/>
      <c r="AY1633" s="456"/>
      <c r="AZ1633" s="456"/>
      <c r="BA1633" s="456"/>
      <c r="BB1633" s="456"/>
      <c r="BC1633" s="456"/>
      <c r="BD1633" s="456"/>
      <c r="BE1633" s="456"/>
      <c r="BF1633" s="456"/>
      <c r="BG1633" s="456"/>
      <c r="BH1633" s="456"/>
      <c r="BI1633" s="456"/>
      <c r="BJ1633" s="456"/>
      <c r="BK1633" s="456"/>
      <c r="BL1633" s="456"/>
      <c r="BM1633" s="456"/>
      <c r="BN1633" s="456"/>
      <c r="BO1633" s="456"/>
      <c r="BP1633" s="456"/>
      <c r="BQ1633" s="456"/>
      <c r="BR1633" s="456"/>
      <c r="BS1633" s="456"/>
      <c r="BT1633" s="456"/>
      <c r="BU1633" s="456"/>
      <c r="BV1633" s="456"/>
      <c r="BW1633" s="456"/>
      <c r="BX1633" s="456"/>
      <c r="BY1633" s="456"/>
      <c r="BZ1633" s="456"/>
      <c r="CA1633" s="456"/>
      <c r="CB1633" s="456"/>
      <c r="CC1633" s="456"/>
      <c r="CD1633" s="456"/>
      <c r="CE1633" s="456"/>
      <c r="CF1633" s="456"/>
      <c r="CG1633" s="456"/>
      <c r="CH1633" s="456"/>
      <c r="CI1633" s="456"/>
      <c r="CJ1633" s="456"/>
      <c r="CK1633" s="456"/>
      <c r="CL1633" s="456"/>
      <c r="CM1633" s="456"/>
      <c r="CN1633" s="456"/>
      <c r="CO1633" s="456"/>
      <c r="CP1633" s="456"/>
      <c r="CQ1633" s="456"/>
      <c r="CR1633" s="456"/>
      <c r="CS1633" s="456"/>
      <c r="CT1633" s="456"/>
      <c r="CU1633" s="456"/>
      <c r="CV1633" s="456"/>
      <c r="CW1633" s="456"/>
      <c r="CX1633" s="456"/>
      <c r="CY1633" s="456"/>
      <c r="CZ1633" s="456"/>
      <c r="DA1633" s="456"/>
      <c r="DB1633" s="456"/>
      <c r="DC1633" s="456"/>
      <c r="DD1633" s="456"/>
      <c r="DE1633" s="456"/>
      <c r="DF1633" s="456"/>
      <c r="DG1633" s="456"/>
      <c r="DH1633" s="456"/>
      <c r="DI1633" s="456"/>
      <c r="DJ1633" s="456"/>
      <c r="DK1633" s="456"/>
      <c r="DL1633" s="456"/>
      <c r="DM1633" s="456"/>
      <c r="DN1633" s="456"/>
      <c r="DO1633" s="456"/>
      <c r="DP1633" s="456"/>
      <c r="DQ1633" s="456"/>
      <c r="DR1633" s="456"/>
      <c r="DS1633" s="456"/>
      <c r="DT1633" s="456"/>
      <c r="DU1633" s="456"/>
      <c r="DV1633" s="456"/>
      <c r="DW1633" s="456"/>
      <c r="DX1633" s="456"/>
      <c r="DY1633" s="456"/>
      <c r="DZ1633" s="456"/>
      <c r="EA1633" s="456"/>
      <c r="EB1633" s="456"/>
      <c r="EC1633" s="456"/>
      <c r="ED1633" s="456"/>
      <c r="EE1633" s="456"/>
      <c r="EF1633" s="456"/>
      <c r="EG1633" s="456"/>
      <c r="EH1633" s="456"/>
      <c r="EI1633" s="456"/>
      <c r="EJ1633" s="456"/>
      <c r="EK1633" s="456"/>
      <c r="EL1633" s="456"/>
      <c r="EM1633" s="456"/>
      <c r="EN1633" s="456"/>
      <c r="EO1633" s="456"/>
      <c r="EP1633" s="456"/>
      <c r="EQ1633" s="456"/>
      <c r="ER1633" s="456"/>
      <c r="ES1633" s="456"/>
      <c r="ET1633" s="456"/>
      <c r="EU1633" s="456"/>
      <c r="EV1633" s="456"/>
      <c r="EW1633" s="456"/>
      <c r="EX1633" s="456"/>
      <c r="EY1633" s="456"/>
      <c r="EZ1633" s="456"/>
      <c r="FA1633" s="456"/>
      <c r="FB1633" s="456"/>
      <c r="FC1633" s="456"/>
      <c r="FD1633" s="456"/>
      <c r="FE1633" s="456"/>
      <c r="FF1633" s="456"/>
      <c r="FG1633" s="456"/>
      <c r="FH1633" s="456"/>
      <c r="FI1633" s="456"/>
      <c r="FJ1633" s="456"/>
      <c r="FK1633" s="456"/>
      <c r="FL1633" s="456"/>
      <c r="FM1633" s="456"/>
      <c r="FN1633" s="456"/>
      <c r="FO1633" s="456"/>
      <c r="FP1633" s="456"/>
      <c r="FQ1633" s="456"/>
      <c r="FR1633" s="456"/>
      <c r="FS1633" s="456"/>
      <c r="FT1633" s="456"/>
      <c r="FU1633" s="456"/>
      <c r="FV1633" s="456"/>
      <c r="FW1633" s="456"/>
      <c r="FX1633" s="456"/>
      <c r="FY1633" s="456"/>
      <c r="FZ1633" s="456"/>
      <c r="GA1633" s="456"/>
      <c r="GB1633" s="456"/>
      <c r="GC1633" s="456"/>
      <c r="GD1633" s="456"/>
      <c r="GE1633" s="456"/>
      <c r="GF1633" s="456"/>
      <c r="GG1633" s="456"/>
      <c r="GH1633" s="456"/>
      <c r="GI1633" s="456"/>
      <c r="GJ1633" s="456"/>
      <c r="GK1633" s="456"/>
      <c r="GL1633" s="456"/>
      <c r="GM1633" s="456"/>
      <c r="GN1633" s="456"/>
      <c r="GO1633" s="456"/>
      <c r="GP1633" s="456"/>
      <c r="GQ1633" s="456"/>
      <c r="GR1633" s="456"/>
      <c r="GS1633" s="456"/>
      <c r="GT1633" s="456"/>
      <c r="GU1633" s="456"/>
      <c r="GV1633" s="456"/>
      <c r="GW1633" s="456"/>
      <c r="GX1633" s="456"/>
      <c r="GY1633" s="456"/>
      <c r="GZ1633" s="456"/>
      <c r="HA1633" s="456"/>
      <c r="HB1633" s="456"/>
      <c r="HC1633" s="456"/>
      <c r="HD1633" s="456"/>
      <c r="HE1633" s="456"/>
      <c r="HF1633" s="456"/>
      <c r="HG1633" s="456"/>
      <c r="HH1633" s="456"/>
      <c r="HI1633" s="456"/>
      <c r="HJ1633" s="456"/>
      <c r="HK1633" s="456"/>
      <c r="HL1633" s="456"/>
      <c r="HM1633" s="456"/>
    </row>
    <row r="1634" spans="1:221" s="305" customFormat="1">
      <c r="A1634" s="698" t="s">
        <v>2427</v>
      </c>
      <c r="B1634" s="1272" t="s">
        <v>8</v>
      </c>
      <c r="C1634" s="1273" t="s">
        <v>2426</v>
      </c>
      <c r="D1634" s="1274"/>
      <c r="E1634" s="1255">
        <v>30</v>
      </c>
      <c r="F1634" s="681"/>
      <c r="G1634" s="681"/>
      <c r="H1634" s="683"/>
      <c r="I1634" s="689"/>
      <c r="J1634" s="685"/>
      <c r="K1634" s="685"/>
      <c r="L1634" s="689">
        <v>54</v>
      </c>
      <c r="M1634" s="683">
        <v>24</v>
      </c>
      <c r="N1634" s="706"/>
      <c r="O1634" s="480"/>
      <c r="P1634" s="479"/>
      <c r="Q1634" s="479"/>
      <c r="R1634" s="479"/>
      <c r="S1634" s="479"/>
      <c r="T1634" s="479"/>
      <c r="U1634" s="479"/>
      <c r="V1634" s="456"/>
      <c r="W1634" s="456"/>
      <c r="X1634" s="456"/>
      <c r="Y1634" s="456"/>
      <c r="Z1634" s="456"/>
      <c r="AA1634" s="456"/>
      <c r="AB1634" s="456"/>
      <c r="AC1634" s="456"/>
      <c r="AD1634" s="456"/>
      <c r="AE1634" s="456"/>
      <c r="AF1634" s="456"/>
      <c r="AG1634" s="456"/>
      <c r="AH1634" s="456"/>
      <c r="AI1634" s="456"/>
      <c r="AJ1634" s="456"/>
      <c r="AK1634" s="456"/>
      <c r="AL1634" s="456"/>
      <c r="AM1634" s="456"/>
      <c r="AN1634" s="456"/>
      <c r="AO1634" s="456"/>
      <c r="AP1634" s="456"/>
      <c r="AQ1634" s="456"/>
      <c r="AR1634" s="456"/>
      <c r="AS1634" s="456"/>
      <c r="AT1634" s="456"/>
      <c r="AU1634" s="456"/>
      <c r="AV1634" s="456"/>
      <c r="AW1634" s="456"/>
      <c r="AX1634" s="456"/>
      <c r="AY1634" s="456"/>
      <c r="AZ1634" s="456"/>
      <c r="BA1634" s="456"/>
      <c r="BB1634" s="456"/>
      <c r="BC1634" s="456"/>
      <c r="BD1634" s="456"/>
      <c r="BE1634" s="456"/>
      <c r="BF1634" s="456"/>
      <c r="BG1634" s="456"/>
      <c r="BH1634" s="456"/>
      <c r="BI1634" s="456"/>
      <c r="BJ1634" s="456"/>
      <c r="BK1634" s="456"/>
      <c r="BL1634" s="456"/>
      <c r="BM1634" s="456"/>
      <c r="BN1634" s="456"/>
      <c r="BO1634" s="456"/>
      <c r="BP1634" s="456"/>
      <c r="BQ1634" s="456"/>
      <c r="BR1634" s="456"/>
      <c r="BS1634" s="456"/>
      <c r="BT1634" s="456"/>
      <c r="BU1634" s="456"/>
      <c r="BV1634" s="456"/>
      <c r="BW1634" s="456"/>
      <c r="BX1634" s="456"/>
      <c r="BY1634" s="456"/>
      <c r="BZ1634" s="456"/>
      <c r="CA1634" s="456"/>
      <c r="CB1634" s="456"/>
      <c r="CC1634" s="456"/>
      <c r="CD1634" s="456"/>
      <c r="CE1634" s="456"/>
      <c r="CF1634" s="456"/>
      <c r="CG1634" s="456"/>
      <c r="CH1634" s="456"/>
      <c r="CI1634" s="456"/>
      <c r="CJ1634" s="456"/>
      <c r="CK1634" s="456"/>
      <c r="CL1634" s="456"/>
      <c r="CM1634" s="456"/>
      <c r="CN1634" s="456"/>
      <c r="CO1634" s="456"/>
      <c r="CP1634" s="456"/>
      <c r="CQ1634" s="456"/>
      <c r="CR1634" s="456"/>
      <c r="CS1634" s="456"/>
      <c r="CT1634" s="456"/>
      <c r="CU1634" s="456"/>
      <c r="CV1634" s="456"/>
      <c r="CW1634" s="456"/>
      <c r="CX1634" s="456"/>
      <c r="CY1634" s="456"/>
      <c r="CZ1634" s="456"/>
      <c r="DA1634" s="456"/>
      <c r="DB1634" s="456"/>
      <c r="DC1634" s="456"/>
      <c r="DD1634" s="456"/>
      <c r="DE1634" s="456"/>
      <c r="DF1634" s="456"/>
      <c r="DG1634" s="456"/>
      <c r="DH1634" s="456"/>
      <c r="DI1634" s="456"/>
      <c r="DJ1634" s="456"/>
      <c r="DK1634" s="456"/>
      <c r="DL1634" s="456"/>
      <c r="DM1634" s="456"/>
      <c r="DN1634" s="456"/>
      <c r="DO1634" s="456"/>
      <c r="DP1634" s="456"/>
      <c r="DQ1634" s="456"/>
      <c r="DR1634" s="456"/>
      <c r="DS1634" s="456"/>
      <c r="DT1634" s="456"/>
      <c r="DU1634" s="456"/>
      <c r="DV1634" s="456"/>
      <c r="DW1634" s="456"/>
      <c r="DX1634" s="456"/>
      <c r="DY1634" s="456"/>
      <c r="DZ1634" s="456"/>
      <c r="EA1634" s="456"/>
      <c r="EB1634" s="456"/>
      <c r="EC1634" s="456"/>
      <c r="ED1634" s="456"/>
      <c r="EE1634" s="456"/>
      <c r="EF1634" s="456"/>
      <c r="EG1634" s="456"/>
      <c r="EH1634" s="456"/>
      <c r="EI1634" s="456"/>
      <c r="EJ1634" s="456"/>
      <c r="EK1634" s="456"/>
      <c r="EL1634" s="456"/>
      <c r="EM1634" s="456"/>
      <c r="EN1634" s="456"/>
      <c r="EO1634" s="456"/>
      <c r="EP1634" s="456"/>
      <c r="EQ1634" s="456"/>
      <c r="ER1634" s="456"/>
      <c r="ES1634" s="456"/>
      <c r="ET1634" s="456"/>
      <c r="EU1634" s="456"/>
      <c r="EV1634" s="456"/>
      <c r="EW1634" s="456"/>
      <c r="EX1634" s="456"/>
      <c r="EY1634" s="456"/>
      <c r="EZ1634" s="456"/>
      <c r="FA1634" s="456"/>
      <c r="FB1634" s="456"/>
      <c r="FC1634" s="456"/>
      <c r="FD1634" s="456"/>
      <c r="FE1634" s="456"/>
      <c r="FF1634" s="456"/>
      <c r="FG1634" s="456"/>
      <c r="FH1634" s="456"/>
      <c r="FI1634" s="456"/>
      <c r="FJ1634" s="456"/>
      <c r="FK1634" s="456"/>
      <c r="FL1634" s="456"/>
      <c r="FM1634" s="456"/>
      <c r="FN1634" s="456"/>
      <c r="FO1634" s="456"/>
      <c r="FP1634" s="456"/>
      <c r="FQ1634" s="456"/>
      <c r="FR1634" s="456"/>
      <c r="FS1634" s="456"/>
      <c r="FT1634" s="456"/>
      <c r="FU1634" s="456"/>
      <c r="FV1634" s="456"/>
      <c r="FW1634" s="456"/>
      <c r="FX1634" s="456"/>
      <c r="FY1634" s="456"/>
      <c r="FZ1634" s="456"/>
      <c r="GA1634" s="456"/>
      <c r="GB1634" s="456"/>
      <c r="GC1634" s="456"/>
      <c r="GD1634" s="456"/>
      <c r="GE1634" s="456"/>
      <c r="GF1634" s="456"/>
      <c r="GG1634" s="456"/>
      <c r="GH1634" s="456"/>
      <c r="GI1634" s="456"/>
      <c r="GJ1634" s="456"/>
      <c r="GK1634" s="456"/>
      <c r="GL1634" s="456"/>
      <c r="GM1634" s="456"/>
      <c r="GN1634" s="456"/>
      <c r="GO1634" s="456"/>
      <c r="GP1634" s="456"/>
      <c r="GQ1634" s="456"/>
      <c r="GR1634" s="456"/>
      <c r="GS1634" s="456"/>
      <c r="GT1634" s="456"/>
      <c r="GU1634" s="456"/>
      <c r="GV1634" s="456"/>
      <c r="GW1634" s="456"/>
      <c r="GX1634" s="456"/>
      <c r="GY1634" s="456"/>
      <c r="GZ1634" s="456"/>
      <c r="HA1634" s="456"/>
      <c r="HB1634" s="456"/>
      <c r="HC1634" s="456"/>
      <c r="HD1634" s="456"/>
      <c r="HE1634" s="456"/>
      <c r="HF1634" s="456"/>
      <c r="HG1634" s="456"/>
      <c r="HH1634" s="456"/>
      <c r="HI1634" s="456"/>
      <c r="HJ1634" s="456"/>
      <c r="HK1634" s="456"/>
      <c r="HL1634" s="456"/>
      <c r="HM1634" s="456"/>
    </row>
    <row r="1635" spans="1:221" s="305" customFormat="1">
      <c r="A1635" s="698" t="s">
        <v>2428</v>
      </c>
      <c r="B1635" s="1272" t="s">
        <v>8</v>
      </c>
      <c r="C1635" s="1273" t="s">
        <v>2426</v>
      </c>
      <c r="D1635" s="1274"/>
      <c r="E1635" s="1255">
        <v>35</v>
      </c>
      <c r="F1635" s="681"/>
      <c r="G1635" s="681"/>
      <c r="H1635" s="683"/>
      <c r="I1635" s="689"/>
      <c r="J1635" s="685"/>
      <c r="K1635" s="685"/>
      <c r="L1635" s="689">
        <f>35+28</f>
        <v>63</v>
      </c>
      <c r="M1635" s="683">
        <v>28</v>
      </c>
      <c r="N1635" s="706"/>
      <c r="O1635" s="480"/>
      <c r="P1635" s="479"/>
      <c r="Q1635" s="479"/>
      <c r="R1635" s="479"/>
      <c r="S1635" s="479"/>
      <c r="T1635" s="479"/>
      <c r="U1635" s="479"/>
      <c r="V1635" s="456"/>
      <c r="W1635" s="456"/>
      <c r="X1635" s="456"/>
      <c r="Y1635" s="456"/>
      <c r="Z1635" s="456"/>
      <c r="AA1635" s="456"/>
      <c r="AB1635" s="456"/>
      <c r="AC1635" s="456"/>
      <c r="AD1635" s="456"/>
      <c r="AE1635" s="456"/>
      <c r="AF1635" s="456"/>
      <c r="AG1635" s="456"/>
      <c r="AH1635" s="456"/>
      <c r="AI1635" s="456"/>
      <c r="AJ1635" s="456"/>
      <c r="AK1635" s="456"/>
      <c r="AL1635" s="456"/>
      <c r="AM1635" s="456"/>
      <c r="AN1635" s="456"/>
      <c r="AO1635" s="456"/>
      <c r="AP1635" s="456"/>
      <c r="AQ1635" s="456"/>
      <c r="AR1635" s="456"/>
      <c r="AS1635" s="456"/>
      <c r="AT1635" s="456"/>
      <c r="AU1635" s="456"/>
      <c r="AV1635" s="456"/>
      <c r="AW1635" s="456"/>
      <c r="AX1635" s="456"/>
      <c r="AY1635" s="456"/>
      <c r="AZ1635" s="456"/>
      <c r="BA1635" s="456"/>
      <c r="BB1635" s="456"/>
      <c r="BC1635" s="456"/>
      <c r="BD1635" s="456"/>
      <c r="BE1635" s="456"/>
      <c r="BF1635" s="456"/>
      <c r="BG1635" s="456"/>
      <c r="BH1635" s="456"/>
      <c r="BI1635" s="456"/>
      <c r="BJ1635" s="456"/>
      <c r="BK1635" s="456"/>
      <c r="BL1635" s="456"/>
      <c r="BM1635" s="456"/>
      <c r="BN1635" s="456"/>
      <c r="BO1635" s="456"/>
      <c r="BP1635" s="456"/>
      <c r="BQ1635" s="456"/>
      <c r="BR1635" s="456"/>
      <c r="BS1635" s="456"/>
      <c r="BT1635" s="456"/>
      <c r="BU1635" s="456"/>
      <c r="BV1635" s="456"/>
      <c r="BW1635" s="456"/>
      <c r="BX1635" s="456"/>
      <c r="BY1635" s="456"/>
      <c r="BZ1635" s="456"/>
      <c r="CA1635" s="456"/>
      <c r="CB1635" s="456"/>
      <c r="CC1635" s="456"/>
      <c r="CD1635" s="456"/>
      <c r="CE1635" s="456"/>
      <c r="CF1635" s="456"/>
      <c r="CG1635" s="456"/>
      <c r="CH1635" s="456"/>
      <c r="CI1635" s="456"/>
      <c r="CJ1635" s="456"/>
      <c r="CK1635" s="456"/>
      <c r="CL1635" s="456"/>
      <c r="CM1635" s="456"/>
      <c r="CN1635" s="456"/>
      <c r="CO1635" s="456"/>
      <c r="CP1635" s="456"/>
      <c r="CQ1635" s="456"/>
      <c r="CR1635" s="456"/>
      <c r="CS1635" s="456"/>
      <c r="CT1635" s="456"/>
      <c r="CU1635" s="456"/>
      <c r="CV1635" s="456"/>
      <c r="CW1635" s="456"/>
      <c r="CX1635" s="456"/>
      <c r="CY1635" s="456"/>
      <c r="CZ1635" s="456"/>
      <c r="DA1635" s="456"/>
      <c r="DB1635" s="456"/>
      <c r="DC1635" s="456"/>
      <c r="DD1635" s="456"/>
      <c r="DE1635" s="456"/>
      <c r="DF1635" s="456"/>
      <c r="DG1635" s="456"/>
      <c r="DH1635" s="456"/>
      <c r="DI1635" s="456"/>
      <c r="DJ1635" s="456"/>
      <c r="DK1635" s="456"/>
      <c r="DL1635" s="456"/>
      <c r="DM1635" s="456"/>
      <c r="DN1635" s="456"/>
      <c r="DO1635" s="456"/>
      <c r="DP1635" s="456"/>
      <c r="DQ1635" s="456"/>
      <c r="DR1635" s="456"/>
      <c r="DS1635" s="456"/>
      <c r="DT1635" s="456"/>
      <c r="DU1635" s="456"/>
      <c r="DV1635" s="456"/>
      <c r="DW1635" s="456"/>
      <c r="DX1635" s="456"/>
      <c r="DY1635" s="456"/>
      <c r="DZ1635" s="456"/>
      <c r="EA1635" s="456"/>
      <c r="EB1635" s="456"/>
      <c r="EC1635" s="456"/>
      <c r="ED1635" s="456"/>
      <c r="EE1635" s="456"/>
      <c r="EF1635" s="456"/>
      <c r="EG1635" s="456"/>
      <c r="EH1635" s="456"/>
      <c r="EI1635" s="456"/>
      <c r="EJ1635" s="456"/>
      <c r="EK1635" s="456"/>
      <c r="EL1635" s="456"/>
      <c r="EM1635" s="456"/>
      <c r="EN1635" s="456"/>
      <c r="EO1635" s="456"/>
      <c r="EP1635" s="456"/>
      <c r="EQ1635" s="456"/>
      <c r="ER1635" s="456"/>
      <c r="ES1635" s="456"/>
      <c r="ET1635" s="456"/>
      <c r="EU1635" s="456"/>
      <c r="EV1635" s="456"/>
      <c r="EW1635" s="456"/>
      <c r="EX1635" s="456"/>
      <c r="EY1635" s="456"/>
      <c r="EZ1635" s="456"/>
      <c r="FA1635" s="456"/>
      <c r="FB1635" s="456"/>
      <c r="FC1635" s="456"/>
      <c r="FD1635" s="456"/>
      <c r="FE1635" s="456"/>
      <c r="FF1635" s="456"/>
      <c r="FG1635" s="456"/>
      <c r="FH1635" s="456"/>
      <c r="FI1635" s="456"/>
      <c r="FJ1635" s="456"/>
      <c r="FK1635" s="456"/>
      <c r="FL1635" s="456"/>
      <c r="FM1635" s="456"/>
      <c r="FN1635" s="456"/>
      <c r="FO1635" s="456"/>
      <c r="FP1635" s="456"/>
      <c r="FQ1635" s="456"/>
      <c r="FR1635" s="456"/>
      <c r="FS1635" s="456"/>
      <c r="FT1635" s="456"/>
      <c r="FU1635" s="456"/>
      <c r="FV1635" s="456"/>
      <c r="FW1635" s="456"/>
      <c r="FX1635" s="456"/>
      <c r="FY1635" s="456"/>
      <c r="FZ1635" s="456"/>
      <c r="GA1635" s="456"/>
      <c r="GB1635" s="456"/>
      <c r="GC1635" s="456"/>
      <c r="GD1635" s="456"/>
      <c r="GE1635" s="456"/>
      <c r="GF1635" s="456"/>
      <c r="GG1635" s="456"/>
      <c r="GH1635" s="456"/>
      <c r="GI1635" s="456"/>
      <c r="GJ1635" s="456"/>
      <c r="GK1635" s="456"/>
      <c r="GL1635" s="456"/>
      <c r="GM1635" s="456"/>
      <c r="GN1635" s="456"/>
      <c r="GO1635" s="456"/>
      <c r="GP1635" s="456"/>
      <c r="GQ1635" s="456"/>
      <c r="GR1635" s="456"/>
      <c r="GS1635" s="456"/>
      <c r="GT1635" s="456"/>
      <c r="GU1635" s="456"/>
      <c r="GV1635" s="456"/>
      <c r="GW1635" s="456"/>
      <c r="GX1635" s="456"/>
      <c r="GY1635" s="456"/>
      <c r="GZ1635" s="456"/>
      <c r="HA1635" s="456"/>
      <c r="HB1635" s="456"/>
      <c r="HC1635" s="456"/>
      <c r="HD1635" s="456"/>
      <c r="HE1635" s="456"/>
      <c r="HF1635" s="456"/>
      <c r="HG1635" s="456"/>
      <c r="HH1635" s="456"/>
      <c r="HI1635" s="456"/>
      <c r="HJ1635" s="456"/>
      <c r="HK1635" s="456"/>
      <c r="HL1635" s="456"/>
      <c r="HM1635" s="456"/>
    </row>
    <row r="1636" spans="1:221" s="305" customFormat="1">
      <c r="A1636" s="698"/>
      <c r="B1636" s="1272" t="s">
        <v>8</v>
      </c>
      <c r="C1636" s="1273" t="s">
        <v>2507</v>
      </c>
      <c r="D1636" s="1274"/>
      <c r="E1636" s="1255"/>
      <c r="F1636" s="681"/>
      <c r="G1636" s="681" t="s">
        <v>1909</v>
      </c>
      <c r="H1636" s="683"/>
      <c r="I1636" s="689"/>
      <c r="J1636" s="685"/>
      <c r="K1636" s="685"/>
      <c r="L1636" s="689"/>
      <c r="M1636" s="683"/>
      <c r="N1636" s="706"/>
      <c r="O1636" s="480"/>
      <c r="P1636" s="297"/>
      <c r="Q1636" s="297"/>
      <c r="R1636" s="297"/>
      <c r="S1636" s="297"/>
      <c r="T1636" s="297"/>
      <c r="U1636" s="297"/>
    </row>
    <row r="1637" spans="1:221" s="456" customFormat="1">
      <c r="A1637" s="698"/>
      <c r="B1637" s="1272" t="s">
        <v>935</v>
      </c>
      <c r="C1637" s="1273" t="s">
        <v>2504</v>
      </c>
      <c r="D1637" s="1274"/>
      <c r="E1637" s="1255"/>
      <c r="F1637" s="681"/>
      <c r="G1637" s="681" t="s">
        <v>1909</v>
      </c>
      <c r="H1637" s="683"/>
      <c r="I1637" s="689"/>
      <c r="J1637" s="685"/>
      <c r="K1637" s="685"/>
      <c r="L1637" s="689"/>
      <c r="M1637" s="683"/>
      <c r="N1637" s="706"/>
      <c r="O1637" s="645"/>
      <c r="P1637" s="297"/>
      <c r="Q1637" s="297"/>
      <c r="R1637" s="297"/>
      <c r="S1637" s="297"/>
      <c r="T1637" s="297"/>
      <c r="U1637" s="297"/>
      <c r="V1637" s="305"/>
      <c r="W1637" s="305"/>
      <c r="X1637" s="305"/>
      <c r="Y1637" s="305"/>
      <c r="Z1637" s="305"/>
      <c r="AA1637" s="305"/>
      <c r="AB1637" s="305"/>
      <c r="AC1637" s="305"/>
      <c r="AD1637" s="305"/>
      <c r="AE1637" s="305"/>
      <c r="AF1637" s="305"/>
      <c r="AG1637" s="305"/>
      <c r="AH1637" s="305"/>
      <c r="AI1637" s="305"/>
      <c r="AJ1637" s="305"/>
      <c r="AK1637" s="305"/>
      <c r="AL1637" s="305"/>
      <c r="AM1637" s="305"/>
      <c r="AN1637" s="305"/>
      <c r="AO1637" s="305"/>
      <c r="AP1637" s="305"/>
      <c r="AQ1637" s="305"/>
      <c r="AR1637" s="305"/>
      <c r="AS1637" s="305"/>
      <c r="AT1637" s="305"/>
      <c r="AU1637" s="305"/>
      <c r="AV1637" s="305"/>
      <c r="AW1637" s="305"/>
      <c r="AX1637" s="305"/>
      <c r="AY1637" s="305"/>
      <c r="AZ1637" s="305"/>
      <c r="BA1637" s="305"/>
      <c r="BB1637" s="305"/>
      <c r="BC1637" s="305"/>
      <c r="BD1637" s="305"/>
      <c r="BE1637" s="305"/>
      <c r="BF1637" s="305"/>
      <c r="BG1637" s="305"/>
      <c r="BH1637" s="305"/>
      <c r="BI1637" s="305"/>
      <c r="BJ1637" s="305"/>
      <c r="BK1637" s="305"/>
      <c r="BL1637" s="305"/>
      <c r="BM1637" s="305"/>
      <c r="BN1637" s="305"/>
      <c r="BO1637" s="305"/>
      <c r="BP1637" s="305"/>
      <c r="BQ1637" s="305"/>
      <c r="BR1637" s="305"/>
      <c r="BS1637" s="305"/>
      <c r="BT1637" s="305"/>
      <c r="BU1637" s="305"/>
      <c r="BV1637" s="305"/>
      <c r="BW1637" s="305"/>
      <c r="BX1637" s="305"/>
      <c r="BY1637" s="305"/>
      <c r="BZ1637" s="305"/>
      <c r="CA1637" s="305"/>
      <c r="CB1637" s="305"/>
      <c r="CC1637" s="305"/>
      <c r="CD1637" s="305"/>
      <c r="CE1637" s="305"/>
      <c r="CF1637" s="305"/>
      <c r="CG1637" s="305"/>
      <c r="CH1637" s="305"/>
      <c r="CI1637" s="305"/>
      <c r="CJ1637" s="305"/>
      <c r="CK1637" s="305"/>
      <c r="CL1637" s="305"/>
      <c r="CM1637" s="305"/>
      <c r="CN1637" s="305"/>
      <c r="CO1637" s="305"/>
      <c r="CP1637" s="305"/>
      <c r="CQ1637" s="305"/>
      <c r="CR1637" s="305"/>
      <c r="CS1637" s="305"/>
      <c r="CT1637" s="305"/>
      <c r="CU1637" s="305"/>
      <c r="CV1637" s="305"/>
      <c r="CW1637" s="305"/>
      <c r="CX1637" s="305"/>
      <c r="CY1637" s="305"/>
      <c r="CZ1637" s="305"/>
      <c r="DA1637" s="305"/>
      <c r="DB1637" s="305"/>
      <c r="DC1637" s="305"/>
      <c r="DD1637" s="305"/>
      <c r="DE1637" s="305"/>
      <c r="DF1637" s="305"/>
      <c r="DG1637" s="305"/>
      <c r="DH1637" s="305"/>
      <c r="DI1637" s="305"/>
      <c r="DJ1637" s="305"/>
      <c r="DK1637" s="305"/>
      <c r="DL1637" s="305"/>
      <c r="DM1637" s="305"/>
      <c r="DN1637" s="305"/>
      <c r="DO1637" s="305"/>
      <c r="DP1637" s="305"/>
      <c r="DQ1637" s="305"/>
      <c r="DR1637" s="305"/>
      <c r="DS1637" s="305"/>
      <c r="DT1637" s="305"/>
      <c r="DU1637" s="305"/>
      <c r="DV1637" s="305"/>
      <c r="DW1637" s="305"/>
      <c r="DX1637" s="305"/>
      <c r="DY1637" s="305"/>
      <c r="DZ1637" s="305"/>
      <c r="EA1637" s="305"/>
      <c r="EB1637" s="305"/>
      <c r="EC1637" s="305"/>
      <c r="ED1637" s="305"/>
      <c r="EE1637" s="305"/>
      <c r="EF1637" s="305"/>
      <c r="EG1637" s="305"/>
      <c r="EH1637" s="305"/>
      <c r="EI1637" s="305"/>
      <c r="EJ1637" s="305"/>
      <c r="EK1637" s="305"/>
      <c r="EL1637" s="305"/>
      <c r="EM1637" s="305"/>
      <c r="EN1637" s="305"/>
      <c r="EO1637" s="305"/>
      <c r="EP1637" s="305"/>
      <c r="EQ1637" s="305"/>
      <c r="ER1637" s="305"/>
      <c r="ES1637" s="305"/>
      <c r="ET1637" s="305"/>
      <c r="EU1637" s="305"/>
      <c r="EV1637" s="305"/>
      <c r="EW1637" s="305"/>
      <c r="EX1637" s="305"/>
      <c r="EY1637" s="305"/>
      <c r="EZ1637" s="305"/>
      <c r="FA1637" s="305"/>
      <c r="FB1637" s="305"/>
      <c r="FC1637" s="305"/>
      <c r="FD1637" s="305"/>
      <c r="FE1637" s="305"/>
      <c r="FF1637" s="305"/>
      <c r="FG1637" s="305"/>
      <c r="FH1637" s="305"/>
      <c r="FI1637" s="305"/>
      <c r="FJ1637" s="305"/>
      <c r="FK1637" s="305"/>
      <c r="FL1637" s="305"/>
      <c r="FM1637" s="305"/>
      <c r="FN1637" s="305"/>
      <c r="FO1637" s="305"/>
      <c r="FP1637" s="305"/>
      <c r="FQ1637" s="305"/>
      <c r="FR1637" s="305"/>
      <c r="FS1637" s="305"/>
      <c r="FT1637" s="305"/>
      <c r="FU1637" s="305"/>
      <c r="FV1637" s="305"/>
      <c r="FW1637" s="305"/>
      <c r="FX1637" s="305"/>
      <c r="FY1637" s="305"/>
      <c r="FZ1637" s="305"/>
      <c r="GA1637" s="305"/>
      <c r="GB1637" s="305"/>
      <c r="GC1637" s="305"/>
      <c r="GD1637" s="305"/>
      <c r="GE1637" s="305"/>
      <c r="GF1637" s="305"/>
      <c r="GG1637" s="305"/>
      <c r="GH1637" s="305"/>
      <c r="GI1637" s="305"/>
      <c r="GJ1637" s="305"/>
      <c r="GK1637" s="305"/>
      <c r="GL1637" s="305"/>
      <c r="GM1637" s="305"/>
      <c r="GN1637" s="305"/>
      <c r="GO1637" s="305"/>
      <c r="GP1637" s="305"/>
      <c r="GQ1637" s="305"/>
      <c r="GR1637" s="305"/>
      <c r="GS1637" s="305"/>
      <c r="GT1637" s="305"/>
      <c r="GU1637" s="305"/>
      <c r="GV1637" s="305"/>
      <c r="GW1637" s="305"/>
      <c r="GX1637" s="305"/>
      <c r="GY1637" s="305"/>
      <c r="GZ1637" s="305"/>
      <c r="HA1637" s="305"/>
      <c r="HB1637" s="305"/>
      <c r="HC1637" s="305"/>
      <c r="HD1637" s="305"/>
      <c r="HE1637" s="305"/>
      <c r="HF1637" s="305"/>
      <c r="HG1637" s="305"/>
      <c r="HH1637" s="305"/>
      <c r="HI1637" s="305"/>
      <c r="HJ1637" s="305"/>
      <c r="HK1637" s="305"/>
      <c r="HL1637" s="305"/>
      <c r="HM1637" s="305"/>
    </row>
    <row r="1638" spans="1:221" s="456" customFormat="1">
      <c r="A1638" s="698"/>
      <c r="B1638" s="1272" t="s">
        <v>935</v>
      </c>
      <c r="C1638" s="1273" t="s">
        <v>2506</v>
      </c>
      <c r="D1638" s="1274"/>
      <c r="E1638" s="1255"/>
      <c r="F1638" s="681"/>
      <c r="G1638" s="681" t="s">
        <v>1909</v>
      </c>
      <c r="H1638" s="683"/>
      <c r="I1638" s="689"/>
      <c r="J1638" s="685"/>
      <c r="K1638" s="685"/>
      <c r="L1638" s="689"/>
      <c r="M1638" s="683"/>
      <c r="N1638" s="706"/>
      <c r="O1638" s="645"/>
      <c r="P1638" s="479"/>
      <c r="Q1638" s="479"/>
      <c r="R1638" s="479"/>
      <c r="S1638" s="479"/>
      <c r="T1638" s="479"/>
      <c r="U1638" s="479"/>
    </row>
    <row r="1639" spans="1:221" s="456" customFormat="1">
      <c r="A1639" s="698"/>
      <c r="B1639" s="1272" t="s">
        <v>935</v>
      </c>
      <c r="C1639" s="1273" t="s">
        <v>2507</v>
      </c>
      <c r="D1639" s="1274"/>
      <c r="E1639" s="1255"/>
      <c r="F1639" s="681"/>
      <c r="G1639" s="681" t="s">
        <v>1909</v>
      </c>
      <c r="H1639" s="683"/>
      <c r="I1639" s="689"/>
      <c r="J1639" s="685"/>
      <c r="K1639" s="685"/>
      <c r="L1639" s="689"/>
      <c r="M1639" s="683"/>
      <c r="N1639" s="706"/>
      <c r="O1639" s="645"/>
      <c r="P1639" s="297"/>
      <c r="Q1639" s="297"/>
      <c r="R1639" s="297"/>
      <c r="S1639" s="297"/>
      <c r="T1639" s="297"/>
      <c r="U1639" s="297"/>
      <c r="V1639" s="305"/>
      <c r="W1639" s="305"/>
      <c r="X1639" s="305"/>
      <c r="Y1639" s="305"/>
      <c r="Z1639" s="305"/>
      <c r="AA1639" s="305"/>
      <c r="AB1639" s="305"/>
      <c r="AC1639" s="305"/>
      <c r="AD1639" s="305"/>
      <c r="AE1639" s="305"/>
      <c r="AF1639" s="305"/>
      <c r="AG1639" s="305"/>
      <c r="AH1639" s="305"/>
      <c r="AI1639" s="305"/>
      <c r="AJ1639" s="305"/>
      <c r="AK1639" s="305"/>
      <c r="AL1639" s="305"/>
      <c r="AM1639" s="305"/>
      <c r="AN1639" s="305"/>
      <c r="AO1639" s="305"/>
      <c r="AP1639" s="305"/>
      <c r="AQ1639" s="305"/>
      <c r="AR1639" s="305"/>
      <c r="AS1639" s="305"/>
      <c r="AT1639" s="305"/>
      <c r="AU1639" s="305"/>
      <c r="AV1639" s="305"/>
      <c r="AW1639" s="305"/>
      <c r="AX1639" s="305"/>
      <c r="AY1639" s="305"/>
      <c r="AZ1639" s="305"/>
      <c r="BA1639" s="305"/>
      <c r="BB1639" s="305"/>
      <c r="BC1639" s="305"/>
      <c r="BD1639" s="305"/>
      <c r="BE1639" s="305"/>
      <c r="BF1639" s="305"/>
      <c r="BG1639" s="305"/>
      <c r="BH1639" s="305"/>
      <c r="BI1639" s="305"/>
      <c r="BJ1639" s="305"/>
      <c r="BK1639" s="305"/>
      <c r="BL1639" s="305"/>
      <c r="BM1639" s="305"/>
      <c r="BN1639" s="305"/>
      <c r="BO1639" s="305"/>
      <c r="BP1639" s="305"/>
      <c r="BQ1639" s="305"/>
      <c r="BR1639" s="305"/>
      <c r="BS1639" s="305"/>
      <c r="BT1639" s="305"/>
      <c r="BU1639" s="305"/>
      <c r="BV1639" s="305"/>
      <c r="BW1639" s="305"/>
      <c r="BX1639" s="305"/>
      <c r="BY1639" s="305"/>
      <c r="BZ1639" s="305"/>
      <c r="CA1639" s="305"/>
      <c r="CB1639" s="305"/>
      <c r="CC1639" s="305"/>
      <c r="CD1639" s="305"/>
      <c r="CE1639" s="305"/>
      <c r="CF1639" s="305"/>
      <c r="CG1639" s="305"/>
      <c r="CH1639" s="305"/>
      <c r="CI1639" s="305"/>
      <c r="CJ1639" s="305"/>
      <c r="CK1639" s="305"/>
      <c r="CL1639" s="305"/>
      <c r="CM1639" s="305"/>
      <c r="CN1639" s="305"/>
      <c r="CO1639" s="305"/>
      <c r="CP1639" s="305"/>
      <c r="CQ1639" s="305"/>
      <c r="CR1639" s="305"/>
      <c r="CS1639" s="305"/>
      <c r="CT1639" s="305"/>
      <c r="CU1639" s="305"/>
      <c r="CV1639" s="305"/>
      <c r="CW1639" s="305"/>
      <c r="CX1639" s="305"/>
      <c r="CY1639" s="305"/>
      <c r="CZ1639" s="305"/>
      <c r="DA1639" s="305"/>
      <c r="DB1639" s="305"/>
      <c r="DC1639" s="305"/>
      <c r="DD1639" s="305"/>
      <c r="DE1639" s="305"/>
      <c r="DF1639" s="305"/>
      <c r="DG1639" s="305"/>
      <c r="DH1639" s="305"/>
      <c r="DI1639" s="305"/>
      <c r="DJ1639" s="305"/>
      <c r="DK1639" s="305"/>
      <c r="DL1639" s="305"/>
      <c r="DM1639" s="305"/>
      <c r="DN1639" s="305"/>
      <c r="DO1639" s="305"/>
      <c r="DP1639" s="305"/>
      <c r="DQ1639" s="305"/>
      <c r="DR1639" s="305"/>
      <c r="DS1639" s="305"/>
      <c r="DT1639" s="305"/>
      <c r="DU1639" s="305"/>
      <c r="DV1639" s="305"/>
      <c r="DW1639" s="305"/>
      <c r="DX1639" s="305"/>
      <c r="DY1639" s="305"/>
      <c r="DZ1639" s="305"/>
      <c r="EA1639" s="305"/>
      <c r="EB1639" s="305"/>
      <c r="EC1639" s="305"/>
      <c r="ED1639" s="305"/>
      <c r="EE1639" s="305"/>
      <c r="EF1639" s="305"/>
      <c r="EG1639" s="305"/>
      <c r="EH1639" s="305"/>
      <c r="EI1639" s="305"/>
      <c r="EJ1639" s="305"/>
      <c r="EK1639" s="305"/>
      <c r="EL1639" s="305"/>
      <c r="EM1639" s="305"/>
      <c r="EN1639" s="305"/>
      <c r="EO1639" s="305"/>
      <c r="EP1639" s="305"/>
      <c r="EQ1639" s="305"/>
      <c r="ER1639" s="305"/>
      <c r="ES1639" s="305"/>
      <c r="ET1639" s="305"/>
      <c r="EU1639" s="305"/>
      <c r="EV1639" s="305"/>
      <c r="EW1639" s="305"/>
      <c r="EX1639" s="305"/>
      <c r="EY1639" s="305"/>
      <c r="EZ1639" s="305"/>
      <c r="FA1639" s="305"/>
      <c r="FB1639" s="305"/>
      <c r="FC1639" s="305"/>
      <c r="FD1639" s="305"/>
      <c r="FE1639" s="305"/>
      <c r="FF1639" s="305"/>
      <c r="FG1639" s="305"/>
      <c r="FH1639" s="305"/>
      <c r="FI1639" s="305"/>
      <c r="FJ1639" s="305"/>
      <c r="FK1639" s="305"/>
      <c r="FL1639" s="305"/>
      <c r="FM1639" s="305"/>
      <c r="FN1639" s="305"/>
      <c r="FO1639" s="305"/>
      <c r="FP1639" s="305"/>
      <c r="FQ1639" s="305"/>
      <c r="FR1639" s="305"/>
      <c r="FS1639" s="305"/>
      <c r="FT1639" s="305"/>
      <c r="FU1639" s="305"/>
      <c r="FV1639" s="305"/>
      <c r="FW1639" s="305"/>
      <c r="FX1639" s="305"/>
      <c r="FY1639" s="305"/>
      <c r="FZ1639" s="305"/>
      <c r="GA1639" s="305"/>
      <c r="GB1639" s="305"/>
      <c r="GC1639" s="305"/>
      <c r="GD1639" s="305"/>
      <c r="GE1639" s="305"/>
      <c r="GF1639" s="305"/>
      <c r="GG1639" s="305"/>
      <c r="GH1639" s="305"/>
      <c r="GI1639" s="305"/>
      <c r="GJ1639" s="305"/>
      <c r="GK1639" s="305"/>
      <c r="GL1639" s="305"/>
      <c r="GM1639" s="305"/>
      <c r="GN1639" s="305"/>
      <c r="GO1639" s="305"/>
      <c r="GP1639" s="305"/>
      <c r="GQ1639" s="305"/>
      <c r="GR1639" s="305"/>
      <c r="GS1639" s="305"/>
      <c r="GT1639" s="305"/>
      <c r="GU1639" s="305"/>
      <c r="GV1639" s="305"/>
      <c r="GW1639" s="305"/>
      <c r="GX1639" s="305"/>
      <c r="GY1639" s="305"/>
      <c r="GZ1639" s="305"/>
      <c r="HA1639" s="305"/>
      <c r="HB1639" s="305"/>
      <c r="HC1639" s="305"/>
      <c r="HD1639" s="305"/>
      <c r="HE1639" s="305"/>
      <c r="HF1639" s="305"/>
      <c r="HG1639" s="305"/>
      <c r="HH1639" s="305"/>
      <c r="HI1639" s="305"/>
      <c r="HJ1639" s="305"/>
      <c r="HK1639" s="305"/>
      <c r="HL1639" s="305"/>
      <c r="HM1639" s="305"/>
    </row>
    <row r="1640" spans="1:221" s="305" customFormat="1" ht="14.25" customHeight="1">
      <c r="A1640" s="703"/>
      <c r="B1640" s="1272" t="s">
        <v>938</v>
      </c>
      <c r="C1640" s="1273" t="s">
        <v>851</v>
      </c>
      <c r="D1640" s="1274"/>
      <c r="E1640" s="1255">
        <v>31.5</v>
      </c>
      <c r="F1640" s="681" t="s">
        <v>885</v>
      </c>
      <c r="G1640" s="681" t="s">
        <v>1909</v>
      </c>
      <c r="H1640" s="683"/>
      <c r="I1640" s="689"/>
      <c r="J1640" s="685"/>
      <c r="K1640" s="685"/>
      <c r="L1640" s="689">
        <v>54</v>
      </c>
      <c r="M1640" s="683">
        <v>22.5</v>
      </c>
      <c r="N1640" s="706">
        <v>3</v>
      </c>
      <c r="O1640" s="645"/>
      <c r="P1640" s="297"/>
      <c r="Q1640" s="297"/>
      <c r="R1640" s="297"/>
      <c r="S1640" s="297"/>
      <c r="T1640" s="297"/>
      <c r="U1640" s="297"/>
    </row>
    <row r="1641" spans="1:221" s="305" customFormat="1">
      <c r="A1641" s="703"/>
      <c r="B1641" s="1272" t="s">
        <v>404</v>
      </c>
      <c r="C1641" s="1273" t="s">
        <v>31</v>
      </c>
      <c r="D1641" s="1274"/>
      <c r="E1641" s="1255">
        <v>41</v>
      </c>
      <c r="F1641" s="681"/>
      <c r="G1641" s="681" t="s">
        <v>1909</v>
      </c>
      <c r="H1641" s="683"/>
      <c r="I1641" s="689" t="s">
        <v>55</v>
      </c>
      <c r="J1641" s="685"/>
      <c r="K1641" s="685"/>
      <c r="L1641" s="689">
        <v>70</v>
      </c>
      <c r="M1641" s="683">
        <v>29</v>
      </c>
      <c r="N1641" s="706">
        <v>3</v>
      </c>
      <c r="O1641" s="645"/>
      <c r="P1641" s="484"/>
      <c r="Q1641" s="483"/>
      <c r="R1641" s="483"/>
      <c r="S1641" s="483"/>
      <c r="T1641" s="479"/>
      <c r="U1641" s="479"/>
      <c r="V1641" s="479"/>
      <c r="W1641" s="479"/>
      <c r="X1641" s="479"/>
      <c r="Y1641" s="479"/>
      <c r="Z1641" s="479"/>
      <c r="AA1641" s="479"/>
      <c r="AB1641" s="479"/>
      <c r="AC1641" s="479"/>
      <c r="AD1641" s="456"/>
      <c r="AE1641" s="456"/>
      <c r="AF1641" s="456"/>
      <c r="AG1641" s="456"/>
      <c r="AH1641" s="456"/>
      <c r="AI1641" s="456"/>
      <c r="AJ1641" s="456"/>
      <c r="AK1641" s="456"/>
      <c r="AL1641" s="456"/>
      <c r="AM1641" s="456"/>
      <c r="AN1641" s="456"/>
      <c r="AO1641" s="456"/>
      <c r="AP1641" s="456"/>
      <c r="AQ1641" s="456"/>
      <c r="AR1641" s="456"/>
      <c r="AS1641" s="456"/>
      <c r="AT1641" s="456"/>
      <c r="AU1641" s="456"/>
      <c r="AV1641" s="456"/>
      <c r="AW1641" s="456"/>
      <c r="AX1641" s="456"/>
      <c r="AY1641" s="456"/>
      <c r="AZ1641" s="456"/>
      <c r="BA1641" s="456"/>
      <c r="BB1641" s="456"/>
      <c r="BC1641" s="456"/>
      <c r="BD1641" s="456"/>
      <c r="BE1641" s="456"/>
      <c r="BF1641" s="456"/>
      <c r="BG1641" s="456"/>
      <c r="BH1641" s="456"/>
      <c r="BI1641" s="456"/>
      <c r="BJ1641" s="456"/>
      <c r="BK1641" s="456"/>
      <c r="BL1641" s="456"/>
      <c r="BM1641" s="456"/>
      <c r="BN1641" s="456"/>
      <c r="BO1641" s="456"/>
      <c r="BP1641" s="456"/>
      <c r="BQ1641" s="456"/>
      <c r="BR1641" s="456"/>
      <c r="BS1641" s="456"/>
      <c r="BT1641" s="456"/>
      <c r="BU1641" s="456"/>
      <c r="BV1641" s="456"/>
      <c r="BW1641" s="456"/>
      <c r="BX1641" s="456"/>
      <c r="BY1641" s="456"/>
      <c r="BZ1641" s="456"/>
      <c r="CA1641" s="456"/>
      <c r="CB1641" s="456"/>
      <c r="CC1641" s="456"/>
      <c r="CD1641" s="456"/>
      <c r="CE1641" s="456"/>
      <c r="CF1641" s="456"/>
      <c r="CG1641" s="456"/>
      <c r="CH1641" s="456"/>
      <c r="CI1641" s="456"/>
      <c r="CJ1641" s="456"/>
      <c r="CK1641" s="456"/>
      <c r="CL1641" s="456"/>
      <c r="CM1641" s="456"/>
      <c r="CN1641" s="456"/>
      <c r="CO1641" s="456"/>
      <c r="CP1641" s="456"/>
      <c r="CQ1641" s="456"/>
      <c r="CR1641" s="456"/>
      <c r="CS1641" s="456"/>
      <c r="CT1641" s="456"/>
      <c r="CU1641" s="456"/>
      <c r="CV1641" s="456"/>
      <c r="CW1641" s="456"/>
      <c r="CX1641" s="456"/>
      <c r="CY1641" s="456"/>
      <c r="CZ1641" s="456"/>
      <c r="DA1641" s="456"/>
      <c r="DB1641" s="456"/>
      <c r="DC1641" s="456"/>
      <c r="DD1641" s="456"/>
      <c r="DE1641" s="456"/>
      <c r="DF1641" s="456"/>
      <c r="DG1641" s="456"/>
      <c r="DH1641" s="456"/>
      <c r="DI1641" s="456"/>
      <c r="DJ1641" s="456"/>
      <c r="DK1641" s="456"/>
      <c r="DL1641" s="456"/>
      <c r="DM1641" s="456"/>
      <c r="DN1641" s="456"/>
      <c r="DO1641" s="456"/>
      <c r="DP1641" s="456"/>
      <c r="DQ1641" s="456"/>
      <c r="DR1641" s="456"/>
      <c r="DS1641" s="456"/>
      <c r="DT1641" s="456"/>
      <c r="DU1641" s="456"/>
      <c r="DV1641" s="456"/>
      <c r="DW1641" s="456"/>
      <c r="DX1641" s="456"/>
      <c r="DY1641" s="456"/>
      <c r="DZ1641" s="456"/>
      <c r="EA1641" s="456"/>
      <c r="EB1641" s="456"/>
      <c r="EC1641" s="456"/>
      <c r="ED1641" s="456"/>
      <c r="EE1641" s="456"/>
      <c r="EF1641" s="456"/>
      <c r="EG1641" s="456"/>
      <c r="EH1641" s="456"/>
      <c r="EI1641" s="456"/>
      <c r="EJ1641" s="456"/>
      <c r="EK1641" s="456"/>
      <c r="EL1641" s="456"/>
      <c r="EM1641" s="456"/>
      <c r="EN1641" s="456"/>
      <c r="EO1641" s="456"/>
      <c r="EP1641" s="456"/>
      <c r="EQ1641" s="456"/>
      <c r="ER1641" s="456"/>
      <c r="ES1641" s="456"/>
      <c r="ET1641" s="456"/>
      <c r="EU1641" s="456"/>
      <c r="EV1641" s="456"/>
      <c r="EW1641" s="456"/>
      <c r="EX1641" s="456"/>
      <c r="EY1641" s="456"/>
      <c r="EZ1641" s="456"/>
      <c r="FA1641" s="456"/>
      <c r="FB1641" s="456"/>
      <c r="FC1641" s="456"/>
      <c r="FD1641" s="456"/>
      <c r="FE1641" s="456"/>
      <c r="FF1641" s="456"/>
      <c r="FG1641" s="456"/>
      <c r="FH1641" s="456"/>
      <c r="FI1641" s="456"/>
      <c r="FJ1641" s="456"/>
      <c r="FK1641" s="456"/>
      <c r="FL1641" s="456"/>
      <c r="FM1641" s="456"/>
      <c r="FN1641" s="456"/>
      <c r="FO1641" s="456"/>
      <c r="FP1641" s="456"/>
      <c r="FQ1641" s="456"/>
      <c r="FR1641" s="456"/>
      <c r="FS1641" s="456"/>
      <c r="FT1641" s="456"/>
      <c r="FU1641" s="456"/>
      <c r="FV1641" s="456"/>
      <c r="FW1641" s="456"/>
      <c r="FX1641" s="456"/>
      <c r="FY1641" s="456"/>
      <c r="FZ1641" s="456"/>
      <c r="GA1641" s="456"/>
      <c r="GB1641" s="456"/>
      <c r="GC1641" s="456"/>
      <c r="GD1641" s="456"/>
      <c r="GE1641" s="456"/>
      <c r="GF1641" s="456"/>
      <c r="GG1641" s="456"/>
      <c r="GH1641" s="456"/>
      <c r="GI1641" s="456"/>
      <c r="GJ1641" s="456"/>
      <c r="GK1641" s="456"/>
      <c r="GL1641" s="456"/>
      <c r="GM1641" s="456"/>
      <c r="GN1641" s="456"/>
      <c r="GO1641" s="456"/>
      <c r="GP1641" s="456"/>
      <c r="GQ1641" s="456"/>
      <c r="GR1641" s="456"/>
      <c r="GS1641" s="456"/>
      <c r="GT1641" s="456"/>
      <c r="GU1641" s="456"/>
      <c r="GV1641" s="456"/>
      <c r="GW1641" s="456"/>
      <c r="GX1641" s="456"/>
      <c r="GY1641" s="456"/>
      <c r="GZ1641" s="456"/>
      <c r="HA1641" s="456"/>
      <c r="HB1641" s="456"/>
      <c r="HC1641" s="456"/>
      <c r="HD1641" s="456"/>
      <c r="HE1641" s="456"/>
      <c r="HF1641" s="456"/>
      <c r="HG1641" s="456"/>
      <c r="HH1641" s="456"/>
      <c r="HI1641" s="456"/>
      <c r="HJ1641" s="456"/>
      <c r="HK1641" s="456"/>
      <c r="HL1641" s="456"/>
      <c r="HM1641" s="456"/>
    </row>
    <row r="1642" spans="1:221" s="305" customFormat="1">
      <c r="A1642" s="852" t="s">
        <v>7</v>
      </c>
      <c r="B1642" s="1272" t="s">
        <v>938</v>
      </c>
      <c r="C1642" s="1273" t="s">
        <v>100</v>
      </c>
      <c r="D1642" s="1274"/>
      <c r="E1642" s="1255">
        <v>38</v>
      </c>
      <c r="F1642" s="681" t="s">
        <v>936</v>
      </c>
      <c r="G1642" s="681" t="s">
        <v>1909</v>
      </c>
      <c r="H1642" s="683"/>
      <c r="I1642" s="689"/>
      <c r="J1642" s="685"/>
      <c r="K1642" s="685"/>
      <c r="L1642" s="689">
        <v>58.5</v>
      </c>
      <c r="M1642" s="683">
        <v>20.5</v>
      </c>
      <c r="N1642" s="706">
        <v>5</v>
      </c>
      <c r="O1642" s="645"/>
      <c r="P1642" s="479"/>
      <c r="Q1642" s="479"/>
      <c r="R1642" s="479"/>
      <c r="S1642" s="479"/>
      <c r="T1642" s="479"/>
      <c r="U1642" s="479"/>
      <c r="V1642" s="456"/>
      <c r="W1642" s="456"/>
      <c r="X1642" s="456"/>
      <c r="Y1642" s="456"/>
      <c r="Z1642" s="456"/>
      <c r="AA1642" s="456"/>
      <c r="AB1642" s="456"/>
      <c r="AC1642" s="456"/>
      <c r="AD1642" s="456"/>
      <c r="AE1642" s="456"/>
      <c r="AF1642" s="456"/>
      <c r="AG1642" s="456"/>
      <c r="AH1642" s="456"/>
      <c r="AI1642" s="456"/>
      <c r="AJ1642" s="456"/>
      <c r="AK1642" s="456"/>
      <c r="AL1642" s="456"/>
      <c r="AM1642" s="456"/>
      <c r="AN1642" s="456"/>
      <c r="AO1642" s="456"/>
      <c r="AP1642" s="456"/>
      <c r="AQ1642" s="456"/>
      <c r="AR1642" s="456"/>
      <c r="AS1642" s="456"/>
      <c r="AT1642" s="456"/>
      <c r="AU1642" s="456"/>
      <c r="AV1642" s="456"/>
      <c r="AW1642" s="456"/>
      <c r="AX1642" s="456"/>
      <c r="AY1642" s="456"/>
      <c r="AZ1642" s="456"/>
      <c r="BA1642" s="456"/>
      <c r="BB1642" s="456"/>
      <c r="BC1642" s="456"/>
      <c r="BD1642" s="456"/>
      <c r="BE1642" s="456"/>
      <c r="BF1642" s="456"/>
      <c r="BG1642" s="456"/>
      <c r="BH1642" s="456"/>
      <c r="BI1642" s="456"/>
      <c r="BJ1642" s="456"/>
      <c r="BK1642" s="456"/>
      <c r="BL1642" s="456"/>
      <c r="BM1642" s="456"/>
      <c r="BN1642" s="456"/>
      <c r="BO1642" s="456"/>
      <c r="BP1642" s="456"/>
      <c r="BQ1642" s="456"/>
      <c r="BR1642" s="456"/>
      <c r="BS1642" s="456"/>
      <c r="BT1642" s="456"/>
      <c r="BU1642" s="456"/>
      <c r="BV1642" s="456"/>
      <c r="BW1642" s="456"/>
      <c r="BX1642" s="456"/>
      <c r="BY1642" s="456"/>
      <c r="BZ1642" s="456"/>
      <c r="CA1642" s="456"/>
      <c r="CB1642" s="456"/>
      <c r="CC1642" s="456"/>
      <c r="CD1642" s="456"/>
      <c r="CE1642" s="456"/>
      <c r="CF1642" s="456"/>
      <c r="CG1642" s="456"/>
      <c r="CH1642" s="456"/>
      <c r="CI1642" s="456"/>
      <c r="CJ1642" s="456"/>
      <c r="CK1642" s="456"/>
      <c r="CL1642" s="456"/>
      <c r="CM1642" s="456"/>
      <c r="CN1642" s="456"/>
      <c r="CO1642" s="456"/>
      <c r="CP1642" s="456"/>
      <c r="CQ1642" s="456"/>
      <c r="CR1642" s="456"/>
      <c r="CS1642" s="456"/>
      <c r="CT1642" s="456"/>
      <c r="CU1642" s="456"/>
      <c r="CV1642" s="456"/>
      <c r="CW1642" s="456"/>
      <c r="CX1642" s="456"/>
      <c r="CY1642" s="456"/>
      <c r="CZ1642" s="456"/>
      <c r="DA1642" s="456"/>
      <c r="DB1642" s="456"/>
      <c r="DC1642" s="456"/>
      <c r="DD1642" s="456"/>
      <c r="DE1642" s="456"/>
      <c r="DF1642" s="456"/>
      <c r="DG1642" s="456"/>
      <c r="DH1642" s="456"/>
      <c r="DI1642" s="456"/>
      <c r="DJ1642" s="456"/>
      <c r="DK1642" s="456"/>
      <c r="DL1642" s="456"/>
      <c r="DM1642" s="456"/>
      <c r="DN1642" s="456"/>
      <c r="DO1642" s="456"/>
      <c r="DP1642" s="456"/>
      <c r="DQ1642" s="456"/>
      <c r="DR1642" s="456"/>
      <c r="DS1642" s="456"/>
      <c r="DT1642" s="456"/>
      <c r="DU1642" s="456"/>
      <c r="DV1642" s="456"/>
      <c r="DW1642" s="456"/>
      <c r="DX1642" s="456"/>
      <c r="DY1642" s="456"/>
      <c r="DZ1642" s="456"/>
      <c r="EA1642" s="456"/>
      <c r="EB1642" s="456"/>
      <c r="EC1642" s="456"/>
      <c r="ED1642" s="456"/>
      <c r="EE1642" s="456"/>
      <c r="EF1642" s="456"/>
      <c r="EG1642" s="456"/>
      <c r="EH1642" s="456"/>
      <c r="EI1642" s="456"/>
      <c r="EJ1642" s="456"/>
      <c r="EK1642" s="456"/>
      <c r="EL1642" s="456"/>
      <c r="EM1642" s="456"/>
      <c r="EN1642" s="456"/>
      <c r="EO1642" s="456"/>
      <c r="EP1642" s="456"/>
      <c r="EQ1642" s="456"/>
      <c r="ER1642" s="456"/>
      <c r="ES1642" s="456"/>
      <c r="ET1642" s="456"/>
      <c r="EU1642" s="456"/>
      <c r="EV1642" s="456"/>
      <c r="EW1642" s="456"/>
      <c r="EX1642" s="456"/>
      <c r="EY1642" s="456"/>
      <c r="EZ1642" s="456"/>
      <c r="FA1642" s="456"/>
      <c r="FB1642" s="456"/>
      <c r="FC1642" s="456"/>
      <c r="FD1642" s="456"/>
      <c r="FE1642" s="456"/>
      <c r="FF1642" s="456"/>
      <c r="FG1642" s="456"/>
      <c r="FH1642" s="456"/>
      <c r="FI1642" s="456"/>
      <c r="FJ1642" s="456"/>
      <c r="FK1642" s="456"/>
      <c r="FL1642" s="456"/>
      <c r="FM1642" s="456"/>
      <c r="FN1642" s="456"/>
      <c r="FO1642" s="456"/>
      <c r="FP1642" s="456"/>
      <c r="FQ1642" s="456"/>
      <c r="FR1642" s="456"/>
      <c r="FS1642" s="456"/>
      <c r="FT1642" s="456"/>
      <c r="FU1642" s="456"/>
      <c r="FV1642" s="456"/>
      <c r="FW1642" s="456"/>
      <c r="FX1642" s="456"/>
      <c r="FY1642" s="456"/>
      <c r="FZ1642" s="456"/>
      <c r="GA1642" s="456"/>
      <c r="GB1642" s="456"/>
      <c r="GC1642" s="456"/>
      <c r="GD1642" s="456"/>
      <c r="GE1642" s="456"/>
      <c r="GF1642" s="456"/>
      <c r="GG1642" s="456"/>
      <c r="GH1642" s="456"/>
      <c r="GI1642" s="456"/>
      <c r="GJ1642" s="456"/>
      <c r="GK1642" s="456"/>
      <c r="GL1642" s="456"/>
      <c r="GM1642" s="456"/>
      <c r="GN1642" s="456"/>
      <c r="GO1642" s="456"/>
      <c r="GP1642" s="456"/>
      <c r="GQ1642" s="456"/>
      <c r="GR1642" s="456"/>
      <c r="GS1642" s="456"/>
      <c r="GT1642" s="456"/>
      <c r="GU1642" s="456"/>
      <c r="GV1642" s="456"/>
      <c r="GW1642" s="456"/>
      <c r="GX1642" s="456"/>
      <c r="GY1642" s="456"/>
      <c r="GZ1642" s="456"/>
      <c r="HA1642" s="456"/>
      <c r="HB1642" s="456"/>
      <c r="HC1642" s="456"/>
      <c r="HD1642" s="456"/>
      <c r="HE1642" s="456"/>
      <c r="HF1642" s="456"/>
      <c r="HG1642" s="456"/>
      <c r="HH1642" s="456"/>
      <c r="HI1642" s="456"/>
      <c r="HJ1642" s="456"/>
      <c r="HK1642" s="456"/>
      <c r="HL1642" s="456"/>
      <c r="HM1642" s="456"/>
    </row>
    <row r="1643" spans="1:221" s="305" customFormat="1">
      <c r="A1643" s="703" t="s">
        <v>324</v>
      </c>
      <c r="B1643" s="1272" t="s">
        <v>938</v>
      </c>
      <c r="C1643" s="1273" t="s">
        <v>100</v>
      </c>
      <c r="D1643" s="1274"/>
      <c r="E1643" s="1255">
        <v>28</v>
      </c>
      <c r="F1643" s="681"/>
      <c r="G1643" s="681" t="s">
        <v>1909</v>
      </c>
      <c r="H1643" s="683"/>
      <c r="I1643" s="689"/>
      <c r="J1643" s="685"/>
      <c r="K1643" s="685"/>
      <c r="L1643" s="689">
        <v>48.5</v>
      </c>
      <c r="M1643" s="683">
        <v>20.5</v>
      </c>
      <c r="N1643" s="706">
        <v>5</v>
      </c>
      <c r="O1643" s="645"/>
      <c r="P1643" s="479"/>
      <c r="Q1643" s="479"/>
      <c r="R1643" s="479"/>
      <c r="S1643" s="479"/>
      <c r="T1643" s="479"/>
      <c r="U1643" s="479"/>
      <c r="V1643" s="456"/>
      <c r="W1643" s="456"/>
      <c r="X1643" s="456"/>
      <c r="Y1643" s="456"/>
      <c r="Z1643" s="456"/>
      <c r="AA1643" s="456"/>
      <c r="AB1643" s="456"/>
      <c r="AC1643" s="456"/>
      <c r="AD1643" s="456"/>
      <c r="AE1643" s="456"/>
      <c r="AF1643" s="456"/>
      <c r="AG1643" s="456"/>
      <c r="AH1643" s="456"/>
      <c r="AI1643" s="456"/>
      <c r="AJ1643" s="456"/>
      <c r="AK1643" s="456"/>
      <c r="AL1643" s="456"/>
      <c r="AM1643" s="456"/>
      <c r="AN1643" s="456"/>
      <c r="AO1643" s="456"/>
      <c r="AP1643" s="456"/>
      <c r="AQ1643" s="456"/>
      <c r="AR1643" s="456"/>
      <c r="AS1643" s="456"/>
      <c r="AT1643" s="456"/>
      <c r="AU1643" s="456"/>
      <c r="AV1643" s="456"/>
      <c r="AW1643" s="456"/>
      <c r="AX1643" s="456"/>
      <c r="AY1643" s="456"/>
      <c r="AZ1643" s="456"/>
      <c r="BA1643" s="456"/>
      <c r="BB1643" s="456"/>
      <c r="BC1643" s="456"/>
      <c r="BD1643" s="456"/>
      <c r="BE1643" s="456"/>
      <c r="BF1643" s="456"/>
      <c r="BG1643" s="456"/>
      <c r="BH1643" s="456"/>
      <c r="BI1643" s="456"/>
      <c r="BJ1643" s="456"/>
      <c r="BK1643" s="456"/>
      <c r="BL1643" s="456"/>
      <c r="BM1643" s="456"/>
      <c r="BN1643" s="456"/>
      <c r="BO1643" s="456"/>
      <c r="BP1643" s="456"/>
      <c r="BQ1643" s="456"/>
      <c r="BR1643" s="456"/>
      <c r="BS1643" s="456"/>
      <c r="BT1643" s="456"/>
      <c r="BU1643" s="456"/>
      <c r="BV1643" s="456"/>
      <c r="BW1643" s="456"/>
      <c r="BX1643" s="456"/>
      <c r="BY1643" s="456"/>
      <c r="BZ1643" s="456"/>
      <c r="CA1643" s="456"/>
      <c r="CB1643" s="456"/>
      <c r="CC1643" s="456"/>
      <c r="CD1643" s="456"/>
      <c r="CE1643" s="456"/>
      <c r="CF1643" s="456"/>
      <c r="CG1643" s="456"/>
      <c r="CH1643" s="456"/>
      <c r="CI1643" s="456"/>
      <c r="CJ1643" s="456"/>
      <c r="CK1643" s="456"/>
      <c r="CL1643" s="456"/>
      <c r="CM1643" s="456"/>
      <c r="CN1643" s="456"/>
      <c r="CO1643" s="456"/>
      <c r="CP1643" s="456"/>
      <c r="CQ1643" s="456"/>
      <c r="CR1643" s="456"/>
      <c r="CS1643" s="456"/>
      <c r="CT1643" s="456"/>
      <c r="CU1643" s="456"/>
      <c r="CV1643" s="456"/>
      <c r="CW1643" s="456"/>
      <c r="CX1643" s="456"/>
      <c r="CY1643" s="456"/>
      <c r="CZ1643" s="456"/>
      <c r="DA1643" s="456"/>
      <c r="DB1643" s="456"/>
      <c r="DC1643" s="456"/>
      <c r="DD1643" s="456"/>
      <c r="DE1643" s="456"/>
      <c r="DF1643" s="456"/>
      <c r="DG1643" s="456"/>
      <c r="DH1643" s="456"/>
      <c r="DI1643" s="456"/>
      <c r="DJ1643" s="456"/>
      <c r="DK1643" s="456"/>
      <c r="DL1643" s="456"/>
      <c r="DM1643" s="456"/>
      <c r="DN1643" s="456"/>
      <c r="DO1643" s="456"/>
      <c r="DP1643" s="456"/>
      <c r="DQ1643" s="456"/>
      <c r="DR1643" s="456"/>
      <c r="DS1643" s="456"/>
      <c r="DT1643" s="456"/>
      <c r="DU1643" s="456"/>
      <c r="DV1643" s="456"/>
      <c r="DW1643" s="456"/>
      <c r="DX1643" s="456"/>
      <c r="DY1643" s="456"/>
      <c r="DZ1643" s="456"/>
      <c r="EA1643" s="456"/>
      <c r="EB1643" s="456"/>
      <c r="EC1643" s="456"/>
      <c r="ED1643" s="456"/>
      <c r="EE1643" s="456"/>
      <c r="EF1643" s="456"/>
      <c r="EG1643" s="456"/>
      <c r="EH1643" s="456"/>
      <c r="EI1643" s="456"/>
      <c r="EJ1643" s="456"/>
      <c r="EK1643" s="456"/>
      <c r="EL1643" s="456"/>
      <c r="EM1643" s="456"/>
      <c r="EN1643" s="456"/>
      <c r="EO1643" s="456"/>
      <c r="EP1643" s="456"/>
      <c r="EQ1643" s="456"/>
      <c r="ER1643" s="456"/>
      <c r="ES1643" s="456"/>
      <c r="ET1643" s="456"/>
      <c r="EU1643" s="456"/>
      <c r="EV1643" s="456"/>
      <c r="EW1643" s="456"/>
      <c r="EX1643" s="456"/>
      <c r="EY1643" s="456"/>
      <c r="EZ1643" s="456"/>
      <c r="FA1643" s="456"/>
      <c r="FB1643" s="456"/>
      <c r="FC1643" s="456"/>
      <c r="FD1643" s="456"/>
      <c r="FE1643" s="456"/>
      <c r="FF1643" s="456"/>
      <c r="FG1643" s="456"/>
      <c r="FH1643" s="456"/>
      <c r="FI1643" s="456"/>
      <c r="FJ1643" s="456"/>
      <c r="FK1643" s="456"/>
      <c r="FL1643" s="456"/>
      <c r="FM1643" s="456"/>
      <c r="FN1643" s="456"/>
      <c r="FO1643" s="456"/>
      <c r="FP1643" s="456"/>
      <c r="FQ1643" s="456"/>
      <c r="FR1643" s="456"/>
      <c r="FS1643" s="456"/>
      <c r="FT1643" s="456"/>
      <c r="FU1643" s="456"/>
      <c r="FV1643" s="456"/>
      <c r="FW1643" s="456"/>
      <c r="FX1643" s="456"/>
      <c r="FY1643" s="456"/>
      <c r="FZ1643" s="456"/>
      <c r="GA1643" s="456"/>
      <c r="GB1643" s="456"/>
      <c r="GC1643" s="456"/>
      <c r="GD1643" s="456"/>
      <c r="GE1643" s="456"/>
      <c r="GF1643" s="456"/>
      <c r="GG1643" s="456"/>
      <c r="GH1643" s="456"/>
      <c r="GI1643" s="456"/>
      <c r="GJ1643" s="456"/>
      <c r="GK1643" s="456"/>
      <c r="GL1643" s="456"/>
      <c r="GM1643" s="456"/>
      <c r="GN1643" s="456"/>
      <c r="GO1643" s="456"/>
      <c r="GP1643" s="456"/>
      <c r="GQ1643" s="456"/>
      <c r="GR1643" s="456"/>
      <c r="GS1643" s="456"/>
      <c r="GT1643" s="456"/>
      <c r="GU1643" s="456"/>
      <c r="GV1643" s="456"/>
      <c r="GW1643" s="456"/>
      <c r="GX1643" s="456"/>
      <c r="GY1643" s="456"/>
      <c r="GZ1643" s="456"/>
      <c r="HA1643" s="456"/>
      <c r="HB1643" s="456"/>
      <c r="HC1643" s="456"/>
      <c r="HD1643" s="456"/>
      <c r="HE1643" s="456"/>
      <c r="HF1643" s="456"/>
      <c r="HG1643" s="456"/>
      <c r="HH1643" s="456"/>
      <c r="HI1643" s="456"/>
      <c r="HJ1643" s="456"/>
      <c r="HK1643" s="456"/>
      <c r="HL1643" s="456"/>
      <c r="HM1643" s="456"/>
    </row>
    <row r="1644" spans="1:221" s="305" customFormat="1">
      <c r="A1644" s="1250" t="s">
        <v>725</v>
      </c>
      <c r="B1644" s="1272" t="s">
        <v>938</v>
      </c>
      <c r="C1644" s="1273" t="s">
        <v>937</v>
      </c>
      <c r="D1644" s="1274"/>
      <c r="E1644" s="1255">
        <v>65</v>
      </c>
      <c r="F1644" s="681"/>
      <c r="G1644" s="681" t="s">
        <v>1909</v>
      </c>
      <c r="H1644" s="683"/>
      <c r="I1644" s="689"/>
      <c r="J1644" s="685"/>
      <c r="K1644" s="685"/>
      <c r="L1644" s="689">
        <v>105</v>
      </c>
      <c r="M1644" s="683">
        <v>40</v>
      </c>
      <c r="N1644" s="706">
        <v>0</v>
      </c>
      <c r="O1644" s="480"/>
      <c r="P1644" s="297"/>
      <c r="Q1644" s="297"/>
      <c r="R1644" s="297"/>
      <c r="S1644" s="297"/>
      <c r="T1644" s="297"/>
      <c r="U1644" s="297"/>
    </row>
    <row r="1645" spans="1:221" s="456" customFormat="1">
      <c r="A1645" s="1250" t="s">
        <v>354</v>
      </c>
      <c r="B1645" s="1272" t="s">
        <v>938</v>
      </c>
      <c r="C1645" s="1273" t="s">
        <v>937</v>
      </c>
      <c r="D1645" s="1274"/>
      <c r="E1645" s="1255">
        <v>70</v>
      </c>
      <c r="F1645" s="681"/>
      <c r="G1645" s="681" t="s">
        <v>1909</v>
      </c>
      <c r="H1645" s="683"/>
      <c r="I1645" s="689"/>
      <c r="J1645" s="685"/>
      <c r="K1645" s="685"/>
      <c r="L1645" s="689">
        <v>110</v>
      </c>
      <c r="M1645" s="683">
        <v>40</v>
      </c>
      <c r="N1645" s="706">
        <v>0</v>
      </c>
      <c r="O1645" s="480"/>
      <c r="P1645" s="441"/>
      <c r="Q1645" s="296"/>
      <c r="R1645" s="296"/>
      <c r="S1645" s="296"/>
      <c r="T1645" s="297"/>
      <c r="U1645" s="297"/>
      <c r="V1645" s="297"/>
      <c r="W1645" s="297"/>
      <c r="X1645" s="297"/>
      <c r="Y1645" s="297"/>
      <c r="Z1645" s="297"/>
      <c r="AA1645" s="297"/>
      <c r="AB1645" s="297"/>
      <c r="AC1645" s="297"/>
      <c r="AD1645" s="305"/>
      <c r="AE1645" s="305"/>
      <c r="AF1645" s="305"/>
      <c r="AG1645" s="305"/>
      <c r="AH1645" s="305"/>
      <c r="AI1645" s="305"/>
      <c r="AJ1645" s="305"/>
      <c r="AK1645" s="305"/>
      <c r="AL1645" s="305"/>
      <c r="AM1645" s="305"/>
      <c r="AN1645" s="305"/>
      <c r="AO1645" s="305"/>
      <c r="AP1645" s="305"/>
      <c r="AQ1645" s="305"/>
      <c r="AR1645" s="305"/>
      <c r="AS1645" s="305"/>
      <c r="AT1645" s="305"/>
      <c r="AU1645" s="305"/>
      <c r="AV1645" s="305"/>
      <c r="AW1645" s="305"/>
      <c r="AX1645" s="305"/>
      <c r="AY1645" s="305"/>
      <c r="AZ1645" s="305"/>
      <c r="BA1645" s="305"/>
      <c r="BB1645" s="305"/>
      <c r="BC1645" s="305"/>
      <c r="BD1645" s="305"/>
      <c r="BE1645" s="305"/>
      <c r="BF1645" s="305"/>
      <c r="BG1645" s="305"/>
      <c r="BH1645" s="305"/>
      <c r="BI1645" s="305"/>
      <c r="BJ1645" s="305"/>
      <c r="BK1645" s="305"/>
      <c r="BL1645" s="305"/>
      <c r="BM1645" s="305"/>
      <c r="BN1645" s="305"/>
      <c r="BO1645" s="305"/>
      <c r="BP1645" s="305"/>
      <c r="BQ1645" s="305"/>
      <c r="BR1645" s="305"/>
      <c r="BS1645" s="305"/>
      <c r="BT1645" s="305"/>
      <c r="BU1645" s="305"/>
      <c r="BV1645" s="305"/>
      <c r="BW1645" s="305"/>
      <c r="BX1645" s="305"/>
      <c r="BY1645" s="305"/>
      <c r="BZ1645" s="305"/>
      <c r="CA1645" s="305"/>
      <c r="CB1645" s="305"/>
      <c r="CC1645" s="305"/>
      <c r="CD1645" s="305"/>
      <c r="CE1645" s="305"/>
      <c r="CF1645" s="305"/>
      <c r="CG1645" s="305"/>
      <c r="CH1645" s="305"/>
      <c r="CI1645" s="305"/>
      <c r="CJ1645" s="305"/>
      <c r="CK1645" s="305"/>
      <c r="CL1645" s="305"/>
      <c r="CM1645" s="305"/>
      <c r="CN1645" s="305"/>
      <c r="CO1645" s="305"/>
      <c r="CP1645" s="305"/>
      <c r="CQ1645" s="305"/>
      <c r="CR1645" s="305"/>
      <c r="CS1645" s="305"/>
      <c r="CT1645" s="305"/>
      <c r="CU1645" s="305"/>
      <c r="CV1645" s="305"/>
      <c r="CW1645" s="305"/>
      <c r="CX1645" s="305"/>
      <c r="CY1645" s="305"/>
      <c r="CZ1645" s="305"/>
      <c r="DA1645" s="305"/>
      <c r="DB1645" s="305"/>
      <c r="DC1645" s="305"/>
      <c r="DD1645" s="305"/>
      <c r="DE1645" s="305"/>
      <c r="DF1645" s="305"/>
      <c r="DG1645" s="305"/>
      <c r="DH1645" s="305"/>
      <c r="DI1645" s="305"/>
      <c r="DJ1645" s="305"/>
      <c r="DK1645" s="305"/>
      <c r="DL1645" s="305"/>
      <c r="DM1645" s="305"/>
      <c r="DN1645" s="305"/>
      <c r="DO1645" s="305"/>
      <c r="DP1645" s="305"/>
      <c r="DQ1645" s="305"/>
      <c r="DR1645" s="305"/>
      <c r="DS1645" s="305"/>
      <c r="DT1645" s="305"/>
      <c r="DU1645" s="305"/>
      <c r="DV1645" s="305"/>
      <c r="DW1645" s="305"/>
      <c r="DX1645" s="305"/>
      <c r="DY1645" s="305"/>
      <c r="DZ1645" s="305"/>
      <c r="EA1645" s="305"/>
      <c r="EB1645" s="305"/>
      <c r="EC1645" s="305"/>
      <c r="ED1645" s="305"/>
      <c r="EE1645" s="305"/>
      <c r="EF1645" s="305"/>
      <c r="EG1645" s="305"/>
      <c r="EH1645" s="305"/>
      <c r="EI1645" s="305"/>
      <c r="EJ1645" s="305"/>
      <c r="EK1645" s="305"/>
      <c r="EL1645" s="305"/>
      <c r="EM1645" s="305"/>
      <c r="EN1645" s="305"/>
      <c r="EO1645" s="305"/>
      <c r="EP1645" s="305"/>
      <c r="EQ1645" s="305"/>
      <c r="ER1645" s="305"/>
      <c r="ES1645" s="305"/>
      <c r="ET1645" s="305"/>
      <c r="EU1645" s="305"/>
      <c r="EV1645" s="305"/>
      <c r="EW1645" s="305"/>
      <c r="EX1645" s="305"/>
      <c r="EY1645" s="305"/>
      <c r="EZ1645" s="305"/>
      <c r="FA1645" s="305"/>
      <c r="FB1645" s="305"/>
      <c r="FC1645" s="305"/>
      <c r="FD1645" s="305"/>
      <c r="FE1645" s="305"/>
      <c r="FF1645" s="305"/>
      <c r="FG1645" s="305"/>
      <c r="FH1645" s="305"/>
      <c r="FI1645" s="305"/>
      <c r="FJ1645" s="305"/>
      <c r="FK1645" s="305"/>
      <c r="FL1645" s="305"/>
      <c r="FM1645" s="305"/>
      <c r="FN1645" s="305"/>
      <c r="FO1645" s="305"/>
      <c r="FP1645" s="305"/>
      <c r="FQ1645" s="305"/>
      <c r="FR1645" s="305"/>
      <c r="FS1645" s="305"/>
      <c r="FT1645" s="305"/>
      <c r="FU1645" s="305"/>
      <c r="FV1645" s="305"/>
      <c r="FW1645" s="305"/>
      <c r="FX1645" s="305"/>
      <c r="FY1645" s="305"/>
      <c r="FZ1645" s="305"/>
      <c r="GA1645" s="305"/>
      <c r="GB1645" s="305"/>
      <c r="GC1645" s="305"/>
      <c r="GD1645" s="305"/>
      <c r="GE1645" s="305"/>
      <c r="GF1645" s="305"/>
      <c r="GG1645" s="305"/>
      <c r="GH1645" s="305"/>
      <c r="GI1645" s="305"/>
      <c r="GJ1645" s="305"/>
      <c r="GK1645" s="305"/>
      <c r="GL1645" s="305"/>
      <c r="GM1645" s="305"/>
      <c r="GN1645" s="305"/>
      <c r="GO1645" s="305"/>
      <c r="GP1645" s="305"/>
      <c r="GQ1645" s="305"/>
      <c r="GR1645" s="305"/>
      <c r="GS1645" s="305"/>
      <c r="GT1645" s="305"/>
      <c r="GU1645" s="305"/>
      <c r="GV1645" s="305"/>
      <c r="GW1645" s="305"/>
      <c r="GX1645" s="305"/>
      <c r="GY1645" s="305"/>
      <c r="GZ1645" s="305"/>
      <c r="HA1645" s="305"/>
      <c r="HB1645" s="305"/>
      <c r="HC1645" s="305"/>
      <c r="HD1645" s="305"/>
      <c r="HE1645" s="305"/>
      <c r="HF1645" s="305"/>
      <c r="HG1645" s="305"/>
      <c r="HH1645" s="305"/>
      <c r="HI1645" s="305"/>
      <c r="HJ1645" s="305"/>
      <c r="HK1645" s="305"/>
      <c r="HL1645" s="305"/>
      <c r="HM1645" s="305"/>
    </row>
    <row r="1646" spans="1:221" s="305" customFormat="1">
      <c r="A1646" s="703" t="s">
        <v>7</v>
      </c>
      <c r="B1646" s="1272" t="s">
        <v>938</v>
      </c>
      <c r="C1646" s="1273" t="s">
        <v>939</v>
      </c>
      <c r="D1646" s="1274"/>
      <c r="E1646" s="1255">
        <v>56.5</v>
      </c>
      <c r="F1646" s="681"/>
      <c r="G1646" s="681" t="s">
        <v>1909</v>
      </c>
      <c r="H1646" s="683"/>
      <c r="I1646" s="689"/>
      <c r="J1646" s="685"/>
      <c r="K1646" s="685"/>
      <c r="L1646" s="689">
        <v>90</v>
      </c>
      <c r="M1646" s="683">
        <v>33.5</v>
      </c>
      <c r="N1646" s="706">
        <v>5</v>
      </c>
      <c r="O1646" s="480"/>
      <c r="P1646" s="297"/>
      <c r="Q1646" s="297"/>
      <c r="R1646" s="297"/>
      <c r="S1646" s="297"/>
      <c r="T1646" s="297"/>
      <c r="U1646" s="297"/>
    </row>
    <row r="1647" spans="1:221" s="305" customFormat="1">
      <c r="A1647" s="703" t="s">
        <v>725</v>
      </c>
      <c r="B1647" s="1272" t="s">
        <v>938</v>
      </c>
      <c r="C1647" s="1273" t="s">
        <v>939</v>
      </c>
      <c r="D1647" s="1274"/>
      <c r="E1647" s="1255">
        <v>49</v>
      </c>
      <c r="F1647" s="681"/>
      <c r="G1647" s="681" t="s">
        <v>1909</v>
      </c>
      <c r="H1647" s="683"/>
      <c r="I1647" s="689"/>
      <c r="J1647" s="685"/>
      <c r="K1647" s="685"/>
      <c r="L1647" s="689">
        <v>76</v>
      </c>
      <c r="M1647" s="683">
        <v>27</v>
      </c>
      <c r="N1647" s="706">
        <v>5</v>
      </c>
      <c r="O1647" s="645"/>
      <c r="P1647" s="297"/>
      <c r="Q1647" s="297"/>
      <c r="R1647" s="297"/>
      <c r="S1647" s="297"/>
      <c r="T1647" s="297"/>
      <c r="U1647" s="297"/>
    </row>
    <row r="1648" spans="1:221" s="456" customFormat="1">
      <c r="A1648" s="703"/>
      <c r="B1648" s="1272" t="s">
        <v>406</v>
      </c>
      <c r="C1648" s="1273" t="s">
        <v>32</v>
      </c>
      <c r="D1648" s="1274"/>
      <c r="E1648" s="1255">
        <v>45</v>
      </c>
      <c r="F1648" s="681"/>
      <c r="G1648" s="681"/>
      <c r="H1648" s="683"/>
      <c r="I1648" s="689"/>
      <c r="J1648" s="685"/>
      <c r="K1648" s="685"/>
      <c r="L1648" s="689">
        <f>45+35</f>
        <v>80</v>
      </c>
      <c r="M1648" s="683">
        <v>35</v>
      </c>
      <c r="N1648" s="706">
        <v>5</v>
      </c>
      <c r="O1648" s="645"/>
      <c r="P1648" s="297"/>
      <c r="Q1648" s="297"/>
      <c r="R1648" s="297"/>
      <c r="S1648" s="297"/>
      <c r="T1648" s="297"/>
      <c r="U1648" s="297"/>
      <c r="V1648" s="305"/>
      <c r="W1648" s="305"/>
      <c r="X1648" s="305"/>
      <c r="Y1648" s="305"/>
      <c r="Z1648" s="305"/>
      <c r="AA1648" s="305"/>
      <c r="AB1648" s="305"/>
      <c r="AC1648" s="305"/>
      <c r="AD1648" s="305"/>
      <c r="AE1648" s="305"/>
      <c r="AF1648" s="305"/>
      <c r="AG1648" s="305"/>
      <c r="AH1648" s="305"/>
      <c r="AI1648" s="305"/>
      <c r="AJ1648" s="305"/>
      <c r="AK1648" s="305"/>
      <c r="AL1648" s="305"/>
      <c r="AM1648" s="305"/>
      <c r="AN1648" s="305"/>
      <c r="AO1648" s="305"/>
      <c r="AP1648" s="305"/>
      <c r="AQ1648" s="305"/>
      <c r="AR1648" s="305"/>
      <c r="AS1648" s="305"/>
      <c r="AT1648" s="305"/>
      <c r="AU1648" s="305"/>
      <c r="AV1648" s="305"/>
      <c r="AW1648" s="305"/>
      <c r="AX1648" s="305"/>
      <c r="AY1648" s="305"/>
      <c r="AZ1648" s="305"/>
      <c r="BA1648" s="305"/>
      <c r="BB1648" s="305"/>
      <c r="BC1648" s="305"/>
      <c r="BD1648" s="305"/>
      <c r="BE1648" s="305"/>
      <c r="BF1648" s="305"/>
      <c r="BG1648" s="305"/>
      <c r="BH1648" s="305"/>
      <c r="BI1648" s="305"/>
      <c r="BJ1648" s="305"/>
      <c r="BK1648" s="305"/>
      <c r="BL1648" s="305"/>
      <c r="BM1648" s="305"/>
      <c r="BN1648" s="305"/>
      <c r="BO1648" s="305"/>
      <c r="BP1648" s="305"/>
      <c r="BQ1648" s="305"/>
      <c r="BR1648" s="305"/>
      <c r="BS1648" s="305"/>
      <c r="BT1648" s="305"/>
      <c r="BU1648" s="305"/>
      <c r="BV1648" s="305"/>
      <c r="BW1648" s="305"/>
      <c r="BX1648" s="305"/>
      <c r="BY1648" s="305"/>
      <c r="BZ1648" s="305"/>
      <c r="CA1648" s="305"/>
      <c r="CB1648" s="305"/>
      <c r="CC1648" s="305"/>
      <c r="CD1648" s="305"/>
      <c r="CE1648" s="305"/>
      <c r="CF1648" s="305"/>
      <c r="CG1648" s="305"/>
      <c r="CH1648" s="305"/>
      <c r="CI1648" s="305"/>
      <c r="CJ1648" s="305"/>
      <c r="CK1648" s="305"/>
      <c r="CL1648" s="305"/>
      <c r="CM1648" s="305"/>
      <c r="CN1648" s="305"/>
      <c r="CO1648" s="305"/>
      <c r="CP1648" s="305"/>
      <c r="CQ1648" s="305"/>
      <c r="CR1648" s="305"/>
      <c r="CS1648" s="305"/>
      <c r="CT1648" s="305"/>
      <c r="CU1648" s="305"/>
      <c r="CV1648" s="305"/>
      <c r="CW1648" s="305"/>
      <c r="CX1648" s="305"/>
      <c r="CY1648" s="305"/>
      <c r="CZ1648" s="305"/>
      <c r="DA1648" s="305"/>
      <c r="DB1648" s="305"/>
      <c r="DC1648" s="305"/>
      <c r="DD1648" s="305"/>
      <c r="DE1648" s="305"/>
      <c r="DF1648" s="305"/>
      <c r="DG1648" s="305"/>
      <c r="DH1648" s="305"/>
      <c r="DI1648" s="305"/>
      <c r="DJ1648" s="305"/>
      <c r="DK1648" s="305"/>
      <c r="DL1648" s="305"/>
      <c r="DM1648" s="305"/>
      <c r="DN1648" s="305"/>
      <c r="DO1648" s="305"/>
      <c r="DP1648" s="305"/>
      <c r="DQ1648" s="305"/>
      <c r="DR1648" s="305"/>
      <c r="DS1648" s="305"/>
      <c r="DT1648" s="305"/>
      <c r="DU1648" s="305"/>
      <c r="DV1648" s="305"/>
      <c r="DW1648" s="305"/>
      <c r="DX1648" s="305"/>
      <c r="DY1648" s="305"/>
      <c r="DZ1648" s="305"/>
      <c r="EA1648" s="305"/>
      <c r="EB1648" s="305"/>
      <c r="EC1648" s="305"/>
      <c r="ED1648" s="305"/>
      <c r="EE1648" s="305"/>
      <c r="EF1648" s="305"/>
      <c r="EG1648" s="305"/>
      <c r="EH1648" s="305"/>
      <c r="EI1648" s="305"/>
      <c r="EJ1648" s="305"/>
      <c r="EK1648" s="305"/>
      <c r="EL1648" s="305"/>
      <c r="EM1648" s="305"/>
      <c r="EN1648" s="305"/>
      <c r="EO1648" s="305"/>
      <c r="EP1648" s="305"/>
      <c r="EQ1648" s="305"/>
      <c r="ER1648" s="305"/>
      <c r="ES1648" s="305"/>
      <c r="ET1648" s="305"/>
      <c r="EU1648" s="305"/>
      <c r="EV1648" s="305"/>
      <c r="EW1648" s="305"/>
      <c r="EX1648" s="305"/>
      <c r="EY1648" s="305"/>
      <c r="EZ1648" s="305"/>
      <c r="FA1648" s="305"/>
      <c r="FB1648" s="305"/>
      <c r="FC1648" s="305"/>
      <c r="FD1648" s="305"/>
      <c r="FE1648" s="305"/>
      <c r="FF1648" s="305"/>
      <c r="FG1648" s="305"/>
      <c r="FH1648" s="305"/>
      <c r="FI1648" s="305"/>
      <c r="FJ1648" s="305"/>
      <c r="FK1648" s="305"/>
      <c r="FL1648" s="305"/>
      <c r="FM1648" s="305"/>
      <c r="FN1648" s="305"/>
      <c r="FO1648" s="305"/>
      <c r="FP1648" s="305"/>
      <c r="FQ1648" s="305"/>
      <c r="FR1648" s="305"/>
      <c r="FS1648" s="305"/>
      <c r="FT1648" s="305"/>
      <c r="FU1648" s="305"/>
      <c r="FV1648" s="305"/>
      <c r="FW1648" s="305"/>
      <c r="FX1648" s="305"/>
      <c r="FY1648" s="305"/>
      <c r="FZ1648" s="305"/>
      <c r="GA1648" s="305"/>
      <c r="GB1648" s="305"/>
      <c r="GC1648" s="305"/>
      <c r="GD1648" s="305"/>
      <c r="GE1648" s="305"/>
      <c r="GF1648" s="305"/>
      <c r="GG1648" s="305"/>
      <c r="GH1648" s="305"/>
      <c r="GI1648" s="305"/>
      <c r="GJ1648" s="305"/>
      <c r="GK1648" s="305"/>
      <c r="GL1648" s="305"/>
      <c r="GM1648" s="305"/>
      <c r="GN1648" s="305"/>
      <c r="GO1648" s="305"/>
      <c r="GP1648" s="305"/>
      <c r="GQ1648" s="305"/>
      <c r="GR1648" s="305"/>
      <c r="GS1648" s="305"/>
      <c r="GT1648" s="305"/>
      <c r="GU1648" s="305"/>
      <c r="GV1648" s="305"/>
      <c r="GW1648" s="305"/>
      <c r="GX1648" s="305"/>
      <c r="GY1648" s="305"/>
      <c r="GZ1648" s="305"/>
      <c r="HA1648" s="305"/>
      <c r="HB1648" s="305"/>
      <c r="HC1648" s="305"/>
      <c r="HD1648" s="305"/>
      <c r="HE1648" s="305"/>
      <c r="HF1648" s="305"/>
      <c r="HG1648" s="305"/>
      <c r="HH1648" s="305"/>
      <c r="HI1648" s="305"/>
      <c r="HJ1648" s="305"/>
      <c r="HK1648" s="305"/>
      <c r="HL1648" s="305"/>
      <c r="HM1648" s="305"/>
    </row>
    <row r="1649" spans="1:221" s="456" customFormat="1">
      <c r="A1649" s="703" t="s">
        <v>2484</v>
      </c>
      <c r="B1649" s="1272" t="s">
        <v>24</v>
      </c>
      <c r="C1649" s="1273" t="s">
        <v>2483</v>
      </c>
      <c r="D1649" s="1274"/>
      <c r="E1649" s="1255">
        <v>35</v>
      </c>
      <c r="F1649" s="681"/>
      <c r="G1649" s="681"/>
      <c r="H1649" s="683"/>
      <c r="I1649" s="689"/>
      <c r="J1649" s="685"/>
      <c r="K1649" s="685"/>
      <c r="L1649" s="689">
        <v>60</v>
      </c>
      <c r="M1649" s="683">
        <v>25</v>
      </c>
      <c r="N1649" s="706"/>
      <c r="O1649" s="645"/>
      <c r="P1649" s="297"/>
      <c r="Q1649" s="297"/>
      <c r="R1649" s="297"/>
      <c r="S1649" s="297"/>
      <c r="T1649" s="297"/>
      <c r="U1649" s="297"/>
      <c r="V1649" s="305"/>
      <c r="W1649" s="305"/>
      <c r="X1649" s="305"/>
      <c r="Y1649" s="305"/>
      <c r="Z1649" s="305"/>
      <c r="AA1649" s="305"/>
      <c r="AB1649" s="305"/>
      <c r="AC1649" s="305"/>
      <c r="AD1649" s="305"/>
      <c r="AE1649" s="305"/>
      <c r="AF1649" s="305"/>
      <c r="AG1649" s="305"/>
      <c r="AH1649" s="305"/>
      <c r="AI1649" s="305"/>
      <c r="AJ1649" s="305"/>
      <c r="AK1649" s="305"/>
      <c r="AL1649" s="305"/>
      <c r="AM1649" s="305"/>
      <c r="AN1649" s="305"/>
      <c r="AO1649" s="305"/>
      <c r="AP1649" s="305"/>
      <c r="AQ1649" s="305"/>
      <c r="AR1649" s="305"/>
      <c r="AS1649" s="305"/>
      <c r="AT1649" s="305"/>
      <c r="AU1649" s="305"/>
      <c r="AV1649" s="305"/>
      <c r="AW1649" s="305"/>
      <c r="AX1649" s="305"/>
      <c r="AY1649" s="305"/>
      <c r="AZ1649" s="305"/>
      <c r="BA1649" s="305"/>
      <c r="BB1649" s="305"/>
      <c r="BC1649" s="305"/>
      <c r="BD1649" s="305"/>
      <c r="BE1649" s="305"/>
      <c r="BF1649" s="305"/>
      <c r="BG1649" s="305"/>
      <c r="BH1649" s="305"/>
      <c r="BI1649" s="305"/>
      <c r="BJ1649" s="305"/>
      <c r="BK1649" s="305"/>
      <c r="BL1649" s="305"/>
      <c r="BM1649" s="305"/>
      <c r="BN1649" s="305"/>
      <c r="BO1649" s="305"/>
      <c r="BP1649" s="305"/>
      <c r="BQ1649" s="305"/>
      <c r="BR1649" s="305"/>
      <c r="BS1649" s="305"/>
      <c r="BT1649" s="305"/>
      <c r="BU1649" s="305"/>
      <c r="BV1649" s="305"/>
      <c r="BW1649" s="305"/>
      <c r="BX1649" s="305"/>
      <c r="BY1649" s="305"/>
      <c r="BZ1649" s="305"/>
      <c r="CA1649" s="305"/>
      <c r="CB1649" s="305"/>
      <c r="CC1649" s="305"/>
      <c r="CD1649" s="305"/>
      <c r="CE1649" s="305"/>
      <c r="CF1649" s="305"/>
      <c r="CG1649" s="305"/>
      <c r="CH1649" s="305"/>
      <c r="CI1649" s="305"/>
      <c r="CJ1649" s="305"/>
      <c r="CK1649" s="305"/>
      <c r="CL1649" s="305"/>
      <c r="CM1649" s="305"/>
      <c r="CN1649" s="305"/>
      <c r="CO1649" s="305"/>
      <c r="CP1649" s="305"/>
      <c r="CQ1649" s="305"/>
      <c r="CR1649" s="305"/>
      <c r="CS1649" s="305"/>
      <c r="CT1649" s="305"/>
      <c r="CU1649" s="305"/>
      <c r="CV1649" s="305"/>
      <c r="CW1649" s="305"/>
      <c r="CX1649" s="305"/>
      <c r="CY1649" s="305"/>
      <c r="CZ1649" s="305"/>
      <c r="DA1649" s="305"/>
      <c r="DB1649" s="305"/>
      <c r="DC1649" s="305"/>
      <c r="DD1649" s="305"/>
      <c r="DE1649" s="305"/>
      <c r="DF1649" s="305"/>
      <c r="DG1649" s="305"/>
      <c r="DH1649" s="305"/>
      <c r="DI1649" s="305"/>
      <c r="DJ1649" s="305"/>
      <c r="DK1649" s="305"/>
      <c r="DL1649" s="305"/>
      <c r="DM1649" s="305"/>
      <c r="DN1649" s="305"/>
      <c r="DO1649" s="305"/>
      <c r="DP1649" s="305"/>
      <c r="DQ1649" s="305"/>
      <c r="DR1649" s="305"/>
      <c r="DS1649" s="305"/>
      <c r="DT1649" s="305"/>
      <c r="DU1649" s="305"/>
      <c r="DV1649" s="305"/>
      <c r="DW1649" s="305"/>
      <c r="DX1649" s="305"/>
      <c r="DY1649" s="305"/>
      <c r="DZ1649" s="305"/>
      <c r="EA1649" s="305"/>
      <c r="EB1649" s="305"/>
      <c r="EC1649" s="305"/>
      <c r="ED1649" s="305"/>
      <c r="EE1649" s="305"/>
      <c r="EF1649" s="305"/>
      <c r="EG1649" s="305"/>
      <c r="EH1649" s="305"/>
      <c r="EI1649" s="305"/>
      <c r="EJ1649" s="305"/>
      <c r="EK1649" s="305"/>
      <c r="EL1649" s="305"/>
      <c r="EM1649" s="305"/>
      <c r="EN1649" s="305"/>
      <c r="EO1649" s="305"/>
      <c r="EP1649" s="305"/>
      <c r="EQ1649" s="305"/>
      <c r="ER1649" s="305"/>
      <c r="ES1649" s="305"/>
      <c r="ET1649" s="305"/>
      <c r="EU1649" s="305"/>
      <c r="EV1649" s="305"/>
      <c r="EW1649" s="305"/>
      <c r="EX1649" s="305"/>
      <c r="EY1649" s="305"/>
      <c r="EZ1649" s="305"/>
      <c r="FA1649" s="305"/>
      <c r="FB1649" s="305"/>
      <c r="FC1649" s="305"/>
      <c r="FD1649" s="305"/>
      <c r="FE1649" s="305"/>
      <c r="FF1649" s="305"/>
      <c r="FG1649" s="305"/>
      <c r="FH1649" s="305"/>
      <c r="FI1649" s="305"/>
      <c r="FJ1649" s="305"/>
      <c r="FK1649" s="305"/>
      <c r="FL1649" s="305"/>
      <c r="FM1649" s="305"/>
      <c r="FN1649" s="305"/>
      <c r="FO1649" s="305"/>
      <c r="FP1649" s="305"/>
      <c r="FQ1649" s="305"/>
      <c r="FR1649" s="305"/>
      <c r="FS1649" s="305"/>
      <c r="FT1649" s="305"/>
      <c r="FU1649" s="305"/>
      <c r="FV1649" s="305"/>
      <c r="FW1649" s="305"/>
      <c r="FX1649" s="305"/>
      <c r="FY1649" s="305"/>
      <c r="FZ1649" s="305"/>
      <c r="GA1649" s="305"/>
      <c r="GB1649" s="305"/>
      <c r="GC1649" s="305"/>
      <c r="GD1649" s="305"/>
      <c r="GE1649" s="305"/>
      <c r="GF1649" s="305"/>
      <c r="GG1649" s="305"/>
      <c r="GH1649" s="305"/>
      <c r="GI1649" s="305"/>
      <c r="GJ1649" s="305"/>
      <c r="GK1649" s="305"/>
      <c r="GL1649" s="305"/>
      <c r="GM1649" s="305"/>
      <c r="GN1649" s="305"/>
      <c r="GO1649" s="305"/>
      <c r="GP1649" s="305"/>
      <c r="GQ1649" s="305"/>
      <c r="GR1649" s="305"/>
      <c r="GS1649" s="305"/>
      <c r="GT1649" s="305"/>
      <c r="GU1649" s="305"/>
      <c r="GV1649" s="305"/>
      <c r="GW1649" s="305"/>
      <c r="GX1649" s="305"/>
      <c r="GY1649" s="305"/>
      <c r="GZ1649" s="305"/>
      <c r="HA1649" s="305"/>
      <c r="HB1649" s="305"/>
      <c r="HC1649" s="305"/>
      <c r="HD1649" s="305"/>
      <c r="HE1649" s="305"/>
      <c r="HF1649" s="305"/>
      <c r="HG1649" s="305"/>
      <c r="HH1649" s="305"/>
      <c r="HI1649" s="305"/>
      <c r="HJ1649" s="305"/>
      <c r="HK1649" s="305"/>
      <c r="HL1649" s="305"/>
      <c r="HM1649" s="305"/>
    </row>
    <row r="1650" spans="1:221" s="305" customFormat="1">
      <c r="A1650" s="1250" t="s">
        <v>942</v>
      </c>
      <c r="B1650" s="1272" t="s">
        <v>24</v>
      </c>
      <c r="C1650" s="1273" t="s">
        <v>941</v>
      </c>
      <c r="D1650" s="1274"/>
      <c r="E1650" s="1255">
        <v>34</v>
      </c>
      <c r="F1650" s="681" t="s">
        <v>943</v>
      </c>
      <c r="G1650" s="681" t="s">
        <v>1909</v>
      </c>
      <c r="H1650" s="683"/>
      <c r="I1650" s="689"/>
      <c r="J1650" s="685"/>
      <c r="K1650" s="685"/>
      <c r="L1650" s="689">
        <v>55</v>
      </c>
      <c r="M1650" s="683">
        <v>21</v>
      </c>
      <c r="N1650" s="706">
        <v>5</v>
      </c>
      <c r="O1650" s="645"/>
      <c r="P1650" s="484"/>
      <c r="Q1650" s="483"/>
      <c r="R1650" s="483"/>
      <c r="S1650" s="483"/>
      <c r="T1650" s="479"/>
      <c r="U1650" s="479"/>
      <c r="V1650" s="479"/>
      <c r="W1650" s="479"/>
      <c r="X1650" s="479"/>
      <c r="Y1650" s="479"/>
      <c r="Z1650" s="479"/>
      <c r="AA1650" s="479"/>
      <c r="AB1650" s="479"/>
      <c r="AC1650" s="479"/>
      <c r="AD1650" s="456"/>
      <c r="AE1650" s="456"/>
      <c r="AF1650" s="456"/>
      <c r="AG1650" s="456"/>
      <c r="AH1650" s="456"/>
      <c r="AI1650" s="456"/>
      <c r="AJ1650" s="456"/>
      <c r="AK1650" s="456"/>
      <c r="AL1650" s="456"/>
      <c r="AM1650" s="456"/>
      <c r="AN1650" s="456"/>
      <c r="AO1650" s="456"/>
      <c r="AP1650" s="456"/>
      <c r="AQ1650" s="456"/>
      <c r="AR1650" s="456"/>
      <c r="AS1650" s="456"/>
      <c r="AT1650" s="456"/>
      <c r="AU1650" s="456"/>
      <c r="AV1650" s="456"/>
      <c r="AW1650" s="456"/>
      <c r="AX1650" s="456"/>
      <c r="AY1650" s="456"/>
      <c r="AZ1650" s="456"/>
      <c r="BA1650" s="456"/>
      <c r="BB1650" s="456"/>
      <c r="BC1650" s="456"/>
      <c r="BD1650" s="456"/>
      <c r="BE1650" s="456"/>
      <c r="BF1650" s="456"/>
      <c r="BG1650" s="456"/>
      <c r="BH1650" s="456"/>
      <c r="BI1650" s="456"/>
      <c r="BJ1650" s="456"/>
      <c r="BK1650" s="456"/>
      <c r="BL1650" s="456"/>
      <c r="BM1650" s="456"/>
      <c r="BN1650" s="456"/>
      <c r="BO1650" s="456"/>
      <c r="BP1650" s="456"/>
      <c r="BQ1650" s="456"/>
      <c r="BR1650" s="456"/>
      <c r="BS1650" s="456"/>
      <c r="BT1650" s="456"/>
      <c r="BU1650" s="456"/>
      <c r="BV1650" s="456"/>
      <c r="BW1650" s="456"/>
      <c r="BX1650" s="456"/>
      <c r="BY1650" s="456"/>
      <c r="BZ1650" s="456"/>
      <c r="CA1650" s="456"/>
      <c r="CB1650" s="456"/>
      <c r="CC1650" s="456"/>
      <c r="CD1650" s="456"/>
      <c r="CE1650" s="456"/>
      <c r="CF1650" s="456"/>
      <c r="CG1650" s="456"/>
      <c r="CH1650" s="456"/>
      <c r="CI1650" s="456"/>
      <c r="CJ1650" s="456"/>
      <c r="CK1650" s="456"/>
      <c r="CL1650" s="456"/>
      <c r="CM1650" s="456"/>
      <c r="CN1650" s="456"/>
      <c r="CO1650" s="456"/>
      <c r="CP1650" s="456"/>
      <c r="CQ1650" s="456"/>
      <c r="CR1650" s="456"/>
      <c r="CS1650" s="456"/>
      <c r="CT1650" s="456"/>
      <c r="CU1650" s="456"/>
      <c r="CV1650" s="456"/>
      <c r="CW1650" s="456"/>
      <c r="CX1650" s="456"/>
      <c r="CY1650" s="456"/>
      <c r="CZ1650" s="456"/>
      <c r="DA1650" s="456"/>
      <c r="DB1650" s="456"/>
      <c r="DC1650" s="456"/>
      <c r="DD1650" s="456"/>
      <c r="DE1650" s="456"/>
      <c r="DF1650" s="456"/>
      <c r="DG1650" s="456"/>
      <c r="DH1650" s="456"/>
      <c r="DI1650" s="456"/>
      <c r="DJ1650" s="456"/>
      <c r="DK1650" s="456"/>
      <c r="DL1650" s="456"/>
      <c r="DM1650" s="456"/>
      <c r="DN1650" s="456"/>
      <c r="DO1650" s="456"/>
      <c r="DP1650" s="456"/>
      <c r="DQ1650" s="456"/>
      <c r="DR1650" s="456"/>
      <c r="DS1650" s="456"/>
      <c r="DT1650" s="456"/>
      <c r="DU1650" s="456"/>
      <c r="DV1650" s="456"/>
      <c r="DW1650" s="456"/>
      <c r="DX1650" s="456"/>
      <c r="DY1650" s="456"/>
      <c r="DZ1650" s="456"/>
      <c r="EA1650" s="456"/>
      <c r="EB1650" s="456"/>
      <c r="EC1650" s="456"/>
      <c r="ED1650" s="456"/>
      <c r="EE1650" s="456"/>
      <c r="EF1650" s="456"/>
      <c r="EG1650" s="456"/>
      <c r="EH1650" s="456"/>
      <c r="EI1650" s="456"/>
      <c r="EJ1650" s="456"/>
      <c r="EK1650" s="456"/>
      <c r="EL1650" s="456"/>
      <c r="EM1650" s="456"/>
      <c r="EN1650" s="456"/>
      <c r="EO1650" s="456"/>
      <c r="EP1650" s="456"/>
      <c r="EQ1650" s="456"/>
      <c r="ER1650" s="456"/>
      <c r="ES1650" s="456"/>
      <c r="ET1650" s="456"/>
      <c r="EU1650" s="456"/>
      <c r="EV1650" s="456"/>
      <c r="EW1650" s="456"/>
      <c r="EX1650" s="456"/>
      <c r="EY1650" s="456"/>
      <c r="EZ1650" s="456"/>
      <c r="FA1650" s="456"/>
      <c r="FB1650" s="456"/>
      <c r="FC1650" s="456"/>
      <c r="FD1650" s="456"/>
      <c r="FE1650" s="456"/>
      <c r="FF1650" s="456"/>
      <c r="FG1650" s="456"/>
      <c r="FH1650" s="456"/>
      <c r="FI1650" s="456"/>
      <c r="FJ1650" s="456"/>
      <c r="FK1650" s="456"/>
      <c r="FL1650" s="456"/>
      <c r="FM1650" s="456"/>
      <c r="FN1650" s="456"/>
      <c r="FO1650" s="456"/>
      <c r="FP1650" s="456"/>
      <c r="FQ1650" s="456"/>
      <c r="FR1650" s="456"/>
      <c r="FS1650" s="456"/>
      <c r="FT1650" s="456"/>
      <c r="FU1650" s="456"/>
      <c r="FV1650" s="456"/>
      <c r="FW1650" s="456"/>
      <c r="FX1650" s="456"/>
      <c r="FY1650" s="456"/>
      <c r="FZ1650" s="456"/>
      <c r="GA1650" s="456"/>
      <c r="GB1650" s="456"/>
      <c r="GC1650" s="456"/>
      <c r="GD1650" s="456"/>
      <c r="GE1650" s="456"/>
      <c r="GF1650" s="456"/>
      <c r="GG1650" s="456"/>
      <c r="GH1650" s="456"/>
      <c r="GI1650" s="456"/>
      <c r="GJ1650" s="456"/>
      <c r="GK1650" s="456"/>
      <c r="GL1650" s="456"/>
      <c r="GM1650" s="456"/>
      <c r="GN1650" s="456"/>
      <c r="GO1650" s="456"/>
      <c r="GP1650" s="456"/>
      <c r="GQ1650" s="456"/>
      <c r="GR1650" s="456"/>
      <c r="GS1650" s="456"/>
      <c r="GT1650" s="456"/>
      <c r="GU1650" s="456"/>
      <c r="GV1650" s="456"/>
      <c r="GW1650" s="456"/>
      <c r="GX1650" s="456"/>
      <c r="GY1650" s="456"/>
      <c r="GZ1650" s="456"/>
      <c r="HA1650" s="456"/>
      <c r="HB1650" s="456"/>
      <c r="HC1650" s="456"/>
      <c r="HD1650" s="456"/>
      <c r="HE1650" s="456"/>
      <c r="HF1650" s="456"/>
      <c r="HG1650" s="456"/>
      <c r="HH1650" s="456"/>
      <c r="HI1650" s="456"/>
      <c r="HJ1650" s="456"/>
      <c r="HK1650" s="456"/>
      <c r="HL1650" s="456"/>
      <c r="HM1650" s="456"/>
    </row>
    <row r="1651" spans="1:221" s="305" customFormat="1">
      <c r="A1651" s="1250" t="s">
        <v>944</v>
      </c>
      <c r="B1651" s="1272" t="s">
        <v>24</v>
      </c>
      <c r="C1651" s="1273" t="s">
        <v>941</v>
      </c>
      <c r="D1651" s="1274"/>
      <c r="E1651" s="1255">
        <v>45</v>
      </c>
      <c r="F1651" s="681" t="s">
        <v>945</v>
      </c>
      <c r="G1651" s="681" t="s">
        <v>1909</v>
      </c>
      <c r="H1651" s="683"/>
      <c r="I1651" s="689"/>
      <c r="J1651" s="685"/>
      <c r="K1651" s="685"/>
      <c r="L1651" s="689">
        <v>71</v>
      </c>
      <c r="M1651" s="683">
        <v>26</v>
      </c>
      <c r="N1651" s="706">
        <v>5</v>
      </c>
      <c r="O1651" s="645"/>
      <c r="P1651" s="484"/>
      <c r="Q1651" s="483"/>
      <c r="R1651" s="483"/>
      <c r="S1651" s="483"/>
      <c r="T1651" s="479"/>
      <c r="U1651" s="479"/>
      <c r="V1651" s="479"/>
      <c r="W1651" s="479"/>
      <c r="X1651" s="479"/>
      <c r="Y1651" s="479"/>
      <c r="Z1651" s="479"/>
      <c r="AA1651" s="479"/>
      <c r="AB1651" s="479"/>
      <c r="AC1651" s="479"/>
      <c r="AD1651" s="456"/>
      <c r="AE1651" s="456"/>
      <c r="AF1651" s="456"/>
      <c r="AG1651" s="456"/>
      <c r="AH1651" s="456"/>
      <c r="AI1651" s="456"/>
      <c r="AJ1651" s="456"/>
      <c r="AK1651" s="456"/>
      <c r="AL1651" s="456"/>
      <c r="AM1651" s="456"/>
      <c r="AN1651" s="456"/>
      <c r="AO1651" s="456"/>
      <c r="AP1651" s="456"/>
      <c r="AQ1651" s="456"/>
      <c r="AR1651" s="456"/>
      <c r="AS1651" s="456"/>
      <c r="AT1651" s="456"/>
      <c r="AU1651" s="456"/>
      <c r="AV1651" s="456"/>
      <c r="AW1651" s="456"/>
      <c r="AX1651" s="456"/>
      <c r="AY1651" s="456"/>
      <c r="AZ1651" s="456"/>
      <c r="BA1651" s="456"/>
      <c r="BB1651" s="456"/>
      <c r="BC1651" s="456"/>
      <c r="BD1651" s="456"/>
      <c r="BE1651" s="456"/>
      <c r="BF1651" s="456"/>
      <c r="BG1651" s="456"/>
      <c r="BH1651" s="456"/>
      <c r="BI1651" s="456"/>
      <c r="BJ1651" s="456"/>
      <c r="BK1651" s="456"/>
      <c r="BL1651" s="456"/>
      <c r="BM1651" s="456"/>
      <c r="BN1651" s="456"/>
      <c r="BO1651" s="456"/>
      <c r="BP1651" s="456"/>
      <c r="BQ1651" s="456"/>
      <c r="BR1651" s="456"/>
      <c r="BS1651" s="456"/>
      <c r="BT1651" s="456"/>
      <c r="BU1651" s="456"/>
      <c r="BV1651" s="456"/>
      <c r="BW1651" s="456"/>
      <c r="BX1651" s="456"/>
      <c r="BY1651" s="456"/>
      <c r="BZ1651" s="456"/>
      <c r="CA1651" s="456"/>
      <c r="CB1651" s="456"/>
      <c r="CC1651" s="456"/>
      <c r="CD1651" s="456"/>
      <c r="CE1651" s="456"/>
      <c r="CF1651" s="456"/>
      <c r="CG1651" s="456"/>
      <c r="CH1651" s="456"/>
      <c r="CI1651" s="456"/>
      <c r="CJ1651" s="456"/>
      <c r="CK1651" s="456"/>
      <c r="CL1651" s="456"/>
      <c r="CM1651" s="456"/>
      <c r="CN1651" s="456"/>
      <c r="CO1651" s="456"/>
      <c r="CP1651" s="456"/>
      <c r="CQ1651" s="456"/>
      <c r="CR1651" s="456"/>
      <c r="CS1651" s="456"/>
      <c r="CT1651" s="456"/>
      <c r="CU1651" s="456"/>
      <c r="CV1651" s="456"/>
      <c r="CW1651" s="456"/>
      <c r="CX1651" s="456"/>
      <c r="CY1651" s="456"/>
      <c r="CZ1651" s="456"/>
      <c r="DA1651" s="456"/>
      <c r="DB1651" s="456"/>
      <c r="DC1651" s="456"/>
      <c r="DD1651" s="456"/>
      <c r="DE1651" s="456"/>
      <c r="DF1651" s="456"/>
      <c r="DG1651" s="456"/>
      <c r="DH1651" s="456"/>
      <c r="DI1651" s="456"/>
      <c r="DJ1651" s="456"/>
      <c r="DK1651" s="456"/>
      <c r="DL1651" s="456"/>
      <c r="DM1651" s="456"/>
      <c r="DN1651" s="456"/>
      <c r="DO1651" s="456"/>
      <c r="DP1651" s="456"/>
      <c r="DQ1651" s="456"/>
      <c r="DR1651" s="456"/>
      <c r="DS1651" s="456"/>
      <c r="DT1651" s="456"/>
      <c r="DU1651" s="456"/>
      <c r="DV1651" s="456"/>
      <c r="DW1651" s="456"/>
      <c r="DX1651" s="456"/>
      <c r="DY1651" s="456"/>
      <c r="DZ1651" s="456"/>
      <c r="EA1651" s="456"/>
      <c r="EB1651" s="456"/>
      <c r="EC1651" s="456"/>
      <c r="ED1651" s="456"/>
      <c r="EE1651" s="456"/>
      <c r="EF1651" s="456"/>
      <c r="EG1651" s="456"/>
      <c r="EH1651" s="456"/>
      <c r="EI1651" s="456"/>
      <c r="EJ1651" s="456"/>
      <c r="EK1651" s="456"/>
      <c r="EL1651" s="456"/>
      <c r="EM1651" s="456"/>
      <c r="EN1651" s="456"/>
      <c r="EO1651" s="456"/>
      <c r="EP1651" s="456"/>
      <c r="EQ1651" s="456"/>
      <c r="ER1651" s="456"/>
      <c r="ES1651" s="456"/>
      <c r="ET1651" s="456"/>
      <c r="EU1651" s="456"/>
      <c r="EV1651" s="456"/>
      <c r="EW1651" s="456"/>
      <c r="EX1651" s="456"/>
      <c r="EY1651" s="456"/>
      <c r="EZ1651" s="456"/>
      <c r="FA1651" s="456"/>
      <c r="FB1651" s="456"/>
      <c r="FC1651" s="456"/>
      <c r="FD1651" s="456"/>
      <c r="FE1651" s="456"/>
      <c r="FF1651" s="456"/>
      <c r="FG1651" s="456"/>
      <c r="FH1651" s="456"/>
      <c r="FI1651" s="456"/>
      <c r="FJ1651" s="456"/>
      <c r="FK1651" s="456"/>
      <c r="FL1651" s="456"/>
      <c r="FM1651" s="456"/>
      <c r="FN1651" s="456"/>
      <c r="FO1651" s="456"/>
      <c r="FP1651" s="456"/>
      <c r="FQ1651" s="456"/>
      <c r="FR1651" s="456"/>
      <c r="FS1651" s="456"/>
      <c r="FT1651" s="456"/>
      <c r="FU1651" s="456"/>
      <c r="FV1651" s="456"/>
      <c r="FW1651" s="456"/>
      <c r="FX1651" s="456"/>
      <c r="FY1651" s="456"/>
      <c r="FZ1651" s="456"/>
      <c r="GA1651" s="456"/>
      <c r="GB1651" s="456"/>
      <c r="GC1651" s="456"/>
      <c r="GD1651" s="456"/>
      <c r="GE1651" s="456"/>
      <c r="GF1651" s="456"/>
      <c r="GG1651" s="456"/>
      <c r="GH1651" s="456"/>
      <c r="GI1651" s="456"/>
      <c r="GJ1651" s="456"/>
      <c r="GK1651" s="456"/>
      <c r="GL1651" s="456"/>
      <c r="GM1651" s="456"/>
      <c r="GN1651" s="456"/>
      <c r="GO1651" s="456"/>
      <c r="GP1651" s="456"/>
      <c r="GQ1651" s="456"/>
      <c r="GR1651" s="456"/>
      <c r="GS1651" s="456"/>
      <c r="GT1651" s="456"/>
      <c r="GU1651" s="456"/>
      <c r="GV1651" s="456"/>
      <c r="GW1651" s="456"/>
      <c r="GX1651" s="456"/>
      <c r="GY1651" s="456"/>
      <c r="GZ1651" s="456"/>
      <c r="HA1651" s="456"/>
      <c r="HB1651" s="456"/>
      <c r="HC1651" s="456"/>
      <c r="HD1651" s="456"/>
      <c r="HE1651" s="456"/>
      <c r="HF1651" s="456"/>
      <c r="HG1651" s="456"/>
      <c r="HH1651" s="456"/>
      <c r="HI1651" s="456"/>
      <c r="HJ1651" s="456"/>
      <c r="HK1651" s="456"/>
      <c r="HL1651" s="456"/>
      <c r="HM1651" s="456"/>
    </row>
    <row r="1652" spans="1:221" s="305" customFormat="1">
      <c r="A1652" s="1250" t="s">
        <v>942</v>
      </c>
      <c r="B1652" s="1272" t="s">
        <v>24</v>
      </c>
      <c r="C1652" s="1272" t="s">
        <v>946</v>
      </c>
      <c r="D1652" s="1274"/>
      <c r="E1652" s="1255">
        <v>29.5</v>
      </c>
      <c r="F1652" s="681" t="s">
        <v>947</v>
      </c>
      <c r="G1652" s="681" t="s">
        <v>1909</v>
      </c>
      <c r="H1652" s="683"/>
      <c r="I1652" s="689"/>
      <c r="J1652" s="685"/>
      <c r="K1652" s="685"/>
      <c r="L1652" s="689">
        <v>54</v>
      </c>
      <c r="M1652" s="683">
        <v>24.5</v>
      </c>
      <c r="N1652" s="706">
        <v>5</v>
      </c>
      <c r="O1652" s="645"/>
      <c r="P1652" s="441"/>
      <c r="Q1652" s="296"/>
      <c r="R1652" s="296"/>
      <c r="S1652" s="296"/>
      <c r="T1652" s="297"/>
      <c r="U1652" s="297"/>
      <c r="V1652" s="297"/>
      <c r="W1652" s="297"/>
      <c r="X1652" s="297"/>
      <c r="Y1652" s="297"/>
      <c r="Z1652" s="297"/>
      <c r="AA1652" s="297"/>
      <c r="AB1652" s="297"/>
      <c r="AC1652" s="297"/>
    </row>
    <row r="1653" spans="1:221" s="305" customFormat="1">
      <c r="A1653" s="1250" t="s">
        <v>2429</v>
      </c>
      <c r="B1653" s="1272" t="s">
        <v>24</v>
      </c>
      <c r="C1653" s="1273" t="s">
        <v>940</v>
      </c>
      <c r="D1653" s="1274"/>
      <c r="E1653" s="1255">
        <v>35</v>
      </c>
      <c r="F1653" s="681" t="s">
        <v>2430</v>
      </c>
      <c r="G1653" s="681"/>
      <c r="H1653" s="683"/>
      <c r="I1653" s="689"/>
      <c r="J1653" s="685"/>
      <c r="K1653" s="685"/>
      <c r="L1653" s="689">
        <f>35+25</f>
        <v>60</v>
      </c>
      <c r="M1653" s="683">
        <v>25</v>
      </c>
      <c r="N1653" s="706">
        <v>4</v>
      </c>
      <c r="O1653" s="645"/>
      <c r="P1653" s="441"/>
      <c r="Q1653" s="296"/>
      <c r="R1653" s="296"/>
      <c r="S1653" s="296"/>
      <c r="T1653" s="297"/>
      <c r="U1653" s="297"/>
      <c r="V1653" s="297"/>
      <c r="W1653" s="297"/>
      <c r="X1653" s="297"/>
      <c r="Y1653" s="297"/>
      <c r="Z1653" s="297"/>
      <c r="AA1653" s="297"/>
      <c r="AB1653" s="297"/>
      <c r="AC1653" s="297"/>
    </row>
    <row r="1654" spans="1:221" s="305" customFormat="1">
      <c r="A1654" s="1250" t="s">
        <v>190</v>
      </c>
      <c r="B1654" s="1272" t="s">
        <v>24</v>
      </c>
      <c r="C1654" s="1273" t="s">
        <v>251</v>
      </c>
      <c r="D1654" s="1274"/>
      <c r="E1654" s="1255">
        <v>32</v>
      </c>
      <c r="F1654" s="681"/>
      <c r="G1654" s="681" t="s">
        <v>1909</v>
      </c>
      <c r="H1654" s="683"/>
      <c r="I1654" s="689"/>
      <c r="J1654" s="685"/>
      <c r="K1654" s="685"/>
      <c r="L1654" s="689">
        <v>48</v>
      </c>
      <c r="M1654" s="683">
        <v>16</v>
      </c>
      <c r="N1654" s="706">
        <v>3</v>
      </c>
      <c r="O1654" s="645"/>
      <c r="P1654" s="441"/>
      <c r="Q1654" s="296"/>
      <c r="R1654" s="296"/>
      <c r="S1654" s="296"/>
      <c r="T1654" s="297"/>
      <c r="U1654" s="297"/>
      <c r="V1654" s="297"/>
      <c r="W1654" s="297"/>
      <c r="X1654" s="297"/>
      <c r="Y1654" s="297"/>
      <c r="Z1654" s="297"/>
      <c r="AA1654" s="297"/>
      <c r="AB1654" s="297"/>
      <c r="AC1654" s="297"/>
    </row>
    <row r="1655" spans="1:221" s="305" customFormat="1">
      <c r="A1655" s="1250" t="s">
        <v>354</v>
      </c>
      <c r="B1655" s="1272" t="s">
        <v>24</v>
      </c>
      <c r="C1655" s="1273" t="s">
        <v>251</v>
      </c>
      <c r="D1655" s="1274"/>
      <c r="E1655" s="1255">
        <v>41</v>
      </c>
      <c r="F1655" s="681"/>
      <c r="G1655" s="681" t="s">
        <v>1909</v>
      </c>
      <c r="H1655" s="683"/>
      <c r="I1655" s="689"/>
      <c r="J1655" s="685"/>
      <c r="K1655" s="685"/>
      <c r="L1655" s="689">
        <v>57</v>
      </c>
      <c r="M1655" s="683">
        <v>16</v>
      </c>
      <c r="N1655" s="706">
        <v>3</v>
      </c>
      <c r="O1655" s="645"/>
      <c r="P1655" s="441"/>
      <c r="Q1655" s="296"/>
      <c r="R1655" s="296"/>
      <c r="S1655" s="296"/>
      <c r="T1655" s="297"/>
      <c r="U1655" s="297"/>
      <c r="V1655" s="297"/>
      <c r="W1655" s="297"/>
      <c r="X1655" s="297"/>
      <c r="Y1655" s="297"/>
      <c r="Z1655" s="297"/>
      <c r="AA1655" s="297"/>
      <c r="AB1655" s="297"/>
      <c r="AC1655" s="297"/>
    </row>
    <row r="1656" spans="1:221" s="305" customFormat="1">
      <c r="A1656" s="1361" t="s">
        <v>2729</v>
      </c>
      <c r="B1656" s="1314" t="s">
        <v>482</v>
      </c>
      <c r="C1656" s="1316" t="s">
        <v>2431</v>
      </c>
      <c r="D1656" s="1312"/>
      <c r="E1656" s="1300">
        <v>40</v>
      </c>
      <c r="F1656" s="288"/>
      <c r="G1656" s="288"/>
      <c r="H1656" s="283"/>
      <c r="I1656" s="289"/>
      <c r="J1656" s="292"/>
      <c r="K1656" s="292"/>
      <c r="L1656" s="289">
        <f>M1656+E1656</f>
        <v>58</v>
      </c>
      <c r="M1656" s="283">
        <v>18</v>
      </c>
      <c r="N1656" s="634"/>
      <c r="O1656" s="645"/>
      <c r="P1656" s="441"/>
      <c r="Q1656" s="296"/>
      <c r="R1656" s="296"/>
      <c r="S1656" s="296"/>
      <c r="T1656" s="297"/>
      <c r="U1656" s="297"/>
      <c r="V1656" s="297"/>
      <c r="W1656" s="297"/>
      <c r="X1656" s="297"/>
      <c r="Y1656" s="297"/>
      <c r="Z1656" s="297"/>
      <c r="AA1656" s="297"/>
      <c r="AB1656" s="297"/>
      <c r="AC1656" s="297"/>
    </row>
    <row r="1657" spans="1:221" s="305" customFormat="1">
      <c r="A1657" s="1361" t="s">
        <v>2730</v>
      </c>
      <c r="B1657" s="1314" t="s">
        <v>482</v>
      </c>
      <c r="C1657" s="1316" t="s">
        <v>2431</v>
      </c>
      <c r="D1657" s="1312"/>
      <c r="E1657" s="1300">
        <v>36</v>
      </c>
      <c r="F1657" s="288"/>
      <c r="G1657" s="288"/>
      <c r="H1657" s="283"/>
      <c r="I1657" s="289"/>
      <c r="J1657" s="292"/>
      <c r="K1657" s="292"/>
      <c r="L1657" s="289">
        <f>M1657+E1657</f>
        <v>54</v>
      </c>
      <c r="M1657" s="283">
        <v>18</v>
      </c>
      <c r="N1657" s="634"/>
      <c r="O1657" s="645"/>
      <c r="P1657" s="441"/>
      <c r="Q1657" s="296"/>
      <c r="R1657" s="296"/>
      <c r="S1657" s="296"/>
      <c r="T1657" s="297"/>
      <c r="U1657" s="297"/>
      <c r="V1657" s="297"/>
      <c r="W1657" s="297"/>
      <c r="X1657" s="297"/>
      <c r="Y1657" s="297"/>
      <c r="Z1657" s="297"/>
      <c r="AA1657" s="297"/>
      <c r="AB1657" s="297"/>
      <c r="AC1657" s="297"/>
    </row>
    <row r="1658" spans="1:221" s="305" customFormat="1">
      <c r="A1658" s="2507" t="s">
        <v>4616</v>
      </c>
      <c r="B1658" s="1286" t="s">
        <v>482</v>
      </c>
      <c r="C1658" s="1280" t="s">
        <v>2845</v>
      </c>
      <c r="D1658" s="1281"/>
      <c r="E1658" s="1851">
        <v>32</v>
      </c>
      <c r="F1658" s="663"/>
      <c r="G1658" s="663"/>
      <c r="H1658" s="664"/>
      <c r="I1658" s="665"/>
      <c r="J1658" s="666"/>
      <c r="K1658" s="666"/>
      <c r="L1658" s="665">
        <f>M1658+E1658</f>
        <v>58</v>
      </c>
      <c r="M1658" s="664">
        <v>26</v>
      </c>
      <c r="N1658" s="667"/>
      <c r="O1658" s="1856" t="s">
        <v>3880</v>
      </c>
      <c r="P1658" s="2403" t="s">
        <v>4622</v>
      </c>
      <c r="Q1658" s="2403" t="s">
        <v>4603</v>
      </c>
      <c r="R1658" s="296"/>
      <c r="S1658" s="2483" t="s">
        <v>4615</v>
      </c>
      <c r="T1658" s="297"/>
      <c r="U1658" s="297"/>
      <c r="V1658" s="297"/>
      <c r="W1658" s="297"/>
      <c r="X1658" s="297"/>
      <c r="Y1658" s="297"/>
      <c r="Z1658" s="297"/>
      <c r="AA1658" s="297"/>
      <c r="AB1658" s="297"/>
      <c r="AC1658" s="297"/>
    </row>
    <row r="1659" spans="1:221" s="305" customFormat="1">
      <c r="A1659" s="2507" t="s">
        <v>4617</v>
      </c>
      <c r="B1659" s="1286" t="s">
        <v>482</v>
      </c>
      <c r="C1659" s="1280" t="s">
        <v>2845</v>
      </c>
      <c r="D1659" s="1281"/>
      <c r="E1659" s="1851">
        <v>45</v>
      </c>
      <c r="F1659" s="663"/>
      <c r="G1659" s="663"/>
      <c r="H1659" s="664"/>
      <c r="I1659" s="665"/>
      <c r="J1659" s="666"/>
      <c r="K1659" s="666"/>
      <c r="L1659" s="665">
        <f t="shared" ref="L1659" si="79">M1659+E1659</f>
        <v>71</v>
      </c>
      <c r="M1659" s="664">
        <v>26</v>
      </c>
      <c r="N1659" s="667"/>
      <c r="O1659" s="1856" t="s">
        <v>3880</v>
      </c>
      <c r="P1659" s="2403" t="s">
        <v>4622</v>
      </c>
      <c r="Q1659" s="2403" t="s">
        <v>4603</v>
      </c>
      <c r="R1659" s="296"/>
      <c r="S1659" s="2483" t="s">
        <v>4615</v>
      </c>
      <c r="T1659" s="297"/>
      <c r="U1659" s="297"/>
      <c r="V1659" s="297"/>
      <c r="W1659" s="297"/>
      <c r="X1659" s="297"/>
      <c r="Y1659" s="297"/>
      <c r="Z1659" s="297"/>
      <c r="AA1659" s="297"/>
      <c r="AB1659" s="297"/>
      <c r="AC1659" s="297"/>
    </row>
    <row r="1660" spans="1:221" s="305" customFormat="1">
      <c r="A1660" s="2507" t="s">
        <v>4618</v>
      </c>
      <c r="B1660" s="1286" t="s">
        <v>482</v>
      </c>
      <c r="C1660" s="1280" t="s">
        <v>2845</v>
      </c>
      <c r="D1660" s="1281"/>
      <c r="E1660" s="1851">
        <v>35</v>
      </c>
      <c r="F1660" s="663"/>
      <c r="G1660" s="663"/>
      <c r="H1660" s="664"/>
      <c r="I1660" s="665"/>
      <c r="J1660" s="666"/>
      <c r="K1660" s="666"/>
      <c r="L1660" s="665">
        <f t="shared" ref="L1660:L1663" si="80">M1660+E1660</f>
        <v>61</v>
      </c>
      <c r="M1660" s="664">
        <v>26</v>
      </c>
      <c r="N1660" s="667"/>
      <c r="O1660" s="1856" t="s">
        <v>3880</v>
      </c>
      <c r="P1660" s="2403" t="s">
        <v>4622</v>
      </c>
      <c r="Q1660" s="2403" t="s">
        <v>4603</v>
      </c>
      <c r="R1660" s="296"/>
      <c r="S1660" s="2483" t="s">
        <v>4615</v>
      </c>
      <c r="T1660" s="297"/>
      <c r="U1660" s="297"/>
      <c r="V1660" s="297"/>
      <c r="W1660" s="297"/>
      <c r="X1660" s="297"/>
      <c r="Y1660" s="297"/>
      <c r="Z1660" s="297"/>
      <c r="AA1660" s="297"/>
      <c r="AB1660" s="297"/>
      <c r="AC1660" s="297"/>
    </row>
    <row r="1661" spans="1:221" s="305" customFormat="1">
      <c r="A1661" s="2507" t="s">
        <v>4619</v>
      </c>
      <c r="B1661" s="1286" t="s">
        <v>482</v>
      </c>
      <c r="C1661" s="1280" t="s">
        <v>2845</v>
      </c>
      <c r="D1661" s="1281"/>
      <c r="E1661" s="1851">
        <v>48</v>
      </c>
      <c r="F1661" s="663"/>
      <c r="G1661" s="663"/>
      <c r="H1661" s="664"/>
      <c r="I1661" s="665"/>
      <c r="J1661" s="666"/>
      <c r="K1661" s="666"/>
      <c r="L1661" s="665">
        <f t="shared" si="80"/>
        <v>74</v>
      </c>
      <c r="M1661" s="664">
        <v>26</v>
      </c>
      <c r="N1661" s="667"/>
      <c r="O1661" s="1856" t="s">
        <v>3880</v>
      </c>
      <c r="P1661" s="2403" t="s">
        <v>4622</v>
      </c>
      <c r="Q1661" s="2403" t="s">
        <v>4603</v>
      </c>
      <c r="R1661" s="296"/>
      <c r="S1661" s="2483" t="s">
        <v>4615</v>
      </c>
      <c r="T1661" s="297"/>
      <c r="U1661" s="297"/>
      <c r="V1661" s="297"/>
      <c r="W1661" s="297"/>
      <c r="X1661" s="297"/>
      <c r="Y1661" s="297"/>
      <c r="Z1661" s="297"/>
      <c r="AA1661" s="297"/>
      <c r="AB1661" s="297"/>
      <c r="AC1661" s="297"/>
    </row>
    <row r="1662" spans="1:221" s="305" customFormat="1">
      <c r="A1662" s="2507" t="s">
        <v>4620</v>
      </c>
      <c r="B1662" s="1286" t="s">
        <v>482</v>
      </c>
      <c r="C1662" s="1280" t="s">
        <v>2845</v>
      </c>
      <c r="D1662" s="1281"/>
      <c r="E1662" s="1851">
        <v>40</v>
      </c>
      <c r="F1662" s="663"/>
      <c r="G1662" s="663"/>
      <c r="H1662" s="664"/>
      <c r="I1662" s="665"/>
      <c r="J1662" s="666"/>
      <c r="K1662" s="666"/>
      <c r="L1662" s="665">
        <f t="shared" si="80"/>
        <v>66</v>
      </c>
      <c r="M1662" s="664">
        <v>26</v>
      </c>
      <c r="N1662" s="667"/>
      <c r="O1662" s="1856" t="s">
        <v>3880</v>
      </c>
      <c r="P1662" s="2403" t="s">
        <v>4622</v>
      </c>
      <c r="Q1662" s="2403" t="s">
        <v>4603</v>
      </c>
      <c r="R1662" s="296"/>
      <c r="S1662" s="2483" t="s">
        <v>4615</v>
      </c>
      <c r="T1662" s="297"/>
      <c r="U1662" s="297"/>
      <c r="V1662" s="297"/>
      <c r="W1662" s="297"/>
      <c r="X1662" s="297"/>
      <c r="Y1662" s="297"/>
      <c r="Z1662" s="297"/>
      <c r="AA1662" s="297"/>
      <c r="AB1662" s="297"/>
      <c r="AC1662" s="297"/>
    </row>
    <row r="1663" spans="1:221" s="305" customFormat="1">
      <c r="A1663" s="2507" t="s">
        <v>4621</v>
      </c>
      <c r="B1663" s="1286" t="s">
        <v>482</v>
      </c>
      <c r="C1663" s="1280" t="s">
        <v>2845</v>
      </c>
      <c r="D1663" s="1281"/>
      <c r="E1663" s="1851">
        <v>53</v>
      </c>
      <c r="F1663" s="663"/>
      <c r="G1663" s="663"/>
      <c r="H1663" s="664"/>
      <c r="I1663" s="665"/>
      <c r="J1663" s="666"/>
      <c r="K1663" s="666"/>
      <c r="L1663" s="665">
        <f t="shared" si="80"/>
        <v>79</v>
      </c>
      <c r="M1663" s="664">
        <v>26</v>
      </c>
      <c r="N1663" s="667"/>
      <c r="O1663" s="1856" t="s">
        <v>3880</v>
      </c>
      <c r="P1663" s="2403" t="s">
        <v>4622</v>
      </c>
      <c r="Q1663" s="2403" t="s">
        <v>4603</v>
      </c>
      <c r="R1663" s="296"/>
      <c r="S1663" s="2483" t="s">
        <v>4615</v>
      </c>
      <c r="T1663" s="297"/>
      <c r="U1663" s="297"/>
      <c r="V1663" s="297"/>
      <c r="W1663" s="297"/>
      <c r="X1663" s="297"/>
      <c r="Y1663" s="297"/>
      <c r="Z1663" s="297"/>
      <c r="AA1663" s="297"/>
      <c r="AB1663" s="297"/>
      <c r="AC1663" s="297"/>
    </row>
    <row r="1664" spans="1:221" s="305" customFormat="1">
      <c r="A1664" s="703" t="s">
        <v>2432</v>
      </c>
      <c r="B1664" s="1272" t="s">
        <v>482</v>
      </c>
      <c r="C1664" s="1273" t="s">
        <v>490</v>
      </c>
      <c r="D1664" s="1274"/>
      <c r="E1664" s="1255">
        <v>75.5</v>
      </c>
      <c r="F1664" s="681"/>
      <c r="G1664" s="681"/>
      <c r="H1664" s="683"/>
      <c r="I1664" s="689"/>
      <c r="J1664" s="685"/>
      <c r="K1664" s="685"/>
      <c r="L1664" s="689">
        <f>75.5+65.5</f>
        <v>141</v>
      </c>
      <c r="M1664" s="683">
        <v>65.5</v>
      </c>
      <c r="N1664" s="1848">
        <v>4</v>
      </c>
      <c r="O1664" s="645"/>
      <c r="P1664" s="297"/>
      <c r="Q1664" s="2403" t="s">
        <v>4603</v>
      </c>
      <c r="R1664" s="297"/>
      <c r="S1664" s="297"/>
      <c r="T1664" s="297"/>
      <c r="U1664" s="297"/>
    </row>
    <row r="1665" spans="1:221" s="688" customFormat="1">
      <c r="A1665" s="703" t="s">
        <v>2433</v>
      </c>
      <c r="B1665" s="1272" t="s">
        <v>482</v>
      </c>
      <c r="C1665" s="1273" t="s">
        <v>490</v>
      </c>
      <c r="D1665" s="1274"/>
      <c r="E1665" s="1255">
        <v>55.5</v>
      </c>
      <c r="F1665" s="681"/>
      <c r="G1665" s="681"/>
      <c r="H1665" s="683"/>
      <c r="I1665" s="689"/>
      <c r="J1665" s="685"/>
      <c r="K1665" s="685"/>
      <c r="L1665" s="689">
        <f>55.5+45.5</f>
        <v>101</v>
      </c>
      <c r="M1665" s="683">
        <v>45.5</v>
      </c>
      <c r="N1665" s="1848">
        <v>4</v>
      </c>
      <c r="O1665" s="645"/>
      <c r="P1665" s="297"/>
      <c r="Q1665" s="2403" t="s">
        <v>4603</v>
      </c>
      <c r="R1665" s="297"/>
      <c r="S1665" s="297"/>
      <c r="T1665" s="297"/>
      <c r="U1665" s="297"/>
      <c r="V1665" s="305"/>
      <c r="W1665" s="305"/>
      <c r="X1665" s="305"/>
      <c r="Y1665" s="305"/>
      <c r="Z1665" s="305"/>
      <c r="AA1665" s="305"/>
      <c r="AB1665" s="305"/>
      <c r="AC1665" s="305"/>
      <c r="AD1665" s="305"/>
      <c r="AE1665" s="305"/>
      <c r="AF1665" s="305"/>
      <c r="AG1665" s="305"/>
      <c r="AH1665" s="305"/>
      <c r="AI1665" s="305"/>
      <c r="AJ1665" s="305"/>
      <c r="AK1665" s="305"/>
      <c r="AL1665" s="305"/>
      <c r="AM1665" s="305"/>
      <c r="AN1665" s="305"/>
      <c r="AO1665" s="305"/>
      <c r="AP1665" s="305"/>
      <c r="AQ1665" s="305"/>
      <c r="AR1665" s="305"/>
      <c r="AS1665" s="305"/>
      <c r="AT1665" s="305"/>
      <c r="AU1665" s="305"/>
      <c r="AV1665" s="305"/>
      <c r="AW1665" s="305"/>
      <c r="AX1665" s="305"/>
      <c r="AY1665" s="305"/>
      <c r="AZ1665" s="305"/>
      <c r="BA1665" s="305"/>
      <c r="BB1665" s="305"/>
      <c r="BC1665" s="305"/>
      <c r="BD1665" s="305"/>
      <c r="BE1665" s="305"/>
      <c r="BF1665" s="305"/>
      <c r="BG1665" s="305"/>
      <c r="BH1665" s="305"/>
      <c r="BI1665" s="305"/>
      <c r="BJ1665" s="305"/>
      <c r="BK1665" s="305"/>
      <c r="BL1665" s="305"/>
      <c r="BM1665" s="305"/>
      <c r="BN1665" s="305"/>
      <c r="BO1665" s="305"/>
      <c r="BP1665" s="305"/>
      <c r="BQ1665" s="305"/>
      <c r="BR1665" s="305"/>
      <c r="BS1665" s="305"/>
      <c r="BT1665" s="305"/>
      <c r="BU1665" s="305"/>
      <c r="BV1665" s="305"/>
      <c r="BW1665" s="305"/>
      <c r="BX1665" s="305"/>
      <c r="BY1665" s="305"/>
      <c r="BZ1665" s="305"/>
      <c r="CA1665" s="305"/>
      <c r="CB1665" s="305"/>
      <c r="CC1665" s="305"/>
      <c r="CD1665" s="305"/>
      <c r="CE1665" s="305"/>
      <c r="CF1665" s="305"/>
      <c r="CG1665" s="305"/>
      <c r="CH1665" s="305"/>
      <c r="CI1665" s="305"/>
      <c r="CJ1665" s="305"/>
      <c r="CK1665" s="305"/>
      <c r="CL1665" s="305"/>
      <c r="CM1665" s="305"/>
      <c r="CN1665" s="305"/>
      <c r="CO1665" s="305"/>
      <c r="CP1665" s="305"/>
      <c r="CQ1665" s="305"/>
      <c r="CR1665" s="305"/>
      <c r="CS1665" s="305"/>
      <c r="CT1665" s="305"/>
      <c r="CU1665" s="305"/>
      <c r="CV1665" s="305"/>
      <c r="CW1665" s="305"/>
      <c r="CX1665" s="305"/>
      <c r="CY1665" s="305"/>
      <c r="CZ1665" s="305"/>
      <c r="DA1665" s="305"/>
      <c r="DB1665" s="305"/>
      <c r="DC1665" s="305"/>
      <c r="DD1665" s="305"/>
      <c r="DE1665" s="305"/>
      <c r="DF1665" s="305"/>
      <c r="DG1665" s="305"/>
      <c r="DH1665" s="305"/>
      <c r="DI1665" s="305"/>
      <c r="DJ1665" s="305"/>
      <c r="DK1665" s="305"/>
      <c r="DL1665" s="305"/>
      <c r="DM1665" s="305"/>
      <c r="DN1665" s="305"/>
      <c r="DO1665" s="305"/>
      <c r="DP1665" s="305"/>
      <c r="DQ1665" s="305"/>
      <c r="DR1665" s="305"/>
      <c r="DS1665" s="305"/>
      <c r="DT1665" s="305"/>
      <c r="DU1665" s="305"/>
      <c r="DV1665" s="305"/>
      <c r="DW1665" s="305"/>
      <c r="DX1665" s="305"/>
      <c r="DY1665" s="305"/>
      <c r="DZ1665" s="305"/>
      <c r="EA1665" s="305"/>
      <c r="EB1665" s="305"/>
      <c r="EC1665" s="305"/>
      <c r="ED1665" s="305"/>
      <c r="EE1665" s="305"/>
      <c r="EF1665" s="305"/>
      <c r="EG1665" s="305"/>
      <c r="EH1665" s="305"/>
      <c r="EI1665" s="305"/>
      <c r="EJ1665" s="305"/>
      <c r="EK1665" s="305"/>
      <c r="EL1665" s="305"/>
      <c r="EM1665" s="305"/>
      <c r="EN1665" s="305"/>
      <c r="EO1665" s="305"/>
      <c r="EP1665" s="305"/>
      <c r="EQ1665" s="305"/>
      <c r="ER1665" s="305"/>
      <c r="ES1665" s="305"/>
      <c r="ET1665" s="305"/>
      <c r="EU1665" s="305"/>
      <c r="EV1665" s="305"/>
      <c r="EW1665" s="305"/>
      <c r="EX1665" s="305"/>
      <c r="EY1665" s="305"/>
      <c r="EZ1665" s="305"/>
      <c r="FA1665" s="305"/>
      <c r="FB1665" s="305"/>
      <c r="FC1665" s="305"/>
      <c r="FD1665" s="305"/>
      <c r="FE1665" s="305"/>
      <c r="FF1665" s="305"/>
      <c r="FG1665" s="305"/>
      <c r="FH1665" s="305"/>
      <c r="FI1665" s="305"/>
      <c r="FJ1665" s="305"/>
      <c r="FK1665" s="305"/>
      <c r="FL1665" s="305"/>
      <c r="FM1665" s="305"/>
      <c r="FN1665" s="305"/>
      <c r="FO1665" s="305"/>
      <c r="FP1665" s="305"/>
      <c r="FQ1665" s="305"/>
      <c r="FR1665" s="305"/>
      <c r="FS1665" s="305"/>
      <c r="FT1665" s="305"/>
      <c r="FU1665" s="305"/>
      <c r="FV1665" s="305"/>
      <c r="FW1665" s="305"/>
      <c r="FX1665" s="305"/>
      <c r="FY1665" s="305"/>
      <c r="FZ1665" s="305"/>
      <c r="GA1665" s="305"/>
      <c r="GB1665" s="305"/>
      <c r="GC1665" s="305"/>
      <c r="GD1665" s="305"/>
      <c r="GE1665" s="305"/>
      <c r="GF1665" s="305"/>
      <c r="GG1665" s="305"/>
      <c r="GH1665" s="305"/>
      <c r="GI1665" s="305"/>
      <c r="GJ1665" s="305"/>
      <c r="GK1665" s="305"/>
      <c r="GL1665" s="305"/>
      <c r="GM1665" s="305"/>
      <c r="GN1665" s="305"/>
      <c r="GO1665" s="305"/>
      <c r="GP1665" s="305"/>
      <c r="GQ1665" s="305"/>
      <c r="GR1665" s="305"/>
      <c r="GS1665" s="305"/>
      <c r="GT1665" s="305"/>
      <c r="GU1665" s="305"/>
      <c r="GV1665" s="305"/>
      <c r="GW1665" s="305"/>
      <c r="GX1665" s="305"/>
      <c r="GY1665" s="305"/>
      <c r="GZ1665" s="305"/>
      <c r="HA1665" s="305"/>
      <c r="HB1665" s="305"/>
      <c r="HC1665" s="305"/>
      <c r="HD1665" s="305"/>
      <c r="HE1665" s="305"/>
      <c r="HF1665" s="305"/>
      <c r="HG1665" s="305"/>
      <c r="HH1665" s="305"/>
      <c r="HI1665" s="305"/>
      <c r="HJ1665" s="305"/>
      <c r="HK1665" s="305"/>
      <c r="HL1665" s="305"/>
      <c r="HM1665" s="305"/>
    </row>
    <row r="1666" spans="1:221" s="688" customFormat="1">
      <c r="A1666" s="703"/>
      <c r="B1666" s="1272" t="s">
        <v>482</v>
      </c>
      <c r="C1666" s="1305" t="s">
        <v>2508</v>
      </c>
      <c r="D1666" s="1274"/>
      <c r="E1666" s="1255"/>
      <c r="F1666" s="681"/>
      <c r="G1666" s="681" t="s">
        <v>1909</v>
      </c>
      <c r="H1666" s="683"/>
      <c r="I1666" s="689"/>
      <c r="J1666" s="685"/>
      <c r="K1666" s="685"/>
      <c r="L1666" s="689"/>
      <c r="M1666" s="683"/>
      <c r="N1666" s="706"/>
      <c r="O1666" s="645"/>
      <c r="P1666" s="297"/>
      <c r="Q1666" s="2403" t="s">
        <v>4603</v>
      </c>
      <c r="R1666" s="297"/>
      <c r="S1666" s="297"/>
      <c r="T1666" s="297"/>
      <c r="U1666" s="297"/>
      <c r="V1666" s="305"/>
      <c r="W1666" s="305"/>
      <c r="X1666" s="305"/>
      <c r="Y1666" s="305"/>
      <c r="Z1666" s="305"/>
      <c r="AA1666" s="305"/>
      <c r="AB1666" s="305"/>
      <c r="AC1666" s="305"/>
      <c r="AD1666" s="305"/>
      <c r="AE1666" s="305"/>
      <c r="AF1666" s="305"/>
      <c r="AG1666" s="305"/>
      <c r="AH1666" s="305"/>
      <c r="AI1666" s="305"/>
      <c r="AJ1666" s="305"/>
      <c r="AK1666" s="305"/>
      <c r="AL1666" s="305"/>
      <c r="AM1666" s="305"/>
      <c r="AN1666" s="305"/>
      <c r="AO1666" s="305"/>
      <c r="AP1666" s="305"/>
      <c r="AQ1666" s="305"/>
      <c r="AR1666" s="305"/>
      <c r="AS1666" s="305"/>
      <c r="AT1666" s="305"/>
      <c r="AU1666" s="305"/>
      <c r="AV1666" s="305"/>
      <c r="AW1666" s="305"/>
      <c r="AX1666" s="305"/>
      <c r="AY1666" s="305"/>
      <c r="AZ1666" s="305"/>
      <c r="BA1666" s="305"/>
      <c r="BB1666" s="305"/>
      <c r="BC1666" s="305"/>
      <c r="BD1666" s="305"/>
      <c r="BE1666" s="305"/>
      <c r="BF1666" s="305"/>
      <c r="BG1666" s="305"/>
      <c r="BH1666" s="305"/>
      <c r="BI1666" s="305"/>
      <c r="BJ1666" s="305"/>
      <c r="BK1666" s="305"/>
      <c r="BL1666" s="305"/>
      <c r="BM1666" s="305"/>
      <c r="BN1666" s="305"/>
      <c r="BO1666" s="305"/>
      <c r="BP1666" s="305"/>
      <c r="BQ1666" s="305"/>
      <c r="BR1666" s="305"/>
      <c r="BS1666" s="305"/>
      <c r="BT1666" s="305"/>
      <c r="BU1666" s="305"/>
      <c r="BV1666" s="305"/>
      <c r="BW1666" s="305"/>
      <c r="BX1666" s="305"/>
      <c r="BY1666" s="305"/>
      <c r="BZ1666" s="305"/>
      <c r="CA1666" s="305"/>
      <c r="CB1666" s="305"/>
      <c r="CC1666" s="305"/>
      <c r="CD1666" s="305"/>
      <c r="CE1666" s="305"/>
      <c r="CF1666" s="305"/>
      <c r="CG1666" s="305"/>
      <c r="CH1666" s="305"/>
      <c r="CI1666" s="305"/>
      <c r="CJ1666" s="305"/>
      <c r="CK1666" s="305"/>
      <c r="CL1666" s="305"/>
      <c r="CM1666" s="305"/>
      <c r="CN1666" s="305"/>
      <c r="CO1666" s="305"/>
      <c r="CP1666" s="305"/>
      <c r="CQ1666" s="305"/>
      <c r="CR1666" s="305"/>
      <c r="CS1666" s="305"/>
      <c r="CT1666" s="305"/>
      <c r="CU1666" s="305"/>
      <c r="CV1666" s="305"/>
      <c r="CW1666" s="305"/>
      <c r="CX1666" s="305"/>
      <c r="CY1666" s="305"/>
      <c r="CZ1666" s="305"/>
      <c r="DA1666" s="305"/>
      <c r="DB1666" s="305"/>
      <c r="DC1666" s="305"/>
      <c r="DD1666" s="305"/>
      <c r="DE1666" s="305"/>
      <c r="DF1666" s="305"/>
      <c r="DG1666" s="305"/>
      <c r="DH1666" s="305"/>
      <c r="DI1666" s="305"/>
      <c r="DJ1666" s="305"/>
      <c r="DK1666" s="305"/>
      <c r="DL1666" s="305"/>
      <c r="DM1666" s="305"/>
      <c r="DN1666" s="305"/>
      <c r="DO1666" s="305"/>
      <c r="DP1666" s="305"/>
      <c r="DQ1666" s="305"/>
      <c r="DR1666" s="305"/>
      <c r="DS1666" s="305"/>
      <c r="DT1666" s="305"/>
      <c r="DU1666" s="305"/>
      <c r="DV1666" s="305"/>
      <c r="DW1666" s="305"/>
      <c r="DX1666" s="305"/>
      <c r="DY1666" s="305"/>
      <c r="DZ1666" s="305"/>
      <c r="EA1666" s="305"/>
      <c r="EB1666" s="305"/>
      <c r="EC1666" s="305"/>
      <c r="ED1666" s="305"/>
      <c r="EE1666" s="305"/>
      <c r="EF1666" s="305"/>
      <c r="EG1666" s="305"/>
      <c r="EH1666" s="305"/>
      <c r="EI1666" s="305"/>
      <c r="EJ1666" s="305"/>
      <c r="EK1666" s="305"/>
      <c r="EL1666" s="305"/>
      <c r="EM1666" s="305"/>
      <c r="EN1666" s="305"/>
      <c r="EO1666" s="305"/>
      <c r="EP1666" s="305"/>
      <c r="EQ1666" s="305"/>
      <c r="ER1666" s="305"/>
      <c r="ES1666" s="305"/>
      <c r="ET1666" s="305"/>
      <c r="EU1666" s="305"/>
      <c r="EV1666" s="305"/>
      <c r="EW1666" s="305"/>
      <c r="EX1666" s="305"/>
      <c r="EY1666" s="305"/>
      <c r="EZ1666" s="305"/>
      <c r="FA1666" s="305"/>
      <c r="FB1666" s="305"/>
      <c r="FC1666" s="305"/>
      <c r="FD1666" s="305"/>
      <c r="FE1666" s="305"/>
      <c r="FF1666" s="305"/>
      <c r="FG1666" s="305"/>
      <c r="FH1666" s="305"/>
      <c r="FI1666" s="305"/>
      <c r="FJ1666" s="305"/>
      <c r="FK1666" s="305"/>
      <c r="FL1666" s="305"/>
      <c r="FM1666" s="305"/>
      <c r="FN1666" s="305"/>
      <c r="FO1666" s="305"/>
      <c r="FP1666" s="305"/>
      <c r="FQ1666" s="305"/>
      <c r="FR1666" s="305"/>
      <c r="FS1666" s="305"/>
      <c r="FT1666" s="305"/>
      <c r="FU1666" s="305"/>
      <c r="FV1666" s="305"/>
      <c r="FW1666" s="305"/>
      <c r="FX1666" s="305"/>
      <c r="FY1666" s="305"/>
      <c r="FZ1666" s="305"/>
      <c r="GA1666" s="305"/>
      <c r="GB1666" s="305"/>
      <c r="GC1666" s="305"/>
      <c r="GD1666" s="305"/>
      <c r="GE1666" s="305"/>
      <c r="GF1666" s="305"/>
      <c r="GG1666" s="305"/>
      <c r="GH1666" s="305"/>
      <c r="GI1666" s="305"/>
      <c r="GJ1666" s="305"/>
      <c r="GK1666" s="305"/>
      <c r="GL1666" s="305"/>
      <c r="GM1666" s="305"/>
      <c r="GN1666" s="305"/>
      <c r="GO1666" s="305"/>
      <c r="GP1666" s="305"/>
      <c r="GQ1666" s="305"/>
      <c r="GR1666" s="305"/>
      <c r="GS1666" s="305"/>
      <c r="GT1666" s="305"/>
      <c r="GU1666" s="305"/>
      <c r="GV1666" s="305"/>
      <c r="GW1666" s="305"/>
      <c r="GX1666" s="305"/>
      <c r="GY1666" s="305"/>
      <c r="GZ1666" s="305"/>
      <c r="HA1666" s="305"/>
      <c r="HB1666" s="305"/>
      <c r="HC1666" s="305"/>
      <c r="HD1666" s="305"/>
      <c r="HE1666" s="305"/>
      <c r="HF1666" s="305"/>
      <c r="HG1666" s="305"/>
      <c r="HH1666" s="305"/>
      <c r="HI1666" s="305"/>
      <c r="HJ1666" s="305"/>
      <c r="HK1666" s="305"/>
      <c r="HL1666" s="305"/>
      <c r="HM1666" s="305"/>
    </row>
    <row r="1667" spans="1:221" s="688" customFormat="1">
      <c r="A1667" s="703"/>
      <c r="B1667" s="1272" t="s">
        <v>482</v>
      </c>
      <c r="C1667" s="1273" t="s">
        <v>952</v>
      </c>
      <c r="D1667" s="1274"/>
      <c r="E1667" s="1255">
        <v>52.5</v>
      </c>
      <c r="F1667" s="681" t="s">
        <v>951</v>
      </c>
      <c r="G1667" s="681" t="s">
        <v>1909</v>
      </c>
      <c r="H1667" s="683"/>
      <c r="I1667" s="689"/>
      <c r="J1667" s="685"/>
      <c r="K1667" s="685"/>
      <c r="L1667" s="689">
        <v>93</v>
      </c>
      <c r="M1667" s="683">
        <v>40.5</v>
      </c>
      <c r="N1667" s="706">
        <v>5</v>
      </c>
      <c r="O1667" s="645"/>
      <c r="P1667" s="297"/>
      <c r="Q1667" s="297"/>
      <c r="R1667" s="297"/>
      <c r="S1667" s="297"/>
      <c r="T1667" s="297"/>
      <c r="U1667" s="297"/>
      <c r="V1667" s="305"/>
      <c r="W1667" s="305"/>
      <c r="X1667" s="305"/>
      <c r="Y1667" s="305"/>
      <c r="Z1667" s="305"/>
      <c r="AA1667" s="305"/>
      <c r="AB1667" s="305"/>
      <c r="AC1667" s="305"/>
      <c r="AD1667" s="305"/>
      <c r="AE1667" s="305"/>
      <c r="AF1667" s="305"/>
      <c r="AG1667" s="305"/>
      <c r="AH1667" s="305"/>
      <c r="AI1667" s="305"/>
      <c r="AJ1667" s="305"/>
      <c r="AK1667" s="305"/>
      <c r="AL1667" s="305"/>
      <c r="AM1667" s="305"/>
      <c r="AN1667" s="305"/>
      <c r="AO1667" s="305"/>
      <c r="AP1667" s="305"/>
      <c r="AQ1667" s="305"/>
      <c r="AR1667" s="305"/>
      <c r="AS1667" s="305"/>
      <c r="AT1667" s="305"/>
      <c r="AU1667" s="305"/>
      <c r="AV1667" s="305"/>
      <c r="AW1667" s="305"/>
      <c r="AX1667" s="305"/>
      <c r="AY1667" s="305"/>
      <c r="AZ1667" s="305"/>
      <c r="BA1667" s="305"/>
      <c r="BB1667" s="305"/>
      <c r="BC1667" s="305"/>
      <c r="BD1667" s="305"/>
      <c r="BE1667" s="305"/>
      <c r="BF1667" s="305"/>
      <c r="BG1667" s="305"/>
      <c r="BH1667" s="305"/>
      <c r="BI1667" s="305"/>
      <c r="BJ1667" s="305"/>
      <c r="BK1667" s="305"/>
      <c r="BL1667" s="305"/>
      <c r="BM1667" s="305"/>
      <c r="BN1667" s="305"/>
      <c r="BO1667" s="305"/>
      <c r="BP1667" s="305"/>
      <c r="BQ1667" s="305"/>
      <c r="BR1667" s="305"/>
      <c r="BS1667" s="305"/>
      <c r="BT1667" s="305"/>
      <c r="BU1667" s="305"/>
      <c r="BV1667" s="305"/>
      <c r="BW1667" s="305"/>
      <c r="BX1667" s="305"/>
      <c r="BY1667" s="305"/>
      <c r="BZ1667" s="305"/>
      <c r="CA1667" s="305"/>
      <c r="CB1667" s="305"/>
      <c r="CC1667" s="305"/>
      <c r="CD1667" s="305"/>
      <c r="CE1667" s="305"/>
      <c r="CF1667" s="305"/>
      <c r="CG1667" s="305"/>
      <c r="CH1667" s="305"/>
      <c r="CI1667" s="305"/>
      <c r="CJ1667" s="305"/>
      <c r="CK1667" s="305"/>
      <c r="CL1667" s="305"/>
      <c r="CM1667" s="305"/>
      <c r="CN1667" s="305"/>
      <c r="CO1667" s="305"/>
      <c r="CP1667" s="305"/>
      <c r="CQ1667" s="305"/>
      <c r="CR1667" s="305"/>
      <c r="CS1667" s="305"/>
      <c r="CT1667" s="305"/>
      <c r="CU1667" s="305"/>
      <c r="CV1667" s="305"/>
      <c r="CW1667" s="305"/>
      <c r="CX1667" s="305"/>
      <c r="CY1667" s="305"/>
      <c r="CZ1667" s="305"/>
      <c r="DA1667" s="305"/>
      <c r="DB1667" s="305"/>
      <c r="DC1667" s="305"/>
      <c r="DD1667" s="305"/>
      <c r="DE1667" s="305"/>
      <c r="DF1667" s="305"/>
      <c r="DG1667" s="305"/>
      <c r="DH1667" s="305"/>
      <c r="DI1667" s="305"/>
      <c r="DJ1667" s="305"/>
      <c r="DK1667" s="305"/>
      <c r="DL1667" s="305"/>
      <c r="DM1667" s="305"/>
      <c r="DN1667" s="305"/>
      <c r="DO1667" s="305"/>
      <c r="DP1667" s="305"/>
      <c r="DQ1667" s="305"/>
      <c r="DR1667" s="305"/>
      <c r="DS1667" s="305"/>
      <c r="DT1667" s="305"/>
      <c r="DU1667" s="305"/>
      <c r="DV1667" s="305"/>
      <c r="DW1667" s="305"/>
      <c r="DX1667" s="305"/>
      <c r="DY1667" s="305"/>
      <c r="DZ1667" s="305"/>
      <c r="EA1667" s="305"/>
      <c r="EB1667" s="305"/>
      <c r="EC1667" s="305"/>
      <c r="ED1667" s="305"/>
      <c r="EE1667" s="305"/>
      <c r="EF1667" s="305"/>
      <c r="EG1667" s="305"/>
      <c r="EH1667" s="305"/>
      <c r="EI1667" s="305"/>
      <c r="EJ1667" s="305"/>
      <c r="EK1667" s="305"/>
      <c r="EL1667" s="305"/>
      <c r="EM1667" s="305"/>
      <c r="EN1667" s="305"/>
      <c r="EO1667" s="305"/>
      <c r="EP1667" s="305"/>
      <c r="EQ1667" s="305"/>
      <c r="ER1667" s="305"/>
      <c r="ES1667" s="305"/>
      <c r="ET1667" s="305"/>
      <c r="EU1667" s="305"/>
      <c r="EV1667" s="305"/>
      <c r="EW1667" s="305"/>
      <c r="EX1667" s="305"/>
      <c r="EY1667" s="305"/>
      <c r="EZ1667" s="305"/>
      <c r="FA1667" s="305"/>
      <c r="FB1667" s="305"/>
      <c r="FC1667" s="305"/>
      <c r="FD1667" s="305"/>
      <c r="FE1667" s="305"/>
      <c r="FF1667" s="305"/>
      <c r="FG1667" s="305"/>
      <c r="FH1667" s="305"/>
      <c r="FI1667" s="305"/>
      <c r="FJ1667" s="305"/>
      <c r="FK1667" s="305"/>
      <c r="FL1667" s="305"/>
      <c r="FM1667" s="305"/>
      <c r="FN1667" s="305"/>
      <c r="FO1667" s="305"/>
      <c r="FP1667" s="305"/>
      <c r="FQ1667" s="305"/>
      <c r="FR1667" s="305"/>
      <c r="FS1667" s="305"/>
      <c r="FT1667" s="305"/>
      <c r="FU1667" s="305"/>
      <c r="FV1667" s="305"/>
      <c r="FW1667" s="305"/>
      <c r="FX1667" s="305"/>
      <c r="FY1667" s="305"/>
      <c r="FZ1667" s="305"/>
      <c r="GA1667" s="305"/>
      <c r="GB1667" s="305"/>
      <c r="GC1667" s="305"/>
      <c r="GD1667" s="305"/>
      <c r="GE1667" s="305"/>
      <c r="GF1667" s="305"/>
      <c r="GG1667" s="305"/>
      <c r="GH1667" s="305"/>
      <c r="GI1667" s="305"/>
      <c r="GJ1667" s="305"/>
      <c r="GK1667" s="305"/>
      <c r="GL1667" s="305"/>
      <c r="GM1667" s="305"/>
      <c r="GN1667" s="305"/>
      <c r="GO1667" s="305"/>
      <c r="GP1667" s="305"/>
      <c r="GQ1667" s="305"/>
      <c r="GR1667" s="305"/>
      <c r="GS1667" s="305"/>
      <c r="GT1667" s="305"/>
      <c r="GU1667" s="305"/>
      <c r="GV1667" s="305"/>
      <c r="GW1667" s="305"/>
      <c r="GX1667" s="305"/>
      <c r="GY1667" s="305"/>
      <c r="GZ1667" s="305"/>
      <c r="HA1667" s="305"/>
      <c r="HB1667" s="305"/>
      <c r="HC1667" s="305"/>
      <c r="HD1667" s="305"/>
      <c r="HE1667" s="305"/>
      <c r="HF1667" s="305"/>
      <c r="HG1667" s="305"/>
      <c r="HH1667" s="305"/>
      <c r="HI1667" s="305"/>
      <c r="HJ1667" s="305"/>
      <c r="HK1667" s="305"/>
      <c r="HL1667" s="305"/>
      <c r="HM1667" s="305"/>
    </row>
    <row r="1668" spans="1:221" s="688" customFormat="1">
      <c r="A1668" s="703" t="s">
        <v>953</v>
      </c>
      <c r="B1668" s="1272" t="s">
        <v>482</v>
      </c>
      <c r="C1668" s="1273" t="s">
        <v>952</v>
      </c>
      <c r="D1668" s="1274"/>
      <c r="E1668" s="1255">
        <v>93.5</v>
      </c>
      <c r="F1668" s="681"/>
      <c r="G1668" s="681" t="s">
        <v>1909</v>
      </c>
      <c r="H1668" s="683"/>
      <c r="I1668" s="689"/>
      <c r="J1668" s="685"/>
      <c r="K1668" s="685"/>
      <c r="L1668" s="689">
        <v>164</v>
      </c>
      <c r="M1668" s="683">
        <v>70.5</v>
      </c>
      <c r="N1668" s="706">
        <v>5</v>
      </c>
      <c r="O1668" s="645"/>
      <c r="P1668" s="297"/>
      <c r="Q1668" s="297"/>
      <c r="R1668" s="297"/>
      <c r="S1668" s="297"/>
      <c r="T1668" s="297"/>
      <c r="U1668" s="297"/>
      <c r="V1668" s="305"/>
      <c r="W1668" s="305"/>
      <c r="X1668" s="305"/>
      <c r="Y1668" s="305"/>
      <c r="Z1668" s="305"/>
      <c r="AA1668" s="305"/>
      <c r="AB1668" s="305"/>
      <c r="AC1668" s="305"/>
      <c r="AD1668" s="305"/>
      <c r="AE1668" s="305"/>
      <c r="AF1668" s="305"/>
      <c r="AG1668" s="305"/>
      <c r="AH1668" s="305"/>
      <c r="AI1668" s="305"/>
      <c r="AJ1668" s="305"/>
      <c r="AK1668" s="305"/>
      <c r="AL1668" s="305"/>
      <c r="AM1668" s="305"/>
      <c r="AN1668" s="305"/>
      <c r="AO1668" s="305"/>
      <c r="AP1668" s="305"/>
      <c r="AQ1668" s="305"/>
      <c r="AR1668" s="305"/>
      <c r="AS1668" s="305"/>
      <c r="AT1668" s="305"/>
      <c r="AU1668" s="305"/>
      <c r="AV1668" s="305"/>
      <c r="AW1668" s="305"/>
      <c r="AX1668" s="305"/>
      <c r="AY1668" s="305"/>
      <c r="AZ1668" s="305"/>
      <c r="BA1668" s="305"/>
      <c r="BB1668" s="305"/>
      <c r="BC1668" s="305"/>
      <c r="BD1668" s="305"/>
      <c r="BE1668" s="305"/>
      <c r="BF1668" s="305"/>
      <c r="BG1668" s="305"/>
      <c r="BH1668" s="305"/>
      <c r="BI1668" s="305"/>
      <c r="BJ1668" s="305"/>
      <c r="BK1668" s="305"/>
      <c r="BL1668" s="305"/>
      <c r="BM1668" s="305"/>
      <c r="BN1668" s="305"/>
      <c r="BO1668" s="305"/>
      <c r="BP1668" s="305"/>
      <c r="BQ1668" s="305"/>
      <c r="BR1668" s="305"/>
      <c r="BS1668" s="305"/>
      <c r="BT1668" s="305"/>
      <c r="BU1668" s="305"/>
      <c r="BV1668" s="305"/>
      <c r="BW1668" s="305"/>
      <c r="BX1668" s="305"/>
      <c r="BY1668" s="305"/>
      <c r="BZ1668" s="305"/>
      <c r="CA1668" s="305"/>
      <c r="CB1668" s="305"/>
      <c r="CC1668" s="305"/>
      <c r="CD1668" s="305"/>
      <c r="CE1668" s="305"/>
      <c r="CF1668" s="305"/>
      <c r="CG1668" s="305"/>
      <c r="CH1668" s="305"/>
      <c r="CI1668" s="305"/>
      <c r="CJ1668" s="305"/>
      <c r="CK1668" s="305"/>
      <c r="CL1668" s="305"/>
      <c r="CM1668" s="305"/>
      <c r="CN1668" s="305"/>
      <c r="CO1668" s="305"/>
      <c r="CP1668" s="305"/>
      <c r="CQ1668" s="305"/>
      <c r="CR1668" s="305"/>
      <c r="CS1668" s="305"/>
      <c r="CT1668" s="305"/>
      <c r="CU1668" s="305"/>
      <c r="CV1668" s="305"/>
      <c r="CW1668" s="305"/>
      <c r="CX1668" s="305"/>
      <c r="CY1668" s="305"/>
      <c r="CZ1668" s="305"/>
      <c r="DA1668" s="305"/>
      <c r="DB1668" s="305"/>
      <c r="DC1668" s="305"/>
      <c r="DD1668" s="305"/>
      <c r="DE1668" s="305"/>
      <c r="DF1668" s="305"/>
      <c r="DG1668" s="305"/>
      <c r="DH1668" s="305"/>
      <c r="DI1668" s="305"/>
      <c r="DJ1668" s="305"/>
      <c r="DK1668" s="305"/>
      <c r="DL1668" s="305"/>
      <c r="DM1668" s="305"/>
      <c r="DN1668" s="305"/>
      <c r="DO1668" s="305"/>
      <c r="DP1668" s="305"/>
      <c r="DQ1668" s="305"/>
      <c r="DR1668" s="305"/>
      <c r="DS1668" s="305"/>
      <c r="DT1668" s="305"/>
      <c r="DU1668" s="305"/>
      <c r="DV1668" s="305"/>
      <c r="DW1668" s="305"/>
      <c r="DX1668" s="305"/>
      <c r="DY1668" s="305"/>
      <c r="DZ1668" s="305"/>
      <c r="EA1668" s="305"/>
      <c r="EB1668" s="305"/>
      <c r="EC1668" s="305"/>
      <c r="ED1668" s="305"/>
      <c r="EE1668" s="305"/>
      <c r="EF1668" s="305"/>
      <c r="EG1668" s="305"/>
      <c r="EH1668" s="305"/>
      <c r="EI1668" s="305"/>
      <c r="EJ1668" s="305"/>
      <c r="EK1668" s="305"/>
      <c r="EL1668" s="305"/>
      <c r="EM1668" s="305"/>
      <c r="EN1668" s="305"/>
      <c r="EO1668" s="305"/>
      <c r="EP1668" s="305"/>
      <c r="EQ1668" s="305"/>
      <c r="ER1668" s="305"/>
      <c r="ES1668" s="305"/>
      <c r="ET1668" s="305"/>
      <c r="EU1668" s="305"/>
      <c r="EV1668" s="305"/>
      <c r="EW1668" s="305"/>
      <c r="EX1668" s="305"/>
      <c r="EY1668" s="305"/>
      <c r="EZ1668" s="305"/>
      <c r="FA1668" s="305"/>
      <c r="FB1668" s="305"/>
      <c r="FC1668" s="305"/>
      <c r="FD1668" s="305"/>
      <c r="FE1668" s="305"/>
      <c r="FF1668" s="305"/>
      <c r="FG1668" s="305"/>
      <c r="FH1668" s="305"/>
      <c r="FI1668" s="305"/>
      <c r="FJ1668" s="305"/>
      <c r="FK1668" s="305"/>
      <c r="FL1668" s="305"/>
      <c r="FM1668" s="305"/>
      <c r="FN1668" s="305"/>
      <c r="FO1668" s="305"/>
      <c r="FP1668" s="305"/>
      <c r="FQ1668" s="305"/>
      <c r="FR1668" s="305"/>
      <c r="FS1668" s="305"/>
      <c r="FT1668" s="305"/>
      <c r="FU1668" s="305"/>
      <c r="FV1668" s="305"/>
      <c r="FW1668" s="305"/>
      <c r="FX1668" s="305"/>
      <c r="FY1668" s="305"/>
      <c r="FZ1668" s="305"/>
      <c r="GA1668" s="305"/>
      <c r="GB1668" s="305"/>
      <c r="GC1668" s="305"/>
      <c r="GD1668" s="305"/>
      <c r="GE1668" s="305"/>
      <c r="GF1668" s="305"/>
      <c r="GG1668" s="305"/>
      <c r="GH1668" s="305"/>
      <c r="GI1668" s="305"/>
      <c r="GJ1668" s="305"/>
      <c r="GK1668" s="305"/>
      <c r="GL1668" s="305"/>
      <c r="GM1668" s="305"/>
      <c r="GN1668" s="305"/>
      <c r="GO1668" s="305"/>
      <c r="GP1668" s="305"/>
      <c r="GQ1668" s="305"/>
      <c r="GR1668" s="305"/>
      <c r="GS1668" s="305"/>
      <c r="GT1668" s="305"/>
      <c r="GU1668" s="305"/>
      <c r="GV1668" s="305"/>
      <c r="GW1668" s="305"/>
      <c r="GX1668" s="305"/>
      <c r="GY1668" s="305"/>
      <c r="GZ1668" s="305"/>
      <c r="HA1668" s="305"/>
      <c r="HB1668" s="305"/>
      <c r="HC1668" s="305"/>
      <c r="HD1668" s="305"/>
      <c r="HE1668" s="305"/>
      <c r="HF1668" s="305"/>
      <c r="HG1668" s="305"/>
      <c r="HH1668" s="305"/>
      <c r="HI1668" s="305"/>
      <c r="HJ1668" s="305"/>
      <c r="HK1668" s="305"/>
      <c r="HL1668" s="305"/>
      <c r="HM1668" s="305"/>
    </row>
    <row r="1669" spans="1:221" s="305" customFormat="1">
      <c r="A1669" s="703" t="s">
        <v>354</v>
      </c>
      <c r="B1669" s="1272" t="s">
        <v>482</v>
      </c>
      <c r="C1669" s="1273" t="s">
        <v>960</v>
      </c>
      <c r="D1669" s="1274"/>
      <c r="E1669" s="1255">
        <v>99</v>
      </c>
      <c r="F1669" s="681"/>
      <c r="G1669" s="681"/>
      <c r="H1669" s="683"/>
      <c r="I1669" s="689"/>
      <c r="J1669" s="685"/>
      <c r="K1669" s="685"/>
      <c r="L1669" s="689">
        <v>161</v>
      </c>
      <c r="M1669" s="683">
        <v>62</v>
      </c>
      <c r="N1669" s="706">
        <v>5</v>
      </c>
      <c r="O1669" s="711" t="s">
        <v>1551</v>
      </c>
      <c r="P1669" s="696"/>
      <c r="Q1669" s="696"/>
      <c r="R1669" s="696"/>
      <c r="S1669" s="696"/>
      <c r="T1669" s="696"/>
      <c r="U1669" s="696"/>
      <c r="V1669" s="688"/>
      <c r="W1669" s="688"/>
      <c r="X1669" s="688"/>
      <c r="Y1669" s="688"/>
      <c r="Z1669" s="688"/>
      <c r="AA1669" s="688"/>
      <c r="AB1669" s="688"/>
      <c r="AC1669" s="688"/>
      <c r="AD1669" s="688"/>
      <c r="AE1669" s="688"/>
      <c r="AF1669" s="688"/>
      <c r="AG1669" s="688"/>
      <c r="AH1669" s="688"/>
      <c r="AI1669" s="688"/>
      <c r="AJ1669" s="688"/>
      <c r="AK1669" s="688"/>
      <c r="AL1669" s="688"/>
      <c r="AM1669" s="688"/>
      <c r="AN1669" s="688"/>
      <c r="AO1669" s="688"/>
      <c r="AP1669" s="688"/>
      <c r="AQ1669" s="688"/>
      <c r="AR1669" s="688"/>
      <c r="AS1669" s="688"/>
      <c r="AT1669" s="688"/>
      <c r="AU1669" s="688"/>
      <c r="AV1669" s="688"/>
      <c r="AW1669" s="688"/>
      <c r="AX1669" s="688"/>
      <c r="AY1669" s="688"/>
      <c r="AZ1669" s="688"/>
      <c r="BA1669" s="688"/>
      <c r="BB1669" s="688"/>
      <c r="BC1669" s="688"/>
      <c r="BD1669" s="688"/>
      <c r="BE1669" s="688"/>
      <c r="BF1669" s="688"/>
      <c r="BG1669" s="688"/>
      <c r="BH1669" s="688"/>
      <c r="BI1669" s="688"/>
      <c r="BJ1669" s="688"/>
      <c r="BK1669" s="688"/>
      <c r="BL1669" s="688"/>
      <c r="BM1669" s="688"/>
      <c r="BN1669" s="688"/>
      <c r="BO1669" s="688"/>
      <c r="BP1669" s="688"/>
      <c r="BQ1669" s="688"/>
      <c r="BR1669" s="688"/>
      <c r="BS1669" s="688"/>
      <c r="BT1669" s="688"/>
      <c r="BU1669" s="688"/>
      <c r="BV1669" s="688"/>
      <c r="BW1669" s="688"/>
      <c r="BX1669" s="688"/>
      <c r="BY1669" s="688"/>
      <c r="BZ1669" s="688"/>
      <c r="CA1669" s="688"/>
      <c r="CB1669" s="688"/>
      <c r="CC1669" s="688"/>
      <c r="CD1669" s="688"/>
      <c r="CE1669" s="688"/>
      <c r="CF1669" s="688"/>
      <c r="CG1669" s="688"/>
      <c r="CH1669" s="688"/>
      <c r="CI1669" s="688"/>
      <c r="CJ1669" s="688"/>
      <c r="CK1669" s="688"/>
      <c r="CL1669" s="688"/>
      <c r="CM1669" s="688"/>
      <c r="CN1669" s="688"/>
      <c r="CO1669" s="688"/>
      <c r="CP1669" s="688"/>
      <c r="CQ1669" s="688"/>
      <c r="CR1669" s="688"/>
      <c r="CS1669" s="688"/>
      <c r="CT1669" s="688"/>
      <c r="CU1669" s="688"/>
      <c r="CV1669" s="688"/>
      <c r="CW1669" s="688"/>
      <c r="CX1669" s="688"/>
      <c r="CY1669" s="688"/>
      <c r="CZ1669" s="688"/>
      <c r="DA1669" s="688"/>
      <c r="DB1669" s="688"/>
      <c r="DC1669" s="688"/>
      <c r="DD1669" s="688"/>
      <c r="DE1669" s="688"/>
      <c r="DF1669" s="688"/>
      <c r="DG1669" s="688"/>
      <c r="DH1669" s="688"/>
      <c r="DI1669" s="688"/>
      <c r="DJ1669" s="688"/>
      <c r="DK1669" s="688"/>
      <c r="DL1669" s="688"/>
      <c r="DM1669" s="688"/>
      <c r="DN1669" s="688"/>
      <c r="DO1669" s="688"/>
      <c r="DP1669" s="688"/>
      <c r="DQ1669" s="688"/>
      <c r="DR1669" s="688"/>
      <c r="DS1669" s="688"/>
      <c r="DT1669" s="688"/>
      <c r="DU1669" s="688"/>
      <c r="DV1669" s="688"/>
      <c r="DW1669" s="688"/>
      <c r="DX1669" s="688"/>
      <c r="DY1669" s="688"/>
      <c r="DZ1669" s="688"/>
      <c r="EA1669" s="688"/>
      <c r="EB1669" s="688"/>
      <c r="EC1669" s="688"/>
      <c r="ED1669" s="688"/>
      <c r="EE1669" s="688"/>
      <c r="EF1669" s="688"/>
      <c r="EG1669" s="688"/>
      <c r="EH1669" s="688"/>
      <c r="EI1669" s="688"/>
      <c r="EJ1669" s="688"/>
      <c r="EK1669" s="688"/>
      <c r="EL1669" s="688"/>
      <c r="EM1669" s="688"/>
      <c r="EN1669" s="688"/>
      <c r="EO1669" s="688"/>
      <c r="EP1669" s="688"/>
      <c r="EQ1669" s="688"/>
      <c r="ER1669" s="688"/>
      <c r="ES1669" s="688"/>
      <c r="ET1669" s="688"/>
      <c r="EU1669" s="688"/>
      <c r="EV1669" s="688"/>
      <c r="EW1669" s="688"/>
      <c r="EX1669" s="688"/>
      <c r="EY1669" s="688"/>
      <c r="EZ1669" s="688"/>
      <c r="FA1669" s="688"/>
      <c r="FB1669" s="688"/>
      <c r="FC1669" s="688"/>
      <c r="FD1669" s="688"/>
      <c r="FE1669" s="688"/>
      <c r="FF1669" s="688"/>
      <c r="FG1669" s="688"/>
      <c r="FH1669" s="688"/>
      <c r="FI1669" s="688"/>
      <c r="FJ1669" s="688"/>
      <c r="FK1669" s="688"/>
      <c r="FL1669" s="688"/>
      <c r="FM1669" s="688"/>
      <c r="FN1669" s="688"/>
      <c r="FO1669" s="688"/>
      <c r="FP1669" s="688"/>
      <c r="FQ1669" s="688"/>
      <c r="FR1669" s="688"/>
      <c r="FS1669" s="688"/>
      <c r="FT1669" s="688"/>
      <c r="FU1669" s="688"/>
      <c r="FV1669" s="688"/>
      <c r="FW1669" s="688"/>
      <c r="FX1669" s="688"/>
      <c r="FY1669" s="688"/>
      <c r="FZ1669" s="688"/>
      <c r="GA1669" s="688"/>
      <c r="GB1669" s="688"/>
      <c r="GC1669" s="688"/>
      <c r="GD1669" s="688"/>
      <c r="GE1669" s="688"/>
      <c r="GF1669" s="688"/>
      <c r="GG1669" s="688"/>
      <c r="GH1669" s="688"/>
      <c r="GI1669" s="688"/>
      <c r="GJ1669" s="688"/>
      <c r="GK1669" s="688"/>
      <c r="GL1669" s="688"/>
      <c r="GM1669" s="688"/>
      <c r="GN1669" s="688"/>
      <c r="GO1669" s="688"/>
      <c r="GP1669" s="688"/>
      <c r="GQ1669" s="688"/>
      <c r="GR1669" s="688"/>
      <c r="GS1669" s="688"/>
      <c r="GT1669" s="688"/>
      <c r="GU1669" s="688"/>
      <c r="GV1669" s="688"/>
      <c r="GW1669" s="688"/>
      <c r="GX1669" s="688"/>
      <c r="GY1669" s="688"/>
      <c r="GZ1669" s="688"/>
      <c r="HA1669" s="688"/>
      <c r="HB1669" s="688"/>
      <c r="HC1669" s="688"/>
      <c r="HD1669" s="688"/>
      <c r="HE1669" s="688"/>
      <c r="HF1669" s="688"/>
      <c r="HG1669" s="688"/>
      <c r="HH1669" s="688"/>
      <c r="HI1669" s="688"/>
      <c r="HJ1669" s="688"/>
      <c r="HK1669" s="688"/>
      <c r="HL1669" s="688"/>
      <c r="HM1669" s="688"/>
    </row>
    <row r="1670" spans="1:221" s="305" customFormat="1">
      <c r="A1670" s="703" t="s">
        <v>355</v>
      </c>
      <c r="B1670" s="1272" t="s">
        <v>482</v>
      </c>
      <c r="C1670" s="1273" t="s">
        <v>960</v>
      </c>
      <c r="D1670" s="1274"/>
      <c r="E1670" s="1255">
        <v>62</v>
      </c>
      <c r="F1670" s="681"/>
      <c r="G1670" s="681"/>
      <c r="H1670" s="683"/>
      <c r="I1670" s="689"/>
      <c r="J1670" s="685"/>
      <c r="K1670" s="685"/>
      <c r="L1670" s="689">
        <v>101</v>
      </c>
      <c r="M1670" s="683">
        <v>39</v>
      </c>
      <c r="N1670" s="706">
        <v>5</v>
      </c>
      <c r="O1670" s="711" t="s">
        <v>1551</v>
      </c>
      <c r="P1670" s="696"/>
      <c r="Q1670" s="696"/>
      <c r="R1670" s="696"/>
      <c r="S1670" s="696"/>
      <c r="T1670" s="696"/>
      <c r="U1670" s="696"/>
      <c r="V1670" s="688"/>
      <c r="W1670" s="688"/>
      <c r="X1670" s="688"/>
      <c r="Y1670" s="688"/>
      <c r="Z1670" s="688"/>
      <c r="AA1670" s="688"/>
      <c r="AB1670" s="688"/>
      <c r="AC1670" s="688"/>
      <c r="AD1670" s="688"/>
      <c r="AE1670" s="688"/>
      <c r="AF1670" s="688"/>
      <c r="AG1670" s="688"/>
      <c r="AH1670" s="688"/>
      <c r="AI1670" s="688"/>
      <c r="AJ1670" s="688"/>
      <c r="AK1670" s="688"/>
      <c r="AL1670" s="688"/>
      <c r="AM1670" s="688"/>
      <c r="AN1670" s="688"/>
      <c r="AO1670" s="688"/>
      <c r="AP1670" s="688"/>
      <c r="AQ1670" s="688"/>
      <c r="AR1670" s="688"/>
      <c r="AS1670" s="688"/>
      <c r="AT1670" s="688"/>
      <c r="AU1670" s="688"/>
      <c r="AV1670" s="688"/>
      <c r="AW1670" s="688"/>
      <c r="AX1670" s="688"/>
      <c r="AY1670" s="688"/>
      <c r="AZ1670" s="688"/>
      <c r="BA1670" s="688"/>
      <c r="BB1670" s="688"/>
      <c r="BC1670" s="688"/>
      <c r="BD1670" s="688"/>
      <c r="BE1670" s="688"/>
      <c r="BF1670" s="688"/>
      <c r="BG1670" s="688"/>
      <c r="BH1670" s="688"/>
      <c r="BI1670" s="688"/>
      <c r="BJ1670" s="688"/>
      <c r="BK1670" s="688"/>
      <c r="BL1670" s="688"/>
      <c r="BM1670" s="688"/>
      <c r="BN1670" s="688"/>
      <c r="BO1670" s="688"/>
      <c r="BP1670" s="688"/>
      <c r="BQ1670" s="688"/>
      <c r="BR1670" s="688"/>
      <c r="BS1670" s="688"/>
      <c r="BT1670" s="688"/>
      <c r="BU1670" s="688"/>
      <c r="BV1670" s="688"/>
      <c r="BW1670" s="688"/>
      <c r="BX1670" s="688"/>
      <c r="BY1670" s="688"/>
      <c r="BZ1670" s="688"/>
      <c r="CA1670" s="688"/>
      <c r="CB1670" s="688"/>
      <c r="CC1670" s="688"/>
      <c r="CD1670" s="688"/>
      <c r="CE1670" s="688"/>
      <c r="CF1670" s="688"/>
      <c r="CG1670" s="688"/>
      <c r="CH1670" s="688"/>
      <c r="CI1670" s="688"/>
      <c r="CJ1670" s="688"/>
      <c r="CK1670" s="688"/>
      <c r="CL1670" s="688"/>
      <c r="CM1670" s="688"/>
      <c r="CN1670" s="688"/>
      <c r="CO1670" s="688"/>
      <c r="CP1670" s="688"/>
      <c r="CQ1670" s="688"/>
      <c r="CR1670" s="688"/>
      <c r="CS1670" s="688"/>
      <c r="CT1670" s="688"/>
      <c r="CU1670" s="688"/>
      <c r="CV1670" s="688"/>
      <c r="CW1670" s="688"/>
      <c r="CX1670" s="688"/>
      <c r="CY1670" s="688"/>
      <c r="CZ1670" s="688"/>
      <c r="DA1670" s="688"/>
      <c r="DB1670" s="688"/>
      <c r="DC1670" s="688"/>
      <c r="DD1670" s="688"/>
      <c r="DE1670" s="688"/>
      <c r="DF1670" s="688"/>
      <c r="DG1670" s="688"/>
      <c r="DH1670" s="688"/>
      <c r="DI1670" s="688"/>
      <c r="DJ1670" s="688"/>
      <c r="DK1670" s="688"/>
      <c r="DL1670" s="688"/>
      <c r="DM1670" s="688"/>
      <c r="DN1670" s="688"/>
      <c r="DO1670" s="688"/>
      <c r="DP1670" s="688"/>
      <c r="DQ1670" s="688"/>
      <c r="DR1670" s="688"/>
      <c r="DS1670" s="688"/>
      <c r="DT1670" s="688"/>
      <c r="DU1670" s="688"/>
      <c r="DV1670" s="688"/>
      <c r="DW1670" s="688"/>
      <c r="DX1670" s="688"/>
      <c r="DY1670" s="688"/>
      <c r="DZ1670" s="688"/>
      <c r="EA1670" s="688"/>
      <c r="EB1670" s="688"/>
      <c r="EC1670" s="688"/>
      <c r="ED1670" s="688"/>
      <c r="EE1670" s="688"/>
      <c r="EF1670" s="688"/>
      <c r="EG1670" s="688"/>
      <c r="EH1670" s="688"/>
      <c r="EI1670" s="688"/>
      <c r="EJ1670" s="688"/>
      <c r="EK1670" s="688"/>
      <c r="EL1670" s="688"/>
      <c r="EM1670" s="688"/>
      <c r="EN1670" s="688"/>
      <c r="EO1670" s="688"/>
      <c r="EP1670" s="688"/>
      <c r="EQ1670" s="688"/>
      <c r="ER1670" s="688"/>
      <c r="ES1670" s="688"/>
      <c r="ET1670" s="688"/>
      <c r="EU1670" s="688"/>
      <c r="EV1670" s="688"/>
      <c r="EW1670" s="688"/>
      <c r="EX1670" s="688"/>
      <c r="EY1670" s="688"/>
      <c r="EZ1670" s="688"/>
      <c r="FA1670" s="688"/>
      <c r="FB1670" s="688"/>
      <c r="FC1670" s="688"/>
      <c r="FD1670" s="688"/>
      <c r="FE1670" s="688"/>
      <c r="FF1670" s="688"/>
      <c r="FG1670" s="688"/>
      <c r="FH1670" s="688"/>
      <c r="FI1670" s="688"/>
      <c r="FJ1670" s="688"/>
      <c r="FK1670" s="688"/>
      <c r="FL1670" s="688"/>
      <c r="FM1670" s="688"/>
      <c r="FN1670" s="688"/>
      <c r="FO1670" s="688"/>
      <c r="FP1670" s="688"/>
      <c r="FQ1670" s="688"/>
      <c r="FR1670" s="688"/>
      <c r="FS1670" s="688"/>
      <c r="FT1670" s="688"/>
      <c r="FU1670" s="688"/>
      <c r="FV1670" s="688"/>
      <c r="FW1670" s="688"/>
      <c r="FX1670" s="688"/>
      <c r="FY1670" s="688"/>
      <c r="FZ1670" s="688"/>
      <c r="GA1670" s="688"/>
      <c r="GB1670" s="688"/>
      <c r="GC1670" s="688"/>
      <c r="GD1670" s="688"/>
      <c r="GE1670" s="688"/>
      <c r="GF1670" s="688"/>
      <c r="GG1670" s="688"/>
      <c r="GH1670" s="688"/>
      <c r="GI1670" s="688"/>
      <c r="GJ1670" s="688"/>
      <c r="GK1670" s="688"/>
      <c r="GL1670" s="688"/>
      <c r="GM1670" s="688"/>
      <c r="GN1670" s="688"/>
      <c r="GO1670" s="688"/>
      <c r="GP1670" s="688"/>
      <c r="GQ1670" s="688"/>
      <c r="GR1670" s="688"/>
      <c r="GS1670" s="688"/>
      <c r="GT1670" s="688"/>
      <c r="GU1670" s="688"/>
      <c r="GV1670" s="688"/>
      <c r="GW1670" s="688"/>
      <c r="GX1670" s="688"/>
      <c r="GY1670" s="688"/>
      <c r="GZ1670" s="688"/>
      <c r="HA1670" s="688"/>
      <c r="HB1670" s="688"/>
      <c r="HC1670" s="688"/>
      <c r="HD1670" s="688"/>
      <c r="HE1670" s="688"/>
      <c r="HF1670" s="688"/>
      <c r="HG1670" s="688"/>
      <c r="HH1670" s="688"/>
      <c r="HI1670" s="688"/>
      <c r="HJ1670" s="688"/>
      <c r="HK1670" s="688"/>
      <c r="HL1670" s="688"/>
      <c r="HM1670" s="688"/>
    </row>
    <row r="1671" spans="1:221" s="305" customFormat="1">
      <c r="A1671" s="703" t="s">
        <v>853</v>
      </c>
      <c r="B1671" s="1272" t="s">
        <v>482</v>
      </c>
      <c r="C1671" s="1273" t="s">
        <v>960</v>
      </c>
      <c r="D1671" s="1274"/>
      <c r="E1671" s="1255">
        <v>146</v>
      </c>
      <c r="F1671" s="681"/>
      <c r="G1671" s="681"/>
      <c r="H1671" s="683"/>
      <c r="I1671" s="689"/>
      <c r="J1671" s="685"/>
      <c r="K1671" s="685"/>
      <c r="L1671" s="689">
        <v>252</v>
      </c>
      <c r="M1671" s="683">
        <v>106</v>
      </c>
      <c r="N1671" s="706">
        <v>5</v>
      </c>
      <c r="O1671" s="711" t="s">
        <v>1551</v>
      </c>
      <c r="P1671" s="696"/>
      <c r="Q1671" s="696" t="s">
        <v>1557</v>
      </c>
      <c r="R1671" s="696"/>
      <c r="S1671" s="696"/>
      <c r="T1671" s="696"/>
      <c r="U1671" s="696"/>
      <c r="V1671" s="688"/>
      <c r="W1671" s="688"/>
      <c r="X1671" s="688"/>
      <c r="Y1671" s="688"/>
      <c r="Z1671" s="688"/>
      <c r="AA1671" s="688"/>
      <c r="AB1671" s="688"/>
      <c r="AC1671" s="688"/>
      <c r="AD1671" s="688"/>
      <c r="AE1671" s="688"/>
      <c r="AF1671" s="688"/>
      <c r="AG1671" s="688"/>
      <c r="AH1671" s="688"/>
      <c r="AI1671" s="688"/>
      <c r="AJ1671" s="688"/>
      <c r="AK1671" s="688"/>
      <c r="AL1671" s="688"/>
      <c r="AM1671" s="688"/>
      <c r="AN1671" s="688"/>
      <c r="AO1671" s="688"/>
      <c r="AP1671" s="688"/>
      <c r="AQ1671" s="688"/>
      <c r="AR1671" s="688"/>
      <c r="AS1671" s="688"/>
      <c r="AT1671" s="688"/>
      <c r="AU1671" s="688"/>
      <c r="AV1671" s="688"/>
      <c r="AW1671" s="688"/>
      <c r="AX1671" s="688"/>
      <c r="AY1671" s="688"/>
      <c r="AZ1671" s="688"/>
      <c r="BA1671" s="688"/>
      <c r="BB1671" s="688"/>
      <c r="BC1671" s="688"/>
      <c r="BD1671" s="688"/>
      <c r="BE1671" s="688"/>
      <c r="BF1671" s="688"/>
      <c r="BG1671" s="688"/>
      <c r="BH1671" s="688"/>
      <c r="BI1671" s="688"/>
      <c r="BJ1671" s="688"/>
      <c r="BK1671" s="688"/>
      <c r="BL1671" s="688"/>
      <c r="BM1671" s="688"/>
      <c r="BN1671" s="688"/>
      <c r="BO1671" s="688"/>
      <c r="BP1671" s="688"/>
      <c r="BQ1671" s="688"/>
      <c r="BR1671" s="688"/>
      <c r="BS1671" s="688"/>
      <c r="BT1671" s="688"/>
      <c r="BU1671" s="688"/>
      <c r="BV1671" s="688"/>
      <c r="BW1671" s="688"/>
      <c r="BX1671" s="688"/>
      <c r="BY1671" s="688"/>
      <c r="BZ1671" s="688"/>
      <c r="CA1671" s="688"/>
      <c r="CB1671" s="688"/>
      <c r="CC1671" s="688"/>
      <c r="CD1671" s="688"/>
      <c r="CE1671" s="688"/>
      <c r="CF1671" s="688"/>
      <c r="CG1671" s="688"/>
      <c r="CH1671" s="688"/>
      <c r="CI1671" s="688"/>
      <c r="CJ1671" s="688"/>
      <c r="CK1671" s="688"/>
      <c r="CL1671" s="688"/>
      <c r="CM1671" s="688"/>
      <c r="CN1671" s="688"/>
      <c r="CO1671" s="688"/>
      <c r="CP1671" s="688"/>
      <c r="CQ1671" s="688"/>
      <c r="CR1671" s="688"/>
      <c r="CS1671" s="688"/>
      <c r="CT1671" s="688"/>
      <c r="CU1671" s="688"/>
      <c r="CV1671" s="688"/>
      <c r="CW1671" s="688"/>
      <c r="CX1671" s="688"/>
      <c r="CY1671" s="688"/>
      <c r="CZ1671" s="688"/>
      <c r="DA1671" s="688"/>
      <c r="DB1671" s="688"/>
      <c r="DC1671" s="688"/>
      <c r="DD1671" s="688"/>
      <c r="DE1671" s="688"/>
      <c r="DF1671" s="688"/>
      <c r="DG1671" s="688"/>
      <c r="DH1671" s="688"/>
      <c r="DI1671" s="688"/>
      <c r="DJ1671" s="688"/>
      <c r="DK1671" s="688"/>
      <c r="DL1671" s="688"/>
      <c r="DM1671" s="688"/>
      <c r="DN1671" s="688"/>
      <c r="DO1671" s="688"/>
      <c r="DP1671" s="688"/>
      <c r="DQ1671" s="688"/>
      <c r="DR1671" s="688"/>
      <c r="DS1671" s="688"/>
      <c r="DT1671" s="688"/>
      <c r="DU1671" s="688"/>
      <c r="DV1671" s="688"/>
      <c r="DW1671" s="688"/>
      <c r="DX1671" s="688"/>
      <c r="DY1671" s="688"/>
      <c r="DZ1671" s="688"/>
      <c r="EA1671" s="688"/>
      <c r="EB1671" s="688"/>
      <c r="EC1671" s="688"/>
      <c r="ED1671" s="688"/>
      <c r="EE1671" s="688"/>
      <c r="EF1671" s="688"/>
      <c r="EG1671" s="688"/>
      <c r="EH1671" s="688"/>
      <c r="EI1671" s="688"/>
      <c r="EJ1671" s="688"/>
      <c r="EK1671" s="688"/>
      <c r="EL1671" s="688"/>
      <c r="EM1671" s="688"/>
      <c r="EN1671" s="688"/>
      <c r="EO1671" s="688"/>
      <c r="EP1671" s="688"/>
      <c r="EQ1671" s="688"/>
      <c r="ER1671" s="688"/>
      <c r="ES1671" s="688"/>
      <c r="ET1671" s="688"/>
      <c r="EU1671" s="688"/>
      <c r="EV1671" s="688"/>
      <c r="EW1671" s="688"/>
      <c r="EX1671" s="688"/>
      <c r="EY1671" s="688"/>
      <c r="EZ1671" s="688"/>
      <c r="FA1671" s="688"/>
      <c r="FB1671" s="688"/>
      <c r="FC1671" s="688"/>
      <c r="FD1671" s="688"/>
      <c r="FE1671" s="688"/>
      <c r="FF1671" s="688"/>
      <c r="FG1671" s="688"/>
      <c r="FH1671" s="688"/>
      <c r="FI1671" s="688"/>
      <c r="FJ1671" s="688"/>
      <c r="FK1671" s="688"/>
      <c r="FL1671" s="688"/>
      <c r="FM1671" s="688"/>
      <c r="FN1671" s="688"/>
      <c r="FO1671" s="688"/>
      <c r="FP1671" s="688"/>
      <c r="FQ1671" s="688"/>
      <c r="FR1671" s="688"/>
      <c r="FS1671" s="688"/>
      <c r="FT1671" s="688"/>
      <c r="FU1671" s="688"/>
      <c r="FV1671" s="688"/>
      <c r="FW1671" s="688"/>
      <c r="FX1671" s="688"/>
      <c r="FY1671" s="688"/>
      <c r="FZ1671" s="688"/>
      <c r="GA1671" s="688"/>
      <c r="GB1671" s="688"/>
      <c r="GC1671" s="688"/>
      <c r="GD1671" s="688"/>
      <c r="GE1671" s="688"/>
      <c r="GF1671" s="688"/>
      <c r="GG1671" s="688"/>
      <c r="GH1671" s="688"/>
      <c r="GI1671" s="688"/>
      <c r="GJ1671" s="688"/>
      <c r="GK1671" s="688"/>
      <c r="GL1671" s="688"/>
      <c r="GM1671" s="688"/>
      <c r="GN1671" s="688"/>
      <c r="GO1671" s="688"/>
      <c r="GP1671" s="688"/>
      <c r="GQ1671" s="688"/>
      <c r="GR1671" s="688"/>
      <c r="GS1671" s="688"/>
      <c r="GT1671" s="688"/>
      <c r="GU1671" s="688"/>
      <c r="GV1671" s="688"/>
      <c r="GW1671" s="688"/>
      <c r="GX1671" s="688"/>
      <c r="GY1671" s="688"/>
      <c r="GZ1671" s="688"/>
      <c r="HA1671" s="688"/>
      <c r="HB1671" s="688"/>
      <c r="HC1671" s="688"/>
      <c r="HD1671" s="688"/>
      <c r="HE1671" s="688"/>
      <c r="HF1671" s="688"/>
      <c r="HG1671" s="688"/>
      <c r="HH1671" s="688"/>
      <c r="HI1671" s="688"/>
      <c r="HJ1671" s="688"/>
      <c r="HK1671" s="688"/>
      <c r="HL1671" s="688"/>
      <c r="HM1671" s="688"/>
    </row>
    <row r="1672" spans="1:221" s="305" customFormat="1">
      <c r="A1672" s="703" t="s">
        <v>853</v>
      </c>
      <c r="B1672" s="1272" t="s">
        <v>482</v>
      </c>
      <c r="C1672" s="1273" t="s">
        <v>960</v>
      </c>
      <c r="D1672" s="1274"/>
      <c r="E1672" s="1255">
        <v>174</v>
      </c>
      <c r="F1672" s="681"/>
      <c r="G1672" s="681"/>
      <c r="H1672" s="683"/>
      <c r="I1672" s="689"/>
      <c r="J1672" s="685"/>
      <c r="K1672" s="685"/>
      <c r="L1672" s="689">
        <v>314</v>
      </c>
      <c r="M1672" s="683">
        <v>140</v>
      </c>
      <c r="N1672" s="706">
        <v>5</v>
      </c>
      <c r="O1672" s="711" t="s">
        <v>1551</v>
      </c>
      <c r="P1672" s="696"/>
      <c r="Q1672" s="696" t="s">
        <v>1558</v>
      </c>
      <c r="R1672" s="696"/>
      <c r="S1672" s="696"/>
      <c r="T1672" s="696"/>
      <c r="U1672" s="696"/>
      <c r="V1672" s="688"/>
      <c r="W1672" s="688"/>
      <c r="X1672" s="688"/>
      <c r="Y1672" s="688"/>
      <c r="Z1672" s="688"/>
      <c r="AA1672" s="688"/>
      <c r="AB1672" s="688"/>
      <c r="AC1672" s="688"/>
      <c r="AD1672" s="688"/>
      <c r="AE1672" s="688"/>
      <c r="AF1672" s="688"/>
      <c r="AG1672" s="688"/>
      <c r="AH1672" s="688"/>
      <c r="AI1672" s="688"/>
      <c r="AJ1672" s="688"/>
      <c r="AK1672" s="688"/>
      <c r="AL1672" s="688"/>
      <c r="AM1672" s="688"/>
      <c r="AN1672" s="688"/>
      <c r="AO1672" s="688"/>
      <c r="AP1672" s="688"/>
      <c r="AQ1672" s="688"/>
      <c r="AR1672" s="688"/>
      <c r="AS1672" s="688"/>
      <c r="AT1672" s="688"/>
      <c r="AU1672" s="688"/>
      <c r="AV1672" s="688"/>
      <c r="AW1672" s="688"/>
      <c r="AX1672" s="688"/>
      <c r="AY1672" s="688"/>
      <c r="AZ1672" s="688"/>
      <c r="BA1672" s="688"/>
      <c r="BB1672" s="688"/>
      <c r="BC1672" s="688"/>
      <c r="BD1672" s="688"/>
      <c r="BE1672" s="688"/>
      <c r="BF1672" s="688"/>
      <c r="BG1672" s="688"/>
      <c r="BH1672" s="688"/>
      <c r="BI1672" s="688"/>
      <c r="BJ1672" s="688"/>
      <c r="BK1672" s="688"/>
      <c r="BL1672" s="688"/>
      <c r="BM1672" s="688"/>
      <c r="BN1672" s="688"/>
      <c r="BO1672" s="688"/>
      <c r="BP1672" s="688"/>
      <c r="BQ1672" s="688"/>
      <c r="BR1672" s="688"/>
      <c r="BS1672" s="688"/>
      <c r="BT1672" s="688"/>
      <c r="BU1672" s="688"/>
      <c r="BV1672" s="688"/>
      <c r="BW1672" s="688"/>
      <c r="BX1672" s="688"/>
      <c r="BY1672" s="688"/>
      <c r="BZ1672" s="688"/>
      <c r="CA1672" s="688"/>
      <c r="CB1672" s="688"/>
      <c r="CC1672" s="688"/>
      <c r="CD1672" s="688"/>
      <c r="CE1672" s="688"/>
      <c r="CF1672" s="688"/>
      <c r="CG1672" s="688"/>
      <c r="CH1672" s="688"/>
      <c r="CI1672" s="688"/>
      <c r="CJ1672" s="688"/>
      <c r="CK1672" s="688"/>
      <c r="CL1672" s="688"/>
      <c r="CM1672" s="688"/>
      <c r="CN1672" s="688"/>
      <c r="CO1672" s="688"/>
      <c r="CP1672" s="688"/>
      <c r="CQ1672" s="688"/>
      <c r="CR1672" s="688"/>
      <c r="CS1672" s="688"/>
      <c r="CT1672" s="688"/>
      <c r="CU1672" s="688"/>
      <c r="CV1672" s="688"/>
      <c r="CW1672" s="688"/>
      <c r="CX1672" s="688"/>
      <c r="CY1672" s="688"/>
      <c r="CZ1672" s="688"/>
      <c r="DA1672" s="688"/>
      <c r="DB1672" s="688"/>
      <c r="DC1672" s="688"/>
      <c r="DD1672" s="688"/>
      <c r="DE1672" s="688"/>
      <c r="DF1672" s="688"/>
      <c r="DG1672" s="688"/>
      <c r="DH1672" s="688"/>
      <c r="DI1672" s="688"/>
      <c r="DJ1672" s="688"/>
      <c r="DK1672" s="688"/>
      <c r="DL1672" s="688"/>
      <c r="DM1672" s="688"/>
      <c r="DN1672" s="688"/>
      <c r="DO1672" s="688"/>
      <c r="DP1672" s="688"/>
      <c r="DQ1672" s="688"/>
      <c r="DR1672" s="688"/>
      <c r="DS1672" s="688"/>
      <c r="DT1672" s="688"/>
      <c r="DU1672" s="688"/>
      <c r="DV1672" s="688"/>
      <c r="DW1672" s="688"/>
      <c r="DX1672" s="688"/>
      <c r="DY1672" s="688"/>
      <c r="DZ1672" s="688"/>
      <c r="EA1672" s="688"/>
      <c r="EB1672" s="688"/>
      <c r="EC1672" s="688"/>
      <c r="ED1672" s="688"/>
      <c r="EE1672" s="688"/>
      <c r="EF1672" s="688"/>
      <c r="EG1672" s="688"/>
      <c r="EH1672" s="688"/>
      <c r="EI1672" s="688"/>
      <c r="EJ1672" s="688"/>
      <c r="EK1672" s="688"/>
      <c r="EL1672" s="688"/>
      <c r="EM1672" s="688"/>
      <c r="EN1672" s="688"/>
      <c r="EO1672" s="688"/>
      <c r="EP1672" s="688"/>
      <c r="EQ1672" s="688"/>
      <c r="ER1672" s="688"/>
      <c r="ES1672" s="688"/>
      <c r="ET1672" s="688"/>
      <c r="EU1672" s="688"/>
      <c r="EV1672" s="688"/>
      <c r="EW1672" s="688"/>
      <c r="EX1672" s="688"/>
      <c r="EY1672" s="688"/>
      <c r="EZ1672" s="688"/>
      <c r="FA1672" s="688"/>
      <c r="FB1672" s="688"/>
      <c r="FC1672" s="688"/>
      <c r="FD1672" s="688"/>
      <c r="FE1672" s="688"/>
      <c r="FF1672" s="688"/>
      <c r="FG1672" s="688"/>
      <c r="FH1672" s="688"/>
      <c r="FI1672" s="688"/>
      <c r="FJ1672" s="688"/>
      <c r="FK1672" s="688"/>
      <c r="FL1672" s="688"/>
      <c r="FM1672" s="688"/>
      <c r="FN1672" s="688"/>
      <c r="FO1672" s="688"/>
      <c r="FP1672" s="688"/>
      <c r="FQ1672" s="688"/>
      <c r="FR1672" s="688"/>
      <c r="FS1672" s="688"/>
      <c r="FT1672" s="688"/>
      <c r="FU1672" s="688"/>
      <c r="FV1672" s="688"/>
      <c r="FW1672" s="688"/>
      <c r="FX1672" s="688"/>
      <c r="FY1672" s="688"/>
      <c r="FZ1672" s="688"/>
      <c r="GA1672" s="688"/>
      <c r="GB1672" s="688"/>
      <c r="GC1672" s="688"/>
      <c r="GD1672" s="688"/>
      <c r="GE1672" s="688"/>
      <c r="GF1672" s="688"/>
      <c r="GG1672" s="688"/>
      <c r="GH1672" s="688"/>
      <c r="GI1672" s="688"/>
      <c r="GJ1672" s="688"/>
      <c r="GK1672" s="688"/>
      <c r="GL1672" s="688"/>
      <c r="GM1672" s="688"/>
      <c r="GN1672" s="688"/>
      <c r="GO1672" s="688"/>
      <c r="GP1672" s="688"/>
      <c r="GQ1672" s="688"/>
      <c r="GR1672" s="688"/>
      <c r="GS1672" s="688"/>
      <c r="GT1672" s="688"/>
      <c r="GU1672" s="688"/>
      <c r="GV1672" s="688"/>
      <c r="GW1672" s="688"/>
      <c r="GX1672" s="688"/>
      <c r="GY1672" s="688"/>
      <c r="GZ1672" s="688"/>
      <c r="HA1672" s="688"/>
      <c r="HB1672" s="688"/>
      <c r="HC1672" s="688"/>
      <c r="HD1672" s="688"/>
      <c r="HE1672" s="688"/>
      <c r="HF1672" s="688"/>
      <c r="HG1672" s="688"/>
      <c r="HH1672" s="688"/>
      <c r="HI1672" s="688"/>
      <c r="HJ1672" s="688"/>
      <c r="HK1672" s="688"/>
      <c r="HL1672" s="688"/>
      <c r="HM1672" s="688"/>
    </row>
    <row r="1673" spans="1:221" s="305" customFormat="1">
      <c r="A1673" s="703" t="s">
        <v>354</v>
      </c>
      <c r="B1673" s="1272" t="s">
        <v>482</v>
      </c>
      <c r="C1673" s="1273" t="s">
        <v>254</v>
      </c>
      <c r="D1673" s="1274"/>
      <c r="E1673" s="1255">
        <v>91</v>
      </c>
      <c r="F1673" s="681"/>
      <c r="G1673" s="681" t="s">
        <v>1909</v>
      </c>
      <c r="H1673" s="683"/>
      <c r="I1673" s="689"/>
      <c r="J1673" s="685"/>
      <c r="K1673" s="685"/>
      <c r="L1673" s="689">
        <v>164</v>
      </c>
      <c r="M1673" s="683">
        <v>73</v>
      </c>
      <c r="N1673" s="706">
        <v>4</v>
      </c>
      <c r="O1673" s="645"/>
      <c r="P1673" s="297"/>
      <c r="Q1673" s="297"/>
      <c r="R1673" s="297"/>
      <c r="S1673" s="297"/>
      <c r="T1673" s="297"/>
      <c r="U1673" s="297"/>
    </row>
    <row r="1674" spans="1:221" s="305" customFormat="1">
      <c r="A1674" s="703" t="s">
        <v>190</v>
      </c>
      <c r="B1674" s="1272" t="s">
        <v>482</v>
      </c>
      <c r="C1674" s="1273" t="s">
        <v>254</v>
      </c>
      <c r="D1674" s="1274"/>
      <c r="E1674" s="1255">
        <v>61</v>
      </c>
      <c r="F1674" s="681"/>
      <c r="G1674" s="681" t="s">
        <v>1909</v>
      </c>
      <c r="H1674" s="683"/>
      <c r="I1674" s="689"/>
      <c r="J1674" s="685"/>
      <c r="K1674" s="685"/>
      <c r="L1674" s="689">
        <v>121</v>
      </c>
      <c r="M1674" s="683">
        <v>60</v>
      </c>
      <c r="N1674" s="706">
        <v>4</v>
      </c>
      <c r="O1674" s="645"/>
      <c r="P1674" s="297"/>
      <c r="Q1674" s="297"/>
      <c r="R1674" s="297"/>
      <c r="S1674" s="297"/>
      <c r="T1674" s="297"/>
      <c r="U1674" s="297"/>
    </row>
    <row r="1675" spans="1:221" s="305" customFormat="1">
      <c r="A1675" s="703" t="s">
        <v>955</v>
      </c>
      <c r="B1675" s="1272" t="s">
        <v>482</v>
      </c>
      <c r="C1675" s="1305" t="s">
        <v>954</v>
      </c>
      <c r="D1675" s="1274"/>
      <c r="E1675" s="1255">
        <v>31.5</v>
      </c>
      <c r="F1675" s="681"/>
      <c r="G1675" s="681" t="s">
        <v>1909</v>
      </c>
      <c r="H1675" s="683"/>
      <c r="I1675" s="689"/>
      <c r="J1675" s="685"/>
      <c r="K1675" s="685"/>
      <c r="L1675" s="689">
        <v>57.5</v>
      </c>
      <c r="M1675" s="683">
        <v>26</v>
      </c>
      <c r="N1675" s="706">
        <v>4</v>
      </c>
      <c r="O1675" s="480"/>
      <c r="P1675" s="297"/>
      <c r="Q1675" s="297"/>
      <c r="R1675" s="297"/>
      <c r="S1675" s="297"/>
      <c r="T1675" s="297"/>
      <c r="U1675" s="297"/>
    </row>
    <row r="1676" spans="1:221" s="456" customFormat="1">
      <c r="A1676" s="703" t="s">
        <v>956</v>
      </c>
      <c r="B1676" s="1272" t="s">
        <v>482</v>
      </c>
      <c r="C1676" s="1305" t="s">
        <v>954</v>
      </c>
      <c r="D1676" s="1274"/>
      <c r="E1676" s="1255">
        <v>36</v>
      </c>
      <c r="F1676" s="681" t="s">
        <v>889</v>
      </c>
      <c r="G1676" s="681" t="s">
        <v>1909</v>
      </c>
      <c r="H1676" s="683"/>
      <c r="I1676" s="689"/>
      <c r="J1676" s="685"/>
      <c r="K1676" s="685"/>
      <c r="L1676" s="689">
        <v>62</v>
      </c>
      <c r="M1676" s="683">
        <v>26</v>
      </c>
      <c r="N1676" s="706">
        <v>4</v>
      </c>
      <c r="O1676" s="480"/>
      <c r="P1676" s="297"/>
      <c r="Q1676" s="297"/>
      <c r="R1676" s="297"/>
      <c r="S1676" s="297"/>
      <c r="T1676" s="297"/>
      <c r="U1676" s="297"/>
      <c r="V1676" s="305"/>
      <c r="W1676" s="305"/>
      <c r="X1676" s="305"/>
      <c r="Y1676" s="305"/>
      <c r="Z1676" s="305"/>
      <c r="AA1676" s="305"/>
      <c r="AB1676" s="305"/>
      <c r="AC1676" s="305"/>
      <c r="AD1676" s="305"/>
      <c r="AE1676" s="305"/>
      <c r="AF1676" s="305"/>
      <c r="AG1676" s="305"/>
      <c r="AH1676" s="305"/>
      <c r="AI1676" s="305"/>
      <c r="AJ1676" s="305"/>
      <c r="AK1676" s="305"/>
      <c r="AL1676" s="305"/>
      <c r="AM1676" s="305"/>
      <c r="AN1676" s="305"/>
      <c r="AO1676" s="305"/>
      <c r="AP1676" s="305"/>
      <c r="AQ1676" s="305"/>
      <c r="AR1676" s="305"/>
      <c r="AS1676" s="305"/>
      <c r="AT1676" s="305"/>
      <c r="AU1676" s="305"/>
      <c r="AV1676" s="305"/>
      <c r="AW1676" s="305"/>
      <c r="AX1676" s="305"/>
      <c r="AY1676" s="305"/>
      <c r="AZ1676" s="305"/>
      <c r="BA1676" s="305"/>
      <c r="BB1676" s="305"/>
      <c r="BC1676" s="305"/>
      <c r="BD1676" s="305"/>
      <c r="BE1676" s="305"/>
      <c r="BF1676" s="305"/>
      <c r="BG1676" s="305"/>
      <c r="BH1676" s="305"/>
      <c r="BI1676" s="305"/>
      <c r="BJ1676" s="305"/>
      <c r="BK1676" s="305"/>
      <c r="BL1676" s="305"/>
      <c r="BM1676" s="305"/>
      <c r="BN1676" s="305"/>
      <c r="BO1676" s="305"/>
      <c r="BP1676" s="305"/>
      <c r="BQ1676" s="305"/>
      <c r="BR1676" s="305"/>
      <c r="BS1676" s="305"/>
      <c r="BT1676" s="305"/>
      <c r="BU1676" s="305"/>
      <c r="BV1676" s="305"/>
      <c r="BW1676" s="305"/>
      <c r="BX1676" s="305"/>
      <c r="BY1676" s="305"/>
      <c r="BZ1676" s="305"/>
      <c r="CA1676" s="305"/>
      <c r="CB1676" s="305"/>
      <c r="CC1676" s="305"/>
      <c r="CD1676" s="305"/>
      <c r="CE1676" s="305"/>
      <c r="CF1676" s="305"/>
      <c r="CG1676" s="305"/>
      <c r="CH1676" s="305"/>
      <c r="CI1676" s="305"/>
      <c r="CJ1676" s="305"/>
      <c r="CK1676" s="305"/>
      <c r="CL1676" s="305"/>
      <c r="CM1676" s="305"/>
      <c r="CN1676" s="305"/>
      <c r="CO1676" s="305"/>
      <c r="CP1676" s="305"/>
      <c r="CQ1676" s="305"/>
      <c r="CR1676" s="305"/>
      <c r="CS1676" s="305"/>
      <c r="CT1676" s="305"/>
      <c r="CU1676" s="305"/>
      <c r="CV1676" s="305"/>
      <c r="CW1676" s="305"/>
      <c r="CX1676" s="305"/>
      <c r="CY1676" s="305"/>
      <c r="CZ1676" s="305"/>
      <c r="DA1676" s="305"/>
      <c r="DB1676" s="305"/>
      <c r="DC1676" s="305"/>
      <c r="DD1676" s="305"/>
      <c r="DE1676" s="305"/>
      <c r="DF1676" s="305"/>
      <c r="DG1676" s="305"/>
      <c r="DH1676" s="305"/>
      <c r="DI1676" s="305"/>
      <c r="DJ1676" s="305"/>
      <c r="DK1676" s="305"/>
      <c r="DL1676" s="305"/>
      <c r="DM1676" s="305"/>
      <c r="DN1676" s="305"/>
      <c r="DO1676" s="305"/>
      <c r="DP1676" s="305"/>
      <c r="DQ1676" s="305"/>
      <c r="DR1676" s="305"/>
      <c r="DS1676" s="305"/>
      <c r="DT1676" s="305"/>
      <c r="DU1676" s="305"/>
      <c r="DV1676" s="305"/>
      <c r="DW1676" s="305"/>
      <c r="DX1676" s="305"/>
      <c r="DY1676" s="305"/>
      <c r="DZ1676" s="305"/>
      <c r="EA1676" s="305"/>
      <c r="EB1676" s="305"/>
      <c r="EC1676" s="305"/>
      <c r="ED1676" s="305"/>
      <c r="EE1676" s="305"/>
      <c r="EF1676" s="305"/>
      <c r="EG1676" s="305"/>
      <c r="EH1676" s="305"/>
      <c r="EI1676" s="305"/>
      <c r="EJ1676" s="305"/>
      <c r="EK1676" s="305"/>
      <c r="EL1676" s="305"/>
      <c r="EM1676" s="305"/>
      <c r="EN1676" s="305"/>
      <c r="EO1676" s="305"/>
      <c r="EP1676" s="305"/>
      <c r="EQ1676" s="305"/>
      <c r="ER1676" s="305"/>
      <c r="ES1676" s="305"/>
      <c r="ET1676" s="305"/>
      <c r="EU1676" s="305"/>
      <c r="EV1676" s="305"/>
      <c r="EW1676" s="305"/>
      <c r="EX1676" s="305"/>
      <c r="EY1676" s="305"/>
      <c r="EZ1676" s="305"/>
      <c r="FA1676" s="305"/>
      <c r="FB1676" s="305"/>
      <c r="FC1676" s="305"/>
      <c r="FD1676" s="305"/>
      <c r="FE1676" s="305"/>
      <c r="FF1676" s="305"/>
      <c r="FG1676" s="305"/>
      <c r="FH1676" s="305"/>
      <c r="FI1676" s="305"/>
      <c r="FJ1676" s="305"/>
      <c r="FK1676" s="305"/>
      <c r="FL1676" s="305"/>
      <c r="FM1676" s="305"/>
      <c r="FN1676" s="305"/>
      <c r="FO1676" s="305"/>
      <c r="FP1676" s="305"/>
      <c r="FQ1676" s="305"/>
      <c r="FR1676" s="305"/>
      <c r="FS1676" s="305"/>
      <c r="FT1676" s="305"/>
      <c r="FU1676" s="305"/>
      <c r="FV1676" s="305"/>
      <c r="FW1676" s="305"/>
      <c r="FX1676" s="305"/>
      <c r="FY1676" s="305"/>
      <c r="FZ1676" s="305"/>
      <c r="GA1676" s="305"/>
      <c r="GB1676" s="305"/>
      <c r="GC1676" s="305"/>
      <c r="GD1676" s="305"/>
      <c r="GE1676" s="305"/>
      <c r="GF1676" s="305"/>
      <c r="GG1676" s="305"/>
      <c r="GH1676" s="305"/>
      <c r="GI1676" s="305"/>
      <c r="GJ1676" s="305"/>
      <c r="GK1676" s="305"/>
      <c r="GL1676" s="305"/>
      <c r="GM1676" s="305"/>
      <c r="GN1676" s="305"/>
      <c r="GO1676" s="305"/>
      <c r="GP1676" s="305"/>
      <c r="GQ1676" s="305"/>
      <c r="GR1676" s="305"/>
      <c r="GS1676" s="305"/>
      <c r="GT1676" s="305"/>
      <c r="GU1676" s="305"/>
      <c r="GV1676" s="305"/>
      <c r="GW1676" s="305"/>
      <c r="GX1676" s="305"/>
      <c r="GY1676" s="305"/>
      <c r="GZ1676" s="305"/>
      <c r="HA1676" s="305"/>
      <c r="HB1676" s="305"/>
      <c r="HC1676" s="305"/>
      <c r="HD1676" s="305"/>
      <c r="HE1676" s="305"/>
      <c r="HF1676" s="305"/>
      <c r="HG1676" s="305"/>
      <c r="HH1676" s="305"/>
      <c r="HI1676" s="305"/>
      <c r="HJ1676" s="305"/>
      <c r="HK1676" s="305"/>
      <c r="HL1676" s="305"/>
      <c r="HM1676" s="305"/>
    </row>
    <row r="1677" spans="1:221" s="456" customFormat="1">
      <c r="A1677" s="703" t="s">
        <v>957</v>
      </c>
      <c r="B1677" s="1272" t="s">
        <v>482</v>
      </c>
      <c r="C1677" s="1305" t="s">
        <v>954</v>
      </c>
      <c r="D1677" s="1274"/>
      <c r="E1677" s="1255">
        <v>42.5</v>
      </c>
      <c r="F1677" s="681" t="s">
        <v>958</v>
      </c>
      <c r="G1677" s="681" t="s">
        <v>1909</v>
      </c>
      <c r="H1677" s="683"/>
      <c r="I1677" s="689"/>
      <c r="J1677" s="685"/>
      <c r="K1677" s="685"/>
      <c r="L1677" s="689">
        <v>68.5</v>
      </c>
      <c r="M1677" s="683">
        <v>26</v>
      </c>
      <c r="N1677" s="706">
        <v>4</v>
      </c>
      <c r="O1677" s="480"/>
      <c r="P1677" s="297"/>
      <c r="Q1677" s="297"/>
      <c r="R1677" s="297"/>
      <c r="S1677" s="297"/>
      <c r="T1677" s="297"/>
      <c r="U1677" s="297"/>
      <c r="V1677" s="305"/>
      <c r="W1677" s="305"/>
      <c r="X1677" s="305"/>
      <c r="Y1677" s="305"/>
      <c r="Z1677" s="305"/>
      <c r="AA1677" s="305"/>
      <c r="AB1677" s="305"/>
      <c r="AC1677" s="305"/>
      <c r="AD1677" s="305"/>
      <c r="AE1677" s="305"/>
      <c r="AF1677" s="305"/>
      <c r="AG1677" s="305"/>
      <c r="AH1677" s="305"/>
      <c r="AI1677" s="305"/>
      <c r="AJ1677" s="305"/>
      <c r="AK1677" s="305"/>
      <c r="AL1677" s="305"/>
      <c r="AM1677" s="305"/>
      <c r="AN1677" s="305"/>
      <c r="AO1677" s="305"/>
      <c r="AP1677" s="305"/>
      <c r="AQ1677" s="305"/>
      <c r="AR1677" s="305"/>
      <c r="AS1677" s="305"/>
      <c r="AT1677" s="305"/>
      <c r="AU1677" s="305"/>
      <c r="AV1677" s="305"/>
      <c r="AW1677" s="305"/>
      <c r="AX1677" s="305"/>
      <c r="AY1677" s="305"/>
      <c r="AZ1677" s="305"/>
      <c r="BA1677" s="305"/>
      <c r="BB1677" s="305"/>
      <c r="BC1677" s="305"/>
      <c r="BD1677" s="305"/>
      <c r="BE1677" s="305"/>
      <c r="BF1677" s="305"/>
      <c r="BG1677" s="305"/>
      <c r="BH1677" s="305"/>
      <c r="BI1677" s="305"/>
      <c r="BJ1677" s="305"/>
      <c r="BK1677" s="305"/>
      <c r="BL1677" s="305"/>
      <c r="BM1677" s="305"/>
      <c r="BN1677" s="305"/>
      <c r="BO1677" s="305"/>
      <c r="BP1677" s="305"/>
      <c r="BQ1677" s="305"/>
      <c r="BR1677" s="305"/>
      <c r="BS1677" s="305"/>
      <c r="BT1677" s="305"/>
      <c r="BU1677" s="305"/>
      <c r="BV1677" s="305"/>
      <c r="BW1677" s="305"/>
      <c r="BX1677" s="305"/>
      <c r="BY1677" s="305"/>
      <c r="BZ1677" s="305"/>
      <c r="CA1677" s="305"/>
      <c r="CB1677" s="305"/>
      <c r="CC1677" s="305"/>
      <c r="CD1677" s="305"/>
      <c r="CE1677" s="305"/>
      <c r="CF1677" s="305"/>
      <c r="CG1677" s="305"/>
      <c r="CH1677" s="305"/>
      <c r="CI1677" s="305"/>
      <c r="CJ1677" s="305"/>
      <c r="CK1677" s="305"/>
      <c r="CL1677" s="305"/>
      <c r="CM1677" s="305"/>
      <c r="CN1677" s="305"/>
      <c r="CO1677" s="305"/>
      <c r="CP1677" s="305"/>
      <c r="CQ1677" s="305"/>
      <c r="CR1677" s="305"/>
      <c r="CS1677" s="305"/>
      <c r="CT1677" s="305"/>
      <c r="CU1677" s="305"/>
      <c r="CV1677" s="305"/>
      <c r="CW1677" s="305"/>
      <c r="CX1677" s="305"/>
      <c r="CY1677" s="305"/>
      <c r="CZ1677" s="305"/>
      <c r="DA1677" s="305"/>
      <c r="DB1677" s="305"/>
      <c r="DC1677" s="305"/>
      <c r="DD1677" s="305"/>
      <c r="DE1677" s="305"/>
      <c r="DF1677" s="305"/>
      <c r="DG1677" s="305"/>
      <c r="DH1677" s="305"/>
      <c r="DI1677" s="305"/>
      <c r="DJ1677" s="305"/>
      <c r="DK1677" s="305"/>
      <c r="DL1677" s="305"/>
      <c r="DM1677" s="305"/>
      <c r="DN1677" s="305"/>
      <c r="DO1677" s="305"/>
      <c r="DP1677" s="305"/>
      <c r="DQ1677" s="305"/>
      <c r="DR1677" s="305"/>
      <c r="DS1677" s="305"/>
      <c r="DT1677" s="305"/>
      <c r="DU1677" s="305"/>
      <c r="DV1677" s="305"/>
      <c r="DW1677" s="305"/>
      <c r="DX1677" s="305"/>
      <c r="DY1677" s="305"/>
      <c r="DZ1677" s="305"/>
      <c r="EA1677" s="305"/>
      <c r="EB1677" s="305"/>
      <c r="EC1677" s="305"/>
      <c r="ED1677" s="305"/>
      <c r="EE1677" s="305"/>
      <c r="EF1677" s="305"/>
      <c r="EG1677" s="305"/>
      <c r="EH1677" s="305"/>
      <c r="EI1677" s="305"/>
      <c r="EJ1677" s="305"/>
      <c r="EK1677" s="305"/>
      <c r="EL1677" s="305"/>
      <c r="EM1677" s="305"/>
      <c r="EN1677" s="305"/>
      <c r="EO1677" s="305"/>
      <c r="EP1677" s="305"/>
      <c r="EQ1677" s="305"/>
      <c r="ER1677" s="305"/>
      <c r="ES1677" s="305"/>
      <c r="ET1677" s="305"/>
      <c r="EU1677" s="305"/>
      <c r="EV1677" s="305"/>
      <c r="EW1677" s="305"/>
      <c r="EX1677" s="305"/>
      <c r="EY1677" s="305"/>
      <c r="EZ1677" s="305"/>
      <c r="FA1677" s="305"/>
      <c r="FB1677" s="305"/>
      <c r="FC1677" s="305"/>
      <c r="FD1677" s="305"/>
      <c r="FE1677" s="305"/>
      <c r="FF1677" s="305"/>
      <c r="FG1677" s="305"/>
      <c r="FH1677" s="305"/>
      <c r="FI1677" s="305"/>
      <c r="FJ1677" s="305"/>
      <c r="FK1677" s="305"/>
      <c r="FL1677" s="305"/>
      <c r="FM1677" s="305"/>
      <c r="FN1677" s="305"/>
      <c r="FO1677" s="305"/>
      <c r="FP1677" s="305"/>
      <c r="FQ1677" s="305"/>
      <c r="FR1677" s="305"/>
      <c r="FS1677" s="305"/>
      <c r="FT1677" s="305"/>
      <c r="FU1677" s="305"/>
      <c r="FV1677" s="305"/>
      <c r="FW1677" s="305"/>
      <c r="FX1677" s="305"/>
      <c r="FY1677" s="305"/>
      <c r="FZ1677" s="305"/>
      <c r="GA1677" s="305"/>
      <c r="GB1677" s="305"/>
      <c r="GC1677" s="305"/>
      <c r="GD1677" s="305"/>
      <c r="GE1677" s="305"/>
      <c r="GF1677" s="305"/>
      <c r="GG1677" s="305"/>
      <c r="GH1677" s="305"/>
      <c r="GI1677" s="305"/>
      <c r="GJ1677" s="305"/>
      <c r="GK1677" s="305"/>
      <c r="GL1677" s="305"/>
      <c r="GM1677" s="305"/>
      <c r="GN1677" s="305"/>
      <c r="GO1677" s="305"/>
      <c r="GP1677" s="305"/>
      <c r="GQ1677" s="305"/>
      <c r="GR1677" s="305"/>
      <c r="GS1677" s="305"/>
      <c r="GT1677" s="305"/>
      <c r="GU1677" s="305"/>
      <c r="GV1677" s="305"/>
      <c r="GW1677" s="305"/>
      <c r="GX1677" s="305"/>
      <c r="GY1677" s="305"/>
      <c r="GZ1677" s="305"/>
      <c r="HA1677" s="305"/>
      <c r="HB1677" s="305"/>
      <c r="HC1677" s="305"/>
      <c r="HD1677" s="305"/>
      <c r="HE1677" s="305"/>
      <c r="HF1677" s="305"/>
      <c r="HG1677" s="305"/>
      <c r="HH1677" s="305"/>
      <c r="HI1677" s="305"/>
      <c r="HJ1677" s="305"/>
      <c r="HK1677" s="305"/>
      <c r="HL1677" s="305"/>
      <c r="HM1677" s="305"/>
    </row>
    <row r="1678" spans="1:221" s="456" customFormat="1">
      <c r="A1678" s="703" t="s">
        <v>2434</v>
      </c>
      <c r="B1678" s="1272" t="s">
        <v>482</v>
      </c>
      <c r="C1678" s="1273" t="s">
        <v>252</v>
      </c>
      <c r="D1678" s="1274"/>
      <c r="E1678" s="1255">
        <v>30</v>
      </c>
      <c r="F1678" s="681"/>
      <c r="G1678" s="681"/>
      <c r="H1678" s="683"/>
      <c r="I1678" s="689"/>
      <c r="J1678" s="685"/>
      <c r="K1678" s="685"/>
      <c r="L1678" s="689">
        <v>53</v>
      </c>
      <c r="M1678" s="683">
        <v>23</v>
      </c>
      <c r="N1678" s="1848">
        <v>4</v>
      </c>
      <c r="O1678" s="480"/>
      <c r="P1678" s="297"/>
      <c r="Q1678" s="297"/>
      <c r="R1678" s="297"/>
      <c r="S1678" s="297"/>
      <c r="T1678" s="297"/>
      <c r="U1678" s="297"/>
      <c r="V1678" s="305"/>
      <c r="W1678" s="305"/>
      <c r="X1678" s="305"/>
      <c r="Y1678" s="305"/>
      <c r="Z1678" s="305"/>
      <c r="AA1678" s="305"/>
      <c r="AB1678" s="305"/>
      <c r="AC1678" s="305"/>
      <c r="AD1678" s="305"/>
      <c r="AE1678" s="305"/>
      <c r="AF1678" s="305"/>
      <c r="AG1678" s="305"/>
      <c r="AH1678" s="305"/>
      <c r="AI1678" s="305"/>
      <c r="AJ1678" s="305"/>
      <c r="AK1678" s="305"/>
      <c r="AL1678" s="305"/>
      <c r="AM1678" s="305"/>
      <c r="AN1678" s="305"/>
      <c r="AO1678" s="305"/>
      <c r="AP1678" s="305"/>
      <c r="AQ1678" s="305"/>
      <c r="AR1678" s="305"/>
      <c r="AS1678" s="305"/>
      <c r="AT1678" s="305"/>
      <c r="AU1678" s="305"/>
      <c r="AV1678" s="305"/>
      <c r="AW1678" s="305"/>
      <c r="AX1678" s="305"/>
      <c r="AY1678" s="305"/>
      <c r="AZ1678" s="305"/>
      <c r="BA1678" s="305"/>
      <c r="BB1678" s="305"/>
      <c r="BC1678" s="305"/>
      <c r="BD1678" s="305"/>
      <c r="BE1678" s="305"/>
      <c r="BF1678" s="305"/>
      <c r="BG1678" s="305"/>
      <c r="BH1678" s="305"/>
      <c r="BI1678" s="305"/>
      <c r="BJ1678" s="305"/>
      <c r="BK1678" s="305"/>
      <c r="BL1678" s="305"/>
      <c r="BM1678" s="305"/>
      <c r="BN1678" s="305"/>
      <c r="BO1678" s="305"/>
      <c r="BP1678" s="305"/>
      <c r="BQ1678" s="305"/>
      <c r="BR1678" s="305"/>
      <c r="BS1678" s="305"/>
      <c r="BT1678" s="305"/>
      <c r="BU1678" s="305"/>
      <c r="BV1678" s="305"/>
      <c r="BW1678" s="305"/>
      <c r="BX1678" s="305"/>
      <c r="BY1678" s="305"/>
      <c r="BZ1678" s="305"/>
      <c r="CA1678" s="305"/>
      <c r="CB1678" s="305"/>
      <c r="CC1678" s="305"/>
      <c r="CD1678" s="305"/>
      <c r="CE1678" s="305"/>
      <c r="CF1678" s="305"/>
      <c r="CG1678" s="305"/>
      <c r="CH1678" s="305"/>
      <c r="CI1678" s="305"/>
      <c r="CJ1678" s="305"/>
      <c r="CK1678" s="305"/>
      <c r="CL1678" s="305"/>
      <c r="CM1678" s="305"/>
      <c r="CN1678" s="305"/>
      <c r="CO1678" s="305"/>
      <c r="CP1678" s="305"/>
      <c r="CQ1678" s="305"/>
      <c r="CR1678" s="305"/>
      <c r="CS1678" s="305"/>
      <c r="CT1678" s="305"/>
      <c r="CU1678" s="305"/>
      <c r="CV1678" s="305"/>
      <c r="CW1678" s="305"/>
      <c r="CX1678" s="305"/>
      <c r="CY1678" s="305"/>
      <c r="CZ1678" s="305"/>
      <c r="DA1678" s="305"/>
      <c r="DB1678" s="305"/>
      <c r="DC1678" s="305"/>
      <c r="DD1678" s="305"/>
      <c r="DE1678" s="305"/>
      <c r="DF1678" s="305"/>
      <c r="DG1678" s="305"/>
      <c r="DH1678" s="305"/>
      <c r="DI1678" s="305"/>
      <c r="DJ1678" s="305"/>
      <c r="DK1678" s="305"/>
      <c r="DL1678" s="305"/>
      <c r="DM1678" s="305"/>
      <c r="DN1678" s="305"/>
      <c r="DO1678" s="305"/>
      <c r="DP1678" s="305"/>
      <c r="DQ1678" s="305"/>
      <c r="DR1678" s="305"/>
      <c r="DS1678" s="305"/>
      <c r="DT1678" s="305"/>
      <c r="DU1678" s="305"/>
      <c r="DV1678" s="305"/>
      <c r="DW1678" s="305"/>
      <c r="DX1678" s="305"/>
      <c r="DY1678" s="305"/>
      <c r="DZ1678" s="305"/>
      <c r="EA1678" s="305"/>
      <c r="EB1678" s="305"/>
      <c r="EC1678" s="305"/>
      <c r="ED1678" s="305"/>
      <c r="EE1678" s="305"/>
      <c r="EF1678" s="305"/>
      <c r="EG1678" s="305"/>
      <c r="EH1678" s="305"/>
      <c r="EI1678" s="305"/>
      <c r="EJ1678" s="305"/>
      <c r="EK1678" s="305"/>
      <c r="EL1678" s="305"/>
      <c r="EM1678" s="305"/>
      <c r="EN1678" s="305"/>
      <c r="EO1678" s="305"/>
      <c r="EP1678" s="305"/>
      <c r="EQ1678" s="305"/>
      <c r="ER1678" s="305"/>
      <c r="ES1678" s="305"/>
      <c r="ET1678" s="305"/>
      <c r="EU1678" s="305"/>
      <c r="EV1678" s="305"/>
      <c r="EW1678" s="305"/>
      <c r="EX1678" s="305"/>
      <c r="EY1678" s="305"/>
      <c r="EZ1678" s="305"/>
      <c r="FA1678" s="305"/>
      <c r="FB1678" s="305"/>
      <c r="FC1678" s="305"/>
      <c r="FD1678" s="305"/>
      <c r="FE1678" s="305"/>
      <c r="FF1678" s="305"/>
      <c r="FG1678" s="305"/>
      <c r="FH1678" s="305"/>
      <c r="FI1678" s="305"/>
      <c r="FJ1678" s="305"/>
      <c r="FK1678" s="305"/>
      <c r="FL1678" s="305"/>
      <c r="FM1678" s="305"/>
      <c r="FN1678" s="305"/>
      <c r="FO1678" s="305"/>
      <c r="FP1678" s="305"/>
      <c r="FQ1678" s="305"/>
      <c r="FR1678" s="305"/>
      <c r="FS1678" s="305"/>
      <c r="FT1678" s="305"/>
      <c r="FU1678" s="305"/>
      <c r="FV1678" s="305"/>
      <c r="FW1678" s="305"/>
      <c r="FX1678" s="305"/>
      <c r="FY1678" s="305"/>
      <c r="FZ1678" s="305"/>
      <c r="GA1678" s="305"/>
      <c r="GB1678" s="305"/>
      <c r="GC1678" s="305"/>
      <c r="GD1678" s="305"/>
      <c r="GE1678" s="305"/>
      <c r="GF1678" s="305"/>
      <c r="GG1678" s="305"/>
      <c r="GH1678" s="305"/>
      <c r="GI1678" s="305"/>
      <c r="GJ1678" s="305"/>
      <c r="GK1678" s="305"/>
      <c r="GL1678" s="305"/>
      <c r="GM1678" s="305"/>
      <c r="GN1678" s="305"/>
      <c r="GO1678" s="305"/>
      <c r="GP1678" s="305"/>
      <c r="GQ1678" s="305"/>
      <c r="GR1678" s="305"/>
      <c r="GS1678" s="305"/>
      <c r="GT1678" s="305"/>
      <c r="GU1678" s="305"/>
      <c r="GV1678" s="305"/>
      <c r="GW1678" s="305"/>
      <c r="GX1678" s="305"/>
      <c r="GY1678" s="305"/>
      <c r="GZ1678" s="305"/>
      <c r="HA1678" s="305"/>
      <c r="HB1678" s="305"/>
      <c r="HC1678" s="305"/>
      <c r="HD1678" s="305"/>
      <c r="HE1678" s="305"/>
      <c r="HF1678" s="305"/>
      <c r="HG1678" s="305"/>
      <c r="HH1678" s="305"/>
      <c r="HI1678" s="305"/>
      <c r="HJ1678" s="305"/>
      <c r="HK1678" s="305"/>
      <c r="HL1678" s="305"/>
      <c r="HM1678" s="305"/>
    </row>
    <row r="1679" spans="1:221" s="305" customFormat="1">
      <c r="A1679" s="703" t="s">
        <v>2435</v>
      </c>
      <c r="B1679" s="1272" t="s">
        <v>482</v>
      </c>
      <c r="C1679" s="1273" t="s">
        <v>959</v>
      </c>
      <c r="D1679" s="1274"/>
      <c r="E1679" s="1255">
        <v>26</v>
      </c>
      <c r="F1679" s="681" t="s">
        <v>2437</v>
      </c>
      <c r="G1679" s="681" t="s">
        <v>2436</v>
      </c>
      <c r="H1679" s="683"/>
      <c r="I1679" s="689"/>
      <c r="J1679" s="685"/>
      <c r="K1679" s="685"/>
      <c r="L1679" s="689">
        <v>49</v>
      </c>
      <c r="M1679" s="683">
        <v>23</v>
      </c>
      <c r="N1679" s="706">
        <v>4</v>
      </c>
      <c r="O1679" s="480"/>
      <c r="P1679" s="297"/>
      <c r="Q1679" s="297"/>
      <c r="R1679" s="297"/>
      <c r="S1679" s="297"/>
      <c r="T1679" s="297"/>
      <c r="U1679" s="297"/>
    </row>
    <row r="1680" spans="1:221" s="305" customFormat="1">
      <c r="A1680" s="703" t="s">
        <v>1613</v>
      </c>
      <c r="B1680" s="1272" t="s">
        <v>482</v>
      </c>
      <c r="C1680" s="1273" t="s">
        <v>959</v>
      </c>
      <c r="D1680" s="1274"/>
      <c r="E1680" s="1255">
        <v>28</v>
      </c>
      <c r="F1680" s="681" t="s">
        <v>2437</v>
      </c>
      <c r="G1680" s="681" t="s">
        <v>2436</v>
      </c>
      <c r="H1680" s="683"/>
      <c r="I1680" s="689"/>
      <c r="J1680" s="685"/>
      <c r="K1680" s="685"/>
      <c r="L1680" s="689">
        <v>51</v>
      </c>
      <c r="M1680" s="683">
        <v>23</v>
      </c>
      <c r="N1680" s="706">
        <v>4</v>
      </c>
      <c r="O1680" s="480"/>
      <c r="P1680" s="297"/>
      <c r="Q1680" s="297"/>
      <c r="R1680" s="297"/>
      <c r="S1680" s="297"/>
      <c r="T1680" s="297"/>
      <c r="U1680" s="297"/>
    </row>
    <row r="1681" spans="1:221" s="305" customFormat="1">
      <c r="A1681" s="703" t="s">
        <v>2438</v>
      </c>
      <c r="B1681" s="1272" t="s">
        <v>482</v>
      </c>
      <c r="C1681" s="1273" t="s">
        <v>959</v>
      </c>
      <c r="D1681" s="1274"/>
      <c r="E1681" s="1255">
        <v>30</v>
      </c>
      <c r="F1681" s="681" t="s">
        <v>2437</v>
      </c>
      <c r="G1681" s="681" t="s">
        <v>2436</v>
      </c>
      <c r="H1681" s="683"/>
      <c r="I1681" s="689"/>
      <c r="J1681" s="685"/>
      <c r="K1681" s="685"/>
      <c r="L1681" s="689">
        <v>53</v>
      </c>
      <c r="M1681" s="683">
        <v>23</v>
      </c>
      <c r="N1681" s="706">
        <v>4</v>
      </c>
      <c r="O1681" s="480"/>
      <c r="P1681" s="297"/>
      <c r="Q1681" s="297"/>
      <c r="R1681" s="297"/>
      <c r="S1681" s="297"/>
      <c r="T1681" s="297"/>
      <c r="U1681" s="297"/>
    </row>
    <row r="1682" spans="1:221" s="305" customFormat="1">
      <c r="A1682" s="703" t="s">
        <v>2070</v>
      </c>
      <c r="B1682" s="1272" t="s">
        <v>482</v>
      </c>
      <c r="C1682" s="1273" t="s">
        <v>959</v>
      </c>
      <c r="D1682" s="1274"/>
      <c r="E1682" s="1255">
        <v>32</v>
      </c>
      <c r="F1682" s="681" t="s">
        <v>2437</v>
      </c>
      <c r="G1682" s="681" t="s">
        <v>2436</v>
      </c>
      <c r="H1682" s="683"/>
      <c r="I1682" s="689"/>
      <c r="J1682" s="685"/>
      <c r="K1682" s="685"/>
      <c r="L1682" s="689">
        <v>55</v>
      </c>
      <c r="M1682" s="683">
        <v>23</v>
      </c>
      <c r="N1682" s="706">
        <v>4</v>
      </c>
      <c r="O1682" s="480"/>
      <c r="P1682" s="297"/>
      <c r="Q1682" s="297"/>
      <c r="R1682" s="297"/>
      <c r="S1682" s="297"/>
      <c r="T1682" s="297"/>
      <c r="U1682" s="297"/>
    </row>
    <row r="1683" spans="1:221" s="305" customFormat="1">
      <c r="A1683" s="703"/>
      <c r="B1683" s="1272" t="s">
        <v>482</v>
      </c>
      <c r="C1683" s="1273" t="s">
        <v>487</v>
      </c>
      <c r="D1683" s="1274"/>
      <c r="E1683" s="1255">
        <v>32</v>
      </c>
      <c r="F1683" s="681" t="s">
        <v>2437</v>
      </c>
      <c r="G1683" s="681" t="s">
        <v>2436</v>
      </c>
      <c r="H1683" s="683"/>
      <c r="I1683" s="689"/>
      <c r="J1683" s="685"/>
      <c r="K1683" s="685"/>
      <c r="L1683" s="689">
        <v>60</v>
      </c>
      <c r="M1683" s="683">
        <v>28</v>
      </c>
      <c r="N1683" s="706">
        <v>5</v>
      </c>
      <c r="O1683" s="645"/>
      <c r="P1683" s="297"/>
      <c r="Q1683" s="297"/>
      <c r="R1683" s="297"/>
      <c r="S1683" s="297"/>
      <c r="T1683" s="297"/>
      <c r="U1683" s="297"/>
    </row>
    <row r="1684" spans="1:221" s="456" customFormat="1">
      <c r="A1684" s="703" t="s">
        <v>354</v>
      </c>
      <c r="B1684" s="1272" t="s">
        <v>482</v>
      </c>
      <c r="C1684" s="1273" t="s">
        <v>31</v>
      </c>
      <c r="D1684" s="1274"/>
      <c r="E1684" s="1255">
        <v>57</v>
      </c>
      <c r="F1684" s="681"/>
      <c r="G1684" s="681" t="s">
        <v>1909</v>
      </c>
      <c r="H1684" s="683"/>
      <c r="I1684" s="689"/>
      <c r="J1684" s="685"/>
      <c r="K1684" s="685"/>
      <c r="L1684" s="689">
        <v>103</v>
      </c>
      <c r="M1684" s="683">
        <v>46</v>
      </c>
      <c r="N1684" s="706">
        <v>4</v>
      </c>
      <c r="O1684" s="645"/>
      <c r="P1684" s="479"/>
      <c r="Q1684" s="479"/>
      <c r="R1684" s="479"/>
      <c r="S1684" s="479"/>
      <c r="T1684" s="479"/>
      <c r="U1684" s="479"/>
    </row>
    <row r="1685" spans="1:221" s="456" customFormat="1">
      <c r="A1685" s="703" t="s">
        <v>190</v>
      </c>
      <c r="B1685" s="1272" t="s">
        <v>482</v>
      </c>
      <c r="C1685" s="1273" t="s">
        <v>31</v>
      </c>
      <c r="D1685" s="1274"/>
      <c r="E1685" s="1255">
        <v>51</v>
      </c>
      <c r="F1685" s="681"/>
      <c r="G1685" s="681" t="s">
        <v>1909</v>
      </c>
      <c r="H1685" s="683"/>
      <c r="I1685" s="689"/>
      <c r="J1685" s="685"/>
      <c r="K1685" s="685"/>
      <c r="L1685" s="689">
        <v>91</v>
      </c>
      <c r="M1685" s="683">
        <v>40</v>
      </c>
      <c r="N1685" s="706">
        <v>4</v>
      </c>
      <c r="O1685" s="645"/>
      <c r="P1685" s="479"/>
      <c r="Q1685" s="479"/>
      <c r="R1685" s="479"/>
      <c r="S1685" s="479"/>
      <c r="T1685" s="479"/>
      <c r="U1685" s="479"/>
    </row>
    <row r="1686" spans="1:221" s="791" customFormat="1">
      <c r="A1686" s="799"/>
      <c r="B1686" s="1275" t="s">
        <v>482</v>
      </c>
      <c r="C1686" s="1306" t="s">
        <v>961</v>
      </c>
      <c r="D1686" s="1277"/>
      <c r="E1686" s="1278"/>
      <c r="F1686" s="785" t="s">
        <v>302</v>
      </c>
      <c r="G1686" s="785"/>
      <c r="H1686" s="786"/>
      <c r="I1686" s="787"/>
      <c r="J1686" s="788"/>
      <c r="K1686" s="788"/>
      <c r="L1686" s="787"/>
      <c r="M1686" s="786"/>
      <c r="N1686" s="797"/>
      <c r="O1686" s="803"/>
      <c r="P1686" s="798"/>
      <c r="Q1686" s="798"/>
      <c r="R1686" s="798"/>
      <c r="S1686" s="798"/>
      <c r="T1686" s="798"/>
      <c r="U1686" s="798"/>
    </row>
    <row r="1687" spans="1:221" s="688" customFormat="1">
      <c r="A1687" s="703" t="s">
        <v>354</v>
      </c>
      <c r="B1687" s="1272" t="s">
        <v>482</v>
      </c>
      <c r="C1687" s="1273" t="s">
        <v>5</v>
      </c>
      <c r="D1687" s="1274"/>
      <c r="E1687" s="1255">
        <v>58</v>
      </c>
      <c r="F1687" s="681"/>
      <c r="G1687" s="681" t="s">
        <v>1909</v>
      </c>
      <c r="H1687" s="683"/>
      <c r="I1687" s="689"/>
      <c r="J1687" s="685"/>
      <c r="K1687" s="685"/>
      <c r="L1687" s="689">
        <v>97</v>
      </c>
      <c r="M1687" s="683">
        <v>39</v>
      </c>
      <c r="N1687" s="706">
        <v>4</v>
      </c>
      <c r="O1687" s="644"/>
      <c r="P1687" s="479"/>
      <c r="Q1687" s="479"/>
      <c r="R1687" s="479"/>
      <c r="S1687" s="479"/>
      <c r="T1687" s="479"/>
      <c r="U1687" s="479"/>
      <c r="V1687" s="456"/>
      <c r="W1687" s="456"/>
      <c r="X1687" s="456"/>
      <c r="Y1687" s="456"/>
      <c r="Z1687" s="456"/>
      <c r="AA1687" s="456"/>
      <c r="AB1687" s="456"/>
      <c r="AC1687" s="456"/>
      <c r="AD1687" s="456"/>
      <c r="AE1687" s="456"/>
      <c r="AF1687" s="456"/>
      <c r="AG1687" s="456"/>
      <c r="AH1687" s="456"/>
      <c r="AI1687" s="456"/>
      <c r="AJ1687" s="456"/>
      <c r="AK1687" s="456"/>
      <c r="AL1687" s="456"/>
      <c r="AM1687" s="456"/>
      <c r="AN1687" s="456"/>
      <c r="AO1687" s="456"/>
      <c r="AP1687" s="456"/>
      <c r="AQ1687" s="456"/>
      <c r="AR1687" s="456"/>
      <c r="AS1687" s="456"/>
      <c r="AT1687" s="456"/>
      <c r="AU1687" s="456"/>
      <c r="AV1687" s="456"/>
      <c r="AW1687" s="456"/>
      <c r="AX1687" s="456"/>
      <c r="AY1687" s="456"/>
      <c r="AZ1687" s="456"/>
      <c r="BA1687" s="456"/>
      <c r="BB1687" s="456"/>
      <c r="BC1687" s="456"/>
      <c r="BD1687" s="456"/>
      <c r="BE1687" s="456"/>
      <c r="BF1687" s="456"/>
      <c r="BG1687" s="456"/>
      <c r="BH1687" s="456"/>
      <c r="BI1687" s="456"/>
      <c r="BJ1687" s="456"/>
      <c r="BK1687" s="456"/>
      <c r="BL1687" s="456"/>
      <c r="BM1687" s="456"/>
      <c r="BN1687" s="456"/>
      <c r="BO1687" s="456"/>
      <c r="BP1687" s="456"/>
      <c r="BQ1687" s="456"/>
      <c r="BR1687" s="456"/>
      <c r="BS1687" s="456"/>
      <c r="BT1687" s="456"/>
      <c r="BU1687" s="456"/>
      <c r="BV1687" s="456"/>
      <c r="BW1687" s="456"/>
      <c r="BX1687" s="456"/>
      <c r="BY1687" s="456"/>
      <c r="BZ1687" s="456"/>
      <c r="CA1687" s="456"/>
      <c r="CB1687" s="456"/>
      <c r="CC1687" s="456"/>
      <c r="CD1687" s="456"/>
      <c r="CE1687" s="456"/>
      <c r="CF1687" s="456"/>
      <c r="CG1687" s="456"/>
      <c r="CH1687" s="456"/>
      <c r="CI1687" s="456"/>
      <c r="CJ1687" s="456"/>
      <c r="CK1687" s="456"/>
      <c r="CL1687" s="456"/>
      <c r="CM1687" s="456"/>
      <c r="CN1687" s="456"/>
      <c r="CO1687" s="456"/>
      <c r="CP1687" s="456"/>
      <c r="CQ1687" s="456"/>
      <c r="CR1687" s="456"/>
      <c r="CS1687" s="456"/>
      <c r="CT1687" s="456"/>
      <c r="CU1687" s="456"/>
      <c r="CV1687" s="456"/>
      <c r="CW1687" s="456"/>
      <c r="CX1687" s="456"/>
      <c r="CY1687" s="456"/>
      <c r="CZ1687" s="456"/>
      <c r="DA1687" s="456"/>
      <c r="DB1687" s="456"/>
      <c r="DC1687" s="456"/>
      <c r="DD1687" s="456"/>
      <c r="DE1687" s="456"/>
      <c r="DF1687" s="456"/>
      <c r="DG1687" s="456"/>
      <c r="DH1687" s="456"/>
      <c r="DI1687" s="456"/>
      <c r="DJ1687" s="456"/>
      <c r="DK1687" s="456"/>
      <c r="DL1687" s="456"/>
      <c r="DM1687" s="456"/>
      <c r="DN1687" s="456"/>
      <c r="DO1687" s="456"/>
      <c r="DP1687" s="456"/>
      <c r="DQ1687" s="456"/>
      <c r="DR1687" s="456"/>
      <c r="DS1687" s="456"/>
      <c r="DT1687" s="456"/>
      <c r="DU1687" s="456"/>
      <c r="DV1687" s="456"/>
      <c r="DW1687" s="456"/>
      <c r="DX1687" s="456"/>
      <c r="DY1687" s="456"/>
      <c r="DZ1687" s="456"/>
      <c r="EA1687" s="456"/>
      <c r="EB1687" s="456"/>
      <c r="EC1687" s="456"/>
      <c r="ED1687" s="456"/>
      <c r="EE1687" s="456"/>
      <c r="EF1687" s="456"/>
      <c r="EG1687" s="456"/>
      <c r="EH1687" s="456"/>
      <c r="EI1687" s="456"/>
      <c r="EJ1687" s="456"/>
      <c r="EK1687" s="456"/>
      <c r="EL1687" s="456"/>
      <c r="EM1687" s="456"/>
      <c r="EN1687" s="456"/>
      <c r="EO1687" s="456"/>
      <c r="EP1687" s="456"/>
      <c r="EQ1687" s="456"/>
      <c r="ER1687" s="456"/>
      <c r="ES1687" s="456"/>
      <c r="ET1687" s="456"/>
      <c r="EU1687" s="456"/>
      <c r="EV1687" s="456"/>
      <c r="EW1687" s="456"/>
      <c r="EX1687" s="456"/>
      <c r="EY1687" s="456"/>
      <c r="EZ1687" s="456"/>
      <c r="FA1687" s="456"/>
      <c r="FB1687" s="456"/>
      <c r="FC1687" s="456"/>
      <c r="FD1687" s="456"/>
      <c r="FE1687" s="456"/>
      <c r="FF1687" s="456"/>
      <c r="FG1687" s="456"/>
      <c r="FH1687" s="456"/>
      <c r="FI1687" s="456"/>
      <c r="FJ1687" s="456"/>
      <c r="FK1687" s="456"/>
      <c r="FL1687" s="456"/>
      <c r="FM1687" s="456"/>
      <c r="FN1687" s="456"/>
      <c r="FO1687" s="456"/>
      <c r="FP1687" s="456"/>
      <c r="FQ1687" s="456"/>
      <c r="FR1687" s="456"/>
      <c r="FS1687" s="456"/>
      <c r="FT1687" s="456"/>
      <c r="FU1687" s="456"/>
      <c r="FV1687" s="456"/>
      <c r="FW1687" s="456"/>
      <c r="FX1687" s="456"/>
      <c r="FY1687" s="456"/>
      <c r="FZ1687" s="456"/>
      <c r="GA1687" s="456"/>
      <c r="GB1687" s="456"/>
      <c r="GC1687" s="456"/>
      <c r="GD1687" s="456"/>
      <c r="GE1687" s="456"/>
      <c r="GF1687" s="456"/>
      <c r="GG1687" s="456"/>
      <c r="GH1687" s="456"/>
      <c r="GI1687" s="456"/>
      <c r="GJ1687" s="456"/>
      <c r="GK1687" s="456"/>
      <c r="GL1687" s="456"/>
      <c r="GM1687" s="456"/>
      <c r="GN1687" s="456"/>
      <c r="GO1687" s="456"/>
      <c r="GP1687" s="456"/>
      <c r="GQ1687" s="456"/>
      <c r="GR1687" s="456"/>
      <c r="GS1687" s="456"/>
      <c r="GT1687" s="456"/>
      <c r="GU1687" s="456"/>
      <c r="GV1687" s="456"/>
      <c r="GW1687" s="456"/>
      <c r="GX1687" s="456"/>
      <c r="GY1687" s="456"/>
      <c r="GZ1687" s="456"/>
      <c r="HA1687" s="456"/>
      <c r="HB1687" s="456"/>
      <c r="HC1687" s="456"/>
      <c r="HD1687" s="456"/>
      <c r="HE1687" s="456"/>
      <c r="HF1687" s="456"/>
      <c r="HG1687" s="456"/>
      <c r="HH1687" s="456"/>
      <c r="HI1687" s="456"/>
      <c r="HJ1687" s="456"/>
      <c r="HK1687" s="456"/>
      <c r="HL1687" s="456"/>
      <c r="HM1687" s="456"/>
    </row>
    <row r="1688" spans="1:221" s="688" customFormat="1" ht="17">
      <c r="A1688" s="703" t="s">
        <v>190</v>
      </c>
      <c r="B1688" s="1272" t="s">
        <v>482</v>
      </c>
      <c r="C1688" s="1273" t="s">
        <v>5</v>
      </c>
      <c r="D1688" s="1274"/>
      <c r="E1688" s="1255">
        <v>40</v>
      </c>
      <c r="F1688" s="681"/>
      <c r="G1688" s="681" t="s">
        <v>1909</v>
      </c>
      <c r="H1688" s="683"/>
      <c r="I1688" s="689"/>
      <c r="J1688" s="685"/>
      <c r="K1688" s="685"/>
      <c r="L1688" s="689">
        <v>68</v>
      </c>
      <c r="M1688" s="683">
        <v>28</v>
      </c>
      <c r="N1688" s="706">
        <v>4</v>
      </c>
      <c r="O1688" s="656"/>
      <c r="P1688" s="297"/>
      <c r="Q1688" s="297"/>
      <c r="R1688" s="297"/>
      <c r="S1688" s="297"/>
      <c r="T1688" s="297"/>
      <c r="U1688" s="297"/>
      <c r="V1688" s="305"/>
      <c r="W1688" s="305"/>
      <c r="X1688" s="305"/>
      <c r="Y1688" s="305"/>
      <c r="Z1688" s="305"/>
      <c r="AA1688" s="305"/>
      <c r="AB1688" s="305"/>
      <c r="AC1688" s="305"/>
      <c r="AD1688" s="305"/>
      <c r="AE1688" s="305"/>
      <c r="AF1688" s="305"/>
      <c r="AG1688" s="305"/>
      <c r="AH1688" s="305"/>
      <c r="AI1688" s="305"/>
      <c r="AJ1688" s="305"/>
      <c r="AK1688" s="305"/>
      <c r="AL1688" s="305"/>
      <c r="AM1688" s="305"/>
      <c r="AN1688" s="305"/>
      <c r="AO1688" s="305"/>
      <c r="AP1688" s="305"/>
      <c r="AQ1688" s="305"/>
      <c r="AR1688" s="305"/>
      <c r="AS1688" s="305"/>
      <c r="AT1688" s="305"/>
      <c r="AU1688" s="305"/>
      <c r="AV1688" s="305"/>
      <c r="AW1688" s="305"/>
      <c r="AX1688" s="305"/>
      <c r="AY1688" s="305"/>
      <c r="AZ1688" s="305"/>
      <c r="BA1688" s="305"/>
      <c r="BB1688" s="305"/>
      <c r="BC1688" s="305"/>
      <c r="BD1688" s="305"/>
      <c r="BE1688" s="305"/>
      <c r="BF1688" s="305"/>
      <c r="BG1688" s="305"/>
      <c r="BH1688" s="305"/>
      <c r="BI1688" s="305"/>
      <c r="BJ1688" s="305"/>
      <c r="BK1688" s="305"/>
      <c r="BL1688" s="305"/>
      <c r="BM1688" s="305"/>
      <c r="BN1688" s="305"/>
      <c r="BO1688" s="305"/>
      <c r="BP1688" s="305"/>
      <c r="BQ1688" s="305"/>
      <c r="BR1688" s="305"/>
      <c r="BS1688" s="305"/>
      <c r="BT1688" s="305"/>
      <c r="BU1688" s="305"/>
      <c r="BV1688" s="305"/>
      <c r="BW1688" s="305"/>
      <c r="BX1688" s="305"/>
      <c r="BY1688" s="305"/>
      <c r="BZ1688" s="305"/>
      <c r="CA1688" s="305"/>
      <c r="CB1688" s="305"/>
      <c r="CC1688" s="305"/>
      <c r="CD1688" s="305"/>
      <c r="CE1688" s="305"/>
      <c r="CF1688" s="305"/>
      <c r="CG1688" s="305"/>
      <c r="CH1688" s="305"/>
      <c r="CI1688" s="305"/>
      <c r="CJ1688" s="305"/>
      <c r="CK1688" s="305"/>
      <c r="CL1688" s="305"/>
      <c r="CM1688" s="305"/>
      <c r="CN1688" s="305"/>
      <c r="CO1688" s="305"/>
      <c r="CP1688" s="305"/>
      <c r="CQ1688" s="305"/>
      <c r="CR1688" s="305"/>
      <c r="CS1688" s="305"/>
      <c r="CT1688" s="305"/>
      <c r="CU1688" s="305"/>
      <c r="CV1688" s="305"/>
      <c r="CW1688" s="305"/>
      <c r="CX1688" s="305"/>
      <c r="CY1688" s="305"/>
      <c r="CZ1688" s="305"/>
      <c r="DA1688" s="305"/>
      <c r="DB1688" s="305"/>
      <c r="DC1688" s="305"/>
      <c r="DD1688" s="305"/>
      <c r="DE1688" s="305"/>
      <c r="DF1688" s="305"/>
      <c r="DG1688" s="305"/>
      <c r="DH1688" s="305"/>
      <c r="DI1688" s="305"/>
      <c r="DJ1688" s="305"/>
      <c r="DK1688" s="305"/>
      <c r="DL1688" s="305"/>
      <c r="DM1688" s="305"/>
      <c r="DN1688" s="305"/>
      <c r="DO1688" s="305"/>
      <c r="DP1688" s="305"/>
      <c r="DQ1688" s="305"/>
      <c r="DR1688" s="305"/>
      <c r="DS1688" s="305"/>
      <c r="DT1688" s="305"/>
      <c r="DU1688" s="305"/>
      <c r="DV1688" s="305"/>
      <c r="DW1688" s="305"/>
      <c r="DX1688" s="305"/>
      <c r="DY1688" s="305"/>
      <c r="DZ1688" s="305"/>
      <c r="EA1688" s="305"/>
      <c r="EB1688" s="305"/>
      <c r="EC1688" s="305"/>
      <c r="ED1688" s="305"/>
      <c r="EE1688" s="305"/>
      <c r="EF1688" s="305"/>
      <c r="EG1688" s="305"/>
      <c r="EH1688" s="305"/>
      <c r="EI1688" s="305"/>
      <c r="EJ1688" s="305"/>
      <c r="EK1688" s="305"/>
      <c r="EL1688" s="305"/>
      <c r="EM1688" s="305"/>
      <c r="EN1688" s="305"/>
      <c r="EO1688" s="305"/>
      <c r="EP1688" s="305"/>
      <c r="EQ1688" s="305"/>
      <c r="ER1688" s="305"/>
      <c r="ES1688" s="305"/>
      <c r="ET1688" s="305"/>
      <c r="EU1688" s="305"/>
      <c r="EV1688" s="305"/>
      <c r="EW1688" s="305"/>
      <c r="EX1688" s="305"/>
      <c r="EY1688" s="305"/>
      <c r="EZ1688" s="305"/>
      <c r="FA1688" s="305"/>
      <c r="FB1688" s="305"/>
      <c r="FC1688" s="305"/>
      <c r="FD1688" s="305"/>
      <c r="FE1688" s="305"/>
      <c r="FF1688" s="305"/>
      <c r="FG1688" s="305"/>
      <c r="FH1688" s="305"/>
      <c r="FI1688" s="305"/>
      <c r="FJ1688" s="305"/>
      <c r="FK1688" s="305"/>
      <c r="FL1688" s="305"/>
      <c r="FM1688" s="305"/>
      <c r="FN1688" s="305"/>
      <c r="FO1688" s="305"/>
      <c r="FP1688" s="305"/>
      <c r="FQ1688" s="305"/>
      <c r="FR1688" s="305"/>
      <c r="FS1688" s="305"/>
      <c r="FT1688" s="305"/>
      <c r="FU1688" s="305"/>
      <c r="FV1688" s="305"/>
      <c r="FW1688" s="305"/>
      <c r="FX1688" s="305"/>
      <c r="FY1688" s="305"/>
      <c r="FZ1688" s="305"/>
      <c r="GA1688" s="305"/>
      <c r="GB1688" s="305"/>
      <c r="GC1688" s="305"/>
      <c r="GD1688" s="305"/>
      <c r="GE1688" s="305"/>
      <c r="GF1688" s="305"/>
      <c r="GG1688" s="305"/>
      <c r="GH1688" s="305"/>
      <c r="GI1688" s="305"/>
      <c r="GJ1688" s="305"/>
      <c r="GK1688" s="305"/>
      <c r="GL1688" s="305"/>
      <c r="GM1688" s="305"/>
      <c r="GN1688" s="305"/>
      <c r="GO1688" s="305"/>
      <c r="GP1688" s="305"/>
      <c r="GQ1688" s="305"/>
      <c r="GR1688" s="305"/>
      <c r="GS1688" s="305"/>
      <c r="GT1688" s="305"/>
      <c r="GU1688" s="305"/>
      <c r="GV1688" s="305"/>
      <c r="GW1688" s="305"/>
      <c r="GX1688" s="305"/>
      <c r="GY1688" s="305"/>
      <c r="GZ1688" s="305"/>
      <c r="HA1688" s="305"/>
      <c r="HB1688" s="305"/>
      <c r="HC1688" s="305"/>
      <c r="HD1688" s="305"/>
      <c r="HE1688" s="305"/>
      <c r="HF1688" s="305"/>
      <c r="HG1688" s="305"/>
      <c r="HH1688" s="305"/>
      <c r="HI1688" s="305"/>
      <c r="HJ1688" s="305"/>
      <c r="HK1688" s="305"/>
      <c r="HL1688" s="305"/>
      <c r="HM1688" s="305"/>
    </row>
    <row r="1689" spans="1:221" s="688" customFormat="1">
      <c r="A1689" s="703"/>
      <c r="B1689" s="1272" t="s">
        <v>482</v>
      </c>
      <c r="C1689" s="1305" t="s">
        <v>492</v>
      </c>
      <c r="D1689" s="1274"/>
      <c r="E1689" s="1255"/>
      <c r="F1689" s="681" t="s">
        <v>948</v>
      </c>
      <c r="G1689" s="681" t="s">
        <v>1909</v>
      </c>
      <c r="H1689" s="683"/>
      <c r="I1689" s="689"/>
      <c r="J1689" s="685"/>
      <c r="K1689" s="685"/>
      <c r="L1689" s="689"/>
      <c r="M1689" s="683"/>
      <c r="N1689" s="706"/>
      <c r="O1689" s="480"/>
      <c r="P1689" s="479"/>
      <c r="Q1689" s="479"/>
      <c r="R1689" s="479"/>
      <c r="S1689" s="479"/>
      <c r="T1689" s="479"/>
      <c r="U1689" s="479"/>
      <c r="V1689" s="456"/>
      <c r="W1689" s="456"/>
      <c r="X1689" s="456"/>
      <c r="Y1689" s="456"/>
      <c r="Z1689" s="456"/>
      <c r="AA1689" s="456"/>
      <c r="AB1689" s="456"/>
      <c r="AC1689" s="456"/>
      <c r="AD1689" s="456"/>
      <c r="AE1689" s="456"/>
      <c r="AF1689" s="456"/>
      <c r="AG1689" s="456"/>
      <c r="AH1689" s="456"/>
      <c r="AI1689" s="456"/>
      <c r="AJ1689" s="456"/>
      <c r="AK1689" s="456"/>
      <c r="AL1689" s="456"/>
      <c r="AM1689" s="456"/>
      <c r="AN1689" s="456"/>
      <c r="AO1689" s="456"/>
      <c r="AP1689" s="456"/>
      <c r="AQ1689" s="456"/>
      <c r="AR1689" s="456"/>
      <c r="AS1689" s="456"/>
      <c r="AT1689" s="456"/>
      <c r="AU1689" s="456"/>
      <c r="AV1689" s="456"/>
      <c r="AW1689" s="456"/>
      <c r="AX1689" s="456"/>
      <c r="AY1689" s="456"/>
      <c r="AZ1689" s="456"/>
      <c r="BA1689" s="456"/>
      <c r="BB1689" s="456"/>
      <c r="BC1689" s="456"/>
      <c r="BD1689" s="456"/>
      <c r="BE1689" s="456"/>
      <c r="BF1689" s="456"/>
      <c r="BG1689" s="456"/>
      <c r="BH1689" s="456"/>
      <c r="BI1689" s="456"/>
      <c r="BJ1689" s="456"/>
      <c r="BK1689" s="456"/>
      <c r="BL1689" s="456"/>
      <c r="BM1689" s="456"/>
      <c r="BN1689" s="456"/>
      <c r="BO1689" s="456"/>
      <c r="BP1689" s="456"/>
      <c r="BQ1689" s="456"/>
      <c r="BR1689" s="456"/>
      <c r="BS1689" s="456"/>
      <c r="BT1689" s="456"/>
      <c r="BU1689" s="456"/>
      <c r="BV1689" s="456"/>
      <c r="BW1689" s="456"/>
      <c r="BX1689" s="456"/>
      <c r="BY1689" s="456"/>
      <c r="BZ1689" s="456"/>
      <c r="CA1689" s="456"/>
      <c r="CB1689" s="456"/>
      <c r="CC1689" s="456"/>
      <c r="CD1689" s="456"/>
      <c r="CE1689" s="456"/>
      <c r="CF1689" s="456"/>
      <c r="CG1689" s="456"/>
      <c r="CH1689" s="456"/>
      <c r="CI1689" s="456"/>
      <c r="CJ1689" s="456"/>
      <c r="CK1689" s="456"/>
      <c r="CL1689" s="456"/>
      <c r="CM1689" s="456"/>
      <c r="CN1689" s="456"/>
      <c r="CO1689" s="456"/>
      <c r="CP1689" s="456"/>
      <c r="CQ1689" s="456"/>
      <c r="CR1689" s="456"/>
      <c r="CS1689" s="456"/>
      <c r="CT1689" s="456"/>
      <c r="CU1689" s="456"/>
      <c r="CV1689" s="456"/>
      <c r="CW1689" s="456"/>
      <c r="CX1689" s="456"/>
      <c r="CY1689" s="456"/>
      <c r="CZ1689" s="456"/>
      <c r="DA1689" s="456"/>
      <c r="DB1689" s="456"/>
      <c r="DC1689" s="456"/>
      <c r="DD1689" s="456"/>
      <c r="DE1689" s="456"/>
      <c r="DF1689" s="456"/>
      <c r="DG1689" s="456"/>
      <c r="DH1689" s="456"/>
      <c r="DI1689" s="456"/>
      <c r="DJ1689" s="456"/>
      <c r="DK1689" s="456"/>
      <c r="DL1689" s="456"/>
      <c r="DM1689" s="456"/>
      <c r="DN1689" s="456"/>
      <c r="DO1689" s="456"/>
      <c r="DP1689" s="456"/>
      <c r="DQ1689" s="456"/>
      <c r="DR1689" s="456"/>
      <c r="DS1689" s="456"/>
      <c r="DT1689" s="456"/>
      <c r="DU1689" s="456"/>
      <c r="DV1689" s="456"/>
      <c r="DW1689" s="456"/>
      <c r="DX1689" s="456"/>
      <c r="DY1689" s="456"/>
      <c r="DZ1689" s="456"/>
      <c r="EA1689" s="456"/>
      <c r="EB1689" s="456"/>
      <c r="EC1689" s="456"/>
      <c r="ED1689" s="456"/>
      <c r="EE1689" s="456"/>
      <c r="EF1689" s="456"/>
      <c r="EG1689" s="456"/>
      <c r="EH1689" s="456"/>
      <c r="EI1689" s="456"/>
      <c r="EJ1689" s="456"/>
      <c r="EK1689" s="456"/>
      <c r="EL1689" s="456"/>
      <c r="EM1689" s="456"/>
      <c r="EN1689" s="456"/>
      <c r="EO1689" s="456"/>
      <c r="EP1689" s="456"/>
      <c r="EQ1689" s="456"/>
      <c r="ER1689" s="456"/>
      <c r="ES1689" s="456"/>
      <c r="ET1689" s="456"/>
      <c r="EU1689" s="456"/>
      <c r="EV1689" s="456"/>
      <c r="EW1689" s="456"/>
      <c r="EX1689" s="456"/>
      <c r="EY1689" s="456"/>
      <c r="EZ1689" s="456"/>
      <c r="FA1689" s="456"/>
      <c r="FB1689" s="456"/>
      <c r="FC1689" s="456"/>
      <c r="FD1689" s="456"/>
      <c r="FE1689" s="456"/>
      <c r="FF1689" s="456"/>
      <c r="FG1689" s="456"/>
      <c r="FH1689" s="456"/>
      <c r="FI1689" s="456"/>
      <c r="FJ1689" s="456"/>
      <c r="FK1689" s="456"/>
      <c r="FL1689" s="456"/>
      <c r="FM1689" s="456"/>
      <c r="FN1689" s="456"/>
      <c r="FO1689" s="456"/>
      <c r="FP1689" s="456"/>
      <c r="FQ1689" s="456"/>
      <c r="FR1689" s="456"/>
      <c r="FS1689" s="456"/>
      <c r="FT1689" s="456"/>
      <c r="FU1689" s="456"/>
      <c r="FV1689" s="456"/>
      <c r="FW1689" s="456"/>
      <c r="FX1689" s="456"/>
      <c r="FY1689" s="456"/>
      <c r="FZ1689" s="456"/>
      <c r="GA1689" s="456"/>
      <c r="GB1689" s="456"/>
      <c r="GC1689" s="456"/>
      <c r="GD1689" s="456"/>
      <c r="GE1689" s="456"/>
      <c r="GF1689" s="456"/>
      <c r="GG1689" s="456"/>
      <c r="GH1689" s="456"/>
      <c r="GI1689" s="456"/>
      <c r="GJ1689" s="456"/>
      <c r="GK1689" s="456"/>
      <c r="GL1689" s="456"/>
      <c r="GM1689" s="456"/>
      <c r="GN1689" s="456"/>
      <c r="GO1689" s="456"/>
      <c r="GP1689" s="456"/>
      <c r="GQ1689" s="456"/>
      <c r="GR1689" s="456"/>
      <c r="GS1689" s="456"/>
      <c r="GT1689" s="456"/>
      <c r="GU1689" s="456"/>
      <c r="GV1689" s="456"/>
      <c r="GW1689" s="456"/>
      <c r="GX1689" s="456"/>
      <c r="GY1689" s="456"/>
      <c r="GZ1689" s="456"/>
      <c r="HA1689" s="456"/>
      <c r="HB1689" s="456"/>
      <c r="HC1689" s="456"/>
      <c r="HD1689" s="456"/>
      <c r="HE1689" s="456"/>
      <c r="HF1689" s="456"/>
      <c r="HG1689" s="456"/>
      <c r="HH1689" s="456"/>
      <c r="HI1689" s="456"/>
      <c r="HJ1689" s="456"/>
      <c r="HK1689" s="456"/>
      <c r="HL1689" s="456"/>
      <c r="HM1689" s="456"/>
    </row>
    <row r="1690" spans="1:221" s="688" customFormat="1">
      <c r="A1690" s="703"/>
      <c r="B1690" s="1272" t="s">
        <v>482</v>
      </c>
      <c r="C1690" s="1305" t="s">
        <v>491</v>
      </c>
      <c r="D1690" s="1274"/>
      <c r="E1690" s="1255">
        <v>41</v>
      </c>
      <c r="F1690" s="681" t="s">
        <v>949</v>
      </c>
      <c r="G1690" s="681" t="s">
        <v>1909</v>
      </c>
      <c r="H1690" s="683"/>
      <c r="I1690" s="689"/>
      <c r="J1690" s="685"/>
      <c r="K1690" s="685"/>
      <c r="L1690" s="689">
        <v>81</v>
      </c>
      <c r="M1690" s="683">
        <v>40</v>
      </c>
      <c r="N1690" s="706">
        <v>4.5</v>
      </c>
      <c r="O1690" s="480"/>
      <c r="P1690" s="479"/>
      <c r="Q1690" s="479"/>
      <c r="R1690" s="479"/>
      <c r="S1690" s="479"/>
      <c r="T1690" s="479"/>
      <c r="U1690" s="479"/>
      <c r="V1690" s="456"/>
      <c r="W1690" s="456"/>
      <c r="X1690" s="456"/>
      <c r="Y1690" s="456"/>
      <c r="Z1690" s="456"/>
      <c r="AA1690" s="456"/>
      <c r="AB1690" s="456"/>
      <c r="AC1690" s="456"/>
      <c r="AD1690" s="456"/>
      <c r="AE1690" s="456"/>
      <c r="AF1690" s="456"/>
      <c r="AG1690" s="456"/>
      <c r="AH1690" s="456"/>
      <c r="AI1690" s="456"/>
      <c r="AJ1690" s="456"/>
      <c r="AK1690" s="456"/>
      <c r="AL1690" s="456"/>
      <c r="AM1690" s="456"/>
      <c r="AN1690" s="456"/>
      <c r="AO1690" s="456"/>
      <c r="AP1690" s="456"/>
      <c r="AQ1690" s="456"/>
      <c r="AR1690" s="456"/>
      <c r="AS1690" s="456"/>
      <c r="AT1690" s="456"/>
      <c r="AU1690" s="456"/>
      <c r="AV1690" s="456"/>
      <c r="AW1690" s="456"/>
      <c r="AX1690" s="456"/>
      <c r="AY1690" s="456"/>
      <c r="AZ1690" s="456"/>
      <c r="BA1690" s="456"/>
      <c r="BB1690" s="456"/>
      <c r="BC1690" s="456"/>
      <c r="BD1690" s="456"/>
      <c r="BE1690" s="456"/>
      <c r="BF1690" s="456"/>
      <c r="BG1690" s="456"/>
      <c r="BH1690" s="456"/>
      <c r="BI1690" s="456"/>
      <c r="BJ1690" s="456"/>
      <c r="BK1690" s="456"/>
      <c r="BL1690" s="456"/>
      <c r="BM1690" s="456"/>
      <c r="BN1690" s="456"/>
      <c r="BO1690" s="456"/>
      <c r="BP1690" s="456"/>
      <c r="BQ1690" s="456"/>
      <c r="BR1690" s="456"/>
      <c r="BS1690" s="456"/>
      <c r="BT1690" s="456"/>
      <c r="BU1690" s="456"/>
      <c r="BV1690" s="456"/>
      <c r="BW1690" s="456"/>
      <c r="BX1690" s="456"/>
      <c r="BY1690" s="456"/>
      <c r="BZ1690" s="456"/>
      <c r="CA1690" s="456"/>
      <c r="CB1690" s="456"/>
      <c r="CC1690" s="456"/>
      <c r="CD1690" s="456"/>
      <c r="CE1690" s="456"/>
      <c r="CF1690" s="456"/>
      <c r="CG1690" s="456"/>
      <c r="CH1690" s="456"/>
      <c r="CI1690" s="456"/>
      <c r="CJ1690" s="456"/>
      <c r="CK1690" s="456"/>
      <c r="CL1690" s="456"/>
      <c r="CM1690" s="456"/>
      <c r="CN1690" s="456"/>
      <c r="CO1690" s="456"/>
      <c r="CP1690" s="456"/>
      <c r="CQ1690" s="456"/>
      <c r="CR1690" s="456"/>
      <c r="CS1690" s="456"/>
      <c r="CT1690" s="456"/>
      <c r="CU1690" s="456"/>
      <c r="CV1690" s="456"/>
      <c r="CW1690" s="456"/>
      <c r="CX1690" s="456"/>
      <c r="CY1690" s="456"/>
      <c r="CZ1690" s="456"/>
      <c r="DA1690" s="456"/>
      <c r="DB1690" s="456"/>
      <c r="DC1690" s="456"/>
      <c r="DD1690" s="456"/>
      <c r="DE1690" s="456"/>
      <c r="DF1690" s="456"/>
      <c r="DG1690" s="456"/>
      <c r="DH1690" s="456"/>
      <c r="DI1690" s="456"/>
      <c r="DJ1690" s="456"/>
      <c r="DK1690" s="456"/>
      <c r="DL1690" s="456"/>
      <c r="DM1690" s="456"/>
      <c r="DN1690" s="456"/>
      <c r="DO1690" s="456"/>
      <c r="DP1690" s="456"/>
      <c r="DQ1690" s="456"/>
      <c r="DR1690" s="456"/>
      <c r="DS1690" s="456"/>
      <c r="DT1690" s="456"/>
      <c r="DU1690" s="456"/>
      <c r="DV1690" s="456"/>
      <c r="DW1690" s="456"/>
      <c r="DX1690" s="456"/>
      <c r="DY1690" s="456"/>
      <c r="DZ1690" s="456"/>
      <c r="EA1690" s="456"/>
      <c r="EB1690" s="456"/>
      <c r="EC1690" s="456"/>
      <c r="ED1690" s="456"/>
      <c r="EE1690" s="456"/>
      <c r="EF1690" s="456"/>
      <c r="EG1690" s="456"/>
      <c r="EH1690" s="456"/>
      <c r="EI1690" s="456"/>
      <c r="EJ1690" s="456"/>
      <c r="EK1690" s="456"/>
      <c r="EL1690" s="456"/>
      <c r="EM1690" s="456"/>
      <c r="EN1690" s="456"/>
      <c r="EO1690" s="456"/>
      <c r="EP1690" s="456"/>
      <c r="EQ1690" s="456"/>
      <c r="ER1690" s="456"/>
      <c r="ES1690" s="456"/>
      <c r="ET1690" s="456"/>
      <c r="EU1690" s="456"/>
      <c r="EV1690" s="456"/>
      <c r="EW1690" s="456"/>
      <c r="EX1690" s="456"/>
      <c r="EY1690" s="456"/>
      <c r="EZ1690" s="456"/>
      <c r="FA1690" s="456"/>
      <c r="FB1690" s="456"/>
      <c r="FC1690" s="456"/>
      <c r="FD1690" s="456"/>
      <c r="FE1690" s="456"/>
      <c r="FF1690" s="456"/>
      <c r="FG1690" s="456"/>
      <c r="FH1690" s="456"/>
      <c r="FI1690" s="456"/>
      <c r="FJ1690" s="456"/>
      <c r="FK1690" s="456"/>
      <c r="FL1690" s="456"/>
      <c r="FM1690" s="456"/>
      <c r="FN1690" s="456"/>
      <c r="FO1690" s="456"/>
      <c r="FP1690" s="456"/>
      <c r="FQ1690" s="456"/>
      <c r="FR1690" s="456"/>
      <c r="FS1690" s="456"/>
      <c r="FT1690" s="456"/>
      <c r="FU1690" s="456"/>
      <c r="FV1690" s="456"/>
      <c r="FW1690" s="456"/>
      <c r="FX1690" s="456"/>
      <c r="FY1690" s="456"/>
      <c r="FZ1690" s="456"/>
      <c r="GA1690" s="456"/>
      <c r="GB1690" s="456"/>
      <c r="GC1690" s="456"/>
      <c r="GD1690" s="456"/>
      <c r="GE1690" s="456"/>
      <c r="GF1690" s="456"/>
      <c r="GG1690" s="456"/>
      <c r="GH1690" s="456"/>
      <c r="GI1690" s="456"/>
      <c r="GJ1690" s="456"/>
      <c r="GK1690" s="456"/>
      <c r="GL1690" s="456"/>
      <c r="GM1690" s="456"/>
      <c r="GN1690" s="456"/>
      <c r="GO1690" s="456"/>
      <c r="GP1690" s="456"/>
      <c r="GQ1690" s="456"/>
      <c r="GR1690" s="456"/>
      <c r="GS1690" s="456"/>
      <c r="GT1690" s="456"/>
      <c r="GU1690" s="456"/>
      <c r="GV1690" s="456"/>
      <c r="GW1690" s="456"/>
      <c r="GX1690" s="456"/>
      <c r="GY1690" s="456"/>
      <c r="GZ1690" s="456"/>
      <c r="HA1690" s="456"/>
      <c r="HB1690" s="456"/>
      <c r="HC1690" s="456"/>
      <c r="HD1690" s="456"/>
      <c r="HE1690" s="456"/>
      <c r="HF1690" s="456"/>
      <c r="HG1690" s="456"/>
      <c r="HH1690" s="456"/>
      <c r="HI1690" s="456"/>
      <c r="HJ1690" s="456"/>
      <c r="HK1690" s="456"/>
      <c r="HL1690" s="456"/>
      <c r="HM1690" s="456"/>
    </row>
    <row r="1691" spans="1:221" s="456" customFormat="1">
      <c r="A1691" s="703" t="s">
        <v>1552</v>
      </c>
      <c r="B1691" s="1272" t="s">
        <v>482</v>
      </c>
      <c r="C1691" s="1305" t="s">
        <v>255</v>
      </c>
      <c r="D1691" s="1274"/>
      <c r="E1691" s="1255">
        <v>57</v>
      </c>
      <c r="F1691" s="681"/>
      <c r="G1691" s="681"/>
      <c r="H1691" s="683"/>
      <c r="I1691" s="689"/>
      <c r="J1691" s="685"/>
      <c r="K1691" s="685"/>
      <c r="L1691" s="689">
        <v>114</v>
      </c>
      <c r="M1691" s="683">
        <v>57</v>
      </c>
      <c r="N1691" s="706"/>
      <c r="O1691" s="711" t="s">
        <v>1551</v>
      </c>
      <c r="P1691" s="696"/>
      <c r="Q1691" s="696"/>
      <c r="R1691" s="696"/>
      <c r="S1691" s="696"/>
      <c r="T1691" s="696"/>
      <c r="U1691" s="696"/>
      <c r="V1691" s="688"/>
      <c r="W1691" s="688"/>
      <c r="X1691" s="688"/>
      <c r="Y1691" s="688"/>
      <c r="Z1691" s="688"/>
      <c r="AA1691" s="688"/>
      <c r="AB1691" s="688"/>
      <c r="AC1691" s="688"/>
      <c r="AD1691" s="688"/>
      <c r="AE1691" s="688"/>
      <c r="AF1691" s="688"/>
      <c r="AG1691" s="688"/>
      <c r="AH1691" s="688"/>
      <c r="AI1691" s="688"/>
      <c r="AJ1691" s="688"/>
      <c r="AK1691" s="688"/>
      <c r="AL1691" s="688"/>
      <c r="AM1691" s="688"/>
      <c r="AN1691" s="688"/>
      <c r="AO1691" s="688"/>
      <c r="AP1691" s="688"/>
      <c r="AQ1691" s="688"/>
      <c r="AR1691" s="688"/>
      <c r="AS1691" s="688"/>
      <c r="AT1691" s="688"/>
      <c r="AU1691" s="688"/>
      <c r="AV1691" s="688"/>
      <c r="AW1691" s="688"/>
      <c r="AX1691" s="688"/>
      <c r="AY1691" s="688"/>
      <c r="AZ1691" s="688"/>
      <c r="BA1691" s="688"/>
      <c r="BB1691" s="688"/>
      <c r="BC1691" s="688"/>
      <c r="BD1691" s="688"/>
      <c r="BE1691" s="688"/>
      <c r="BF1691" s="688"/>
      <c r="BG1691" s="688"/>
      <c r="BH1691" s="688"/>
      <c r="BI1691" s="688"/>
      <c r="BJ1691" s="688"/>
      <c r="BK1691" s="688"/>
      <c r="BL1691" s="688"/>
      <c r="BM1691" s="688"/>
      <c r="BN1691" s="688"/>
      <c r="BO1691" s="688"/>
      <c r="BP1691" s="688"/>
      <c r="BQ1691" s="688"/>
      <c r="BR1691" s="688"/>
      <c r="BS1691" s="688"/>
      <c r="BT1691" s="688"/>
      <c r="BU1691" s="688"/>
      <c r="BV1691" s="688"/>
      <c r="BW1691" s="688"/>
      <c r="BX1691" s="688"/>
      <c r="BY1691" s="688"/>
      <c r="BZ1691" s="688"/>
      <c r="CA1691" s="688"/>
      <c r="CB1691" s="688"/>
      <c r="CC1691" s="688"/>
      <c r="CD1691" s="688"/>
      <c r="CE1691" s="688"/>
      <c r="CF1691" s="688"/>
      <c r="CG1691" s="688"/>
      <c r="CH1691" s="688"/>
      <c r="CI1691" s="688"/>
      <c r="CJ1691" s="688"/>
      <c r="CK1691" s="688"/>
      <c r="CL1691" s="688"/>
      <c r="CM1691" s="688"/>
      <c r="CN1691" s="688"/>
      <c r="CO1691" s="688"/>
      <c r="CP1691" s="688"/>
      <c r="CQ1691" s="688"/>
      <c r="CR1691" s="688"/>
      <c r="CS1691" s="688"/>
      <c r="CT1691" s="688"/>
      <c r="CU1691" s="688"/>
      <c r="CV1691" s="688"/>
      <c r="CW1691" s="688"/>
      <c r="CX1691" s="688"/>
      <c r="CY1691" s="688"/>
      <c r="CZ1691" s="688"/>
      <c r="DA1691" s="688"/>
      <c r="DB1691" s="688"/>
      <c r="DC1691" s="688"/>
      <c r="DD1691" s="688"/>
      <c r="DE1691" s="688"/>
      <c r="DF1691" s="688"/>
      <c r="DG1691" s="688"/>
      <c r="DH1691" s="688"/>
      <c r="DI1691" s="688"/>
      <c r="DJ1691" s="688"/>
      <c r="DK1691" s="688"/>
      <c r="DL1691" s="688"/>
      <c r="DM1691" s="688"/>
      <c r="DN1691" s="688"/>
      <c r="DO1691" s="688"/>
      <c r="DP1691" s="688"/>
      <c r="DQ1691" s="688"/>
      <c r="DR1691" s="688"/>
      <c r="DS1691" s="688"/>
      <c r="DT1691" s="688"/>
      <c r="DU1691" s="688"/>
      <c r="DV1691" s="688"/>
      <c r="DW1691" s="688"/>
      <c r="DX1691" s="688"/>
      <c r="DY1691" s="688"/>
      <c r="DZ1691" s="688"/>
      <c r="EA1691" s="688"/>
      <c r="EB1691" s="688"/>
      <c r="EC1691" s="688"/>
      <c r="ED1691" s="688"/>
      <c r="EE1691" s="688"/>
      <c r="EF1691" s="688"/>
      <c r="EG1691" s="688"/>
      <c r="EH1691" s="688"/>
      <c r="EI1691" s="688"/>
      <c r="EJ1691" s="688"/>
      <c r="EK1691" s="688"/>
      <c r="EL1691" s="688"/>
      <c r="EM1691" s="688"/>
      <c r="EN1691" s="688"/>
      <c r="EO1691" s="688"/>
      <c r="EP1691" s="688"/>
      <c r="EQ1691" s="688"/>
      <c r="ER1691" s="688"/>
      <c r="ES1691" s="688"/>
      <c r="ET1691" s="688"/>
      <c r="EU1691" s="688"/>
      <c r="EV1691" s="688"/>
      <c r="EW1691" s="688"/>
      <c r="EX1691" s="688"/>
      <c r="EY1691" s="688"/>
      <c r="EZ1691" s="688"/>
      <c r="FA1691" s="688"/>
      <c r="FB1691" s="688"/>
      <c r="FC1691" s="688"/>
      <c r="FD1691" s="688"/>
      <c r="FE1691" s="688"/>
      <c r="FF1691" s="688"/>
      <c r="FG1691" s="688"/>
      <c r="FH1691" s="688"/>
      <c r="FI1691" s="688"/>
      <c r="FJ1691" s="688"/>
      <c r="FK1691" s="688"/>
      <c r="FL1691" s="688"/>
      <c r="FM1691" s="688"/>
      <c r="FN1691" s="688"/>
      <c r="FO1691" s="688"/>
      <c r="FP1691" s="688"/>
      <c r="FQ1691" s="688"/>
      <c r="FR1691" s="688"/>
      <c r="FS1691" s="688"/>
      <c r="FT1691" s="688"/>
      <c r="FU1691" s="688"/>
      <c r="FV1691" s="688"/>
      <c r="FW1691" s="688"/>
      <c r="FX1691" s="688"/>
      <c r="FY1691" s="688"/>
      <c r="FZ1691" s="688"/>
      <c r="GA1691" s="688"/>
      <c r="GB1691" s="688"/>
      <c r="GC1691" s="688"/>
      <c r="GD1691" s="688"/>
      <c r="GE1691" s="688"/>
      <c r="GF1691" s="688"/>
      <c r="GG1691" s="688"/>
      <c r="GH1691" s="688"/>
      <c r="GI1691" s="688"/>
      <c r="GJ1691" s="688"/>
      <c r="GK1691" s="688"/>
      <c r="GL1691" s="688"/>
      <c r="GM1691" s="688"/>
      <c r="GN1691" s="688"/>
      <c r="GO1691" s="688"/>
      <c r="GP1691" s="688"/>
      <c r="GQ1691" s="688"/>
      <c r="GR1691" s="688"/>
      <c r="GS1691" s="688"/>
      <c r="GT1691" s="688"/>
      <c r="GU1691" s="688"/>
      <c r="GV1691" s="688"/>
      <c r="GW1691" s="688"/>
      <c r="GX1691" s="688"/>
      <c r="GY1691" s="688"/>
      <c r="GZ1691" s="688"/>
      <c r="HA1691" s="688"/>
      <c r="HB1691" s="688"/>
      <c r="HC1691" s="688"/>
      <c r="HD1691" s="688"/>
      <c r="HE1691" s="688"/>
      <c r="HF1691" s="688"/>
      <c r="HG1691" s="688"/>
      <c r="HH1691" s="688"/>
      <c r="HI1691" s="688"/>
      <c r="HJ1691" s="688"/>
      <c r="HK1691" s="688"/>
      <c r="HL1691" s="688"/>
      <c r="HM1691" s="688"/>
    </row>
    <row r="1692" spans="1:221" s="456" customFormat="1">
      <c r="A1692" s="703" t="s">
        <v>7</v>
      </c>
      <c r="B1692" s="1272" t="s">
        <v>482</v>
      </c>
      <c r="C1692" s="1305" t="s">
        <v>255</v>
      </c>
      <c r="D1692" s="1274"/>
      <c r="E1692" s="1255">
        <v>88.5</v>
      </c>
      <c r="F1692" s="681"/>
      <c r="G1692" s="681"/>
      <c r="H1692" s="683"/>
      <c r="I1692" s="689"/>
      <c r="J1692" s="685"/>
      <c r="K1692" s="685"/>
      <c r="L1692" s="689">
        <v>156</v>
      </c>
      <c r="M1692" s="683">
        <v>67.5</v>
      </c>
      <c r="N1692" s="706"/>
      <c r="O1692" s="711" t="s">
        <v>1551</v>
      </c>
      <c r="P1692" s="696"/>
      <c r="Q1692" s="696"/>
      <c r="R1692" s="696"/>
      <c r="S1692" s="696"/>
      <c r="T1692" s="696"/>
      <c r="U1692" s="696"/>
      <c r="V1692" s="688"/>
      <c r="W1692" s="688"/>
      <c r="X1692" s="688"/>
      <c r="Y1692" s="688"/>
      <c r="Z1692" s="688"/>
      <c r="AA1692" s="688"/>
      <c r="AB1692" s="688"/>
      <c r="AC1692" s="688"/>
      <c r="AD1692" s="688"/>
      <c r="AE1692" s="688"/>
      <c r="AF1692" s="688"/>
      <c r="AG1692" s="688"/>
      <c r="AH1692" s="688"/>
      <c r="AI1692" s="688"/>
      <c r="AJ1692" s="688"/>
      <c r="AK1692" s="688"/>
      <c r="AL1692" s="688"/>
      <c r="AM1692" s="688"/>
      <c r="AN1692" s="688"/>
      <c r="AO1692" s="688"/>
      <c r="AP1692" s="688"/>
      <c r="AQ1692" s="688"/>
      <c r="AR1692" s="688"/>
      <c r="AS1692" s="688"/>
      <c r="AT1692" s="688"/>
      <c r="AU1692" s="688"/>
      <c r="AV1692" s="688"/>
      <c r="AW1692" s="688"/>
      <c r="AX1692" s="688"/>
      <c r="AY1692" s="688"/>
      <c r="AZ1692" s="688"/>
      <c r="BA1692" s="688"/>
      <c r="BB1692" s="688"/>
      <c r="BC1692" s="688"/>
      <c r="BD1692" s="688"/>
      <c r="BE1692" s="688"/>
      <c r="BF1692" s="688"/>
      <c r="BG1692" s="688"/>
      <c r="BH1692" s="688"/>
      <c r="BI1692" s="688"/>
      <c r="BJ1692" s="688"/>
      <c r="BK1692" s="688"/>
      <c r="BL1692" s="688"/>
      <c r="BM1692" s="688"/>
      <c r="BN1692" s="688"/>
      <c r="BO1692" s="688"/>
      <c r="BP1692" s="688"/>
      <c r="BQ1692" s="688"/>
      <c r="BR1692" s="688"/>
      <c r="BS1692" s="688"/>
      <c r="BT1692" s="688"/>
      <c r="BU1692" s="688"/>
      <c r="BV1692" s="688"/>
      <c r="BW1692" s="688"/>
      <c r="BX1692" s="688"/>
      <c r="BY1692" s="688"/>
      <c r="BZ1692" s="688"/>
      <c r="CA1692" s="688"/>
      <c r="CB1692" s="688"/>
      <c r="CC1692" s="688"/>
      <c r="CD1692" s="688"/>
      <c r="CE1692" s="688"/>
      <c r="CF1692" s="688"/>
      <c r="CG1692" s="688"/>
      <c r="CH1692" s="688"/>
      <c r="CI1692" s="688"/>
      <c r="CJ1692" s="688"/>
      <c r="CK1692" s="688"/>
      <c r="CL1692" s="688"/>
      <c r="CM1692" s="688"/>
      <c r="CN1692" s="688"/>
      <c r="CO1692" s="688"/>
      <c r="CP1692" s="688"/>
      <c r="CQ1692" s="688"/>
      <c r="CR1692" s="688"/>
      <c r="CS1692" s="688"/>
      <c r="CT1692" s="688"/>
      <c r="CU1692" s="688"/>
      <c r="CV1692" s="688"/>
      <c r="CW1692" s="688"/>
      <c r="CX1692" s="688"/>
      <c r="CY1692" s="688"/>
      <c r="CZ1692" s="688"/>
      <c r="DA1692" s="688"/>
      <c r="DB1692" s="688"/>
      <c r="DC1692" s="688"/>
      <c r="DD1692" s="688"/>
      <c r="DE1692" s="688"/>
      <c r="DF1692" s="688"/>
      <c r="DG1692" s="688"/>
      <c r="DH1692" s="688"/>
      <c r="DI1692" s="688"/>
      <c r="DJ1692" s="688"/>
      <c r="DK1692" s="688"/>
      <c r="DL1692" s="688"/>
      <c r="DM1692" s="688"/>
      <c r="DN1692" s="688"/>
      <c r="DO1692" s="688"/>
      <c r="DP1692" s="688"/>
      <c r="DQ1692" s="688"/>
      <c r="DR1692" s="688"/>
      <c r="DS1692" s="688"/>
      <c r="DT1692" s="688"/>
      <c r="DU1692" s="688"/>
      <c r="DV1692" s="688"/>
      <c r="DW1692" s="688"/>
      <c r="DX1692" s="688"/>
      <c r="DY1692" s="688"/>
      <c r="DZ1692" s="688"/>
      <c r="EA1692" s="688"/>
      <c r="EB1692" s="688"/>
      <c r="EC1692" s="688"/>
      <c r="ED1692" s="688"/>
      <c r="EE1692" s="688"/>
      <c r="EF1692" s="688"/>
      <c r="EG1692" s="688"/>
      <c r="EH1692" s="688"/>
      <c r="EI1692" s="688"/>
      <c r="EJ1692" s="688"/>
      <c r="EK1692" s="688"/>
      <c r="EL1692" s="688"/>
      <c r="EM1692" s="688"/>
      <c r="EN1692" s="688"/>
      <c r="EO1692" s="688"/>
      <c r="EP1692" s="688"/>
      <c r="EQ1692" s="688"/>
      <c r="ER1692" s="688"/>
      <c r="ES1692" s="688"/>
      <c r="ET1692" s="688"/>
      <c r="EU1692" s="688"/>
      <c r="EV1692" s="688"/>
      <c r="EW1692" s="688"/>
      <c r="EX1692" s="688"/>
      <c r="EY1692" s="688"/>
      <c r="EZ1692" s="688"/>
      <c r="FA1692" s="688"/>
      <c r="FB1692" s="688"/>
      <c r="FC1692" s="688"/>
      <c r="FD1692" s="688"/>
      <c r="FE1692" s="688"/>
      <c r="FF1692" s="688"/>
      <c r="FG1692" s="688"/>
      <c r="FH1692" s="688"/>
      <c r="FI1692" s="688"/>
      <c r="FJ1692" s="688"/>
      <c r="FK1692" s="688"/>
      <c r="FL1692" s="688"/>
      <c r="FM1692" s="688"/>
      <c r="FN1692" s="688"/>
      <c r="FO1692" s="688"/>
      <c r="FP1692" s="688"/>
      <c r="FQ1692" s="688"/>
      <c r="FR1692" s="688"/>
      <c r="FS1692" s="688"/>
      <c r="FT1692" s="688"/>
      <c r="FU1692" s="688"/>
      <c r="FV1692" s="688"/>
      <c r="FW1692" s="688"/>
      <c r="FX1692" s="688"/>
      <c r="FY1692" s="688"/>
      <c r="FZ1692" s="688"/>
      <c r="GA1692" s="688"/>
      <c r="GB1692" s="688"/>
      <c r="GC1692" s="688"/>
      <c r="GD1692" s="688"/>
      <c r="GE1692" s="688"/>
      <c r="GF1692" s="688"/>
      <c r="GG1692" s="688"/>
      <c r="GH1692" s="688"/>
      <c r="GI1692" s="688"/>
      <c r="GJ1692" s="688"/>
      <c r="GK1692" s="688"/>
      <c r="GL1692" s="688"/>
      <c r="GM1692" s="688"/>
      <c r="GN1692" s="688"/>
      <c r="GO1692" s="688"/>
      <c r="GP1692" s="688"/>
      <c r="GQ1692" s="688"/>
      <c r="GR1692" s="688"/>
      <c r="GS1692" s="688"/>
      <c r="GT1692" s="688"/>
      <c r="GU1692" s="688"/>
      <c r="GV1692" s="688"/>
      <c r="GW1692" s="688"/>
      <c r="GX1692" s="688"/>
      <c r="GY1692" s="688"/>
      <c r="GZ1692" s="688"/>
      <c r="HA1692" s="688"/>
      <c r="HB1692" s="688"/>
      <c r="HC1692" s="688"/>
      <c r="HD1692" s="688"/>
      <c r="HE1692" s="688"/>
      <c r="HF1692" s="688"/>
      <c r="HG1692" s="688"/>
      <c r="HH1692" s="688"/>
      <c r="HI1692" s="688"/>
      <c r="HJ1692" s="688"/>
      <c r="HK1692" s="688"/>
      <c r="HL1692" s="688"/>
      <c r="HM1692" s="688"/>
    </row>
    <row r="1693" spans="1:221" s="456" customFormat="1">
      <c r="A1693" s="703" t="s">
        <v>1553</v>
      </c>
      <c r="B1693" s="1272" t="s">
        <v>482</v>
      </c>
      <c r="C1693" s="1305" t="s">
        <v>255</v>
      </c>
      <c r="D1693" s="1274"/>
      <c r="E1693" s="1255">
        <v>149</v>
      </c>
      <c r="F1693" s="681"/>
      <c r="G1693" s="681"/>
      <c r="H1693" s="683"/>
      <c r="I1693" s="689"/>
      <c r="J1693" s="685"/>
      <c r="K1693" s="685"/>
      <c r="L1693" s="689">
        <v>286</v>
      </c>
      <c r="M1693" s="683">
        <v>137</v>
      </c>
      <c r="N1693" s="706"/>
      <c r="O1693" s="711" t="s">
        <v>1551</v>
      </c>
      <c r="P1693" s="696"/>
      <c r="Q1693" s="696" t="s">
        <v>1555</v>
      </c>
      <c r="R1693" s="696"/>
      <c r="S1693" s="696"/>
      <c r="T1693" s="696"/>
      <c r="U1693" s="696"/>
      <c r="V1693" s="688"/>
      <c r="W1693" s="688"/>
      <c r="X1693" s="688"/>
      <c r="Y1693" s="688"/>
      <c r="Z1693" s="688"/>
      <c r="AA1693" s="688"/>
      <c r="AB1693" s="688"/>
      <c r="AC1693" s="688"/>
      <c r="AD1693" s="688"/>
      <c r="AE1693" s="688"/>
      <c r="AF1693" s="688"/>
      <c r="AG1693" s="688"/>
      <c r="AH1693" s="688"/>
      <c r="AI1693" s="688"/>
      <c r="AJ1693" s="688"/>
      <c r="AK1693" s="688"/>
      <c r="AL1693" s="688"/>
      <c r="AM1693" s="688"/>
      <c r="AN1693" s="688"/>
      <c r="AO1693" s="688"/>
      <c r="AP1693" s="688"/>
      <c r="AQ1693" s="688"/>
      <c r="AR1693" s="688"/>
      <c r="AS1693" s="688"/>
      <c r="AT1693" s="688"/>
      <c r="AU1693" s="688"/>
      <c r="AV1693" s="688"/>
      <c r="AW1693" s="688"/>
      <c r="AX1693" s="688"/>
      <c r="AY1693" s="688"/>
      <c r="AZ1693" s="688"/>
      <c r="BA1693" s="688"/>
      <c r="BB1693" s="688"/>
      <c r="BC1693" s="688"/>
      <c r="BD1693" s="688"/>
      <c r="BE1693" s="688"/>
      <c r="BF1693" s="688"/>
      <c r="BG1693" s="688"/>
      <c r="BH1693" s="688"/>
      <c r="BI1693" s="688"/>
      <c r="BJ1693" s="688"/>
      <c r="BK1693" s="688"/>
      <c r="BL1693" s="688"/>
      <c r="BM1693" s="688"/>
      <c r="BN1693" s="688"/>
      <c r="BO1693" s="688"/>
      <c r="BP1693" s="688"/>
      <c r="BQ1693" s="688"/>
      <c r="BR1693" s="688"/>
      <c r="BS1693" s="688"/>
      <c r="BT1693" s="688"/>
      <c r="BU1693" s="688"/>
      <c r="BV1693" s="688"/>
      <c r="BW1693" s="688"/>
      <c r="BX1693" s="688"/>
      <c r="BY1693" s="688"/>
      <c r="BZ1693" s="688"/>
      <c r="CA1693" s="688"/>
      <c r="CB1693" s="688"/>
      <c r="CC1693" s="688"/>
      <c r="CD1693" s="688"/>
      <c r="CE1693" s="688"/>
      <c r="CF1693" s="688"/>
      <c r="CG1693" s="688"/>
      <c r="CH1693" s="688"/>
      <c r="CI1693" s="688"/>
      <c r="CJ1693" s="688"/>
      <c r="CK1693" s="688"/>
      <c r="CL1693" s="688"/>
      <c r="CM1693" s="688"/>
      <c r="CN1693" s="688"/>
      <c r="CO1693" s="688"/>
      <c r="CP1693" s="688"/>
      <c r="CQ1693" s="688"/>
      <c r="CR1693" s="688"/>
      <c r="CS1693" s="688"/>
      <c r="CT1693" s="688"/>
      <c r="CU1693" s="688"/>
      <c r="CV1693" s="688"/>
      <c r="CW1693" s="688"/>
      <c r="CX1693" s="688"/>
      <c r="CY1693" s="688"/>
      <c r="CZ1693" s="688"/>
      <c r="DA1693" s="688"/>
      <c r="DB1693" s="688"/>
      <c r="DC1693" s="688"/>
      <c r="DD1693" s="688"/>
      <c r="DE1693" s="688"/>
      <c r="DF1693" s="688"/>
      <c r="DG1693" s="688"/>
      <c r="DH1693" s="688"/>
      <c r="DI1693" s="688"/>
      <c r="DJ1693" s="688"/>
      <c r="DK1693" s="688"/>
      <c r="DL1693" s="688"/>
      <c r="DM1693" s="688"/>
      <c r="DN1693" s="688"/>
      <c r="DO1693" s="688"/>
      <c r="DP1693" s="688"/>
      <c r="DQ1693" s="688"/>
      <c r="DR1693" s="688"/>
      <c r="DS1693" s="688"/>
      <c r="DT1693" s="688"/>
      <c r="DU1693" s="688"/>
      <c r="DV1693" s="688"/>
      <c r="DW1693" s="688"/>
      <c r="DX1693" s="688"/>
      <c r="DY1693" s="688"/>
      <c r="DZ1693" s="688"/>
      <c r="EA1693" s="688"/>
      <c r="EB1693" s="688"/>
      <c r="EC1693" s="688"/>
      <c r="ED1693" s="688"/>
      <c r="EE1693" s="688"/>
      <c r="EF1693" s="688"/>
      <c r="EG1693" s="688"/>
      <c r="EH1693" s="688"/>
      <c r="EI1693" s="688"/>
      <c r="EJ1693" s="688"/>
      <c r="EK1693" s="688"/>
      <c r="EL1693" s="688"/>
      <c r="EM1693" s="688"/>
      <c r="EN1693" s="688"/>
      <c r="EO1693" s="688"/>
      <c r="EP1693" s="688"/>
      <c r="EQ1693" s="688"/>
      <c r="ER1693" s="688"/>
      <c r="ES1693" s="688"/>
      <c r="ET1693" s="688"/>
      <c r="EU1693" s="688"/>
      <c r="EV1693" s="688"/>
      <c r="EW1693" s="688"/>
      <c r="EX1693" s="688"/>
      <c r="EY1693" s="688"/>
      <c r="EZ1693" s="688"/>
      <c r="FA1693" s="688"/>
      <c r="FB1693" s="688"/>
      <c r="FC1693" s="688"/>
      <c r="FD1693" s="688"/>
      <c r="FE1693" s="688"/>
      <c r="FF1693" s="688"/>
      <c r="FG1693" s="688"/>
      <c r="FH1693" s="688"/>
      <c r="FI1693" s="688"/>
      <c r="FJ1693" s="688"/>
      <c r="FK1693" s="688"/>
      <c r="FL1693" s="688"/>
      <c r="FM1693" s="688"/>
      <c r="FN1693" s="688"/>
      <c r="FO1693" s="688"/>
      <c r="FP1693" s="688"/>
      <c r="FQ1693" s="688"/>
      <c r="FR1693" s="688"/>
      <c r="FS1693" s="688"/>
      <c r="FT1693" s="688"/>
      <c r="FU1693" s="688"/>
      <c r="FV1693" s="688"/>
      <c r="FW1693" s="688"/>
      <c r="FX1693" s="688"/>
      <c r="FY1693" s="688"/>
      <c r="FZ1693" s="688"/>
      <c r="GA1693" s="688"/>
      <c r="GB1693" s="688"/>
      <c r="GC1693" s="688"/>
      <c r="GD1693" s="688"/>
      <c r="GE1693" s="688"/>
      <c r="GF1693" s="688"/>
      <c r="GG1693" s="688"/>
      <c r="GH1693" s="688"/>
      <c r="GI1693" s="688"/>
      <c r="GJ1693" s="688"/>
      <c r="GK1693" s="688"/>
      <c r="GL1693" s="688"/>
      <c r="GM1693" s="688"/>
      <c r="GN1693" s="688"/>
      <c r="GO1693" s="688"/>
      <c r="GP1693" s="688"/>
      <c r="GQ1693" s="688"/>
      <c r="GR1693" s="688"/>
      <c r="GS1693" s="688"/>
      <c r="GT1693" s="688"/>
      <c r="GU1693" s="688"/>
      <c r="GV1693" s="688"/>
      <c r="GW1693" s="688"/>
      <c r="GX1693" s="688"/>
      <c r="GY1693" s="688"/>
      <c r="GZ1693" s="688"/>
      <c r="HA1693" s="688"/>
      <c r="HB1693" s="688"/>
      <c r="HC1693" s="688"/>
      <c r="HD1693" s="688"/>
      <c r="HE1693" s="688"/>
      <c r="HF1693" s="688"/>
      <c r="HG1693" s="688"/>
      <c r="HH1693" s="688"/>
      <c r="HI1693" s="688"/>
      <c r="HJ1693" s="688"/>
      <c r="HK1693" s="688"/>
      <c r="HL1693" s="688"/>
      <c r="HM1693" s="688"/>
    </row>
    <row r="1694" spans="1:221" s="305" customFormat="1">
      <c r="A1694" s="703" t="s">
        <v>1554</v>
      </c>
      <c r="B1694" s="1272" t="s">
        <v>482</v>
      </c>
      <c r="C1694" s="1305" t="s">
        <v>255</v>
      </c>
      <c r="D1694" s="1274"/>
      <c r="E1694" s="1255">
        <v>176.5</v>
      </c>
      <c r="F1694" s="681"/>
      <c r="G1694" s="681"/>
      <c r="H1694" s="683"/>
      <c r="I1694" s="689"/>
      <c r="J1694" s="685"/>
      <c r="K1694" s="685"/>
      <c r="L1694" s="689">
        <v>167.5</v>
      </c>
      <c r="M1694" s="683">
        <v>67.5</v>
      </c>
      <c r="N1694" s="706"/>
      <c r="O1694" s="711" t="s">
        <v>1551</v>
      </c>
      <c r="P1694" s="696"/>
      <c r="Q1694" s="696" t="s">
        <v>1556</v>
      </c>
      <c r="R1694" s="696"/>
      <c r="S1694" s="696"/>
      <c r="T1694" s="696"/>
      <c r="U1694" s="696"/>
      <c r="V1694" s="688"/>
      <c r="W1694" s="688"/>
      <c r="X1694" s="688"/>
      <c r="Y1694" s="688"/>
      <c r="Z1694" s="688"/>
      <c r="AA1694" s="688"/>
      <c r="AB1694" s="688"/>
      <c r="AC1694" s="688"/>
      <c r="AD1694" s="688"/>
      <c r="AE1694" s="688"/>
      <c r="AF1694" s="688"/>
      <c r="AG1694" s="688"/>
      <c r="AH1694" s="688"/>
      <c r="AI1694" s="688"/>
      <c r="AJ1694" s="688"/>
      <c r="AK1694" s="688"/>
      <c r="AL1694" s="688"/>
      <c r="AM1694" s="688"/>
      <c r="AN1694" s="688"/>
      <c r="AO1694" s="688"/>
      <c r="AP1694" s="688"/>
      <c r="AQ1694" s="688"/>
      <c r="AR1694" s="688"/>
      <c r="AS1694" s="688"/>
      <c r="AT1694" s="688"/>
      <c r="AU1694" s="688"/>
      <c r="AV1694" s="688"/>
      <c r="AW1694" s="688"/>
      <c r="AX1694" s="688"/>
      <c r="AY1694" s="688"/>
      <c r="AZ1694" s="688"/>
      <c r="BA1694" s="688"/>
      <c r="BB1694" s="688"/>
      <c r="BC1694" s="688"/>
      <c r="BD1694" s="688"/>
      <c r="BE1694" s="688"/>
      <c r="BF1694" s="688"/>
      <c r="BG1694" s="688"/>
      <c r="BH1694" s="688"/>
      <c r="BI1694" s="688"/>
      <c r="BJ1694" s="688"/>
      <c r="BK1694" s="688"/>
      <c r="BL1694" s="688"/>
      <c r="BM1694" s="688"/>
      <c r="BN1694" s="688"/>
      <c r="BO1694" s="688"/>
      <c r="BP1694" s="688"/>
      <c r="BQ1694" s="688"/>
      <c r="BR1694" s="688"/>
      <c r="BS1694" s="688"/>
      <c r="BT1694" s="688"/>
      <c r="BU1694" s="688"/>
      <c r="BV1694" s="688"/>
      <c r="BW1694" s="688"/>
      <c r="BX1694" s="688"/>
      <c r="BY1694" s="688"/>
      <c r="BZ1694" s="688"/>
      <c r="CA1694" s="688"/>
      <c r="CB1694" s="688"/>
      <c r="CC1694" s="688"/>
      <c r="CD1694" s="688"/>
      <c r="CE1694" s="688"/>
      <c r="CF1694" s="688"/>
      <c r="CG1694" s="688"/>
      <c r="CH1694" s="688"/>
      <c r="CI1694" s="688"/>
      <c r="CJ1694" s="688"/>
      <c r="CK1694" s="688"/>
      <c r="CL1694" s="688"/>
      <c r="CM1694" s="688"/>
      <c r="CN1694" s="688"/>
      <c r="CO1694" s="688"/>
      <c r="CP1694" s="688"/>
      <c r="CQ1694" s="688"/>
      <c r="CR1694" s="688"/>
      <c r="CS1694" s="688"/>
      <c r="CT1694" s="688"/>
      <c r="CU1694" s="688"/>
      <c r="CV1694" s="688"/>
      <c r="CW1694" s="688"/>
      <c r="CX1694" s="688"/>
      <c r="CY1694" s="688"/>
      <c r="CZ1694" s="688"/>
      <c r="DA1694" s="688"/>
      <c r="DB1694" s="688"/>
      <c r="DC1694" s="688"/>
      <c r="DD1694" s="688"/>
      <c r="DE1694" s="688"/>
      <c r="DF1694" s="688"/>
      <c r="DG1694" s="688"/>
      <c r="DH1694" s="688"/>
      <c r="DI1694" s="688"/>
      <c r="DJ1694" s="688"/>
      <c r="DK1694" s="688"/>
      <c r="DL1694" s="688"/>
      <c r="DM1694" s="688"/>
      <c r="DN1694" s="688"/>
      <c r="DO1694" s="688"/>
      <c r="DP1694" s="688"/>
      <c r="DQ1694" s="688"/>
      <c r="DR1694" s="688"/>
      <c r="DS1694" s="688"/>
      <c r="DT1694" s="688"/>
      <c r="DU1694" s="688"/>
      <c r="DV1694" s="688"/>
      <c r="DW1694" s="688"/>
      <c r="DX1694" s="688"/>
      <c r="DY1694" s="688"/>
      <c r="DZ1694" s="688"/>
      <c r="EA1694" s="688"/>
      <c r="EB1694" s="688"/>
      <c r="EC1694" s="688"/>
      <c r="ED1694" s="688"/>
      <c r="EE1694" s="688"/>
      <c r="EF1694" s="688"/>
      <c r="EG1694" s="688"/>
      <c r="EH1694" s="688"/>
      <c r="EI1694" s="688"/>
      <c r="EJ1694" s="688"/>
      <c r="EK1694" s="688"/>
      <c r="EL1694" s="688"/>
      <c r="EM1694" s="688"/>
      <c r="EN1694" s="688"/>
      <c r="EO1694" s="688"/>
      <c r="EP1694" s="688"/>
      <c r="EQ1694" s="688"/>
      <c r="ER1694" s="688"/>
      <c r="ES1694" s="688"/>
      <c r="ET1694" s="688"/>
      <c r="EU1694" s="688"/>
      <c r="EV1694" s="688"/>
      <c r="EW1694" s="688"/>
      <c r="EX1694" s="688"/>
      <c r="EY1694" s="688"/>
      <c r="EZ1694" s="688"/>
      <c r="FA1694" s="688"/>
      <c r="FB1694" s="688"/>
      <c r="FC1694" s="688"/>
      <c r="FD1694" s="688"/>
      <c r="FE1694" s="688"/>
      <c r="FF1694" s="688"/>
      <c r="FG1694" s="688"/>
      <c r="FH1694" s="688"/>
      <c r="FI1694" s="688"/>
      <c r="FJ1694" s="688"/>
      <c r="FK1694" s="688"/>
      <c r="FL1694" s="688"/>
      <c r="FM1694" s="688"/>
      <c r="FN1694" s="688"/>
      <c r="FO1694" s="688"/>
      <c r="FP1694" s="688"/>
      <c r="FQ1694" s="688"/>
      <c r="FR1694" s="688"/>
      <c r="FS1694" s="688"/>
      <c r="FT1694" s="688"/>
      <c r="FU1694" s="688"/>
      <c r="FV1694" s="688"/>
      <c r="FW1694" s="688"/>
      <c r="FX1694" s="688"/>
      <c r="FY1694" s="688"/>
      <c r="FZ1694" s="688"/>
      <c r="GA1694" s="688"/>
      <c r="GB1694" s="688"/>
      <c r="GC1694" s="688"/>
      <c r="GD1694" s="688"/>
      <c r="GE1694" s="688"/>
      <c r="GF1694" s="688"/>
      <c r="GG1694" s="688"/>
      <c r="GH1694" s="688"/>
      <c r="GI1694" s="688"/>
      <c r="GJ1694" s="688"/>
      <c r="GK1694" s="688"/>
      <c r="GL1694" s="688"/>
      <c r="GM1694" s="688"/>
      <c r="GN1694" s="688"/>
      <c r="GO1694" s="688"/>
      <c r="GP1694" s="688"/>
      <c r="GQ1694" s="688"/>
      <c r="GR1694" s="688"/>
      <c r="GS1694" s="688"/>
      <c r="GT1694" s="688"/>
      <c r="GU1694" s="688"/>
      <c r="GV1694" s="688"/>
      <c r="GW1694" s="688"/>
      <c r="GX1694" s="688"/>
      <c r="GY1694" s="688"/>
      <c r="GZ1694" s="688"/>
      <c r="HA1694" s="688"/>
      <c r="HB1694" s="688"/>
      <c r="HC1694" s="688"/>
      <c r="HD1694" s="688"/>
      <c r="HE1694" s="688"/>
      <c r="HF1694" s="688"/>
      <c r="HG1694" s="688"/>
      <c r="HH1694" s="688"/>
      <c r="HI1694" s="688"/>
      <c r="HJ1694" s="688"/>
      <c r="HK1694" s="688"/>
      <c r="HL1694" s="688"/>
      <c r="HM1694" s="688"/>
    </row>
    <row r="1695" spans="1:221" s="305" customFormat="1">
      <c r="A1695" s="703" t="s">
        <v>2452</v>
      </c>
      <c r="B1695" s="1272" t="s">
        <v>2450</v>
      </c>
      <c r="C1695" s="1305" t="s">
        <v>2451</v>
      </c>
      <c r="D1695" s="1274"/>
      <c r="E1695" s="1255">
        <v>38</v>
      </c>
      <c r="F1695" s="681"/>
      <c r="G1695" s="681"/>
      <c r="H1695" s="683"/>
      <c r="I1695" s="689"/>
      <c r="J1695" s="685"/>
      <c r="K1695" s="685"/>
      <c r="L1695" s="689">
        <v>59</v>
      </c>
      <c r="M1695" s="683">
        <v>21</v>
      </c>
      <c r="N1695" s="706"/>
      <c r="O1695" s="711"/>
      <c r="P1695" s="696"/>
      <c r="Q1695" s="696"/>
      <c r="R1695" s="696"/>
      <c r="S1695" s="696"/>
      <c r="T1695" s="696"/>
      <c r="U1695" s="696"/>
      <c r="V1695" s="688"/>
      <c r="W1695" s="688"/>
      <c r="X1695" s="688"/>
      <c r="Y1695" s="688"/>
      <c r="Z1695" s="688"/>
      <c r="AA1695" s="688"/>
      <c r="AB1695" s="688"/>
      <c r="AC1695" s="688"/>
      <c r="AD1695" s="688"/>
      <c r="AE1695" s="688"/>
      <c r="AF1695" s="688"/>
      <c r="AG1695" s="688"/>
      <c r="AH1695" s="688"/>
      <c r="AI1695" s="688"/>
      <c r="AJ1695" s="688"/>
      <c r="AK1695" s="688"/>
      <c r="AL1695" s="688"/>
      <c r="AM1695" s="688"/>
      <c r="AN1695" s="688"/>
      <c r="AO1695" s="688"/>
      <c r="AP1695" s="688"/>
      <c r="AQ1695" s="688"/>
      <c r="AR1695" s="688"/>
      <c r="AS1695" s="688"/>
      <c r="AT1695" s="688"/>
      <c r="AU1695" s="688"/>
      <c r="AV1695" s="688"/>
      <c r="AW1695" s="688"/>
      <c r="AX1695" s="688"/>
      <c r="AY1695" s="688"/>
      <c r="AZ1695" s="688"/>
      <c r="BA1695" s="688"/>
      <c r="BB1695" s="688"/>
      <c r="BC1695" s="688"/>
      <c r="BD1695" s="688"/>
      <c r="BE1695" s="688"/>
      <c r="BF1695" s="688"/>
      <c r="BG1695" s="688"/>
      <c r="BH1695" s="688"/>
      <c r="BI1695" s="688"/>
      <c r="BJ1695" s="688"/>
      <c r="BK1695" s="688"/>
      <c r="BL1695" s="688"/>
      <c r="BM1695" s="688"/>
      <c r="BN1695" s="688"/>
      <c r="BO1695" s="688"/>
      <c r="BP1695" s="688"/>
      <c r="BQ1695" s="688"/>
      <c r="BR1695" s="688"/>
      <c r="BS1695" s="688"/>
      <c r="BT1695" s="688"/>
      <c r="BU1695" s="688"/>
      <c r="BV1695" s="688"/>
      <c r="BW1695" s="688"/>
      <c r="BX1695" s="688"/>
      <c r="BY1695" s="688"/>
      <c r="BZ1695" s="688"/>
      <c r="CA1695" s="688"/>
      <c r="CB1695" s="688"/>
      <c r="CC1695" s="688"/>
      <c r="CD1695" s="688"/>
      <c r="CE1695" s="688"/>
      <c r="CF1695" s="688"/>
      <c r="CG1695" s="688"/>
      <c r="CH1695" s="688"/>
      <c r="CI1695" s="688"/>
      <c r="CJ1695" s="688"/>
      <c r="CK1695" s="688"/>
      <c r="CL1695" s="688"/>
      <c r="CM1695" s="688"/>
      <c r="CN1695" s="688"/>
      <c r="CO1695" s="688"/>
      <c r="CP1695" s="688"/>
      <c r="CQ1695" s="688"/>
      <c r="CR1695" s="688"/>
      <c r="CS1695" s="688"/>
      <c r="CT1695" s="688"/>
      <c r="CU1695" s="688"/>
      <c r="CV1695" s="688"/>
      <c r="CW1695" s="688"/>
      <c r="CX1695" s="688"/>
      <c r="CY1695" s="688"/>
      <c r="CZ1695" s="688"/>
      <c r="DA1695" s="688"/>
      <c r="DB1695" s="688"/>
      <c r="DC1695" s="688"/>
      <c r="DD1695" s="688"/>
      <c r="DE1695" s="688"/>
      <c r="DF1695" s="688"/>
      <c r="DG1695" s="688"/>
      <c r="DH1695" s="688"/>
      <c r="DI1695" s="688"/>
      <c r="DJ1695" s="688"/>
      <c r="DK1695" s="688"/>
      <c r="DL1695" s="688"/>
      <c r="DM1695" s="688"/>
      <c r="DN1695" s="688"/>
      <c r="DO1695" s="688"/>
      <c r="DP1695" s="688"/>
      <c r="DQ1695" s="688"/>
      <c r="DR1695" s="688"/>
      <c r="DS1695" s="688"/>
      <c r="DT1695" s="688"/>
      <c r="DU1695" s="688"/>
      <c r="DV1695" s="688"/>
      <c r="DW1695" s="688"/>
      <c r="DX1695" s="688"/>
      <c r="DY1695" s="688"/>
      <c r="DZ1695" s="688"/>
      <c r="EA1695" s="688"/>
      <c r="EB1695" s="688"/>
      <c r="EC1695" s="688"/>
      <c r="ED1695" s="688"/>
      <c r="EE1695" s="688"/>
      <c r="EF1695" s="688"/>
      <c r="EG1695" s="688"/>
      <c r="EH1695" s="688"/>
      <c r="EI1695" s="688"/>
      <c r="EJ1695" s="688"/>
      <c r="EK1695" s="688"/>
      <c r="EL1695" s="688"/>
      <c r="EM1695" s="688"/>
      <c r="EN1695" s="688"/>
      <c r="EO1695" s="688"/>
      <c r="EP1695" s="688"/>
      <c r="EQ1695" s="688"/>
      <c r="ER1695" s="688"/>
      <c r="ES1695" s="688"/>
      <c r="ET1695" s="688"/>
      <c r="EU1695" s="688"/>
      <c r="EV1695" s="688"/>
      <c r="EW1695" s="688"/>
      <c r="EX1695" s="688"/>
      <c r="EY1695" s="688"/>
      <c r="EZ1695" s="688"/>
      <c r="FA1695" s="688"/>
      <c r="FB1695" s="688"/>
      <c r="FC1695" s="688"/>
      <c r="FD1695" s="688"/>
      <c r="FE1695" s="688"/>
      <c r="FF1695" s="688"/>
      <c r="FG1695" s="688"/>
      <c r="FH1695" s="688"/>
      <c r="FI1695" s="688"/>
      <c r="FJ1695" s="688"/>
      <c r="FK1695" s="688"/>
      <c r="FL1695" s="688"/>
      <c r="FM1695" s="688"/>
      <c r="FN1695" s="688"/>
      <c r="FO1695" s="688"/>
      <c r="FP1695" s="688"/>
      <c r="FQ1695" s="688"/>
      <c r="FR1695" s="688"/>
      <c r="FS1695" s="688"/>
      <c r="FT1695" s="688"/>
      <c r="FU1695" s="688"/>
      <c r="FV1695" s="688"/>
      <c r="FW1695" s="688"/>
      <c r="FX1695" s="688"/>
      <c r="FY1695" s="688"/>
      <c r="FZ1695" s="688"/>
      <c r="GA1695" s="688"/>
      <c r="GB1695" s="688"/>
      <c r="GC1695" s="688"/>
      <c r="GD1695" s="688"/>
      <c r="GE1695" s="688"/>
      <c r="GF1695" s="688"/>
      <c r="GG1695" s="688"/>
      <c r="GH1695" s="688"/>
      <c r="GI1695" s="688"/>
      <c r="GJ1695" s="688"/>
      <c r="GK1695" s="688"/>
      <c r="GL1695" s="688"/>
      <c r="GM1695" s="688"/>
      <c r="GN1695" s="688"/>
      <c r="GO1695" s="688"/>
      <c r="GP1695" s="688"/>
      <c r="GQ1695" s="688"/>
      <c r="GR1695" s="688"/>
      <c r="GS1695" s="688"/>
      <c r="GT1695" s="688"/>
      <c r="GU1695" s="688"/>
      <c r="GV1695" s="688"/>
      <c r="GW1695" s="688"/>
      <c r="GX1695" s="688"/>
      <c r="GY1695" s="688"/>
      <c r="GZ1695" s="688"/>
      <c r="HA1695" s="688"/>
      <c r="HB1695" s="688"/>
      <c r="HC1695" s="688"/>
      <c r="HD1695" s="688"/>
      <c r="HE1695" s="688"/>
      <c r="HF1695" s="688"/>
      <c r="HG1695" s="688"/>
      <c r="HH1695" s="688"/>
      <c r="HI1695" s="688"/>
      <c r="HJ1695" s="688"/>
      <c r="HK1695" s="688"/>
      <c r="HL1695" s="688"/>
      <c r="HM1695" s="688"/>
    </row>
    <row r="1696" spans="1:221" s="305" customFormat="1">
      <c r="A1696" s="703" t="s">
        <v>2070</v>
      </c>
      <c r="B1696" s="1272" t="s">
        <v>2450</v>
      </c>
      <c r="C1696" s="1305" t="s">
        <v>2451</v>
      </c>
      <c r="D1696" s="1274"/>
      <c r="E1696" s="1255">
        <v>33</v>
      </c>
      <c r="F1696" s="681" t="s">
        <v>2437</v>
      </c>
      <c r="G1696" s="288" t="s">
        <v>2735</v>
      </c>
      <c r="H1696" s="683"/>
      <c r="I1696" s="689"/>
      <c r="J1696" s="685"/>
      <c r="K1696" s="685"/>
      <c r="L1696" s="689">
        <v>55</v>
      </c>
      <c r="M1696" s="683">
        <v>22</v>
      </c>
      <c r="N1696" s="706"/>
      <c r="O1696" s="711"/>
      <c r="P1696" s="696"/>
      <c r="Q1696" s="696"/>
      <c r="R1696" s="696"/>
      <c r="S1696" s="696"/>
      <c r="T1696" s="696"/>
      <c r="U1696" s="696"/>
      <c r="V1696" s="688"/>
      <c r="W1696" s="688"/>
      <c r="X1696" s="688"/>
      <c r="Y1696" s="688"/>
      <c r="Z1696" s="688"/>
      <c r="AA1696" s="688"/>
      <c r="AB1696" s="688"/>
      <c r="AC1696" s="688"/>
      <c r="AD1696" s="688"/>
      <c r="AE1696" s="688"/>
      <c r="AF1696" s="688"/>
      <c r="AG1696" s="688"/>
      <c r="AH1696" s="688"/>
      <c r="AI1696" s="688"/>
      <c r="AJ1696" s="688"/>
      <c r="AK1696" s="688"/>
      <c r="AL1696" s="688"/>
      <c r="AM1696" s="688"/>
      <c r="AN1696" s="688"/>
      <c r="AO1696" s="688"/>
      <c r="AP1696" s="688"/>
      <c r="AQ1696" s="688"/>
      <c r="AR1696" s="688"/>
      <c r="AS1696" s="688"/>
      <c r="AT1696" s="688"/>
      <c r="AU1696" s="688"/>
      <c r="AV1696" s="688"/>
      <c r="AW1696" s="688"/>
      <c r="AX1696" s="688"/>
      <c r="AY1696" s="688"/>
      <c r="AZ1696" s="688"/>
      <c r="BA1696" s="688"/>
      <c r="BB1696" s="688"/>
      <c r="BC1696" s="688"/>
      <c r="BD1696" s="688"/>
      <c r="BE1696" s="688"/>
      <c r="BF1696" s="688"/>
      <c r="BG1696" s="688"/>
      <c r="BH1696" s="688"/>
      <c r="BI1696" s="688"/>
      <c r="BJ1696" s="688"/>
      <c r="BK1696" s="688"/>
      <c r="BL1696" s="688"/>
      <c r="BM1696" s="688"/>
      <c r="BN1696" s="688"/>
      <c r="BO1696" s="688"/>
      <c r="BP1696" s="688"/>
      <c r="BQ1696" s="688"/>
      <c r="BR1696" s="688"/>
      <c r="BS1696" s="688"/>
      <c r="BT1696" s="688"/>
      <c r="BU1696" s="688"/>
      <c r="BV1696" s="688"/>
      <c r="BW1696" s="688"/>
      <c r="BX1696" s="688"/>
      <c r="BY1696" s="688"/>
      <c r="BZ1696" s="688"/>
      <c r="CA1696" s="688"/>
      <c r="CB1696" s="688"/>
      <c r="CC1696" s="688"/>
      <c r="CD1696" s="688"/>
      <c r="CE1696" s="688"/>
      <c r="CF1696" s="688"/>
      <c r="CG1696" s="688"/>
      <c r="CH1696" s="688"/>
      <c r="CI1696" s="688"/>
      <c r="CJ1696" s="688"/>
      <c r="CK1696" s="688"/>
      <c r="CL1696" s="688"/>
      <c r="CM1696" s="688"/>
      <c r="CN1696" s="688"/>
      <c r="CO1696" s="688"/>
      <c r="CP1696" s="688"/>
      <c r="CQ1696" s="688"/>
      <c r="CR1696" s="688"/>
      <c r="CS1696" s="688"/>
      <c r="CT1696" s="688"/>
      <c r="CU1696" s="688"/>
      <c r="CV1696" s="688"/>
      <c r="CW1696" s="688"/>
      <c r="CX1696" s="688"/>
      <c r="CY1696" s="688"/>
      <c r="CZ1696" s="688"/>
      <c r="DA1696" s="688"/>
      <c r="DB1696" s="688"/>
      <c r="DC1696" s="688"/>
      <c r="DD1696" s="688"/>
      <c r="DE1696" s="688"/>
      <c r="DF1696" s="688"/>
      <c r="DG1696" s="688"/>
      <c r="DH1696" s="688"/>
      <c r="DI1696" s="688"/>
      <c r="DJ1696" s="688"/>
      <c r="DK1696" s="688"/>
      <c r="DL1696" s="688"/>
      <c r="DM1696" s="688"/>
      <c r="DN1696" s="688"/>
      <c r="DO1696" s="688"/>
      <c r="DP1696" s="688"/>
      <c r="DQ1696" s="688"/>
      <c r="DR1696" s="688"/>
      <c r="DS1696" s="688"/>
      <c r="DT1696" s="688"/>
      <c r="DU1696" s="688"/>
      <c r="DV1696" s="688"/>
      <c r="DW1696" s="688"/>
      <c r="DX1696" s="688"/>
      <c r="DY1696" s="688"/>
      <c r="DZ1696" s="688"/>
      <c r="EA1696" s="688"/>
      <c r="EB1696" s="688"/>
      <c r="EC1696" s="688"/>
      <c r="ED1696" s="688"/>
      <c r="EE1696" s="688"/>
      <c r="EF1696" s="688"/>
      <c r="EG1696" s="688"/>
      <c r="EH1696" s="688"/>
      <c r="EI1696" s="688"/>
      <c r="EJ1696" s="688"/>
      <c r="EK1696" s="688"/>
      <c r="EL1696" s="688"/>
      <c r="EM1696" s="688"/>
      <c r="EN1696" s="688"/>
      <c r="EO1696" s="688"/>
      <c r="EP1696" s="688"/>
      <c r="EQ1696" s="688"/>
      <c r="ER1696" s="688"/>
      <c r="ES1696" s="688"/>
      <c r="ET1696" s="688"/>
      <c r="EU1696" s="688"/>
      <c r="EV1696" s="688"/>
      <c r="EW1696" s="688"/>
      <c r="EX1696" s="688"/>
      <c r="EY1696" s="688"/>
      <c r="EZ1696" s="688"/>
      <c r="FA1696" s="688"/>
      <c r="FB1696" s="688"/>
      <c r="FC1696" s="688"/>
      <c r="FD1696" s="688"/>
      <c r="FE1696" s="688"/>
      <c r="FF1696" s="688"/>
      <c r="FG1696" s="688"/>
      <c r="FH1696" s="688"/>
      <c r="FI1696" s="688"/>
      <c r="FJ1696" s="688"/>
      <c r="FK1696" s="688"/>
      <c r="FL1696" s="688"/>
      <c r="FM1696" s="688"/>
      <c r="FN1696" s="688"/>
      <c r="FO1696" s="688"/>
      <c r="FP1696" s="688"/>
      <c r="FQ1696" s="688"/>
      <c r="FR1696" s="688"/>
      <c r="FS1696" s="688"/>
      <c r="FT1696" s="688"/>
      <c r="FU1696" s="688"/>
      <c r="FV1696" s="688"/>
      <c r="FW1696" s="688"/>
      <c r="FX1696" s="688"/>
      <c r="FY1696" s="688"/>
      <c r="FZ1696" s="688"/>
      <c r="GA1696" s="688"/>
      <c r="GB1696" s="688"/>
      <c r="GC1696" s="688"/>
      <c r="GD1696" s="688"/>
      <c r="GE1696" s="688"/>
      <c r="GF1696" s="688"/>
      <c r="GG1696" s="688"/>
      <c r="GH1696" s="688"/>
      <c r="GI1696" s="688"/>
      <c r="GJ1696" s="688"/>
      <c r="GK1696" s="688"/>
      <c r="GL1696" s="688"/>
      <c r="GM1696" s="688"/>
      <c r="GN1696" s="688"/>
      <c r="GO1696" s="688"/>
      <c r="GP1696" s="688"/>
      <c r="GQ1696" s="688"/>
      <c r="GR1696" s="688"/>
      <c r="GS1696" s="688"/>
      <c r="GT1696" s="688"/>
      <c r="GU1696" s="688"/>
      <c r="GV1696" s="688"/>
      <c r="GW1696" s="688"/>
      <c r="GX1696" s="688"/>
      <c r="GY1696" s="688"/>
      <c r="GZ1696" s="688"/>
      <c r="HA1696" s="688"/>
      <c r="HB1696" s="688"/>
      <c r="HC1696" s="688"/>
      <c r="HD1696" s="688"/>
      <c r="HE1696" s="688"/>
      <c r="HF1696" s="688"/>
      <c r="HG1696" s="688"/>
      <c r="HH1696" s="688"/>
      <c r="HI1696" s="688"/>
      <c r="HJ1696" s="688"/>
      <c r="HK1696" s="688"/>
      <c r="HL1696" s="688"/>
      <c r="HM1696" s="688"/>
    </row>
    <row r="1697" spans="1:221" s="305" customFormat="1">
      <c r="A1697" s="703" t="s">
        <v>2411</v>
      </c>
      <c r="B1697" s="1272" t="s">
        <v>2450</v>
      </c>
      <c r="C1697" s="1305" t="s">
        <v>2451</v>
      </c>
      <c r="D1697" s="1274"/>
      <c r="E1697" s="1255">
        <v>112.5</v>
      </c>
      <c r="F1697" s="681"/>
      <c r="G1697" s="681"/>
      <c r="H1697" s="683"/>
      <c r="I1697" s="689"/>
      <c r="J1697" s="685"/>
      <c r="K1697" s="685"/>
      <c r="L1697" s="689">
        <f>M1697-E1697</f>
        <v>76.5</v>
      </c>
      <c r="M1697" s="683">
        <v>189</v>
      </c>
      <c r="N1697" s="706"/>
      <c r="O1697" s="711"/>
      <c r="P1697" s="696"/>
      <c r="Q1697" s="696"/>
      <c r="R1697" s="696"/>
      <c r="S1697" s="696"/>
      <c r="T1697" s="696"/>
      <c r="U1697" s="696"/>
      <c r="V1697" s="688"/>
      <c r="W1697" s="688"/>
      <c r="X1697" s="688"/>
      <c r="Y1697" s="688"/>
      <c r="Z1697" s="688"/>
      <c r="AA1697" s="688"/>
      <c r="AB1697" s="688"/>
      <c r="AC1697" s="688"/>
      <c r="AD1697" s="688"/>
      <c r="AE1697" s="688"/>
      <c r="AF1697" s="688"/>
      <c r="AG1697" s="688"/>
      <c r="AH1697" s="688"/>
      <c r="AI1697" s="688"/>
      <c r="AJ1697" s="688"/>
      <c r="AK1697" s="688"/>
      <c r="AL1697" s="688"/>
      <c r="AM1697" s="688"/>
      <c r="AN1697" s="688"/>
      <c r="AO1697" s="688"/>
      <c r="AP1697" s="688"/>
      <c r="AQ1697" s="688"/>
      <c r="AR1697" s="688"/>
      <c r="AS1697" s="688"/>
      <c r="AT1697" s="688"/>
      <c r="AU1697" s="688"/>
      <c r="AV1697" s="688"/>
      <c r="AW1697" s="688"/>
      <c r="AX1697" s="688"/>
      <c r="AY1697" s="688"/>
      <c r="AZ1697" s="688"/>
      <c r="BA1697" s="688"/>
      <c r="BB1697" s="688"/>
      <c r="BC1697" s="688"/>
      <c r="BD1697" s="688"/>
      <c r="BE1697" s="688"/>
      <c r="BF1697" s="688"/>
      <c r="BG1697" s="688"/>
      <c r="BH1697" s="688"/>
      <c r="BI1697" s="688"/>
      <c r="BJ1697" s="688"/>
      <c r="BK1697" s="688"/>
      <c r="BL1697" s="688"/>
      <c r="BM1697" s="688"/>
      <c r="BN1697" s="688"/>
      <c r="BO1697" s="688"/>
      <c r="BP1697" s="688"/>
      <c r="BQ1697" s="688"/>
      <c r="BR1697" s="688"/>
      <c r="BS1697" s="688"/>
      <c r="BT1697" s="688"/>
      <c r="BU1697" s="688"/>
      <c r="BV1697" s="688"/>
      <c r="BW1697" s="688"/>
      <c r="BX1697" s="688"/>
      <c r="BY1697" s="688"/>
      <c r="BZ1697" s="688"/>
      <c r="CA1697" s="688"/>
      <c r="CB1697" s="688"/>
      <c r="CC1697" s="688"/>
      <c r="CD1697" s="688"/>
      <c r="CE1697" s="688"/>
      <c r="CF1697" s="688"/>
      <c r="CG1697" s="688"/>
      <c r="CH1697" s="688"/>
      <c r="CI1697" s="688"/>
      <c r="CJ1697" s="688"/>
      <c r="CK1697" s="688"/>
      <c r="CL1697" s="688"/>
      <c r="CM1697" s="688"/>
      <c r="CN1697" s="688"/>
      <c r="CO1697" s="688"/>
      <c r="CP1697" s="688"/>
      <c r="CQ1697" s="688"/>
      <c r="CR1697" s="688"/>
      <c r="CS1697" s="688"/>
      <c r="CT1697" s="688"/>
      <c r="CU1697" s="688"/>
      <c r="CV1697" s="688"/>
      <c r="CW1697" s="688"/>
      <c r="CX1697" s="688"/>
      <c r="CY1697" s="688"/>
      <c r="CZ1697" s="688"/>
      <c r="DA1697" s="688"/>
      <c r="DB1697" s="688"/>
      <c r="DC1697" s="688"/>
      <c r="DD1697" s="688"/>
      <c r="DE1697" s="688"/>
      <c r="DF1697" s="688"/>
      <c r="DG1697" s="688"/>
      <c r="DH1697" s="688"/>
      <c r="DI1697" s="688"/>
      <c r="DJ1697" s="688"/>
      <c r="DK1697" s="688"/>
      <c r="DL1697" s="688"/>
      <c r="DM1697" s="688"/>
      <c r="DN1697" s="688"/>
      <c r="DO1697" s="688"/>
      <c r="DP1697" s="688"/>
      <c r="DQ1697" s="688"/>
      <c r="DR1697" s="688"/>
      <c r="DS1697" s="688"/>
      <c r="DT1697" s="688"/>
      <c r="DU1697" s="688"/>
      <c r="DV1697" s="688"/>
      <c r="DW1697" s="688"/>
      <c r="DX1697" s="688"/>
      <c r="DY1697" s="688"/>
      <c r="DZ1697" s="688"/>
      <c r="EA1697" s="688"/>
      <c r="EB1697" s="688"/>
      <c r="EC1697" s="688"/>
      <c r="ED1697" s="688"/>
      <c r="EE1697" s="688"/>
      <c r="EF1697" s="688"/>
      <c r="EG1697" s="688"/>
      <c r="EH1697" s="688"/>
      <c r="EI1697" s="688"/>
      <c r="EJ1697" s="688"/>
      <c r="EK1697" s="688"/>
      <c r="EL1697" s="688"/>
      <c r="EM1697" s="688"/>
      <c r="EN1697" s="688"/>
      <c r="EO1697" s="688"/>
      <c r="EP1697" s="688"/>
      <c r="EQ1697" s="688"/>
      <c r="ER1697" s="688"/>
      <c r="ES1697" s="688"/>
      <c r="ET1697" s="688"/>
      <c r="EU1697" s="688"/>
      <c r="EV1697" s="688"/>
      <c r="EW1697" s="688"/>
      <c r="EX1697" s="688"/>
      <c r="EY1697" s="688"/>
      <c r="EZ1697" s="688"/>
      <c r="FA1697" s="688"/>
      <c r="FB1697" s="688"/>
      <c r="FC1697" s="688"/>
      <c r="FD1697" s="688"/>
      <c r="FE1697" s="688"/>
      <c r="FF1697" s="688"/>
      <c r="FG1697" s="688"/>
      <c r="FH1697" s="688"/>
      <c r="FI1697" s="688"/>
      <c r="FJ1697" s="688"/>
      <c r="FK1697" s="688"/>
      <c r="FL1697" s="688"/>
      <c r="FM1697" s="688"/>
      <c r="FN1697" s="688"/>
      <c r="FO1697" s="688"/>
      <c r="FP1697" s="688"/>
      <c r="FQ1697" s="688"/>
      <c r="FR1697" s="688"/>
      <c r="FS1697" s="688"/>
      <c r="FT1697" s="688"/>
      <c r="FU1697" s="688"/>
      <c r="FV1697" s="688"/>
      <c r="FW1697" s="688"/>
      <c r="FX1697" s="688"/>
      <c r="FY1697" s="688"/>
      <c r="FZ1697" s="688"/>
      <c r="GA1697" s="688"/>
      <c r="GB1697" s="688"/>
      <c r="GC1697" s="688"/>
      <c r="GD1697" s="688"/>
      <c r="GE1697" s="688"/>
      <c r="GF1697" s="688"/>
      <c r="GG1697" s="688"/>
      <c r="GH1697" s="688"/>
      <c r="GI1697" s="688"/>
      <c r="GJ1697" s="688"/>
      <c r="GK1697" s="688"/>
      <c r="GL1697" s="688"/>
      <c r="GM1697" s="688"/>
      <c r="GN1697" s="688"/>
      <c r="GO1697" s="688"/>
      <c r="GP1697" s="688"/>
      <c r="GQ1697" s="688"/>
      <c r="GR1697" s="688"/>
      <c r="GS1697" s="688"/>
      <c r="GT1697" s="688"/>
      <c r="GU1697" s="688"/>
      <c r="GV1697" s="688"/>
      <c r="GW1697" s="688"/>
      <c r="GX1697" s="688"/>
      <c r="GY1697" s="688"/>
      <c r="GZ1697" s="688"/>
      <c r="HA1697" s="688"/>
      <c r="HB1697" s="688"/>
      <c r="HC1697" s="688"/>
      <c r="HD1697" s="688"/>
      <c r="HE1697" s="688"/>
      <c r="HF1697" s="688"/>
      <c r="HG1697" s="688"/>
      <c r="HH1697" s="688"/>
      <c r="HI1697" s="688"/>
      <c r="HJ1697" s="688"/>
      <c r="HK1697" s="688"/>
      <c r="HL1697" s="688"/>
      <c r="HM1697" s="688"/>
    </row>
    <row r="1698" spans="1:221" s="305" customFormat="1">
      <c r="A1698" s="703"/>
      <c r="B1698" s="1272" t="s">
        <v>2450</v>
      </c>
      <c r="C1698" s="1305" t="s">
        <v>2451</v>
      </c>
      <c r="D1698" s="1274"/>
      <c r="E1698" s="1255"/>
      <c r="F1698" s="681"/>
      <c r="G1698" s="681"/>
      <c r="H1698" s="683"/>
      <c r="I1698" s="689"/>
      <c r="J1698" s="685"/>
      <c r="K1698" s="685"/>
      <c r="L1698" s="689"/>
      <c r="M1698" s="683"/>
      <c r="N1698" s="706"/>
      <c r="O1698" s="711"/>
      <c r="P1698" s="696"/>
      <c r="Q1698" s="696"/>
      <c r="R1698" s="696"/>
      <c r="S1698" s="696"/>
      <c r="T1698" s="696"/>
      <c r="U1698" s="696"/>
      <c r="V1698" s="688"/>
      <c r="W1698" s="688"/>
      <c r="X1698" s="688"/>
      <c r="Y1698" s="688"/>
      <c r="Z1698" s="688"/>
      <c r="AA1698" s="688"/>
      <c r="AB1698" s="688"/>
      <c r="AC1698" s="688"/>
      <c r="AD1698" s="688"/>
      <c r="AE1698" s="688"/>
      <c r="AF1698" s="688"/>
      <c r="AG1698" s="688"/>
      <c r="AH1698" s="688"/>
      <c r="AI1698" s="688"/>
      <c r="AJ1698" s="688"/>
      <c r="AK1698" s="688"/>
      <c r="AL1698" s="688"/>
      <c r="AM1698" s="688"/>
      <c r="AN1698" s="688"/>
      <c r="AO1698" s="688"/>
      <c r="AP1698" s="688"/>
      <c r="AQ1698" s="688"/>
      <c r="AR1698" s="688"/>
      <c r="AS1698" s="688"/>
      <c r="AT1698" s="688"/>
      <c r="AU1698" s="688"/>
      <c r="AV1698" s="688"/>
      <c r="AW1698" s="688"/>
      <c r="AX1698" s="688"/>
      <c r="AY1698" s="688"/>
      <c r="AZ1698" s="688"/>
      <c r="BA1698" s="688"/>
      <c r="BB1698" s="688"/>
      <c r="BC1698" s="688"/>
      <c r="BD1698" s="688"/>
      <c r="BE1698" s="688"/>
      <c r="BF1698" s="688"/>
      <c r="BG1698" s="688"/>
      <c r="BH1698" s="688"/>
      <c r="BI1698" s="688"/>
      <c r="BJ1698" s="688"/>
      <c r="BK1698" s="688"/>
      <c r="BL1698" s="688"/>
      <c r="BM1698" s="688"/>
      <c r="BN1698" s="688"/>
      <c r="BO1698" s="688"/>
      <c r="BP1698" s="688"/>
      <c r="BQ1698" s="688"/>
      <c r="BR1698" s="688"/>
      <c r="BS1698" s="688"/>
      <c r="BT1698" s="688"/>
      <c r="BU1698" s="688"/>
      <c r="BV1698" s="688"/>
      <c r="BW1698" s="688"/>
      <c r="BX1698" s="688"/>
      <c r="BY1698" s="688"/>
      <c r="BZ1698" s="688"/>
      <c r="CA1698" s="688"/>
      <c r="CB1698" s="688"/>
      <c r="CC1698" s="688"/>
      <c r="CD1698" s="688"/>
      <c r="CE1698" s="688"/>
      <c r="CF1698" s="688"/>
      <c r="CG1698" s="688"/>
      <c r="CH1698" s="688"/>
      <c r="CI1698" s="688"/>
      <c r="CJ1698" s="688"/>
      <c r="CK1698" s="688"/>
      <c r="CL1698" s="688"/>
      <c r="CM1698" s="688"/>
      <c r="CN1698" s="688"/>
      <c r="CO1698" s="688"/>
      <c r="CP1698" s="688"/>
      <c r="CQ1698" s="688"/>
      <c r="CR1698" s="688"/>
      <c r="CS1698" s="688"/>
      <c r="CT1698" s="688"/>
      <c r="CU1698" s="688"/>
      <c r="CV1698" s="688"/>
      <c r="CW1698" s="688"/>
      <c r="CX1698" s="688"/>
      <c r="CY1698" s="688"/>
      <c r="CZ1698" s="688"/>
      <c r="DA1698" s="688"/>
      <c r="DB1698" s="688"/>
      <c r="DC1698" s="688"/>
      <c r="DD1698" s="688"/>
      <c r="DE1698" s="688"/>
      <c r="DF1698" s="688"/>
      <c r="DG1698" s="688"/>
      <c r="DH1698" s="688"/>
      <c r="DI1698" s="688"/>
      <c r="DJ1698" s="688"/>
      <c r="DK1698" s="688"/>
      <c r="DL1698" s="688"/>
      <c r="DM1698" s="688"/>
      <c r="DN1698" s="688"/>
      <c r="DO1698" s="688"/>
      <c r="DP1698" s="688"/>
      <c r="DQ1698" s="688"/>
      <c r="DR1698" s="688"/>
      <c r="DS1698" s="688"/>
      <c r="DT1698" s="688"/>
      <c r="DU1698" s="688"/>
      <c r="DV1698" s="688"/>
      <c r="DW1698" s="688"/>
      <c r="DX1698" s="688"/>
      <c r="DY1698" s="688"/>
      <c r="DZ1698" s="688"/>
      <c r="EA1698" s="688"/>
      <c r="EB1698" s="688"/>
      <c r="EC1698" s="688"/>
      <c r="ED1698" s="688"/>
      <c r="EE1698" s="688"/>
      <c r="EF1698" s="688"/>
      <c r="EG1698" s="688"/>
      <c r="EH1698" s="688"/>
      <c r="EI1698" s="688"/>
      <c r="EJ1698" s="688"/>
      <c r="EK1698" s="688"/>
      <c r="EL1698" s="688"/>
      <c r="EM1698" s="688"/>
      <c r="EN1698" s="688"/>
      <c r="EO1698" s="688"/>
      <c r="EP1698" s="688"/>
      <c r="EQ1698" s="688"/>
      <c r="ER1698" s="688"/>
      <c r="ES1698" s="688"/>
      <c r="ET1698" s="688"/>
      <c r="EU1698" s="688"/>
      <c r="EV1698" s="688"/>
      <c r="EW1698" s="688"/>
      <c r="EX1698" s="688"/>
      <c r="EY1698" s="688"/>
      <c r="EZ1698" s="688"/>
      <c r="FA1698" s="688"/>
      <c r="FB1698" s="688"/>
      <c r="FC1698" s="688"/>
      <c r="FD1698" s="688"/>
      <c r="FE1698" s="688"/>
      <c r="FF1698" s="688"/>
      <c r="FG1698" s="688"/>
      <c r="FH1698" s="688"/>
      <c r="FI1698" s="688"/>
      <c r="FJ1698" s="688"/>
      <c r="FK1698" s="688"/>
      <c r="FL1698" s="688"/>
      <c r="FM1698" s="688"/>
      <c r="FN1698" s="688"/>
      <c r="FO1698" s="688"/>
      <c r="FP1698" s="688"/>
      <c r="FQ1698" s="688"/>
      <c r="FR1698" s="688"/>
      <c r="FS1698" s="688"/>
      <c r="FT1698" s="688"/>
      <c r="FU1698" s="688"/>
      <c r="FV1698" s="688"/>
      <c r="FW1698" s="688"/>
      <c r="FX1698" s="688"/>
      <c r="FY1698" s="688"/>
      <c r="FZ1698" s="688"/>
      <c r="GA1698" s="688"/>
      <c r="GB1698" s="688"/>
      <c r="GC1698" s="688"/>
      <c r="GD1698" s="688"/>
      <c r="GE1698" s="688"/>
      <c r="GF1698" s="688"/>
      <c r="GG1698" s="688"/>
      <c r="GH1698" s="688"/>
      <c r="GI1698" s="688"/>
      <c r="GJ1698" s="688"/>
      <c r="GK1698" s="688"/>
      <c r="GL1698" s="688"/>
      <c r="GM1698" s="688"/>
      <c r="GN1698" s="688"/>
      <c r="GO1698" s="688"/>
      <c r="GP1698" s="688"/>
      <c r="GQ1698" s="688"/>
      <c r="GR1698" s="688"/>
      <c r="GS1698" s="688"/>
      <c r="GT1698" s="688"/>
      <c r="GU1698" s="688"/>
      <c r="GV1698" s="688"/>
      <c r="GW1698" s="688"/>
      <c r="GX1698" s="688"/>
      <c r="GY1698" s="688"/>
      <c r="GZ1698" s="688"/>
      <c r="HA1698" s="688"/>
      <c r="HB1698" s="688"/>
      <c r="HC1698" s="688"/>
      <c r="HD1698" s="688"/>
      <c r="HE1698" s="688"/>
      <c r="HF1698" s="688"/>
      <c r="HG1698" s="688"/>
      <c r="HH1698" s="688"/>
      <c r="HI1698" s="688"/>
      <c r="HJ1698" s="688"/>
      <c r="HK1698" s="688"/>
      <c r="HL1698" s="688"/>
      <c r="HM1698" s="688"/>
    </row>
    <row r="1699" spans="1:221" s="305" customFormat="1">
      <c r="A1699" s="703" t="s">
        <v>354</v>
      </c>
      <c r="B1699" s="1272" t="s">
        <v>950</v>
      </c>
      <c r="C1699" s="1305" t="s">
        <v>253</v>
      </c>
      <c r="D1699" s="1274"/>
      <c r="E1699" s="1255">
        <v>62.5</v>
      </c>
      <c r="F1699" s="681"/>
      <c r="G1699" s="681" t="s">
        <v>1909</v>
      </c>
      <c r="H1699" s="683"/>
      <c r="I1699" s="689"/>
      <c r="J1699" s="685"/>
      <c r="K1699" s="685"/>
      <c r="L1699" s="689">
        <v>109</v>
      </c>
      <c r="M1699" s="683">
        <v>46.5</v>
      </c>
      <c r="N1699" s="706">
        <v>4</v>
      </c>
      <c r="O1699" s="645"/>
      <c r="P1699" s="479"/>
      <c r="Q1699" s="479"/>
      <c r="R1699" s="479"/>
      <c r="S1699" s="479"/>
      <c r="T1699" s="479"/>
      <c r="U1699" s="479"/>
      <c r="V1699" s="456"/>
      <c r="W1699" s="456"/>
      <c r="X1699" s="456"/>
      <c r="Y1699" s="456"/>
      <c r="Z1699" s="456"/>
      <c r="AA1699" s="456"/>
      <c r="AB1699" s="456"/>
      <c r="AC1699" s="456"/>
      <c r="AD1699" s="456"/>
      <c r="AE1699" s="456"/>
      <c r="AF1699" s="456"/>
      <c r="AG1699" s="456"/>
      <c r="AH1699" s="456"/>
      <c r="AI1699" s="456"/>
      <c r="AJ1699" s="456"/>
      <c r="AK1699" s="456"/>
      <c r="AL1699" s="456"/>
      <c r="AM1699" s="456"/>
      <c r="AN1699" s="456"/>
      <c r="AO1699" s="456"/>
      <c r="AP1699" s="456"/>
      <c r="AQ1699" s="456"/>
      <c r="AR1699" s="456"/>
      <c r="AS1699" s="456"/>
      <c r="AT1699" s="456"/>
      <c r="AU1699" s="456"/>
      <c r="AV1699" s="456"/>
      <c r="AW1699" s="456"/>
      <c r="AX1699" s="456"/>
      <c r="AY1699" s="456"/>
      <c r="AZ1699" s="456"/>
      <c r="BA1699" s="456"/>
      <c r="BB1699" s="456"/>
      <c r="BC1699" s="456"/>
      <c r="BD1699" s="456"/>
      <c r="BE1699" s="456"/>
      <c r="BF1699" s="456"/>
      <c r="BG1699" s="456"/>
      <c r="BH1699" s="456"/>
      <c r="BI1699" s="456"/>
      <c r="BJ1699" s="456"/>
      <c r="BK1699" s="456"/>
      <c r="BL1699" s="456"/>
      <c r="BM1699" s="456"/>
      <c r="BN1699" s="456"/>
      <c r="BO1699" s="456"/>
      <c r="BP1699" s="456"/>
      <c r="BQ1699" s="456"/>
      <c r="BR1699" s="456"/>
      <c r="BS1699" s="456"/>
      <c r="BT1699" s="456"/>
      <c r="BU1699" s="456"/>
      <c r="BV1699" s="456"/>
      <c r="BW1699" s="456"/>
      <c r="BX1699" s="456"/>
      <c r="BY1699" s="456"/>
      <c r="BZ1699" s="456"/>
      <c r="CA1699" s="456"/>
      <c r="CB1699" s="456"/>
      <c r="CC1699" s="456"/>
      <c r="CD1699" s="456"/>
      <c r="CE1699" s="456"/>
      <c r="CF1699" s="456"/>
      <c r="CG1699" s="456"/>
      <c r="CH1699" s="456"/>
      <c r="CI1699" s="456"/>
      <c r="CJ1699" s="456"/>
      <c r="CK1699" s="456"/>
      <c r="CL1699" s="456"/>
      <c r="CM1699" s="456"/>
      <c r="CN1699" s="456"/>
      <c r="CO1699" s="456"/>
      <c r="CP1699" s="456"/>
      <c r="CQ1699" s="456"/>
      <c r="CR1699" s="456"/>
      <c r="CS1699" s="456"/>
      <c r="CT1699" s="456"/>
      <c r="CU1699" s="456"/>
      <c r="CV1699" s="456"/>
      <c r="CW1699" s="456"/>
      <c r="CX1699" s="456"/>
      <c r="CY1699" s="456"/>
      <c r="CZ1699" s="456"/>
      <c r="DA1699" s="456"/>
      <c r="DB1699" s="456"/>
      <c r="DC1699" s="456"/>
      <c r="DD1699" s="456"/>
      <c r="DE1699" s="456"/>
      <c r="DF1699" s="456"/>
      <c r="DG1699" s="456"/>
      <c r="DH1699" s="456"/>
      <c r="DI1699" s="456"/>
      <c r="DJ1699" s="456"/>
      <c r="DK1699" s="456"/>
      <c r="DL1699" s="456"/>
      <c r="DM1699" s="456"/>
      <c r="DN1699" s="456"/>
      <c r="DO1699" s="456"/>
      <c r="DP1699" s="456"/>
      <c r="DQ1699" s="456"/>
      <c r="DR1699" s="456"/>
      <c r="DS1699" s="456"/>
      <c r="DT1699" s="456"/>
      <c r="DU1699" s="456"/>
      <c r="DV1699" s="456"/>
      <c r="DW1699" s="456"/>
      <c r="DX1699" s="456"/>
      <c r="DY1699" s="456"/>
      <c r="DZ1699" s="456"/>
      <c r="EA1699" s="456"/>
      <c r="EB1699" s="456"/>
      <c r="EC1699" s="456"/>
      <c r="ED1699" s="456"/>
      <c r="EE1699" s="456"/>
      <c r="EF1699" s="456"/>
      <c r="EG1699" s="456"/>
      <c r="EH1699" s="456"/>
      <c r="EI1699" s="456"/>
      <c r="EJ1699" s="456"/>
      <c r="EK1699" s="456"/>
      <c r="EL1699" s="456"/>
      <c r="EM1699" s="456"/>
      <c r="EN1699" s="456"/>
      <c r="EO1699" s="456"/>
      <c r="EP1699" s="456"/>
      <c r="EQ1699" s="456"/>
      <c r="ER1699" s="456"/>
      <c r="ES1699" s="456"/>
      <c r="ET1699" s="456"/>
      <c r="EU1699" s="456"/>
      <c r="EV1699" s="456"/>
      <c r="EW1699" s="456"/>
      <c r="EX1699" s="456"/>
      <c r="EY1699" s="456"/>
      <c r="EZ1699" s="456"/>
      <c r="FA1699" s="456"/>
      <c r="FB1699" s="456"/>
      <c r="FC1699" s="456"/>
      <c r="FD1699" s="456"/>
      <c r="FE1699" s="456"/>
      <c r="FF1699" s="456"/>
      <c r="FG1699" s="456"/>
      <c r="FH1699" s="456"/>
      <c r="FI1699" s="456"/>
      <c r="FJ1699" s="456"/>
      <c r="FK1699" s="456"/>
      <c r="FL1699" s="456"/>
      <c r="FM1699" s="456"/>
      <c r="FN1699" s="456"/>
      <c r="FO1699" s="456"/>
      <c r="FP1699" s="456"/>
      <c r="FQ1699" s="456"/>
      <c r="FR1699" s="456"/>
      <c r="FS1699" s="456"/>
      <c r="FT1699" s="456"/>
      <c r="FU1699" s="456"/>
      <c r="FV1699" s="456"/>
      <c r="FW1699" s="456"/>
      <c r="FX1699" s="456"/>
      <c r="FY1699" s="456"/>
      <c r="FZ1699" s="456"/>
      <c r="GA1699" s="456"/>
      <c r="GB1699" s="456"/>
      <c r="GC1699" s="456"/>
      <c r="GD1699" s="456"/>
      <c r="GE1699" s="456"/>
      <c r="GF1699" s="456"/>
      <c r="GG1699" s="456"/>
      <c r="GH1699" s="456"/>
      <c r="GI1699" s="456"/>
      <c r="GJ1699" s="456"/>
      <c r="GK1699" s="456"/>
      <c r="GL1699" s="456"/>
      <c r="GM1699" s="456"/>
      <c r="GN1699" s="456"/>
      <c r="GO1699" s="456"/>
      <c r="GP1699" s="456"/>
      <c r="GQ1699" s="456"/>
      <c r="GR1699" s="456"/>
      <c r="GS1699" s="456"/>
      <c r="GT1699" s="456"/>
      <c r="GU1699" s="456"/>
      <c r="GV1699" s="456"/>
      <c r="GW1699" s="456"/>
      <c r="GX1699" s="456"/>
      <c r="GY1699" s="456"/>
      <c r="GZ1699" s="456"/>
      <c r="HA1699" s="456"/>
      <c r="HB1699" s="456"/>
      <c r="HC1699" s="456"/>
      <c r="HD1699" s="456"/>
      <c r="HE1699" s="456"/>
      <c r="HF1699" s="456"/>
      <c r="HG1699" s="456"/>
      <c r="HH1699" s="456"/>
      <c r="HI1699" s="456"/>
      <c r="HJ1699" s="456"/>
      <c r="HK1699" s="456"/>
      <c r="HL1699" s="456"/>
      <c r="HM1699" s="456"/>
    </row>
    <row r="1700" spans="1:221" s="456" customFormat="1">
      <c r="A1700" s="703" t="s">
        <v>190</v>
      </c>
      <c r="B1700" s="1272" t="s">
        <v>950</v>
      </c>
      <c r="C1700" s="1305" t="s">
        <v>253</v>
      </c>
      <c r="D1700" s="1274"/>
      <c r="E1700" s="1255">
        <v>36</v>
      </c>
      <c r="F1700" s="681"/>
      <c r="G1700" s="681" t="s">
        <v>1909</v>
      </c>
      <c r="H1700" s="683"/>
      <c r="I1700" s="689"/>
      <c r="J1700" s="685"/>
      <c r="K1700" s="685"/>
      <c r="L1700" s="689">
        <v>70</v>
      </c>
      <c r="M1700" s="683">
        <v>34</v>
      </c>
      <c r="N1700" s="706">
        <v>4</v>
      </c>
      <c r="O1700" s="645"/>
      <c r="P1700" s="479"/>
      <c r="Q1700" s="479"/>
      <c r="R1700" s="479"/>
      <c r="S1700" s="479"/>
      <c r="T1700" s="479"/>
      <c r="U1700" s="479"/>
    </row>
    <row r="1701" spans="1:221" s="456" customFormat="1">
      <c r="A1701" s="703"/>
      <c r="B1701" s="1272" t="s">
        <v>169</v>
      </c>
      <c r="C1701" s="1273" t="s">
        <v>641</v>
      </c>
      <c r="D1701" s="1274"/>
      <c r="E1701" s="1255">
        <v>34</v>
      </c>
      <c r="F1701" s="681"/>
      <c r="G1701" s="681"/>
      <c r="H1701" s="683"/>
      <c r="I1701" s="689"/>
      <c r="J1701" s="685"/>
      <c r="K1701" s="685"/>
      <c r="L1701" s="689">
        <f>34+17</f>
        <v>51</v>
      </c>
      <c r="M1701" s="683">
        <v>17</v>
      </c>
      <c r="N1701" s="706">
        <v>3</v>
      </c>
      <c r="O1701" s="645"/>
      <c r="P1701" s="479"/>
      <c r="Q1701" s="479"/>
      <c r="R1701" s="479"/>
      <c r="S1701" s="479"/>
      <c r="T1701" s="479"/>
      <c r="U1701" s="479"/>
    </row>
    <row r="1702" spans="1:221" s="456" customFormat="1">
      <c r="A1702" s="703"/>
      <c r="B1702" s="1272" t="s">
        <v>169</v>
      </c>
      <c r="C1702" s="1273" t="s">
        <v>2479</v>
      </c>
      <c r="D1702" s="1274"/>
      <c r="E1702" s="1255">
        <v>77</v>
      </c>
      <c r="F1702" s="681"/>
      <c r="G1702" s="681" t="s">
        <v>2480</v>
      </c>
      <c r="H1702" s="683"/>
      <c r="I1702" s="689"/>
      <c r="J1702" s="685" t="s">
        <v>2474</v>
      </c>
      <c r="K1702" s="685"/>
      <c r="L1702" s="689">
        <v>110</v>
      </c>
      <c r="M1702" s="683">
        <f>L1702-77</f>
        <v>33</v>
      </c>
      <c r="N1702" s="706">
        <v>5</v>
      </c>
      <c r="O1702" s="645"/>
      <c r="P1702" s="479"/>
      <c r="Q1702" s="479"/>
      <c r="R1702" s="479"/>
      <c r="S1702" s="479"/>
      <c r="T1702" s="479"/>
      <c r="U1702" s="479"/>
    </row>
    <row r="1703" spans="1:221" s="456" customFormat="1">
      <c r="A1703" s="679" t="s">
        <v>1929</v>
      </c>
      <c r="B1703" s="1272" t="s">
        <v>169</v>
      </c>
      <c r="C1703" s="1273" t="s">
        <v>58</v>
      </c>
      <c r="D1703" s="1274"/>
      <c r="E1703" s="1255">
        <v>30</v>
      </c>
      <c r="F1703" s="681" t="s">
        <v>2440</v>
      </c>
      <c r="G1703" s="681"/>
      <c r="H1703" s="683"/>
      <c r="I1703" s="689"/>
      <c r="J1703" s="685"/>
      <c r="K1703" s="685"/>
      <c r="L1703" s="689">
        <v>49</v>
      </c>
      <c r="M1703" s="683">
        <v>19</v>
      </c>
      <c r="N1703" s="706">
        <v>4</v>
      </c>
      <c r="O1703" s="480"/>
      <c r="P1703" s="479"/>
      <c r="Q1703" s="479"/>
      <c r="R1703" s="479"/>
      <c r="S1703" s="479"/>
      <c r="T1703" s="479"/>
      <c r="U1703" s="479"/>
    </row>
    <row r="1704" spans="1:221" s="791" customFormat="1">
      <c r="A1704" s="799"/>
      <c r="B1704" s="1275" t="s">
        <v>169</v>
      </c>
      <c r="C1704" s="1276" t="s">
        <v>225</v>
      </c>
      <c r="D1704" s="1277"/>
      <c r="E1704" s="1278"/>
      <c r="F1704" s="785" t="s">
        <v>302</v>
      </c>
      <c r="G1704" s="785"/>
      <c r="H1704" s="786"/>
      <c r="I1704" s="787"/>
      <c r="J1704" s="788"/>
      <c r="K1704" s="788"/>
      <c r="L1704" s="787"/>
      <c r="M1704" s="786"/>
      <c r="N1704" s="797"/>
      <c r="O1704" s="803"/>
      <c r="P1704" s="798"/>
      <c r="Q1704" s="798"/>
      <c r="R1704" s="798"/>
      <c r="S1704" s="798"/>
      <c r="T1704" s="798"/>
      <c r="U1704" s="798"/>
    </row>
    <row r="1705" spans="1:221" s="456" customFormat="1">
      <c r="A1705" s="679" t="s">
        <v>354</v>
      </c>
      <c r="B1705" s="1272" t="s">
        <v>169</v>
      </c>
      <c r="C1705" s="1273" t="s">
        <v>9</v>
      </c>
      <c r="D1705" s="1274"/>
      <c r="E1705" s="1255">
        <v>46</v>
      </c>
      <c r="F1705" s="681"/>
      <c r="G1705" s="681" t="s">
        <v>1909</v>
      </c>
      <c r="H1705" s="683"/>
      <c r="I1705" s="689"/>
      <c r="J1705" s="685"/>
      <c r="K1705" s="685"/>
      <c r="L1705" s="689">
        <v>86</v>
      </c>
      <c r="M1705" s="683">
        <v>40</v>
      </c>
      <c r="N1705" s="706">
        <v>4</v>
      </c>
      <c r="O1705" s="480"/>
      <c r="P1705" s="479"/>
      <c r="Q1705" s="479"/>
      <c r="R1705" s="479"/>
      <c r="S1705" s="479"/>
      <c r="T1705" s="479"/>
      <c r="U1705" s="479"/>
    </row>
    <row r="1706" spans="1:221" s="791" customFormat="1">
      <c r="A1706" s="679" t="s">
        <v>190</v>
      </c>
      <c r="B1706" s="1272" t="s">
        <v>169</v>
      </c>
      <c r="C1706" s="1273" t="s">
        <v>9</v>
      </c>
      <c r="D1706" s="1274"/>
      <c r="E1706" s="1255">
        <v>36</v>
      </c>
      <c r="F1706" s="681"/>
      <c r="G1706" s="681" t="s">
        <v>1909</v>
      </c>
      <c r="H1706" s="683"/>
      <c r="I1706" s="689"/>
      <c r="J1706" s="685"/>
      <c r="K1706" s="685"/>
      <c r="L1706" s="689">
        <v>58</v>
      </c>
      <c r="M1706" s="683">
        <v>22</v>
      </c>
      <c r="N1706" s="706">
        <v>4</v>
      </c>
      <c r="O1706" s="480"/>
      <c r="P1706" s="297"/>
      <c r="Q1706" s="297"/>
      <c r="R1706" s="297"/>
      <c r="S1706" s="297"/>
      <c r="T1706" s="297"/>
      <c r="U1706" s="297"/>
      <c r="V1706" s="305"/>
      <c r="W1706" s="305"/>
      <c r="X1706" s="305"/>
      <c r="Y1706" s="305"/>
      <c r="Z1706" s="305"/>
      <c r="AA1706" s="305"/>
      <c r="AB1706" s="305"/>
      <c r="AC1706" s="305"/>
      <c r="AD1706" s="305"/>
      <c r="AE1706" s="305"/>
      <c r="AF1706" s="305"/>
      <c r="AG1706" s="305"/>
      <c r="AH1706" s="305"/>
      <c r="AI1706" s="305"/>
      <c r="AJ1706" s="305"/>
      <c r="AK1706" s="305"/>
      <c r="AL1706" s="305"/>
      <c r="AM1706" s="305"/>
      <c r="AN1706" s="305"/>
      <c r="AO1706" s="305"/>
      <c r="AP1706" s="305"/>
      <c r="AQ1706" s="305"/>
      <c r="AR1706" s="305"/>
      <c r="AS1706" s="305"/>
      <c r="AT1706" s="305"/>
      <c r="AU1706" s="305"/>
      <c r="AV1706" s="305"/>
      <c r="AW1706" s="305"/>
      <c r="AX1706" s="305"/>
      <c r="AY1706" s="305"/>
      <c r="AZ1706" s="305"/>
      <c r="BA1706" s="305"/>
      <c r="BB1706" s="305"/>
      <c r="BC1706" s="305"/>
      <c r="BD1706" s="305"/>
      <c r="BE1706" s="305"/>
      <c r="BF1706" s="305"/>
      <c r="BG1706" s="305"/>
      <c r="BH1706" s="305"/>
      <c r="BI1706" s="305"/>
      <c r="BJ1706" s="305"/>
      <c r="BK1706" s="305"/>
      <c r="BL1706" s="305"/>
      <c r="BM1706" s="305"/>
      <c r="BN1706" s="305"/>
      <c r="BO1706" s="305"/>
      <c r="BP1706" s="305"/>
      <c r="BQ1706" s="305"/>
      <c r="BR1706" s="305"/>
      <c r="BS1706" s="305"/>
      <c r="BT1706" s="305"/>
      <c r="BU1706" s="305"/>
      <c r="BV1706" s="305"/>
      <c r="BW1706" s="305"/>
      <c r="BX1706" s="305"/>
      <c r="BY1706" s="305"/>
      <c r="BZ1706" s="305"/>
      <c r="CA1706" s="305"/>
      <c r="CB1706" s="305"/>
      <c r="CC1706" s="305"/>
      <c r="CD1706" s="305"/>
      <c r="CE1706" s="305"/>
      <c r="CF1706" s="305"/>
      <c r="CG1706" s="305"/>
      <c r="CH1706" s="305"/>
      <c r="CI1706" s="305"/>
      <c r="CJ1706" s="305"/>
      <c r="CK1706" s="305"/>
      <c r="CL1706" s="305"/>
      <c r="CM1706" s="305"/>
      <c r="CN1706" s="305"/>
      <c r="CO1706" s="305"/>
      <c r="CP1706" s="305"/>
      <c r="CQ1706" s="305"/>
      <c r="CR1706" s="305"/>
      <c r="CS1706" s="305"/>
      <c r="CT1706" s="305"/>
      <c r="CU1706" s="305"/>
      <c r="CV1706" s="305"/>
      <c r="CW1706" s="305"/>
      <c r="CX1706" s="305"/>
      <c r="CY1706" s="305"/>
      <c r="CZ1706" s="305"/>
      <c r="DA1706" s="305"/>
      <c r="DB1706" s="305"/>
      <c r="DC1706" s="305"/>
      <c r="DD1706" s="305"/>
      <c r="DE1706" s="305"/>
      <c r="DF1706" s="305"/>
      <c r="DG1706" s="305"/>
      <c r="DH1706" s="305"/>
      <c r="DI1706" s="305"/>
      <c r="DJ1706" s="305"/>
      <c r="DK1706" s="305"/>
      <c r="DL1706" s="305"/>
      <c r="DM1706" s="305"/>
      <c r="DN1706" s="305"/>
      <c r="DO1706" s="305"/>
      <c r="DP1706" s="305"/>
      <c r="DQ1706" s="305"/>
      <c r="DR1706" s="305"/>
      <c r="DS1706" s="305"/>
      <c r="DT1706" s="305"/>
      <c r="DU1706" s="305"/>
      <c r="DV1706" s="305"/>
      <c r="DW1706" s="305"/>
      <c r="DX1706" s="305"/>
      <c r="DY1706" s="305"/>
      <c r="DZ1706" s="305"/>
      <c r="EA1706" s="305"/>
      <c r="EB1706" s="305"/>
      <c r="EC1706" s="305"/>
      <c r="ED1706" s="305"/>
      <c r="EE1706" s="305"/>
      <c r="EF1706" s="305"/>
      <c r="EG1706" s="305"/>
      <c r="EH1706" s="305"/>
      <c r="EI1706" s="305"/>
      <c r="EJ1706" s="305"/>
      <c r="EK1706" s="305"/>
      <c r="EL1706" s="305"/>
      <c r="EM1706" s="305"/>
      <c r="EN1706" s="305"/>
      <c r="EO1706" s="305"/>
      <c r="EP1706" s="305"/>
      <c r="EQ1706" s="305"/>
      <c r="ER1706" s="305"/>
      <c r="ES1706" s="305"/>
      <c r="ET1706" s="305"/>
      <c r="EU1706" s="305"/>
      <c r="EV1706" s="305"/>
      <c r="EW1706" s="305"/>
      <c r="EX1706" s="305"/>
      <c r="EY1706" s="305"/>
      <c r="EZ1706" s="305"/>
      <c r="FA1706" s="305"/>
      <c r="FB1706" s="305"/>
      <c r="FC1706" s="305"/>
      <c r="FD1706" s="305"/>
      <c r="FE1706" s="305"/>
      <c r="FF1706" s="305"/>
      <c r="FG1706" s="305"/>
      <c r="FH1706" s="305"/>
      <c r="FI1706" s="305"/>
      <c r="FJ1706" s="305"/>
      <c r="FK1706" s="305"/>
      <c r="FL1706" s="305"/>
      <c r="FM1706" s="305"/>
      <c r="FN1706" s="305"/>
      <c r="FO1706" s="305"/>
      <c r="FP1706" s="305"/>
      <c r="FQ1706" s="305"/>
      <c r="FR1706" s="305"/>
      <c r="FS1706" s="305"/>
      <c r="FT1706" s="305"/>
      <c r="FU1706" s="305"/>
      <c r="FV1706" s="305"/>
      <c r="FW1706" s="305"/>
      <c r="FX1706" s="305"/>
      <c r="FY1706" s="305"/>
      <c r="FZ1706" s="305"/>
      <c r="GA1706" s="305"/>
      <c r="GB1706" s="305"/>
      <c r="GC1706" s="305"/>
      <c r="GD1706" s="305"/>
      <c r="GE1706" s="305"/>
      <c r="GF1706" s="305"/>
      <c r="GG1706" s="305"/>
      <c r="GH1706" s="305"/>
      <c r="GI1706" s="305"/>
      <c r="GJ1706" s="305"/>
      <c r="GK1706" s="305"/>
      <c r="GL1706" s="305"/>
      <c r="GM1706" s="305"/>
      <c r="GN1706" s="305"/>
      <c r="GO1706" s="305"/>
      <c r="GP1706" s="305"/>
      <c r="GQ1706" s="305"/>
      <c r="GR1706" s="305"/>
      <c r="GS1706" s="305"/>
      <c r="GT1706" s="305"/>
      <c r="GU1706" s="305"/>
      <c r="GV1706" s="305"/>
      <c r="GW1706" s="305"/>
      <c r="GX1706" s="305"/>
      <c r="GY1706" s="305"/>
      <c r="GZ1706" s="305"/>
      <c r="HA1706" s="305"/>
      <c r="HB1706" s="305"/>
      <c r="HC1706" s="305"/>
      <c r="HD1706" s="305"/>
      <c r="HE1706" s="305"/>
      <c r="HF1706" s="305"/>
      <c r="HG1706" s="305"/>
      <c r="HH1706" s="305"/>
      <c r="HI1706" s="305"/>
      <c r="HJ1706" s="305"/>
      <c r="HK1706" s="305"/>
      <c r="HL1706" s="305"/>
      <c r="HM1706" s="305"/>
    </row>
    <row r="1707" spans="1:221" s="791" customFormat="1">
      <c r="A1707" s="679"/>
      <c r="B1707" s="1272" t="s">
        <v>169</v>
      </c>
      <c r="C1707" s="1273" t="s">
        <v>2439</v>
      </c>
      <c r="D1707" s="1274"/>
      <c r="E1707" s="1255">
        <v>31</v>
      </c>
      <c r="F1707" s="681"/>
      <c r="G1707" s="681"/>
      <c r="H1707" s="683"/>
      <c r="I1707" s="689"/>
      <c r="J1707" s="685"/>
      <c r="K1707" s="685"/>
      <c r="L1707" s="689">
        <v>49</v>
      </c>
      <c r="M1707" s="683">
        <v>18</v>
      </c>
      <c r="N1707" s="706"/>
      <c r="O1707" s="480"/>
      <c r="P1707" s="297"/>
      <c r="Q1707" s="297"/>
      <c r="R1707" s="297"/>
      <c r="S1707" s="297"/>
      <c r="T1707" s="297"/>
      <c r="U1707" s="297"/>
      <c r="V1707" s="305"/>
      <c r="W1707" s="305"/>
      <c r="X1707" s="305"/>
      <c r="Y1707" s="305"/>
      <c r="Z1707" s="305"/>
      <c r="AA1707" s="305"/>
      <c r="AB1707" s="305"/>
      <c r="AC1707" s="305"/>
      <c r="AD1707" s="305"/>
      <c r="AE1707" s="305"/>
      <c r="AF1707" s="305"/>
      <c r="AG1707" s="305"/>
      <c r="AH1707" s="305"/>
      <c r="AI1707" s="305"/>
      <c r="AJ1707" s="305"/>
      <c r="AK1707" s="305"/>
      <c r="AL1707" s="305"/>
      <c r="AM1707" s="305"/>
      <c r="AN1707" s="305"/>
      <c r="AO1707" s="305"/>
      <c r="AP1707" s="305"/>
      <c r="AQ1707" s="305"/>
      <c r="AR1707" s="305"/>
      <c r="AS1707" s="305"/>
      <c r="AT1707" s="305"/>
      <c r="AU1707" s="305"/>
      <c r="AV1707" s="305"/>
      <c r="AW1707" s="305"/>
      <c r="AX1707" s="305"/>
      <c r="AY1707" s="305"/>
      <c r="AZ1707" s="305"/>
      <c r="BA1707" s="305"/>
      <c r="BB1707" s="305"/>
      <c r="BC1707" s="305"/>
      <c r="BD1707" s="305"/>
      <c r="BE1707" s="305"/>
      <c r="BF1707" s="305"/>
      <c r="BG1707" s="305"/>
      <c r="BH1707" s="305"/>
      <c r="BI1707" s="305"/>
      <c r="BJ1707" s="305"/>
      <c r="BK1707" s="305"/>
      <c r="BL1707" s="305"/>
      <c r="BM1707" s="305"/>
      <c r="BN1707" s="305"/>
      <c r="BO1707" s="305"/>
      <c r="BP1707" s="305"/>
      <c r="BQ1707" s="305"/>
      <c r="BR1707" s="305"/>
      <c r="BS1707" s="305"/>
      <c r="BT1707" s="305"/>
      <c r="BU1707" s="305"/>
      <c r="BV1707" s="305"/>
      <c r="BW1707" s="305"/>
      <c r="BX1707" s="305"/>
      <c r="BY1707" s="305"/>
      <c r="BZ1707" s="305"/>
      <c r="CA1707" s="305"/>
      <c r="CB1707" s="305"/>
      <c r="CC1707" s="305"/>
      <c r="CD1707" s="305"/>
      <c r="CE1707" s="305"/>
      <c r="CF1707" s="305"/>
      <c r="CG1707" s="305"/>
      <c r="CH1707" s="305"/>
      <c r="CI1707" s="305"/>
      <c r="CJ1707" s="305"/>
      <c r="CK1707" s="305"/>
      <c r="CL1707" s="305"/>
      <c r="CM1707" s="305"/>
      <c r="CN1707" s="305"/>
      <c r="CO1707" s="305"/>
      <c r="CP1707" s="305"/>
      <c r="CQ1707" s="305"/>
      <c r="CR1707" s="305"/>
      <c r="CS1707" s="305"/>
      <c r="CT1707" s="305"/>
      <c r="CU1707" s="305"/>
      <c r="CV1707" s="305"/>
      <c r="CW1707" s="305"/>
      <c r="CX1707" s="305"/>
      <c r="CY1707" s="305"/>
      <c r="CZ1707" s="305"/>
      <c r="DA1707" s="305"/>
      <c r="DB1707" s="305"/>
      <c r="DC1707" s="305"/>
      <c r="DD1707" s="305"/>
      <c r="DE1707" s="305"/>
      <c r="DF1707" s="305"/>
      <c r="DG1707" s="305"/>
      <c r="DH1707" s="305"/>
      <c r="DI1707" s="305"/>
      <c r="DJ1707" s="305"/>
      <c r="DK1707" s="305"/>
      <c r="DL1707" s="305"/>
      <c r="DM1707" s="305"/>
      <c r="DN1707" s="305"/>
      <c r="DO1707" s="305"/>
      <c r="DP1707" s="305"/>
      <c r="DQ1707" s="305"/>
      <c r="DR1707" s="305"/>
      <c r="DS1707" s="305"/>
      <c r="DT1707" s="305"/>
      <c r="DU1707" s="305"/>
      <c r="DV1707" s="305"/>
      <c r="DW1707" s="305"/>
      <c r="DX1707" s="305"/>
      <c r="DY1707" s="305"/>
      <c r="DZ1707" s="305"/>
      <c r="EA1707" s="305"/>
      <c r="EB1707" s="305"/>
      <c r="EC1707" s="305"/>
      <c r="ED1707" s="305"/>
      <c r="EE1707" s="305"/>
      <c r="EF1707" s="305"/>
      <c r="EG1707" s="305"/>
      <c r="EH1707" s="305"/>
      <c r="EI1707" s="305"/>
      <c r="EJ1707" s="305"/>
      <c r="EK1707" s="305"/>
      <c r="EL1707" s="305"/>
      <c r="EM1707" s="305"/>
      <c r="EN1707" s="305"/>
      <c r="EO1707" s="305"/>
      <c r="EP1707" s="305"/>
      <c r="EQ1707" s="305"/>
      <c r="ER1707" s="305"/>
      <c r="ES1707" s="305"/>
      <c r="ET1707" s="305"/>
      <c r="EU1707" s="305"/>
      <c r="EV1707" s="305"/>
      <c r="EW1707" s="305"/>
      <c r="EX1707" s="305"/>
      <c r="EY1707" s="305"/>
      <c r="EZ1707" s="305"/>
      <c r="FA1707" s="305"/>
      <c r="FB1707" s="305"/>
      <c r="FC1707" s="305"/>
      <c r="FD1707" s="305"/>
      <c r="FE1707" s="305"/>
      <c r="FF1707" s="305"/>
      <c r="FG1707" s="305"/>
      <c r="FH1707" s="305"/>
      <c r="FI1707" s="305"/>
      <c r="FJ1707" s="305"/>
      <c r="FK1707" s="305"/>
      <c r="FL1707" s="305"/>
      <c r="FM1707" s="305"/>
      <c r="FN1707" s="305"/>
      <c r="FO1707" s="305"/>
      <c r="FP1707" s="305"/>
      <c r="FQ1707" s="305"/>
      <c r="FR1707" s="305"/>
      <c r="FS1707" s="305"/>
      <c r="FT1707" s="305"/>
      <c r="FU1707" s="305"/>
      <c r="FV1707" s="305"/>
      <c r="FW1707" s="305"/>
      <c r="FX1707" s="305"/>
      <c r="FY1707" s="305"/>
      <c r="FZ1707" s="305"/>
      <c r="GA1707" s="305"/>
      <c r="GB1707" s="305"/>
      <c r="GC1707" s="305"/>
      <c r="GD1707" s="305"/>
      <c r="GE1707" s="305"/>
      <c r="GF1707" s="305"/>
      <c r="GG1707" s="305"/>
      <c r="GH1707" s="305"/>
      <c r="GI1707" s="305"/>
      <c r="GJ1707" s="305"/>
      <c r="GK1707" s="305"/>
      <c r="GL1707" s="305"/>
      <c r="GM1707" s="305"/>
      <c r="GN1707" s="305"/>
      <c r="GO1707" s="305"/>
      <c r="GP1707" s="305"/>
      <c r="GQ1707" s="305"/>
      <c r="GR1707" s="305"/>
      <c r="GS1707" s="305"/>
      <c r="GT1707" s="305"/>
      <c r="GU1707" s="305"/>
      <c r="GV1707" s="305"/>
      <c r="GW1707" s="305"/>
      <c r="GX1707" s="305"/>
      <c r="GY1707" s="305"/>
      <c r="GZ1707" s="305"/>
      <c r="HA1707" s="305"/>
      <c r="HB1707" s="305"/>
      <c r="HC1707" s="305"/>
      <c r="HD1707" s="305"/>
      <c r="HE1707" s="305"/>
      <c r="HF1707" s="305"/>
      <c r="HG1707" s="305"/>
      <c r="HH1707" s="305"/>
      <c r="HI1707" s="305"/>
      <c r="HJ1707" s="305"/>
      <c r="HK1707" s="305"/>
      <c r="HL1707" s="305"/>
      <c r="HM1707" s="305"/>
    </row>
    <row r="1708" spans="1:221" s="791" customFormat="1">
      <c r="A1708" s="1251"/>
      <c r="B1708" s="1272" t="s">
        <v>25</v>
      </c>
      <c r="C1708" s="1273" t="s">
        <v>405</v>
      </c>
      <c r="D1708" s="1274"/>
      <c r="E1708" s="1255">
        <v>34</v>
      </c>
      <c r="F1708" s="681"/>
      <c r="G1708" s="681" t="s">
        <v>1909</v>
      </c>
      <c r="H1708" s="683"/>
      <c r="I1708" s="689"/>
      <c r="J1708" s="685"/>
      <c r="K1708" s="685"/>
      <c r="L1708" s="689">
        <v>52</v>
      </c>
      <c r="M1708" s="683">
        <v>18</v>
      </c>
      <c r="N1708" s="706">
        <v>3</v>
      </c>
      <c r="O1708" s="480"/>
      <c r="P1708" s="297"/>
      <c r="Q1708" s="297"/>
      <c r="R1708" s="297"/>
      <c r="S1708" s="297"/>
      <c r="T1708" s="297"/>
      <c r="U1708" s="297"/>
      <c r="V1708" s="305"/>
      <c r="W1708" s="305"/>
      <c r="X1708" s="305"/>
      <c r="Y1708" s="305"/>
      <c r="Z1708" s="305"/>
      <c r="AA1708" s="305"/>
      <c r="AB1708" s="305"/>
      <c r="AC1708" s="305"/>
      <c r="AD1708" s="305"/>
      <c r="AE1708" s="305"/>
      <c r="AF1708" s="305"/>
      <c r="AG1708" s="305"/>
      <c r="AH1708" s="305"/>
      <c r="AI1708" s="305"/>
      <c r="AJ1708" s="305"/>
      <c r="AK1708" s="305"/>
      <c r="AL1708" s="305"/>
      <c r="AM1708" s="305"/>
      <c r="AN1708" s="305"/>
      <c r="AO1708" s="305"/>
      <c r="AP1708" s="305"/>
      <c r="AQ1708" s="305"/>
      <c r="AR1708" s="305"/>
      <c r="AS1708" s="305"/>
      <c r="AT1708" s="305"/>
      <c r="AU1708" s="305"/>
      <c r="AV1708" s="305"/>
      <c r="AW1708" s="305"/>
      <c r="AX1708" s="305"/>
      <c r="AY1708" s="305"/>
      <c r="AZ1708" s="305"/>
      <c r="BA1708" s="305"/>
      <c r="BB1708" s="305"/>
      <c r="BC1708" s="305"/>
      <c r="BD1708" s="305"/>
      <c r="BE1708" s="305"/>
      <c r="BF1708" s="305"/>
      <c r="BG1708" s="305"/>
      <c r="BH1708" s="305"/>
      <c r="BI1708" s="305"/>
      <c r="BJ1708" s="305"/>
      <c r="BK1708" s="305"/>
      <c r="BL1708" s="305"/>
      <c r="BM1708" s="305"/>
      <c r="BN1708" s="305"/>
      <c r="BO1708" s="305"/>
      <c r="BP1708" s="305"/>
      <c r="BQ1708" s="305"/>
      <c r="BR1708" s="305"/>
      <c r="BS1708" s="305"/>
      <c r="BT1708" s="305"/>
      <c r="BU1708" s="305"/>
      <c r="BV1708" s="305"/>
      <c r="BW1708" s="305"/>
      <c r="BX1708" s="305"/>
      <c r="BY1708" s="305"/>
      <c r="BZ1708" s="305"/>
      <c r="CA1708" s="305"/>
      <c r="CB1708" s="305"/>
      <c r="CC1708" s="305"/>
      <c r="CD1708" s="305"/>
      <c r="CE1708" s="305"/>
      <c r="CF1708" s="305"/>
      <c r="CG1708" s="305"/>
      <c r="CH1708" s="305"/>
      <c r="CI1708" s="305"/>
      <c r="CJ1708" s="305"/>
      <c r="CK1708" s="305"/>
      <c r="CL1708" s="305"/>
      <c r="CM1708" s="305"/>
      <c r="CN1708" s="305"/>
      <c r="CO1708" s="305"/>
      <c r="CP1708" s="305"/>
      <c r="CQ1708" s="305"/>
      <c r="CR1708" s="305"/>
      <c r="CS1708" s="305"/>
      <c r="CT1708" s="305"/>
      <c r="CU1708" s="305"/>
      <c r="CV1708" s="305"/>
      <c r="CW1708" s="305"/>
      <c r="CX1708" s="305"/>
      <c r="CY1708" s="305"/>
      <c r="CZ1708" s="305"/>
      <c r="DA1708" s="305"/>
      <c r="DB1708" s="305"/>
      <c r="DC1708" s="305"/>
      <c r="DD1708" s="305"/>
      <c r="DE1708" s="305"/>
      <c r="DF1708" s="305"/>
      <c r="DG1708" s="305"/>
      <c r="DH1708" s="305"/>
      <c r="DI1708" s="305"/>
      <c r="DJ1708" s="305"/>
      <c r="DK1708" s="305"/>
      <c r="DL1708" s="305"/>
      <c r="DM1708" s="305"/>
      <c r="DN1708" s="305"/>
      <c r="DO1708" s="305"/>
      <c r="DP1708" s="305"/>
      <c r="DQ1708" s="305"/>
      <c r="DR1708" s="305"/>
      <c r="DS1708" s="305"/>
      <c r="DT1708" s="305"/>
      <c r="DU1708" s="305"/>
      <c r="DV1708" s="305"/>
      <c r="DW1708" s="305"/>
      <c r="DX1708" s="305"/>
      <c r="DY1708" s="305"/>
      <c r="DZ1708" s="305"/>
      <c r="EA1708" s="305"/>
      <c r="EB1708" s="305"/>
      <c r="EC1708" s="305"/>
      <c r="ED1708" s="305"/>
      <c r="EE1708" s="305"/>
      <c r="EF1708" s="305"/>
      <c r="EG1708" s="305"/>
      <c r="EH1708" s="305"/>
      <c r="EI1708" s="305"/>
      <c r="EJ1708" s="305"/>
      <c r="EK1708" s="305"/>
      <c r="EL1708" s="305"/>
      <c r="EM1708" s="305"/>
      <c r="EN1708" s="305"/>
      <c r="EO1708" s="305"/>
      <c r="EP1708" s="305"/>
      <c r="EQ1708" s="305"/>
      <c r="ER1708" s="305"/>
      <c r="ES1708" s="305"/>
      <c r="ET1708" s="305"/>
      <c r="EU1708" s="305"/>
      <c r="EV1708" s="305"/>
      <c r="EW1708" s="305"/>
      <c r="EX1708" s="305"/>
      <c r="EY1708" s="305"/>
      <c r="EZ1708" s="305"/>
      <c r="FA1708" s="305"/>
      <c r="FB1708" s="305"/>
      <c r="FC1708" s="305"/>
      <c r="FD1708" s="305"/>
      <c r="FE1708" s="305"/>
      <c r="FF1708" s="305"/>
      <c r="FG1708" s="305"/>
      <c r="FH1708" s="305"/>
      <c r="FI1708" s="305"/>
      <c r="FJ1708" s="305"/>
      <c r="FK1708" s="305"/>
      <c r="FL1708" s="305"/>
      <c r="FM1708" s="305"/>
      <c r="FN1708" s="305"/>
      <c r="FO1708" s="305"/>
      <c r="FP1708" s="305"/>
      <c r="FQ1708" s="305"/>
      <c r="FR1708" s="305"/>
      <c r="FS1708" s="305"/>
      <c r="FT1708" s="305"/>
      <c r="FU1708" s="305"/>
      <c r="FV1708" s="305"/>
      <c r="FW1708" s="305"/>
      <c r="FX1708" s="305"/>
      <c r="FY1708" s="305"/>
      <c r="FZ1708" s="305"/>
      <c r="GA1708" s="305"/>
      <c r="GB1708" s="305"/>
      <c r="GC1708" s="305"/>
      <c r="GD1708" s="305"/>
      <c r="GE1708" s="305"/>
      <c r="GF1708" s="305"/>
      <c r="GG1708" s="305"/>
      <c r="GH1708" s="305"/>
      <c r="GI1708" s="305"/>
      <c r="GJ1708" s="305"/>
      <c r="GK1708" s="305"/>
      <c r="GL1708" s="305"/>
      <c r="GM1708" s="305"/>
      <c r="GN1708" s="305"/>
      <c r="GO1708" s="305"/>
      <c r="GP1708" s="305"/>
      <c r="GQ1708" s="305"/>
      <c r="GR1708" s="305"/>
      <c r="GS1708" s="305"/>
      <c r="GT1708" s="305"/>
      <c r="GU1708" s="305"/>
      <c r="GV1708" s="305"/>
      <c r="GW1708" s="305"/>
      <c r="GX1708" s="305"/>
      <c r="GY1708" s="305"/>
      <c r="GZ1708" s="305"/>
      <c r="HA1708" s="305"/>
      <c r="HB1708" s="305"/>
      <c r="HC1708" s="305"/>
      <c r="HD1708" s="305"/>
      <c r="HE1708" s="305"/>
      <c r="HF1708" s="305"/>
      <c r="HG1708" s="305"/>
      <c r="HH1708" s="305"/>
      <c r="HI1708" s="305"/>
      <c r="HJ1708" s="305"/>
      <c r="HK1708" s="305"/>
      <c r="HL1708" s="305"/>
      <c r="HM1708" s="305"/>
    </row>
    <row r="1709" spans="1:221" s="791" customFormat="1">
      <c r="A1709" s="852" t="s">
        <v>28</v>
      </c>
      <c r="B1709" s="1272" t="s">
        <v>27</v>
      </c>
      <c r="C1709" s="1273" t="s">
        <v>29</v>
      </c>
      <c r="D1709" s="1274"/>
      <c r="E1709" s="1255">
        <v>46</v>
      </c>
      <c r="F1709" s="713" t="s">
        <v>101</v>
      </c>
      <c r="G1709" s="681" t="s">
        <v>1909</v>
      </c>
      <c r="H1709" s="713" t="s">
        <v>420</v>
      </c>
      <c r="I1709" s="714"/>
      <c r="J1709" s="714"/>
      <c r="K1709" s="714"/>
      <c r="L1709" s="714">
        <v>66</v>
      </c>
      <c r="M1709" s="713">
        <v>20</v>
      </c>
      <c r="N1709" s="1255"/>
      <c r="O1709" s="677"/>
      <c r="P1709" s="483"/>
      <c r="Q1709" s="483"/>
      <c r="R1709" s="479"/>
      <c r="S1709" s="483"/>
      <c r="T1709" s="479"/>
      <c r="U1709" s="479"/>
      <c r="V1709" s="479"/>
      <c r="W1709" s="479"/>
      <c r="X1709" s="479"/>
      <c r="Y1709" s="479"/>
      <c r="Z1709" s="479"/>
      <c r="AA1709" s="479"/>
      <c r="AB1709" s="479"/>
      <c r="AC1709" s="479"/>
      <c r="AD1709" s="456"/>
      <c r="AE1709" s="456"/>
      <c r="AF1709" s="456"/>
      <c r="AG1709" s="456"/>
      <c r="AH1709" s="456"/>
      <c r="AI1709" s="456"/>
      <c r="AJ1709" s="456"/>
      <c r="AK1709" s="456"/>
      <c r="AL1709" s="456"/>
      <c r="AM1709" s="456"/>
      <c r="AN1709" s="456"/>
      <c r="AO1709" s="456"/>
      <c r="AP1709" s="456"/>
      <c r="AQ1709" s="456"/>
      <c r="AR1709" s="456"/>
      <c r="AS1709" s="456"/>
      <c r="AT1709" s="456"/>
      <c r="AU1709" s="456"/>
      <c r="AV1709" s="456"/>
      <c r="AW1709" s="456"/>
      <c r="AX1709" s="456"/>
      <c r="AY1709" s="456"/>
      <c r="AZ1709" s="456"/>
      <c r="BA1709" s="456"/>
      <c r="BB1709" s="456"/>
      <c r="BC1709" s="456"/>
      <c r="BD1709" s="456"/>
      <c r="BE1709" s="456"/>
      <c r="BF1709" s="456"/>
      <c r="BG1709" s="456"/>
      <c r="BH1709" s="456"/>
      <c r="BI1709" s="456"/>
      <c r="BJ1709" s="456"/>
      <c r="BK1709" s="456"/>
      <c r="BL1709" s="456"/>
      <c r="BM1709" s="456"/>
      <c r="BN1709" s="456"/>
      <c r="BO1709" s="456"/>
      <c r="BP1709" s="456"/>
      <c r="BQ1709" s="456"/>
      <c r="BR1709" s="456"/>
      <c r="BS1709" s="456"/>
      <c r="BT1709" s="456"/>
      <c r="BU1709" s="456"/>
      <c r="BV1709" s="456"/>
      <c r="BW1709" s="456"/>
      <c r="BX1709" s="456"/>
      <c r="BY1709" s="456"/>
      <c r="BZ1709" s="456"/>
      <c r="CA1709" s="456"/>
      <c r="CB1709" s="456"/>
      <c r="CC1709" s="456"/>
      <c r="CD1709" s="456"/>
      <c r="CE1709" s="456"/>
      <c r="CF1709" s="456"/>
      <c r="CG1709" s="456"/>
      <c r="CH1709" s="456"/>
      <c r="CI1709" s="456"/>
      <c r="CJ1709" s="456"/>
      <c r="CK1709" s="456"/>
      <c r="CL1709" s="456"/>
      <c r="CM1709" s="456"/>
      <c r="CN1709" s="456"/>
      <c r="CO1709" s="456"/>
      <c r="CP1709" s="456"/>
      <c r="CQ1709" s="456"/>
      <c r="CR1709" s="456"/>
      <c r="CS1709" s="456"/>
      <c r="CT1709" s="456"/>
      <c r="CU1709" s="456"/>
      <c r="CV1709" s="456"/>
      <c r="CW1709" s="456"/>
      <c r="CX1709" s="456"/>
      <c r="CY1709" s="456"/>
      <c r="CZ1709" s="456"/>
      <c r="DA1709" s="456"/>
      <c r="DB1709" s="456"/>
      <c r="DC1709" s="456"/>
      <c r="DD1709" s="456"/>
      <c r="DE1709" s="456"/>
      <c r="DF1709" s="456"/>
      <c r="DG1709" s="456"/>
      <c r="DH1709" s="456"/>
      <c r="DI1709" s="456"/>
      <c r="DJ1709" s="456"/>
      <c r="DK1709" s="456"/>
      <c r="DL1709" s="456"/>
      <c r="DM1709" s="456"/>
      <c r="DN1709" s="456"/>
      <c r="DO1709" s="456"/>
      <c r="DP1709" s="456"/>
      <c r="DQ1709" s="456"/>
      <c r="DR1709" s="456"/>
      <c r="DS1709" s="456"/>
      <c r="DT1709" s="456"/>
      <c r="DU1709" s="456"/>
      <c r="DV1709" s="456"/>
      <c r="DW1709" s="456"/>
      <c r="DX1709" s="456"/>
      <c r="DY1709" s="456"/>
      <c r="DZ1709" s="456"/>
      <c r="EA1709" s="456"/>
      <c r="EB1709" s="456"/>
      <c r="EC1709" s="456"/>
      <c r="ED1709" s="456"/>
      <c r="EE1709" s="456"/>
      <c r="EF1709" s="456"/>
      <c r="EG1709" s="456"/>
      <c r="EH1709" s="456"/>
      <c r="EI1709" s="456"/>
      <c r="EJ1709" s="456"/>
      <c r="EK1709" s="456"/>
      <c r="EL1709" s="456"/>
      <c r="EM1709" s="456"/>
      <c r="EN1709" s="456"/>
      <c r="EO1709" s="456"/>
      <c r="EP1709" s="456"/>
      <c r="EQ1709" s="456"/>
      <c r="ER1709" s="456"/>
      <c r="ES1709" s="456"/>
      <c r="ET1709" s="456"/>
      <c r="EU1709" s="456"/>
      <c r="EV1709" s="456"/>
      <c r="EW1709" s="456"/>
      <c r="EX1709" s="456"/>
      <c r="EY1709" s="456"/>
      <c r="EZ1709" s="456"/>
      <c r="FA1709" s="456"/>
      <c r="FB1709" s="456"/>
      <c r="FC1709" s="456"/>
      <c r="FD1709" s="456"/>
      <c r="FE1709" s="456"/>
      <c r="FF1709" s="456"/>
      <c r="FG1709" s="456"/>
      <c r="FH1709" s="456"/>
      <c r="FI1709" s="456"/>
      <c r="FJ1709" s="456"/>
      <c r="FK1709" s="456"/>
      <c r="FL1709" s="456"/>
      <c r="FM1709" s="456"/>
      <c r="FN1709" s="456"/>
      <c r="FO1709" s="456"/>
      <c r="FP1709" s="456"/>
      <c r="FQ1709" s="456"/>
      <c r="FR1709" s="456"/>
      <c r="FS1709" s="456"/>
      <c r="FT1709" s="456"/>
      <c r="FU1709" s="456"/>
      <c r="FV1709" s="456"/>
      <c r="FW1709" s="456"/>
      <c r="FX1709" s="456"/>
      <c r="FY1709" s="456"/>
      <c r="FZ1709" s="456"/>
      <c r="GA1709" s="456"/>
      <c r="GB1709" s="456"/>
      <c r="GC1709" s="456"/>
      <c r="GD1709" s="456"/>
      <c r="GE1709" s="456"/>
      <c r="GF1709" s="456"/>
      <c r="GG1709" s="456"/>
      <c r="GH1709" s="456"/>
      <c r="GI1709" s="456"/>
      <c r="GJ1709" s="456"/>
      <c r="GK1709" s="456"/>
      <c r="GL1709" s="456"/>
      <c r="GM1709" s="456"/>
      <c r="GN1709" s="456"/>
      <c r="GO1709" s="456"/>
      <c r="GP1709" s="456"/>
      <c r="GQ1709" s="456"/>
      <c r="GR1709" s="456"/>
      <c r="GS1709" s="456"/>
      <c r="GT1709" s="456"/>
      <c r="GU1709" s="456"/>
      <c r="GV1709" s="456"/>
      <c r="GW1709" s="456"/>
      <c r="GX1709" s="456"/>
      <c r="GY1709" s="456"/>
      <c r="GZ1709" s="456"/>
      <c r="HA1709" s="456"/>
      <c r="HB1709" s="456"/>
      <c r="HC1709" s="456"/>
      <c r="HD1709" s="456"/>
      <c r="HE1709" s="456"/>
      <c r="HF1709" s="456"/>
      <c r="HG1709" s="456"/>
      <c r="HH1709" s="456"/>
      <c r="HI1709" s="456"/>
      <c r="HJ1709" s="456"/>
      <c r="HK1709" s="456"/>
      <c r="HL1709" s="456"/>
      <c r="HM1709" s="456"/>
    </row>
    <row r="1710" spans="1:221" s="305" customFormat="1">
      <c r="A1710" s="2435" t="s">
        <v>30</v>
      </c>
      <c r="B1710" s="1286" t="s">
        <v>481</v>
      </c>
      <c r="C1710" s="1280" t="s">
        <v>476</v>
      </c>
      <c r="D1710" s="1312"/>
      <c r="E1710" s="1851">
        <v>55</v>
      </c>
      <c r="F1710" s="1852" t="s">
        <v>101</v>
      </c>
      <c r="G1710" s="663" t="s">
        <v>4338</v>
      </c>
      <c r="H1710" s="1852">
        <v>2</v>
      </c>
      <c r="I1710" s="1853" t="s">
        <v>206</v>
      </c>
      <c r="J1710" s="1321"/>
      <c r="K1710" s="1321"/>
      <c r="L1710" s="1853">
        <v>75</v>
      </c>
      <c r="M1710" s="1852">
        <v>20</v>
      </c>
      <c r="N1710" s="1851">
        <v>7</v>
      </c>
      <c r="O1710" s="2482" t="s">
        <v>2736</v>
      </c>
      <c r="P1710" s="2483" t="s">
        <v>4337</v>
      </c>
      <c r="Q1710" s="2403" t="s">
        <v>4339</v>
      </c>
      <c r="R1710" s="297"/>
      <c r="S1710" s="296"/>
      <c r="T1710" s="297"/>
      <c r="U1710" s="297"/>
      <c r="V1710" s="297"/>
      <c r="W1710" s="297"/>
      <c r="AA1710" s="297"/>
      <c r="AB1710" s="297"/>
      <c r="AC1710" s="297"/>
    </row>
    <row r="1711" spans="1:221" s="791" customFormat="1">
      <c r="A1711" s="852" t="s">
        <v>26</v>
      </c>
      <c r="B1711" s="1272" t="s">
        <v>27</v>
      </c>
      <c r="C1711" s="1273" t="s">
        <v>103</v>
      </c>
      <c r="D1711" s="1274"/>
      <c r="E1711" s="1255">
        <v>46</v>
      </c>
      <c r="F1711" s="713" t="s">
        <v>101</v>
      </c>
      <c r="G1711" s="681" t="s">
        <v>1909</v>
      </c>
      <c r="H1711" s="713" t="s">
        <v>420</v>
      </c>
      <c r="I1711" s="714"/>
      <c r="J1711" s="714" t="s">
        <v>102</v>
      </c>
      <c r="K1711" s="714"/>
      <c r="L1711" s="714">
        <v>66</v>
      </c>
      <c r="M1711" s="713">
        <v>20</v>
      </c>
      <c r="N1711" s="1255"/>
      <c r="O1711" s="677"/>
      <c r="P1711" s="483"/>
      <c r="Q1711" s="483"/>
      <c r="R1711" s="479"/>
      <c r="S1711" s="483"/>
      <c r="T1711" s="479"/>
      <c r="U1711" s="479"/>
      <c r="V1711" s="479"/>
      <c r="W1711" s="479"/>
      <c r="X1711" s="479"/>
      <c r="Y1711" s="479"/>
      <c r="Z1711" s="479"/>
      <c r="AA1711" s="479"/>
      <c r="AB1711" s="479"/>
      <c r="AC1711" s="479"/>
      <c r="AD1711" s="456"/>
      <c r="AE1711" s="456"/>
      <c r="AF1711" s="456"/>
      <c r="AG1711" s="456"/>
      <c r="AH1711" s="456"/>
      <c r="AI1711" s="456"/>
      <c r="AJ1711" s="456"/>
      <c r="AK1711" s="456"/>
      <c r="AL1711" s="456"/>
      <c r="AM1711" s="456"/>
      <c r="AN1711" s="456"/>
      <c r="AO1711" s="456"/>
      <c r="AP1711" s="456"/>
      <c r="AQ1711" s="456"/>
      <c r="AR1711" s="456"/>
      <c r="AS1711" s="456"/>
      <c r="AT1711" s="456"/>
      <c r="AU1711" s="456"/>
      <c r="AV1711" s="456"/>
      <c r="AW1711" s="456"/>
      <c r="AX1711" s="456"/>
      <c r="AY1711" s="456"/>
      <c r="AZ1711" s="456"/>
      <c r="BA1711" s="456"/>
      <c r="BB1711" s="456"/>
      <c r="BC1711" s="456"/>
      <c r="BD1711" s="456"/>
      <c r="BE1711" s="456"/>
      <c r="BF1711" s="456"/>
      <c r="BG1711" s="456"/>
      <c r="BH1711" s="456"/>
      <c r="BI1711" s="456"/>
      <c r="BJ1711" s="456"/>
      <c r="BK1711" s="456"/>
      <c r="BL1711" s="456"/>
      <c r="BM1711" s="456"/>
      <c r="BN1711" s="456"/>
      <c r="BO1711" s="456"/>
      <c r="BP1711" s="456"/>
      <c r="BQ1711" s="456"/>
      <c r="BR1711" s="456"/>
      <c r="BS1711" s="456"/>
      <c r="BT1711" s="456"/>
      <c r="BU1711" s="456"/>
      <c r="BV1711" s="456"/>
      <c r="BW1711" s="456"/>
      <c r="BX1711" s="456"/>
      <c r="BY1711" s="456"/>
      <c r="BZ1711" s="456"/>
      <c r="CA1711" s="456"/>
      <c r="CB1711" s="456"/>
      <c r="CC1711" s="456"/>
      <c r="CD1711" s="456"/>
      <c r="CE1711" s="456"/>
      <c r="CF1711" s="456"/>
      <c r="CG1711" s="456"/>
      <c r="CH1711" s="456"/>
      <c r="CI1711" s="456"/>
      <c r="CJ1711" s="456"/>
      <c r="CK1711" s="456"/>
      <c r="CL1711" s="456"/>
      <c r="CM1711" s="456"/>
      <c r="CN1711" s="456"/>
      <c r="CO1711" s="456"/>
      <c r="CP1711" s="456"/>
      <c r="CQ1711" s="456"/>
      <c r="CR1711" s="456"/>
      <c r="CS1711" s="456"/>
      <c r="CT1711" s="456"/>
      <c r="CU1711" s="456"/>
      <c r="CV1711" s="456"/>
      <c r="CW1711" s="456"/>
      <c r="CX1711" s="456"/>
      <c r="CY1711" s="456"/>
      <c r="CZ1711" s="456"/>
      <c r="DA1711" s="456"/>
      <c r="DB1711" s="456"/>
      <c r="DC1711" s="456"/>
      <c r="DD1711" s="456"/>
      <c r="DE1711" s="456"/>
      <c r="DF1711" s="456"/>
      <c r="DG1711" s="456"/>
      <c r="DH1711" s="456"/>
      <c r="DI1711" s="456"/>
      <c r="DJ1711" s="456"/>
      <c r="DK1711" s="456"/>
      <c r="DL1711" s="456"/>
      <c r="DM1711" s="456"/>
      <c r="DN1711" s="456"/>
      <c r="DO1711" s="456"/>
      <c r="DP1711" s="456"/>
      <c r="DQ1711" s="456"/>
      <c r="DR1711" s="456"/>
      <c r="DS1711" s="456"/>
      <c r="DT1711" s="456"/>
      <c r="DU1711" s="456"/>
      <c r="DV1711" s="456"/>
      <c r="DW1711" s="456"/>
      <c r="DX1711" s="456"/>
      <c r="DY1711" s="456"/>
      <c r="DZ1711" s="456"/>
      <c r="EA1711" s="456"/>
      <c r="EB1711" s="456"/>
      <c r="EC1711" s="456"/>
      <c r="ED1711" s="456"/>
      <c r="EE1711" s="456"/>
      <c r="EF1711" s="456"/>
      <c r="EG1711" s="456"/>
      <c r="EH1711" s="456"/>
      <c r="EI1711" s="456"/>
      <c r="EJ1711" s="456"/>
      <c r="EK1711" s="456"/>
      <c r="EL1711" s="456"/>
      <c r="EM1711" s="456"/>
      <c r="EN1711" s="456"/>
      <c r="EO1711" s="456"/>
      <c r="EP1711" s="456"/>
      <c r="EQ1711" s="456"/>
      <c r="ER1711" s="456"/>
      <c r="ES1711" s="456"/>
      <c r="ET1711" s="456"/>
      <c r="EU1711" s="456"/>
      <c r="EV1711" s="456"/>
      <c r="EW1711" s="456"/>
      <c r="EX1711" s="456"/>
      <c r="EY1711" s="456"/>
      <c r="EZ1711" s="456"/>
      <c r="FA1711" s="456"/>
      <c r="FB1711" s="456"/>
      <c r="FC1711" s="456"/>
      <c r="FD1711" s="456"/>
      <c r="FE1711" s="456"/>
      <c r="FF1711" s="456"/>
      <c r="FG1711" s="456"/>
      <c r="FH1711" s="456"/>
      <c r="FI1711" s="456"/>
      <c r="FJ1711" s="456"/>
      <c r="FK1711" s="456"/>
      <c r="FL1711" s="456"/>
      <c r="FM1711" s="456"/>
      <c r="FN1711" s="456"/>
      <c r="FO1711" s="456"/>
      <c r="FP1711" s="456"/>
      <c r="FQ1711" s="456"/>
      <c r="FR1711" s="456"/>
      <c r="FS1711" s="456"/>
      <c r="FT1711" s="456"/>
      <c r="FU1711" s="456"/>
      <c r="FV1711" s="456"/>
      <c r="FW1711" s="456"/>
      <c r="FX1711" s="456"/>
      <c r="FY1711" s="456"/>
      <c r="FZ1711" s="456"/>
      <c r="GA1711" s="456"/>
      <c r="GB1711" s="456"/>
      <c r="GC1711" s="456"/>
      <c r="GD1711" s="456"/>
      <c r="GE1711" s="456"/>
      <c r="GF1711" s="456"/>
      <c r="GG1711" s="456"/>
      <c r="GH1711" s="456"/>
      <c r="GI1711" s="456"/>
      <c r="GJ1711" s="456"/>
      <c r="GK1711" s="456"/>
      <c r="GL1711" s="456"/>
      <c r="GM1711" s="456"/>
      <c r="GN1711" s="456"/>
      <c r="GO1711" s="456"/>
      <c r="GP1711" s="456"/>
      <c r="GQ1711" s="456"/>
      <c r="GR1711" s="456"/>
      <c r="GS1711" s="456"/>
      <c r="GT1711" s="456"/>
      <c r="GU1711" s="456"/>
      <c r="GV1711" s="456"/>
      <c r="GW1711" s="456"/>
      <c r="GX1711" s="456"/>
      <c r="GY1711" s="456"/>
      <c r="GZ1711" s="456"/>
      <c r="HA1711" s="456"/>
      <c r="HB1711" s="456"/>
      <c r="HC1711" s="456"/>
      <c r="HD1711" s="456"/>
      <c r="HE1711" s="456"/>
      <c r="HF1711" s="456"/>
      <c r="HG1711" s="456"/>
      <c r="HH1711" s="456"/>
      <c r="HI1711" s="456"/>
      <c r="HJ1711" s="456"/>
      <c r="HK1711" s="456"/>
      <c r="HL1711" s="456"/>
      <c r="HM1711" s="456"/>
    </row>
    <row r="1712" spans="1:221" s="305" customFormat="1">
      <c r="A1712" s="2442" t="s">
        <v>4446</v>
      </c>
      <c r="B1712" s="1876" t="s">
        <v>37</v>
      </c>
      <c r="C1712" s="1880" t="s">
        <v>849</v>
      </c>
      <c r="D1712" s="1312"/>
      <c r="E1712" s="1877">
        <v>42</v>
      </c>
      <c r="F1712" s="288"/>
      <c r="G1712" s="288"/>
      <c r="H1712" s="283"/>
      <c r="I1712" s="289"/>
      <c r="J1712" s="292"/>
      <c r="K1712" s="292"/>
      <c r="L1712" s="277">
        <v>63</v>
      </c>
      <c r="M1712" s="276">
        <f>L1712-E1712</f>
        <v>21</v>
      </c>
      <c r="N1712" s="279">
        <v>6</v>
      </c>
      <c r="O1712" s="2436" t="s">
        <v>4447</v>
      </c>
      <c r="P1712" s="297"/>
      <c r="Q1712" s="490" t="s">
        <v>4208</v>
      </c>
      <c r="R1712" s="297"/>
      <c r="S1712" s="297"/>
      <c r="T1712" s="297"/>
      <c r="U1712" s="297"/>
    </row>
    <row r="1713" spans="1:221" s="305" customFormat="1">
      <c r="A1713" s="2442" t="s">
        <v>4448</v>
      </c>
      <c r="B1713" s="1876" t="s">
        <v>37</v>
      </c>
      <c r="C1713" s="1880" t="s">
        <v>849</v>
      </c>
      <c r="D1713" s="1312"/>
      <c r="E1713" s="1877">
        <v>59</v>
      </c>
      <c r="F1713" s="288"/>
      <c r="G1713" s="288"/>
      <c r="H1713" s="283"/>
      <c r="I1713" s="289"/>
      <c r="J1713" s="292"/>
      <c r="K1713" s="292"/>
      <c r="L1713" s="277">
        <v>85</v>
      </c>
      <c r="M1713" s="276">
        <f>L1713-E1713</f>
        <v>26</v>
      </c>
      <c r="N1713" s="632">
        <v>6</v>
      </c>
      <c r="O1713" s="2436" t="s">
        <v>4447</v>
      </c>
      <c r="P1713" s="297"/>
      <c r="Q1713" s="490" t="s">
        <v>4208</v>
      </c>
      <c r="R1713" s="297"/>
      <c r="S1713" s="297"/>
      <c r="T1713" s="297"/>
      <c r="U1713" s="297"/>
    </row>
    <row r="1714" spans="1:221" s="305" customFormat="1">
      <c r="A1714" s="679" t="s">
        <v>1925</v>
      </c>
      <c r="B1714" s="1272" t="s">
        <v>37</v>
      </c>
      <c r="C1714" s="1273" t="s">
        <v>2441</v>
      </c>
      <c r="D1714" s="1274"/>
      <c r="E1714" s="1255">
        <v>45</v>
      </c>
      <c r="F1714" s="681"/>
      <c r="G1714" s="681"/>
      <c r="H1714" s="683"/>
      <c r="I1714" s="689"/>
      <c r="J1714" s="685"/>
      <c r="K1714" s="685"/>
      <c r="L1714" s="689">
        <v>65</v>
      </c>
      <c r="M1714" s="683">
        <v>25</v>
      </c>
      <c r="N1714" s="667"/>
      <c r="O1714" s="480"/>
      <c r="P1714" s="297"/>
      <c r="Q1714" s="297"/>
      <c r="R1714" s="297"/>
      <c r="S1714" s="297"/>
      <c r="T1714" s="297"/>
      <c r="U1714" s="297"/>
    </row>
    <row r="1715" spans="1:221" s="305" customFormat="1">
      <c r="A1715" s="679" t="s">
        <v>2442</v>
      </c>
      <c r="B1715" s="1272" t="s">
        <v>37</v>
      </c>
      <c r="C1715" s="1273" t="s">
        <v>2441</v>
      </c>
      <c r="D1715" s="1274"/>
      <c r="E1715" s="1255">
        <v>65</v>
      </c>
      <c r="F1715" s="681"/>
      <c r="G1715" s="681"/>
      <c r="H1715" s="683"/>
      <c r="I1715" s="689"/>
      <c r="J1715" s="685"/>
      <c r="K1715" s="685"/>
      <c r="L1715" s="689">
        <v>85</v>
      </c>
      <c r="M1715" s="683">
        <v>20</v>
      </c>
      <c r="N1715" s="632"/>
      <c r="O1715" s="480"/>
      <c r="P1715" s="297"/>
      <c r="Q1715" s="297"/>
      <c r="R1715" s="297"/>
      <c r="S1715" s="297"/>
      <c r="T1715" s="297"/>
      <c r="U1715" s="297"/>
    </row>
    <row r="1716" spans="1:221" s="305" customFormat="1">
      <c r="A1716" s="444" t="s">
        <v>3975</v>
      </c>
      <c r="B1716" s="1876" t="s">
        <v>37</v>
      </c>
      <c r="C1716" s="1880" t="s">
        <v>442</v>
      </c>
      <c r="D1716" s="1279"/>
      <c r="E1716" s="1877">
        <v>58</v>
      </c>
      <c r="F1716" s="288"/>
      <c r="G1716" s="275" t="s">
        <v>3978</v>
      </c>
      <c r="H1716" s="283"/>
      <c r="I1716" s="277" t="s">
        <v>3856</v>
      </c>
      <c r="J1716" s="292"/>
      <c r="K1716" s="292"/>
      <c r="L1716" s="277">
        <f>E1716+M1716</f>
        <v>86</v>
      </c>
      <c r="M1716" s="276">
        <v>28</v>
      </c>
      <c r="N1716" s="632">
        <v>6</v>
      </c>
      <c r="O1716" s="646" t="s">
        <v>4283</v>
      </c>
      <c r="Q1716" s="2436" t="s">
        <v>3888</v>
      </c>
    </row>
    <row r="1717" spans="1:221" s="305" customFormat="1">
      <c r="A1717" s="444" t="s">
        <v>3976</v>
      </c>
      <c r="B1717" s="1876" t="s">
        <v>37</v>
      </c>
      <c r="C1717" s="1880" t="s">
        <v>442</v>
      </c>
      <c r="D1717" s="1279"/>
      <c r="E1717" s="1877">
        <v>74</v>
      </c>
      <c r="F1717" s="288"/>
      <c r="G1717" s="275" t="s">
        <v>3978</v>
      </c>
      <c r="H1717" s="283"/>
      <c r="I1717" s="277" t="s">
        <v>3856</v>
      </c>
      <c r="J1717" s="292"/>
      <c r="K1717" s="292"/>
      <c r="L1717" s="277">
        <f>E1717+M1717</f>
        <v>102</v>
      </c>
      <c r="M1717" s="276">
        <v>28</v>
      </c>
      <c r="N1717" s="632">
        <v>6</v>
      </c>
      <c r="O1717" s="646" t="s">
        <v>4283</v>
      </c>
      <c r="Q1717" s="2436" t="s">
        <v>3888</v>
      </c>
    </row>
    <row r="1718" spans="1:221" s="305" customFormat="1">
      <c r="A1718" s="444" t="s">
        <v>3977</v>
      </c>
      <c r="B1718" s="1876" t="s">
        <v>37</v>
      </c>
      <c r="C1718" s="1880" t="s">
        <v>442</v>
      </c>
      <c r="D1718" s="1279"/>
      <c r="E1718" s="1877">
        <v>64</v>
      </c>
      <c r="F1718" s="288"/>
      <c r="G1718" s="275" t="s">
        <v>3978</v>
      </c>
      <c r="H1718" s="283"/>
      <c r="I1718" s="277" t="s">
        <v>3856</v>
      </c>
      <c r="J1718" s="292"/>
      <c r="K1718" s="292"/>
      <c r="L1718" s="277">
        <f>E1718+M1718</f>
        <v>92</v>
      </c>
      <c r="M1718" s="276">
        <v>28</v>
      </c>
      <c r="N1718" s="632">
        <v>6</v>
      </c>
      <c r="O1718" s="646" t="s">
        <v>4283</v>
      </c>
      <c r="Q1718" s="2436" t="s">
        <v>3888</v>
      </c>
    </row>
    <row r="1719" spans="1:221" s="305" customFormat="1">
      <c r="A1719" s="679" t="s">
        <v>1920</v>
      </c>
      <c r="B1719" s="1272" t="s">
        <v>2444</v>
      </c>
      <c r="C1719" s="1273" t="s">
        <v>2443</v>
      </c>
      <c r="D1719" s="1274"/>
      <c r="E1719" s="1255">
        <v>51</v>
      </c>
      <c r="F1719" s="681"/>
      <c r="G1719" s="681"/>
      <c r="H1719" s="683"/>
      <c r="I1719" s="689"/>
      <c r="J1719" s="685"/>
      <c r="K1719" s="685"/>
      <c r="L1719" s="689">
        <f>51+28</f>
        <v>79</v>
      </c>
      <c r="M1719" s="683">
        <v>28</v>
      </c>
      <c r="N1719" s="706"/>
      <c r="O1719" s="803"/>
      <c r="P1719" s="791"/>
      <c r="Q1719" s="791"/>
      <c r="R1719" s="791"/>
      <c r="S1719" s="791"/>
      <c r="T1719" s="791"/>
      <c r="U1719" s="791"/>
      <c r="V1719" s="791"/>
      <c r="W1719" s="791"/>
      <c r="X1719" s="791"/>
      <c r="Y1719" s="791"/>
      <c r="Z1719" s="791"/>
      <c r="AA1719" s="791"/>
      <c r="AB1719" s="791"/>
      <c r="AC1719" s="791"/>
      <c r="AD1719" s="791"/>
      <c r="AE1719" s="791"/>
      <c r="AF1719" s="791"/>
      <c r="AG1719" s="791"/>
      <c r="AH1719" s="791"/>
      <c r="AI1719" s="791"/>
      <c r="AJ1719" s="791"/>
      <c r="AK1719" s="791"/>
      <c r="AL1719" s="791"/>
      <c r="AM1719" s="791"/>
      <c r="AN1719" s="791"/>
      <c r="AO1719" s="791"/>
      <c r="AP1719" s="791"/>
      <c r="AQ1719" s="791"/>
      <c r="AR1719" s="791"/>
      <c r="AS1719" s="791"/>
      <c r="AT1719" s="791"/>
      <c r="AU1719" s="791"/>
      <c r="AV1719" s="791"/>
      <c r="AW1719" s="791"/>
      <c r="AX1719" s="791"/>
      <c r="AY1719" s="791"/>
      <c r="AZ1719" s="791"/>
      <c r="BA1719" s="791"/>
      <c r="BB1719" s="791"/>
      <c r="BC1719" s="791"/>
      <c r="BD1719" s="791"/>
      <c r="BE1719" s="791"/>
      <c r="BF1719" s="791"/>
      <c r="BG1719" s="791"/>
      <c r="BH1719" s="791"/>
      <c r="BI1719" s="791"/>
      <c r="BJ1719" s="791"/>
      <c r="BK1719" s="791"/>
      <c r="BL1719" s="791"/>
      <c r="BM1719" s="791"/>
      <c r="BN1719" s="791"/>
      <c r="BO1719" s="791"/>
      <c r="BP1719" s="791"/>
      <c r="BQ1719" s="791"/>
      <c r="BR1719" s="791"/>
      <c r="BS1719" s="791"/>
      <c r="BT1719" s="791"/>
      <c r="BU1719" s="791"/>
      <c r="BV1719" s="791"/>
      <c r="BW1719" s="791"/>
      <c r="BX1719" s="791"/>
      <c r="BY1719" s="791"/>
      <c r="BZ1719" s="791"/>
      <c r="CA1719" s="791"/>
      <c r="CB1719" s="791"/>
      <c r="CC1719" s="791"/>
      <c r="CD1719" s="791"/>
      <c r="CE1719" s="791"/>
      <c r="CF1719" s="791"/>
      <c r="CG1719" s="791"/>
      <c r="CH1719" s="791"/>
      <c r="CI1719" s="791"/>
      <c r="CJ1719" s="791"/>
      <c r="CK1719" s="791"/>
      <c r="CL1719" s="791"/>
      <c r="CM1719" s="791"/>
      <c r="CN1719" s="791"/>
      <c r="CO1719" s="791"/>
      <c r="CP1719" s="791"/>
      <c r="CQ1719" s="791"/>
      <c r="CR1719" s="791"/>
      <c r="CS1719" s="791"/>
      <c r="CT1719" s="791"/>
      <c r="CU1719" s="791"/>
      <c r="CV1719" s="791"/>
      <c r="CW1719" s="791"/>
      <c r="CX1719" s="791"/>
      <c r="CY1719" s="791"/>
      <c r="CZ1719" s="791"/>
      <c r="DA1719" s="791"/>
      <c r="DB1719" s="791"/>
      <c r="DC1719" s="791"/>
      <c r="DD1719" s="791"/>
      <c r="DE1719" s="791"/>
      <c r="DF1719" s="791"/>
      <c r="DG1719" s="791"/>
      <c r="DH1719" s="791"/>
      <c r="DI1719" s="791"/>
      <c r="DJ1719" s="791"/>
      <c r="DK1719" s="791"/>
      <c r="DL1719" s="791"/>
      <c r="DM1719" s="791"/>
      <c r="DN1719" s="791"/>
      <c r="DO1719" s="791"/>
      <c r="DP1719" s="791"/>
      <c r="DQ1719" s="791"/>
      <c r="DR1719" s="791"/>
      <c r="DS1719" s="791"/>
      <c r="DT1719" s="791"/>
      <c r="DU1719" s="791"/>
      <c r="DV1719" s="791"/>
      <c r="DW1719" s="791"/>
      <c r="DX1719" s="791"/>
      <c r="DY1719" s="791"/>
      <c r="DZ1719" s="791"/>
      <c r="EA1719" s="791"/>
      <c r="EB1719" s="791"/>
      <c r="EC1719" s="791"/>
      <c r="ED1719" s="791"/>
      <c r="EE1719" s="791"/>
      <c r="EF1719" s="791"/>
      <c r="EG1719" s="791"/>
      <c r="EH1719" s="791"/>
      <c r="EI1719" s="791"/>
      <c r="EJ1719" s="791"/>
      <c r="EK1719" s="791"/>
      <c r="EL1719" s="791"/>
      <c r="EM1719" s="791"/>
      <c r="EN1719" s="791"/>
      <c r="EO1719" s="791"/>
      <c r="EP1719" s="791"/>
      <c r="EQ1719" s="791"/>
      <c r="ER1719" s="791"/>
      <c r="ES1719" s="791"/>
      <c r="ET1719" s="791"/>
      <c r="EU1719" s="791"/>
      <c r="EV1719" s="791"/>
      <c r="EW1719" s="791"/>
      <c r="EX1719" s="791"/>
      <c r="EY1719" s="791"/>
      <c r="EZ1719" s="791"/>
      <c r="FA1719" s="791"/>
      <c r="FB1719" s="791"/>
      <c r="FC1719" s="791"/>
      <c r="FD1719" s="791"/>
      <c r="FE1719" s="791"/>
      <c r="FF1719" s="791"/>
      <c r="FG1719" s="791"/>
      <c r="FH1719" s="791"/>
      <c r="FI1719" s="791"/>
      <c r="FJ1719" s="791"/>
      <c r="FK1719" s="791"/>
      <c r="FL1719" s="791"/>
      <c r="FM1719" s="791"/>
      <c r="FN1719" s="791"/>
      <c r="FO1719" s="791"/>
      <c r="FP1719" s="791"/>
      <c r="FQ1719" s="791"/>
      <c r="FR1719" s="791"/>
      <c r="FS1719" s="791"/>
      <c r="FT1719" s="791"/>
      <c r="FU1719" s="791"/>
      <c r="FV1719" s="791"/>
      <c r="FW1719" s="791"/>
      <c r="FX1719" s="791"/>
      <c r="FY1719" s="791"/>
      <c r="FZ1719" s="791"/>
      <c r="GA1719" s="791"/>
      <c r="GB1719" s="791"/>
      <c r="GC1719" s="791"/>
      <c r="GD1719" s="791"/>
      <c r="GE1719" s="791"/>
      <c r="GF1719" s="791"/>
      <c r="GG1719" s="791"/>
      <c r="GH1719" s="791"/>
      <c r="GI1719" s="791"/>
      <c r="GJ1719" s="791"/>
      <c r="GK1719" s="791"/>
      <c r="GL1719" s="791"/>
      <c r="GM1719" s="791"/>
      <c r="GN1719" s="791"/>
      <c r="GO1719" s="791"/>
      <c r="GP1719" s="791"/>
      <c r="GQ1719" s="791"/>
      <c r="GR1719" s="791"/>
      <c r="GS1719" s="791"/>
      <c r="GT1719" s="791"/>
      <c r="GU1719" s="791"/>
      <c r="GV1719" s="791"/>
      <c r="GW1719" s="791"/>
      <c r="GX1719" s="791"/>
      <c r="GY1719" s="791"/>
      <c r="GZ1719" s="791"/>
      <c r="HA1719" s="791"/>
      <c r="HB1719" s="791"/>
      <c r="HC1719" s="791"/>
      <c r="HD1719" s="791"/>
      <c r="HE1719" s="791"/>
      <c r="HF1719" s="791"/>
      <c r="HG1719" s="791"/>
      <c r="HH1719" s="791"/>
      <c r="HI1719" s="791"/>
      <c r="HJ1719" s="791"/>
      <c r="HK1719" s="791"/>
      <c r="HL1719" s="791"/>
      <c r="HM1719" s="791"/>
    </row>
    <row r="1720" spans="1:221" s="305" customFormat="1">
      <c r="A1720" s="679" t="s">
        <v>2481</v>
      </c>
      <c r="B1720" s="1272" t="s">
        <v>2444</v>
      </c>
      <c r="C1720" s="1273" t="s">
        <v>2443</v>
      </c>
      <c r="D1720" s="1274"/>
      <c r="E1720" s="1255">
        <v>38.5</v>
      </c>
      <c r="F1720" s="681"/>
      <c r="G1720" s="681"/>
      <c r="H1720" s="683"/>
      <c r="I1720" s="689"/>
      <c r="J1720" s="685"/>
      <c r="K1720" s="685"/>
      <c r="L1720" s="689">
        <v>69</v>
      </c>
      <c r="M1720" s="683">
        <f>L1720-38.5</f>
        <v>30.5</v>
      </c>
      <c r="N1720" s="706"/>
      <c r="O1720" s="803"/>
      <c r="P1720" s="791"/>
      <c r="Q1720" s="791"/>
      <c r="R1720" s="791"/>
      <c r="S1720" s="791"/>
      <c r="T1720" s="791"/>
      <c r="U1720" s="791"/>
      <c r="V1720" s="791"/>
      <c r="W1720" s="791"/>
      <c r="X1720" s="791"/>
      <c r="Y1720" s="791"/>
      <c r="Z1720" s="791"/>
      <c r="AA1720" s="791"/>
      <c r="AB1720" s="791"/>
      <c r="AC1720" s="791"/>
      <c r="AD1720" s="791"/>
      <c r="AE1720" s="791"/>
      <c r="AF1720" s="791"/>
      <c r="AG1720" s="791"/>
      <c r="AH1720" s="791"/>
      <c r="AI1720" s="791"/>
      <c r="AJ1720" s="791"/>
      <c r="AK1720" s="791"/>
      <c r="AL1720" s="791"/>
      <c r="AM1720" s="791"/>
      <c r="AN1720" s="791"/>
      <c r="AO1720" s="791"/>
      <c r="AP1720" s="791"/>
      <c r="AQ1720" s="791"/>
      <c r="AR1720" s="791"/>
      <c r="AS1720" s="791"/>
      <c r="AT1720" s="791"/>
      <c r="AU1720" s="791"/>
      <c r="AV1720" s="791"/>
      <c r="AW1720" s="791"/>
      <c r="AX1720" s="791"/>
      <c r="AY1720" s="791"/>
      <c r="AZ1720" s="791"/>
      <c r="BA1720" s="791"/>
      <c r="BB1720" s="791"/>
      <c r="BC1720" s="791"/>
      <c r="BD1720" s="791"/>
      <c r="BE1720" s="791"/>
      <c r="BF1720" s="791"/>
      <c r="BG1720" s="791"/>
      <c r="BH1720" s="791"/>
      <c r="BI1720" s="791"/>
      <c r="BJ1720" s="791"/>
      <c r="BK1720" s="791"/>
      <c r="BL1720" s="791"/>
      <c r="BM1720" s="791"/>
      <c r="BN1720" s="791"/>
      <c r="BO1720" s="791"/>
      <c r="BP1720" s="791"/>
      <c r="BQ1720" s="791"/>
      <c r="BR1720" s="791"/>
      <c r="BS1720" s="791"/>
      <c r="BT1720" s="791"/>
      <c r="BU1720" s="791"/>
      <c r="BV1720" s="791"/>
      <c r="BW1720" s="791"/>
      <c r="BX1720" s="791"/>
      <c r="BY1720" s="791"/>
      <c r="BZ1720" s="791"/>
      <c r="CA1720" s="791"/>
      <c r="CB1720" s="791"/>
      <c r="CC1720" s="791"/>
      <c r="CD1720" s="791"/>
      <c r="CE1720" s="791"/>
      <c r="CF1720" s="791"/>
      <c r="CG1720" s="791"/>
      <c r="CH1720" s="791"/>
      <c r="CI1720" s="791"/>
      <c r="CJ1720" s="791"/>
      <c r="CK1720" s="791"/>
      <c r="CL1720" s="791"/>
      <c r="CM1720" s="791"/>
      <c r="CN1720" s="791"/>
      <c r="CO1720" s="791"/>
      <c r="CP1720" s="791"/>
      <c r="CQ1720" s="791"/>
      <c r="CR1720" s="791"/>
      <c r="CS1720" s="791"/>
      <c r="CT1720" s="791"/>
      <c r="CU1720" s="791"/>
      <c r="CV1720" s="791"/>
      <c r="CW1720" s="791"/>
      <c r="CX1720" s="791"/>
      <c r="CY1720" s="791"/>
      <c r="CZ1720" s="791"/>
      <c r="DA1720" s="791"/>
      <c r="DB1720" s="791"/>
      <c r="DC1720" s="791"/>
      <c r="DD1720" s="791"/>
      <c r="DE1720" s="791"/>
      <c r="DF1720" s="791"/>
      <c r="DG1720" s="791"/>
      <c r="DH1720" s="791"/>
      <c r="DI1720" s="791"/>
      <c r="DJ1720" s="791"/>
      <c r="DK1720" s="791"/>
      <c r="DL1720" s="791"/>
      <c r="DM1720" s="791"/>
      <c r="DN1720" s="791"/>
      <c r="DO1720" s="791"/>
      <c r="DP1720" s="791"/>
      <c r="DQ1720" s="791"/>
      <c r="DR1720" s="791"/>
      <c r="DS1720" s="791"/>
      <c r="DT1720" s="791"/>
      <c r="DU1720" s="791"/>
      <c r="DV1720" s="791"/>
      <c r="DW1720" s="791"/>
      <c r="DX1720" s="791"/>
      <c r="DY1720" s="791"/>
      <c r="DZ1720" s="791"/>
      <c r="EA1720" s="791"/>
      <c r="EB1720" s="791"/>
      <c r="EC1720" s="791"/>
      <c r="ED1720" s="791"/>
      <c r="EE1720" s="791"/>
      <c r="EF1720" s="791"/>
      <c r="EG1720" s="791"/>
      <c r="EH1720" s="791"/>
      <c r="EI1720" s="791"/>
      <c r="EJ1720" s="791"/>
      <c r="EK1720" s="791"/>
      <c r="EL1720" s="791"/>
      <c r="EM1720" s="791"/>
      <c r="EN1720" s="791"/>
      <c r="EO1720" s="791"/>
      <c r="EP1720" s="791"/>
      <c r="EQ1720" s="791"/>
      <c r="ER1720" s="791"/>
      <c r="ES1720" s="791"/>
      <c r="ET1720" s="791"/>
      <c r="EU1720" s="791"/>
      <c r="EV1720" s="791"/>
      <c r="EW1720" s="791"/>
      <c r="EX1720" s="791"/>
      <c r="EY1720" s="791"/>
      <c r="EZ1720" s="791"/>
      <c r="FA1720" s="791"/>
      <c r="FB1720" s="791"/>
      <c r="FC1720" s="791"/>
      <c r="FD1720" s="791"/>
      <c r="FE1720" s="791"/>
      <c r="FF1720" s="791"/>
      <c r="FG1720" s="791"/>
      <c r="FH1720" s="791"/>
      <c r="FI1720" s="791"/>
      <c r="FJ1720" s="791"/>
      <c r="FK1720" s="791"/>
      <c r="FL1720" s="791"/>
      <c r="FM1720" s="791"/>
      <c r="FN1720" s="791"/>
      <c r="FO1720" s="791"/>
      <c r="FP1720" s="791"/>
      <c r="FQ1720" s="791"/>
      <c r="FR1720" s="791"/>
      <c r="FS1720" s="791"/>
      <c r="FT1720" s="791"/>
      <c r="FU1720" s="791"/>
      <c r="FV1720" s="791"/>
      <c r="FW1720" s="791"/>
      <c r="FX1720" s="791"/>
      <c r="FY1720" s="791"/>
      <c r="FZ1720" s="791"/>
      <c r="GA1720" s="791"/>
      <c r="GB1720" s="791"/>
      <c r="GC1720" s="791"/>
      <c r="GD1720" s="791"/>
      <c r="GE1720" s="791"/>
      <c r="GF1720" s="791"/>
      <c r="GG1720" s="791"/>
      <c r="GH1720" s="791"/>
      <c r="GI1720" s="791"/>
      <c r="GJ1720" s="791"/>
      <c r="GK1720" s="791"/>
      <c r="GL1720" s="791"/>
      <c r="GM1720" s="791"/>
      <c r="GN1720" s="791"/>
      <c r="GO1720" s="791"/>
      <c r="GP1720" s="791"/>
      <c r="GQ1720" s="791"/>
      <c r="GR1720" s="791"/>
      <c r="GS1720" s="791"/>
      <c r="GT1720" s="791"/>
      <c r="GU1720" s="791"/>
      <c r="GV1720" s="791"/>
      <c r="GW1720" s="791"/>
      <c r="GX1720" s="791"/>
      <c r="GY1720" s="791"/>
      <c r="GZ1720" s="791"/>
      <c r="HA1720" s="791"/>
      <c r="HB1720" s="791"/>
      <c r="HC1720" s="791"/>
      <c r="HD1720" s="791"/>
      <c r="HE1720" s="791"/>
      <c r="HF1720" s="791"/>
      <c r="HG1720" s="791"/>
      <c r="HH1720" s="791"/>
      <c r="HI1720" s="791"/>
      <c r="HJ1720" s="791"/>
      <c r="HK1720" s="791"/>
      <c r="HL1720" s="791"/>
      <c r="HM1720" s="791"/>
    </row>
    <row r="1721" spans="1:221" s="305" customFormat="1">
      <c r="A1721" s="679" t="s">
        <v>2482</v>
      </c>
      <c r="B1721" s="1272" t="s">
        <v>2444</v>
      </c>
      <c r="C1721" s="1273" t="s">
        <v>2443</v>
      </c>
      <c r="D1721" s="1274"/>
      <c r="E1721" s="1255">
        <v>36.5</v>
      </c>
      <c r="F1721" s="681"/>
      <c r="G1721" s="681"/>
      <c r="H1721" s="683"/>
      <c r="I1721" s="689"/>
      <c r="J1721" s="685"/>
      <c r="K1721" s="685"/>
      <c r="L1721" s="689">
        <v>43</v>
      </c>
      <c r="M1721" s="683">
        <f>L1721-36.5</f>
        <v>6.5</v>
      </c>
      <c r="N1721" s="706"/>
      <c r="O1721" s="803"/>
      <c r="P1721" s="791"/>
      <c r="Q1721" s="791"/>
      <c r="R1721" s="791"/>
      <c r="S1721" s="791"/>
      <c r="T1721" s="791"/>
      <c r="U1721" s="791"/>
      <c r="V1721" s="791"/>
      <c r="W1721" s="791"/>
      <c r="X1721" s="791"/>
      <c r="Y1721" s="791"/>
      <c r="Z1721" s="791"/>
      <c r="AA1721" s="791"/>
      <c r="AB1721" s="791"/>
      <c r="AC1721" s="791"/>
      <c r="AD1721" s="791"/>
      <c r="AE1721" s="791"/>
      <c r="AF1721" s="791"/>
      <c r="AG1721" s="791"/>
      <c r="AH1721" s="791"/>
      <c r="AI1721" s="791"/>
      <c r="AJ1721" s="791"/>
      <c r="AK1721" s="791"/>
      <c r="AL1721" s="791"/>
      <c r="AM1721" s="791"/>
      <c r="AN1721" s="791"/>
      <c r="AO1721" s="791"/>
      <c r="AP1721" s="791"/>
      <c r="AQ1721" s="791"/>
      <c r="AR1721" s="791"/>
      <c r="AS1721" s="791"/>
      <c r="AT1721" s="791"/>
      <c r="AU1721" s="791"/>
      <c r="AV1721" s="791"/>
      <c r="AW1721" s="791"/>
      <c r="AX1721" s="791"/>
      <c r="AY1721" s="791"/>
      <c r="AZ1721" s="791"/>
      <c r="BA1721" s="791"/>
      <c r="BB1721" s="791"/>
      <c r="BC1721" s="791"/>
      <c r="BD1721" s="791"/>
      <c r="BE1721" s="791"/>
      <c r="BF1721" s="791"/>
      <c r="BG1721" s="791"/>
      <c r="BH1721" s="791"/>
      <c r="BI1721" s="791"/>
      <c r="BJ1721" s="791"/>
      <c r="BK1721" s="791"/>
      <c r="BL1721" s="791"/>
      <c r="BM1721" s="791"/>
      <c r="BN1721" s="791"/>
      <c r="BO1721" s="791"/>
      <c r="BP1721" s="791"/>
      <c r="BQ1721" s="791"/>
      <c r="BR1721" s="791"/>
      <c r="BS1721" s="791"/>
      <c r="BT1721" s="791"/>
      <c r="BU1721" s="791"/>
      <c r="BV1721" s="791"/>
      <c r="BW1721" s="791"/>
      <c r="BX1721" s="791"/>
      <c r="BY1721" s="791"/>
      <c r="BZ1721" s="791"/>
      <c r="CA1721" s="791"/>
      <c r="CB1721" s="791"/>
      <c r="CC1721" s="791"/>
      <c r="CD1721" s="791"/>
      <c r="CE1721" s="791"/>
      <c r="CF1721" s="791"/>
      <c r="CG1721" s="791"/>
      <c r="CH1721" s="791"/>
      <c r="CI1721" s="791"/>
      <c r="CJ1721" s="791"/>
      <c r="CK1721" s="791"/>
      <c r="CL1721" s="791"/>
      <c r="CM1721" s="791"/>
      <c r="CN1721" s="791"/>
      <c r="CO1721" s="791"/>
      <c r="CP1721" s="791"/>
      <c r="CQ1721" s="791"/>
      <c r="CR1721" s="791"/>
      <c r="CS1721" s="791"/>
      <c r="CT1721" s="791"/>
      <c r="CU1721" s="791"/>
      <c r="CV1721" s="791"/>
      <c r="CW1721" s="791"/>
      <c r="CX1721" s="791"/>
      <c r="CY1721" s="791"/>
      <c r="CZ1721" s="791"/>
      <c r="DA1721" s="791"/>
      <c r="DB1721" s="791"/>
      <c r="DC1721" s="791"/>
      <c r="DD1721" s="791"/>
      <c r="DE1721" s="791"/>
      <c r="DF1721" s="791"/>
      <c r="DG1721" s="791"/>
      <c r="DH1721" s="791"/>
      <c r="DI1721" s="791"/>
      <c r="DJ1721" s="791"/>
      <c r="DK1721" s="791"/>
      <c r="DL1721" s="791"/>
      <c r="DM1721" s="791"/>
      <c r="DN1721" s="791"/>
      <c r="DO1721" s="791"/>
      <c r="DP1721" s="791"/>
      <c r="DQ1721" s="791"/>
      <c r="DR1721" s="791"/>
      <c r="DS1721" s="791"/>
      <c r="DT1721" s="791"/>
      <c r="DU1721" s="791"/>
      <c r="DV1721" s="791"/>
      <c r="DW1721" s="791"/>
      <c r="DX1721" s="791"/>
      <c r="DY1721" s="791"/>
      <c r="DZ1721" s="791"/>
      <c r="EA1721" s="791"/>
      <c r="EB1721" s="791"/>
      <c r="EC1721" s="791"/>
      <c r="ED1721" s="791"/>
      <c r="EE1721" s="791"/>
      <c r="EF1721" s="791"/>
      <c r="EG1721" s="791"/>
      <c r="EH1721" s="791"/>
      <c r="EI1721" s="791"/>
      <c r="EJ1721" s="791"/>
      <c r="EK1721" s="791"/>
      <c r="EL1721" s="791"/>
      <c r="EM1721" s="791"/>
      <c r="EN1721" s="791"/>
      <c r="EO1721" s="791"/>
      <c r="EP1721" s="791"/>
      <c r="EQ1721" s="791"/>
      <c r="ER1721" s="791"/>
      <c r="ES1721" s="791"/>
      <c r="ET1721" s="791"/>
      <c r="EU1721" s="791"/>
      <c r="EV1721" s="791"/>
      <c r="EW1721" s="791"/>
      <c r="EX1721" s="791"/>
      <c r="EY1721" s="791"/>
      <c r="EZ1721" s="791"/>
      <c r="FA1721" s="791"/>
      <c r="FB1721" s="791"/>
      <c r="FC1721" s="791"/>
      <c r="FD1721" s="791"/>
      <c r="FE1721" s="791"/>
      <c r="FF1721" s="791"/>
      <c r="FG1721" s="791"/>
      <c r="FH1721" s="791"/>
      <c r="FI1721" s="791"/>
      <c r="FJ1721" s="791"/>
      <c r="FK1721" s="791"/>
      <c r="FL1721" s="791"/>
      <c r="FM1721" s="791"/>
      <c r="FN1721" s="791"/>
      <c r="FO1721" s="791"/>
      <c r="FP1721" s="791"/>
      <c r="FQ1721" s="791"/>
      <c r="FR1721" s="791"/>
      <c r="FS1721" s="791"/>
      <c r="FT1721" s="791"/>
      <c r="FU1721" s="791"/>
      <c r="FV1721" s="791"/>
      <c r="FW1721" s="791"/>
      <c r="FX1721" s="791"/>
      <c r="FY1721" s="791"/>
      <c r="FZ1721" s="791"/>
      <c r="GA1721" s="791"/>
      <c r="GB1721" s="791"/>
      <c r="GC1721" s="791"/>
      <c r="GD1721" s="791"/>
      <c r="GE1721" s="791"/>
      <c r="GF1721" s="791"/>
      <c r="GG1721" s="791"/>
      <c r="GH1721" s="791"/>
      <c r="GI1721" s="791"/>
      <c r="GJ1721" s="791"/>
      <c r="GK1721" s="791"/>
      <c r="GL1721" s="791"/>
      <c r="GM1721" s="791"/>
      <c r="GN1721" s="791"/>
      <c r="GO1721" s="791"/>
      <c r="GP1721" s="791"/>
      <c r="GQ1721" s="791"/>
      <c r="GR1721" s="791"/>
      <c r="GS1721" s="791"/>
      <c r="GT1721" s="791"/>
      <c r="GU1721" s="791"/>
      <c r="GV1721" s="791"/>
      <c r="GW1721" s="791"/>
      <c r="GX1721" s="791"/>
      <c r="GY1721" s="791"/>
      <c r="GZ1721" s="791"/>
      <c r="HA1721" s="791"/>
      <c r="HB1721" s="791"/>
      <c r="HC1721" s="791"/>
      <c r="HD1721" s="791"/>
      <c r="HE1721" s="791"/>
      <c r="HF1721" s="791"/>
      <c r="HG1721" s="791"/>
      <c r="HH1721" s="791"/>
      <c r="HI1721" s="791"/>
      <c r="HJ1721" s="791"/>
      <c r="HK1721" s="791"/>
      <c r="HL1721" s="791"/>
      <c r="HM1721" s="791"/>
    </row>
    <row r="1722" spans="1:221" s="305" customFormat="1">
      <c r="A1722" s="679"/>
      <c r="B1722" s="1272" t="s">
        <v>2446</v>
      </c>
      <c r="C1722" s="1273" t="s">
        <v>2445</v>
      </c>
      <c r="D1722" s="1274"/>
      <c r="E1722" s="1255">
        <v>33</v>
      </c>
      <c r="F1722" s="681"/>
      <c r="G1722" s="681"/>
      <c r="H1722" s="683"/>
      <c r="I1722" s="689"/>
      <c r="J1722" s="685"/>
      <c r="K1722" s="685"/>
      <c r="L1722" s="689">
        <v>53</v>
      </c>
      <c r="M1722" s="683">
        <v>20</v>
      </c>
      <c r="N1722" s="706"/>
      <c r="O1722" s="803"/>
      <c r="P1722" s="791"/>
      <c r="Q1722" s="791"/>
      <c r="R1722" s="791"/>
      <c r="S1722" s="791"/>
      <c r="T1722" s="791"/>
      <c r="U1722" s="791"/>
      <c r="V1722" s="791"/>
      <c r="W1722" s="791"/>
      <c r="X1722" s="791"/>
      <c r="Y1722" s="791"/>
      <c r="Z1722" s="791"/>
      <c r="AA1722" s="791"/>
      <c r="AB1722" s="791"/>
      <c r="AC1722" s="791"/>
      <c r="AD1722" s="791"/>
      <c r="AE1722" s="791"/>
      <c r="AF1722" s="791"/>
      <c r="AG1722" s="791"/>
      <c r="AH1722" s="791"/>
      <c r="AI1722" s="791"/>
      <c r="AJ1722" s="791"/>
      <c r="AK1722" s="791"/>
      <c r="AL1722" s="791"/>
      <c r="AM1722" s="791"/>
      <c r="AN1722" s="791"/>
      <c r="AO1722" s="791"/>
      <c r="AP1722" s="791"/>
      <c r="AQ1722" s="791"/>
      <c r="AR1722" s="791"/>
      <c r="AS1722" s="791"/>
      <c r="AT1722" s="791"/>
      <c r="AU1722" s="791"/>
      <c r="AV1722" s="791"/>
      <c r="AW1722" s="791"/>
      <c r="AX1722" s="791"/>
      <c r="AY1722" s="791"/>
      <c r="AZ1722" s="791"/>
      <c r="BA1722" s="791"/>
      <c r="BB1722" s="791"/>
      <c r="BC1722" s="791"/>
      <c r="BD1722" s="791"/>
      <c r="BE1722" s="791"/>
      <c r="BF1722" s="791"/>
      <c r="BG1722" s="791"/>
      <c r="BH1722" s="791"/>
      <c r="BI1722" s="791"/>
      <c r="BJ1722" s="791"/>
      <c r="BK1722" s="791"/>
      <c r="BL1722" s="791"/>
      <c r="BM1722" s="791"/>
      <c r="BN1722" s="791"/>
      <c r="BO1722" s="791"/>
      <c r="BP1722" s="791"/>
      <c r="BQ1722" s="791"/>
      <c r="BR1722" s="791"/>
      <c r="BS1722" s="791"/>
      <c r="BT1722" s="791"/>
      <c r="BU1722" s="791"/>
      <c r="BV1722" s="791"/>
      <c r="BW1722" s="791"/>
      <c r="BX1722" s="791"/>
      <c r="BY1722" s="791"/>
      <c r="BZ1722" s="791"/>
      <c r="CA1722" s="791"/>
      <c r="CB1722" s="791"/>
      <c r="CC1722" s="791"/>
      <c r="CD1722" s="791"/>
      <c r="CE1722" s="791"/>
      <c r="CF1722" s="791"/>
      <c r="CG1722" s="791"/>
      <c r="CH1722" s="791"/>
      <c r="CI1722" s="791"/>
      <c r="CJ1722" s="791"/>
      <c r="CK1722" s="791"/>
      <c r="CL1722" s="791"/>
      <c r="CM1722" s="791"/>
      <c r="CN1722" s="791"/>
      <c r="CO1722" s="791"/>
      <c r="CP1722" s="791"/>
      <c r="CQ1722" s="791"/>
      <c r="CR1722" s="791"/>
      <c r="CS1722" s="791"/>
      <c r="CT1722" s="791"/>
      <c r="CU1722" s="791"/>
      <c r="CV1722" s="791"/>
      <c r="CW1722" s="791"/>
      <c r="CX1722" s="791"/>
      <c r="CY1722" s="791"/>
      <c r="CZ1722" s="791"/>
      <c r="DA1722" s="791"/>
      <c r="DB1722" s="791"/>
      <c r="DC1722" s="791"/>
      <c r="DD1722" s="791"/>
      <c r="DE1722" s="791"/>
      <c r="DF1722" s="791"/>
      <c r="DG1722" s="791"/>
      <c r="DH1722" s="791"/>
      <c r="DI1722" s="791"/>
      <c r="DJ1722" s="791"/>
      <c r="DK1722" s="791"/>
      <c r="DL1722" s="791"/>
      <c r="DM1722" s="791"/>
      <c r="DN1722" s="791"/>
      <c r="DO1722" s="791"/>
      <c r="DP1722" s="791"/>
      <c r="DQ1722" s="791"/>
      <c r="DR1722" s="791"/>
      <c r="DS1722" s="791"/>
      <c r="DT1722" s="791"/>
      <c r="DU1722" s="791"/>
      <c r="DV1722" s="791"/>
      <c r="DW1722" s="791"/>
      <c r="DX1722" s="791"/>
      <c r="DY1722" s="791"/>
      <c r="DZ1722" s="791"/>
      <c r="EA1722" s="791"/>
      <c r="EB1722" s="791"/>
      <c r="EC1722" s="791"/>
      <c r="ED1722" s="791"/>
      <c r="EE1722" s="791"/>
      <c r="EF1722" s="791"/>
      <c r="EG1722" s="791"/>
      <c r="EH1722" s="791"/>
      <c r="EI1722" s="791"/>
      <c r="EJ1722" s="791"/>
      <c r="EK1722" s="791"/>
      <c r="EL1722" s="791"/>
      <c r="EM1722" s="791"/>
      <c r="EN1722" s="791"/>
      <c r="EO1722" s="791"/>
      <c r="EP1722" s="791"/>
      <c r="EQ1722" s="791"/>
      <c r="ER1722" s="791"/>
      <c r="ES1722" s="791"/>
      <c r="ET1722" s="791"/>
      <c r="EU1722" s="791"/>
      <c r="EV1722" s="791"/>
      <c r="EW1722" s="791"/>
      <c r="EX1722" s="791"/>
      <c r="EY1722" s="791"/>
      <c r="EZ1722" s="791"/>
      <c r="FA1722" s="791"/>
      <c r="FB1722" s="791"/>
      <c r="FC1722" s="791"/>
      <c r="FD1722" s="791"/>
      <c r="FE1722" s="791"/>
      <c r="FF1722" s="791"/>
      <c r="FG1722" s="791"/>
      <c r="FH1722" s="791"/>
      <c r="FI1722" s="791"/>
      <c r="FJ1722" s="791"/>
      <c r="FK1722" s="791"/>
      <c r="FL1722" s="791"/>
      <c r="FM1722" s="791"/>
      <c r="FN1722" s="791"/>
      <c r="FO1722" s="791"/>
      <c r="FP1722" s="791"/>
      <c r="FQ1722" s="791"/>
      <c r="FR1722" s="791"/>
      <c r="FS1722" s="791"/>
      <c r="FT1722" s="791"/>
      <c r="FU1722" s="791"/>
      <c r="FV1722" s="791"/>
      <c r="FW1722" s="791"/>
      <c r="FX1722" s="791"/>
      <c r="FY1722" s="791"/>
      <c r="FZ1722" s="791"/>
      <c r="GA1722" s="791"/>
      <c r="GB1722" s="791"/>
      <c r="GC1722" s="791"/>
      <c r="GD1722" s="791"/>
      <c r="GE1722" s="791"/>
      <c r="GF1722" s="791"/>
      <c r="GG1722" s="791"/>
      <c r="GH1722" s="791"/>
      <c r="GI1722" s="791"/>
      <c r="GJ1722" s="791"/>
      <c r="GK1722" s="791"/>
      <c r="GL1722" s="791"/>
      <c r="GM1722" s="791"/>
      <c r="GN1722" s="791"/>
      <c r="GO1722" s="791"/>
      <c r="GP1722" s="791"/>
      <c r="GQ1722" s="791"/>
      <c r="GR1722" s="791"/>
      <c r="GS1722" s="791"/>
      <c r="GT1722" s="791"/>
      <c r="GU1722" s="791"/>
      <c r="GV1722" s="791"/>
      <c r="GW1722" s="791"/>
      <c r="GX1722" s="791"/>
      <c r="GY1722" s="791"/>
      <c r="GZ1722" s="791"/>
      <c r="HA1722" s="791"/>
      <c r="HB1722" s="791"/>
      <c r="HC1722" s="791"/>
      <c r="HD1722" s="791"/>
      <c r="HE1722" s="791"/>
      <c r="HF1722" s="791"/>
      <c r="HG1722" s="791"/>
      <c r="HH1722" s="791"/>
      <c r="HI1722" s="791"/>
      <c r="HJ1722" s="791"/>
      <c r="HK1722" s="791"/>
      <c r="HL1722" s="791"/>
      <c r="HM1722" s="791"/>
    </row>
    <row r="1723" spans="1:221" s="305" customFormat="1">
      <c r="A1723" s="679" t="s">
        <v>2448</v>
      </c>
      <c r="B1723" s="1272" t="s">
        <v>39</v>
      </c>
      <c r="C1723" s="1273" t="s">
        <v>2447</v>
      </c>
      <c r="D1723" s="1274"/>
      <c r="E1723" s="1255">
        <v>34</v>
      </c>
      <c r="F1723" s="681"/>
      <c r="G1723" s="681"/>
      <c r="H1723" s="683"/>
      <c r="I1723" s="689"/>
      <c r="J1723" s="685"/>
      <c r="K1723" s="685"/>
      <c r="L1723" s="689">
        <v>54</v>
      </c>
      <c r="M1723" s="683">
        <v>20</v>
      </c>
      <c r="N1723" s="706"/>
      <c r="O1723" s="803"/>
      <c r="P1723" s="791"/>
      <c r="Q1723" s="791"/>
      <c r="R1723" s="791"/>
      <c r="S1723" s="791"/>
      <c r="T1723" s="791"/>
      <c r="U1723" s="791"/>
      <c r="V1723" s="791"/>
      <c r="W1723" s="791"/>
      <c r="X1723" s="791"/>
      <c r="Y1723" s="791"/>
      <c r="Z1723" s="791"/>
      <c r="AA1723" s="791"/>
      <c r="AB1723" s="791"/>
      <c r="AC1723" s="791"/>
      <c r="AD1723" s="791"/>
      <c r="AE1723" s="791"/>
      <c r="AF1723" s="791"/>
      <c r="AG1723" s="791"/>
      <c r="AH1723" s="791"/>
      <c r="AI1723" s="791"/>
      <c r="AJ1723" s="791"/>
      <c r="AK1723" s="791"/>
      <c r="AL1723" s="791"/>
      <c r="AM1723" s="791"/>
      <c r="AN1723" s="791"/>
      <c r="AO1723" s="791"/>
      <c r="AP1723" s="791"/>
      <c r="AQ1723" s="791"/>
      <c r="AR1723" s="791"/>
      <c r="AS1723" s="791"/>
      <c r="AT1723" s="791"/>
      <c r="AU1723" s="791"/>
      <c r="AV1723" s="791"/>
      <c r="AW1723" s="791"/>
      <c r="AX1723" s="791"/>
      <c r="AY1723" s="791"/>
      <c r="AZ1723" s="791"/>
      <c r="BA1723" s="791"/>
      <c r="BB1723" s="791"/>
      <c r="BC1723" s="791"/>
      <c r="BD1723" s="791"/>
      <c r="BE1723" s="791"/>
      <c r="BF1723" s="791"/>
      <c r="BG1723" s="791"/>
      <c r="BH1723" s="791"/>
      <c r="BI1723" s="791"/>
      <c r="BJ1723" s="791"/>
      <c r="BK1723" s="791"/>
      <c r="BL1723" s="791"/>
      <c r="BM1723" s="791"/>
      <c r="BN1723" s="791"/>
      <c r="BO1723" s="791"/>
      <c r="BP1723" s="791"/>
      <c r="BQ1723" s="791"/>
      <c r="BR1723" s="791"/>
      <c r="BS1723" s="791"/>
      <c r="BT1723" s="791"/>
      <c r="BU1723" s="791"/>
      <c r="BV1723" s="791"/>
      <c r="BW1723" s="791"/>
      <c r="BX1723" s="791"/>
      <c r="BY1723" s="791"/>
      <c r="BZ1723" s="791"/>
      <c r="CA1723" s="791"/>
      <c r="CB1723" s="791"/>
      <c r="CC1723" s="791"/>
      <c r="CD1723" s="791"/>
      <c r="CE1723" s="791"/>
      <c r="CF1723" s="791"/>
      <c r="CG1723" s="791"/>
      <c r="CH1723" s="791"/>
      <c r="CI1723" s="791"/>
      <c r="CJ1723" s="791"/>
      <c r="CK1723" s="791"/>
      <c r="CL1723" s="791"/>
      <c r="CM1723" s="791"/>
      <c r="CN1723" s="791"/>
      <c r="CO1723" s="791"/>
      <c r="CP1723" s="791"/>
      <c r="CQ1723" s="791"/>
      <c r="CR1723" s="791"/>
      <c r="CS1723" s="791"/>
      <c r="CT1723" s="791"/>
      <c r="CU1723" s="791"/>
      <c r="CV1723" s="791"/>
      <c r="CW1723" s="791"/>
      <c r="CX1723" s="791"/>
      <c r="CY1723" s="791"/>
      <c r="CZ1723" s="791"/>
      <c r="DA1723" s="791"/>
      <c r="DB1723" s="791"/>
      <c r="DC1723" s="791"/>
      <c r="DD1723" s="791"/>
      <c r="DE1723" s="791"/>
      <c r="DF1723" s="791"/>
      <c r="DG1723" s="791"/>
      <c r="DH1723" s="791"/>
      <c r="DI1723" s="791"/>
      <c r="DJ1723" s="791"/>
      <c r="DK1723" s="791"/>
      <c r="DL1723" s="791"/>
      <c r="DM1723" s="791"/>
      <c r="DN1723" s="791"/>
      <c r="DO1723" s="791"/>
      <c r="DP1723" s="791"/>
      <c r="DQ1723" s="791"/>
      <c r="DR1723" s="791"/>
      <c r="DS1723" s="791"/>
      <c r="DT1723" s="791"/>
      <c r="DU1723" s="791"/>
      <c r="DV1723" s="791"/>
      <c r="DW1723" s="791"/>
      <c r="DX1723" s="791"/>
      <c r="DY1723" s="791"/>
      <c r="DZ1723" s="791"/>
      <c r="EA1723" s="791"/>
      <c r="EB1723" s="791"/>
      <c r="EC1723" s="791"/>
      <c r="ED1723" s="791"/>
      <c r="EE1723" s="791"/>
      <c r="EF1723" s="791"/>
      <c r="EG1723" s="791"/>
      <c r="EH1723" s="791"/>
      <c r="EI1723" s="791"/>
      <c r="EJ1723" s="791"/>
      <c r="EK1723" s="791"/>
      <c r="EL1723" s="791"/>
      <c r="EM1723" s="791"/>
      <c r="EN1723" s="791"/>
      <c r="EO1723" s="791"/>
      <c r="EP1723" s="791"/>
      <c r="EQ1723" s="791"/>
      <c r="ER1723" s="791"/>
      <c r="ES1723" s="791"/>
      <c r="ET1723" s="791"/>
      <c r="EU1723" s="791"/>
      <c r="EV1723" s="791"/>
      <c r="EW1723" s="791"/>
      <c r="EX1723" s="791"/>
      <c r="EY1723" s="791"/>
      <c r="EZ1723" s="791"/>
      <c r="FA1723" s="791"/>
      <c r="FB1723" s="791"/>
      <c r="FC1723" s="791"/>
      <c r="FD1723" s="791"/>
      <c r="FE1723" s="791"/>
      <c r="FF1723" s="791"/>
      <c r="FG1723" s="791"/>
      <c r="FH1723" s="791"/>
      <c r="FI1723" s="791"/>
      <c r="FJ1723" s="791"/>
      <c r="FK1723" s="791"/>
      <c r="FL1723" s="791"/>
      <c r="FM1723" s="791"/>
      <c r="FN1723" s="791"/>
      <c r="FO1723" s="791"/>
      <c r="FP1723" s="791"/>
      <c r="FQ1723" s="791"/>
      <c r="FR1723" s="791"/>
      <c r="FS1723" s="791"/>
      <c r="FT1723" s="791"/>
      <c r="FU1723" s="791"/>
      <c r="FV1723" s="791"/>
      <c r="FW1723" s="791"/>
      <c r="FX1723" s="791"/>
      <c r="FY1723" s="791"/>
      <c r="FZ1723" s="791"/>
      <c r="GA1723" s="791"/>
      <c r="GB1723" s="791"/>
      <c r="GC1723" s="791"/>
      <c r="GD1723" s="791"/>
      <c r="GE1723" s="791"/>
      <c r="GF1723" s="791"/>
      <c r="GG1723" s="791"/>
      <c r="GH1723" s="791"/>
      <c r="GI1723" s="791"/>
      <c r="GJ1723" s="791"/>
      <c r="GK1723" s="791"/>
      <c r="GL1723" s="791"/>
      <c r="GM1723" s="791"/>
      <c r="GN1723" s="791"/>
      <c r="GO1723" s="791"/>
      <c r="GP1723" s="791"/>
      <c r="GQ1723" s="791"/>
      <c r="GR1723" s="791"/>
      <c r="GS1723" s="791"/>
      <c r="GT1723" s="791"/>
      <c r="GU1723" s="791"/>
      <c r="GV1723" s="791"/>
      <c r="GW1723" s="791"/>
      <c r="GX1723" s="791"/>
      <c r="GY1723" s="791"/>
      <c r="GZ1723" s="791"/>
      <c r="HA1723" s="791"/>
      <c r="HB1723" s="791"/>
      <c r="HC1723" s="791"/>
      <c r="HD1723" s="791"/>
      <c r="HE1723" s="791"/>
      <c r="HF1723" s="791"/>
      <c r="HG1723" s="791"/>
      <c r="HH1723" s="791"/>
      <c r="HI1723" s="791"/>
      <c r="HJ1723" s="791"/>
      <c r="HK1723" s="791"/>
      <c r="HL1723" s="791"/>
      <c r="HM1723" s="791"/>
    </row>
    <row r="1724" spans="1:221" s="305" customFormat="1">
      <c r="A1724" s="679" t="s">
        <v>1926</v>
      </c>
      <c r="B1724" s="1272" t="s">
        <v>39</v>
      </c>
      <c r="C1724" s="1273" t="s">
        <v>2447</v>
      </c>
      <c r="D1724" s="1274"/>
      <c r="E1724" s="1255">
        <f>58.5+6</f>
        <v>64.5</v>
      </c>
      <c r="F1724" s="681"/>
      <c r="G1724" s="681"/>
      <c r="H1724" s="683"/>
      <c r="I1724" s="689"/>
      <c r="J1724" s="685"/>
      <c r="K1724" s="685"/>
      <c r="L1724" s="689">
        <v>109</v>
      </c>
      <c r="M1724" s="683">
        <f>109-64.5</f>
        <v>44.5</v>
      </c>
      <c r="N1724" s="706"/>
      <c r="O1724" s="803"/>
      <c r="P1724" s="791"/>
      <c r="Q1724" s="791"/>
      <c r="R1724" s="791"/>
      <c r="S1724" s="791"/>
      <c r="T1724" s="791"/>
      <c r="U1724" s="791"/>
      <c r="V1724" s="791"/>
      <c r="W1724" s="791"/>
      <c r="X1724" s="791"/>
      <c r="Y1724" s="791"/>
      <c r="Z1724" s="791"/>
      <c r="AA1724" s="791"/>
      <c r="AB1724" s="791"/>
      <c r="AC1724" s="791"/>
      <c r="AD1724" s="791"/>
      <c r="AE1724" s="791"/>
      <c r="AF1724" s="791"/>
      <c r="AG1724" s="791"/>
      <c r="AH1724" s="791"/>
      <c r="AI1724" s="791"/>
      <c r="AJ1724" s="791"/>
      <c r="AK1724" s="791"/>
      <c r="AL1724" s="791"/>
      <c r="AM1724" s="791"/>
      <c r="AN1724" s="791"/>
      <c r="AO1724" s="791"/>
      <c r="AP1724" s="791"/>
      <c r="AQ1724" s="791"/>
      <c r="AR1724" s="791"/>
      <c r="AS1724" s="791"/>
      <c r="AT1724" s="791"/>
      <c r="AU1724" s="791"/>
      <c r="AV1724" s="791"/>
      <c r="AW1724" s="791"/>
      <c r="AX1724" s="791"/>
      <c r="AY1724" s="791"/>
      <c r="AZ1724" s="791"/>
      <c r="BA1724" s="791"/>
      <c r="BB1724" s="791"/>
      <c r="BC1724" s="791"/>
      <c r="BD1724" s="791"/>
      <c r="BE1724" s="791"/>
      <c r="BF1724" s="791"/>
      <c r="BG1724" s="791"/>
      <c r="BH1724" s="791"/>
      <c r="BI1724" s="791"/>
      <c r="BJ1724" s="791"/>
      <c r="BK1724" s="791"/>
      <c r="BL1724" s="791"/>
      <c r="BM1724" s="791"/>
      <c r="BN1724" s="791"/>
      <c r="BO1724" s="791"/>
      <c r="BP1724" s="791"/>
      <c r="BQ1724" s="791"/>
      <c r="BR1724" s="791"/>
      <c r="BS1724" s="791"/>
      <c r="BT1724" s="791"/>
      <c r="BU1724" s="791"/>
      <c r="BV1724" s="791"/>
      <c r="BW1724" s="791"/>
      <c r="BX1724" s="791"/>
      <c r="BY1724" s="791"/>
      <c r="BZ1724" s="791"/>
      <c r="CA1724" s="791"/>
      <c r="CB1724" s="791"/>
      <c r="CC1724" s="791"/>
      <c r="CD1724" s="791"/>
      <c r="CE1724" s="791"/>
      <c r="CF1724" s="791"/>
      <c r="CG1724" s="791"/>
      <c r="CH1724" s="791"/>
      <c r="CI1724" s="791"/>
      <c r="CJ1724" s="791"/>
      <c r="CK1724" s="791"/>
      <c r="CL1724" s="791"/>
      <c r="CM1724" s="791"/>
      <c r="CN1724" s="791"/>
      <c r="CO1724" s="791"/>
      <c r="CP1724" s="791"/>
      <c r="CQ1724" s="791"/>
      <c r="CR1724" s="791"/>
      <c r="CS1724" s="791"/>
      <c r="CT1724" s="791"/>
      <c r="CU1724" s="791"/>
      <c r="CV1724" s="791"/>
      <c r="CW1724" s="791"/>
      <c r="CX1724" s="791"/>
      <c r="CY1724" s="791"/>
      <c r="CZ1724" s="791"/>
      <c r="DA1724" s="791"/>
      <c r="DB1724" s="791"/>
      <c r="DC1724" s="791"/>
      <c r="DD1724" s="791"/>
      <c r="DE1724" s="791"/>
      <c r="DF1724" s="791"/>
      <c r="DG1724" s="791"/>
      <c r="DH1724" s="791"/>
      <c r="DI1724" s="791"/>
      <c r="DJ1724" s="791"/>
      <c r="DK1724" s="791"/>
      <c r="DL1724" s="791"/>
      <c r="DM1724" s="791"/>
      <c r="DN1724" s="791"/>
      <c r="DO1724" s="791"/>
      <c r="DP1724" s="791"/>
      <c r="DQ1724" s="791"/>
      <c r="DR1724" s="791"/>
      <c r="DS1724" s="791"/>
      <c r="DT1724" s="791"/>
      <c r="DU1724" s="791"/>
      <c r="DV1724" s="791"/>
      <c r="DW1724" s="791"/>
      <c r="DX1724" s="791"/>
      <c r="DY1724" s="791"/>
      <c r="DZ1724" s="791"/>
      <c r="EA1724" s="791"/>
      <c r="EB1724" s="791"/>
      <c r="EC1724" s="791"/>
      <c r="ED1724" s="791"/>
      <c r="EE1724" s="791"/>
      <c r="EF1724" s="791"/>
      <c r="EG1724" s="791"/>
      <c r="EH1724" s="791"/>
      <c r="EI1724" s="791"/>
      <c r="EJ1724" s="791"/>
      <c r="EK1724" s="791"/>
      <c r="EL1724" s="791"/>
      <c r="EM1724" s="791"/>
      <c r="EN1724" s="791"/>
      <c r="EO1724" s="791"/>
      <c r="EP1724" s="791"/>
      <c r="EQ1724" s="791"/>
      <c r="ER1724" s="791"/>
      <c r="ES1724" s="791"/>
      <c r="ET1724" s="791"/>
      <c r="EU1724" s="791"/>
      <c r="EV1724" s="791"/>
      <c r="EW1724" s="791"/>
      <c r="EX1724" s="791"/>
      <c r="EY1724" s="791"/>
      <c r="EZ1724" s="791"/>
      <c r="FA1724" s="791"/>
      <c r="FB1724" s="791"/>
      <c r="FC1724" s="791"/>
      <c r="FD1724" s="791"/>
      <c r="FE1724" s="791"/>
      <c r="FF1724" s="791"/>
      <c r="FG1724" s="791"/>
      <c r="FH1724" s="791"/>
      <c r="FI1724" s="791"/>
      <c r="FJ1724" s="791"/>
      <c r="FK1724" s="791"/>
      <c r="FL1724" s="791"/>
      <c r="FM1724" s="791"/>
      <c r="FN1724" s="791"/>
      <c r="FO1724" s="791"/>
      <c r="FP1724" s="791"/>
      <c r="FQ1724" s="791"/>
      <c r="FR1724" s="791"/>
      <c r="FS1724" s="791"/>
      <c r="FT1724" s="791"/>
      <c r="FU1724" s="791"/>
      <c r="FV1724" s="791"/>
      <c r="FW1724" s="791"/>
      <c r="FX1724" s="791"/>
      <c r="FY1724" s="791"/>
      <c r="FZ1724" s="791"/>
      <c r="GA1724" s="791"/>
      <c r="GB1724" s="791"/>
      <c r="GC1724" s="791"/>
      <c r="GD1724" s="791"/>
      <c r="GE1724" s="791"/>
      <c r="GF1724" s="791"/>
      <c r="GG1724" s="791"/>
      <c r="GH1724" s="791"/>
      <c r="GI1724" s="791"/>
      <c r="GJ1724" s="791"/>
      <c r="GK1724" s="791"/>
      <c r="GL1724" s="791"/>
      <c r="GM1724" s="791"/>
      <c r="GN1724" s="791"/>
      <c r="GO1724" s="791"/>
      <c r="GP1724" s="791"/>
      <c r="GQ1724" s="791"/>
      <c r="GR1724" s="791"/>
      <c r="GS1724" s="791"/>
      <c r="GT1724" s="791"/>
      <c r="GU1724" s="791"/>
      <c r="GV1724" s="791"/>
      <c r="GW1724" s="791"/>
      <c r="GX1724" s="791"/>
      <c r="GY1724" s="791"/>
      <c r="GZ1724" s="791"/>
      <c r="HA1724" s="791"/>
      <c r="HB1724" s="791"/>
      <c r="HC1724" s="791"/>
      <c r="HD1724" s="791"/>
      <c r="HE1724" s="791"/>
      <c r="HF1724" s="791"/>
      <c r="HG1724" s="791"/>
      <c r="HH1724" s="791"/>
      <c r="HI1724" s="791"/>
      <c r="HJ1724" s="791"/>
      <c r="HK1724" s="791"/>
      <c r="HL1724" s="791"/>
      <c r="HM1724" s="791"/>
    </row>
    <row r="1725" spans="1:221" s="305" customFormat="1">
      <c r="A1725" s="679" t="s">
        <v>2449</v>
      </c>
      <c r="B1725" s="1272" t="s">
        <v>39</v>
      </c>
      <c r="C1725" s="1273" t="s">
        <v>2447</v>
      </c>
      <c r="D1725" s="1274"/>
      <c r="E1725" s="1255">
        <v>32</v>
      </c>
      <c r="F1725" s="681"/>
      <c r="G1725" s="681"/>
      <c r="H1725" s="683"/>
      <c r="I1725" s="689"/>
      <c r="J1725" s="685"/>
      <c r="K1725" s="685"/>
      <c r="L1725" s="689">
        <v>54</v>
      </c>
      <c r="M1725" s="683">
        <v>22</v>
      </c>
      <c r="N1725" s="706"/>
      <c r="O1725" s="803"/>
      <c r="P1725" s="791"/>
      <c r="Q1725" s="791"/>
      <c r="R1725" s="791"/>
      <c r="S1725" s="791"/>
      <c r="T1725" s="791"/>
      <c r="U1725" s="791"/>
      <c r="V1725" s="791"/>
      <c r="W1725" s="791"/>
      <c r="X1725" s="791"/>
      <c r="Y1725" s="791"/>
      <c r="Z1725" s="791"/>
      <c r="AA1725" s="791"/>
      <c r="AB1725" s="791"/>
      <c r="AC1725" s="791"/>
      <c r="AD1725" s="791"/>
      <c r="AE1725" s="791"/>
      <c r="AF1725" s="791"/>
      <c r="AG1725" s="791"/>
      <c r="AH1725" s="791"/>
      <c r="AI1725" s="791"/>
      <c r="AJ1725" s="791"/>
      <c r="AK1725" s="791"/>
      <c r="AL1725" s="791"/>
      <c r="AM1725" s="791"/>
      <c r="AN1725" s="791"/>
      <c r="AO1725" s="791"/>
      <c r="AP1725" s="791"/>
      <c r="AQ1725" s="791"/>
      <c r="AR1725" s="791"/>
      <c r="AS1725" s="791"/>
      <c r="AT1725" s="791"/>
      <c r="AU1725" s="791"/>
      <c r="AV1725" s="791"/>
      <c r="AW1725" s="791"/>
      <c r="AX1725" s="791"/>
      <c r="AY1725" s="791"/>
      <c r="AZ1725" s="791"/>
      <c r="BA1725" s="791"/>
      <c r="BB1725" s="791"/>
      <c r="BC1725" s="791"/>
      <c r="BD1725" s="791"/>
      <c r="BE1725" s="791"/>
      <c r="BF1725" s="791"/>
      <c r="BG1725" s="791"/>
      <c r="BH1725" s="791"/>
      <c r="BI1725" s="791"/>
      <c r="BJ1725" s="791"/>
      <c r="BK1725" s="791"/>
      <c r="BL1725" s="791"/>
      <c r="BM1725" s="791"/>
      <c r="BN1725" s="791"/>
      <c r="BO1725" s="791"/>
      <c r="BP1725" s="791"/>
      <c r="BQ1725" s="791"/>
      <c r="BR1725" s="791"/>
      <c r="BS1725" s="791"/>
      <c r="BT1725" s="791"/>
      <c r="BU1725" s="791"/>
      <c r="BV1725" s="791"/>
      <c r="BW1725" s="791"/>
      <c r="BX1725" s="791"/>
      <c r="BY1725" s="791"/>
      <c r="BZ1725" s="791"/>
      <c r="CA1725" s="791"/>
      <c r="CB1725" s="791"/>
      <c r="CC1725" s="791"/>
      <c r="CD1725" s="791"/>
      <c r="CE1725" s="791"/>
      <c r="CF1725" s="791"/>
      <c r="CG1725" s="791"/>
      <c r="CH1725" s="791"/>
      <c r="CI1725" s="791"/>
      <c r="CJ1725" s="791"/>
      <c r="CK1725" s="791"/>
      <c r="CL1725" s="791"/>
      <c r="CM1725" s="791"/>
      <c r="CN1725" s="791"/>
      <c r="CO1725" s="791"/>
      <c r="CP1725" s="791"/>
      <c r="CQ1725" s="791"/>
      <c r="CR1725" s="791"/>
      <c r="CS1725" s="791"/>
      <c r="CT1725" s="791"/>
      <c r="CU1725" s="791"/>
      <c r="CV1725" s="791"/>
      <c r="CW1725" s="791"/>
      <c r="CX1725" s="791"/>
      <c r="CY1725" s="791"/>
      <c r="CZ1725" s="791"/>
      <c r="DA1725" s="791"/>
      <c r="DB1725" s="791"/>
      <c r="DC1725" s="791"/>
      <c r="DD1725" s="791"/>
      <c r="DE1725" s="791"/>
      <c r="DF1725" s="791"/>
      <c r="DG1725" s="791"/>
      <c r="DH1725" s="791"/>
      <c r="DI1725" s="791"/>
      <c r="DJ1725" s="791"/>
      <c r="DK1725" s="791"/>
      <c r="DL1725" s="791"/>
      <c r="DM1725" s="791"/>
      <c r="DN1725" s="791"/>
      <c r="DO1725" s="791"/>
      <c r="DP1725" s="791"/>
      <c r="DQ1725" s="791"/>
      <c r="DR1725" s="791"/>
      <c r="DS1725" s="791"/>
      <c r="DT1725" s="791"/>
      <c r="DU1725" s="791"/>
      <c r="DV1725" s="791"/>
      <c r="DW1725" s="791"/>
      <c r="DX1725" s="791"/>
      <c r="DY1725" s="791"/>
      <c r="DZ1725" s="791"/>
      <c r="EA1725" s="791"/>
      <c r="EB1725" s="791"/>
      <c r="EC1725" s="791"/>
      <c r="ED1725" s="791"/>
      <c r="EE1725" s="791"/>
      <c r="EF1725" s="791"/>
      <c r="EG1725" s="791"/>
      <c r="EH1725" s="791"/>
      <c r="EI1725" s="791"/>
      <c r="EJ1725" s="791"/>
      <c r="EK1725" s="791"/>
      <c r="EL1725" s="791"/>
      <c r="EM1725" s="791"/>
      <c r="EN1725" s="791"/>
      <c r="EO1725" s="791"/>
      <c r="EP1725" s="791"/>
      <c r="EQ1725" s="791"/>
      <c r="ER1725" s="791"/>
      <c r="ES1725" s="791"/>
      <c r="ET1725" s="791"/>
      <c r="EU1725" s="791"/>
      <c r="EV1725" s="791"/>
      <c r="EW1725" s="791"/>
      <c r="EX1725" s="791"/>
      <c r="EY1725" s="791"/>
      <c r="EZ1725" s="791"/>
      <c r="FA1725" s="791"/>
      <c r="FB1725" s="791"/>
      <c r="FC1725" s="791"/>
      <c r="FD1725" s="791"/>
      <c r="FE1725" s="791"/>
      <c r="FF1725" s="791"/>
      <c r="FG1725" s="791"/>
      <c r="FH1725" s="791"/>
      <c r="FI1725" s="791"/>
      <c r="FJ1725" s="791"/>
      <c r="FK1725" s="791"/>
      <c r="FL1725" s="791"/>
      <c r="FM1725" s="791"/>
      <c r="FN1725" s="791"/>
      <c r="FO1725" s="791"/>
      <c r="FP1725" s="791"/>
      <c r="FQ1725" s="791"/>
      <c r="FR1725" s="791"/>
      <c r="FS1725" s="791"/>
      <c r="FT1725" s="791"/>
      <c r="FU1725" s="791"/>
      <c r="FV1725" s="791"/>
      <c r="FW1725" s="791"/>
      <c r="FX1725" s="791"/>
      <c r="FY1725" s="791"/>
      <c r="FZ1725" s="791"/>
      <c r="GA1725" s="791"/>
      <c r="GB1725" s="791"/>
      <c r="GC1725" s="791"/>
      <c r="GD1725" s="791"/>
      <c r="GE1725" s="791"/>
      <c r="GF1725" s="791"/>
      <c r="GG1725" s="791"/>
      <c r="GH1725" s="791"/>
      <c r="GI1725" s="791"/>
      <c r="GJ1725" s="791"/>
      <c r="GK1725" s="791"/>
      <c r="GL1725" s="791"/>
      <c r="GM1725" s="791"/>
      <c r="GN1725" s="791"/>
      <c r="GO1725" s="791"/>
      <c r="GP1725" s="791"/>
      <c r="GQ1725" s="791"/>
      <c r="GR1725" s="791"/>
      <c r="GS1725" s="791"/>
      <c r="GT1725" s="791"/>
      <c r="GU1725" s="791"/>
      <c r="GV1725" s="791"/>
      <c r="GW1725" s="791"/>
      <c r="GX1725" s="791"/>
      <c r="GY1725" s="791"/>
      <c r="GZ1725" s="791"/>
      <c r="HA1725" s="791"/>
      <c r="HB1725" s="791"/>
      <c r="HC1725" s="791"/>
      <c r="HD1725" s="791"/>
      <c r="HE1725" s="791"/>
      <c r="HF1725" s="791"/>
      <c r="HG1725" s="791"/>
      <c r="HH1725" s="791"/>
      <c r="HI1725" s="791"/>
      <c r="HJ1725" s="791"/>
      <c r="HK1725" s="791"/>
      <c r="HL1725" s="791"/>
      <c r="HM1725" s="791"/>
    </row>
    <row r="1726" spans="1:221" s="456" customFormat="1">
      <c r="A1726" s="679"/>
      <c r="B1726" s="1272" t="s">
        <v>39</v>
      </c>
      <c r="C1726" s="1273" t="s">
        <v>2509</v>
      </c>
      <c r="D1726" s="1274"/>
      <c r="E1726" s="1255"/>
      <c r="F1726" s="681"/>
      <c r="G1726" s="681" t="s">
        <v>1909</v>
      </c>
      <c r="H1726" s="683"/>
      <c r="I1726" s="689"/>
      <c r="J1726" s="685"/>
      <c r="K1726" s="685"/>
      <c r="L1726" s="689"/>
      <c r="M1726" s="683"/>
      <c r="N1726" s="706"/>
      <c r="O1726" s="480"/>
      <c r="P1726" s="479"/>
      <c r="Q1726" s="479"/>
      <c r="R1726" s="479"/>
      <c r="S1726" s="479"/>
      <c r="T1726" s="479"/>
      <c r="U1726" s="479"/>
    </row>
    <row r="1727" spans="1:221" s="456" customFormat="1">
      <c r="A1727" s="679"/>
      <c r="B1727" s="1272" t="s">
        <v>39</v>
      </c>
      <c r="C1727" s="1273" t="s">
        <v>325</v>
      </c>
      <c r="D1727" s="1274"/>
      <c r="E1727" s="1255"/>
      <c r="F1727" s="681"/>
      <c r="G1727" s="681" t="s">
        <v>1909</v>
      </c>
      <c r="H1727" s="683"/>
      <c r="I1727" s="689"/>
      <c r="J1727" s="685"/>
      <c r="K1727" s="685"/>
      <c r="L1727" s="689"/>
      <c r="M1727" s="683"/>
      <c r="N1727" s="706"/>
      <c r="O1727" s="645"/>
      <c r="P1727" s="479"/>
      <c r="Q1727" s="479"/>
      <c r="R1727" s="479"/>
      <c r="S1727" s="479"/>
      <c r="T1727" s="479"/>
      <c r="U1727" s="479"/>
    </row>
    <row r="1728" spans="1:221" s="791" customFormat="1">
      <c r="A1728" s="784"/>
      <c r="B1728" s="1275" t="s">
        <v>39</v>
      </c>
      <c r="C1728" s="1276" t="s">
        <v>2510</v>
      </c>
      <c r="D1728" s="1277"/>
      <c r="E1728" s="1278"/>
      <c r="F1728" s="785" t="s">
        <v>302</v>
      </c>
      <c r="G1728" s="785" t="s">
        <v>1909</v>
      </c>
      <c r="H1728" s="786"/>
      <c r="I1728" s="787"/>
      <c r="J1728" s="788"/>
      <c r="K1728" s="788"/>
      <c r="L1728" s="787"/>
      <c r="M1728" s="786"/>
      <c r="N1728" s="797"/>
      <c r="O1728" s="803"/>
      <c r="P1728" s="798"/>
      <c r="Q1728" s="798"/>
      <c r="R1728" s="798"/>
      <c r="S1728" s="798"/>
      <c r="T1728" s="798"/>
      <c r="U1728" s="798"/>
    </row>
    <row r="1729" spans="1:221" s="791" customFormat="1">
      <c r="A1729" s="784"/>
      <c r="B1729" s="1275" t="s">
        <v>39</v>
      </c>
      <c r="C1729" s="1276" t="s">
        <v>2511</v>
      </c>
      <c r="D1729" s="1277"/>
      <c r="E1729" s="1278"/>
      <c r="F1729" s="785" t="s">
        <v>302</v>
      </c>
      <c r="G1729" s="785" t="s">
        <v>1909</v>
      </c>
      <c r="H1729" s="786"/>
      <c r="I1729" s="787"/>
      <c r="J1729" s="788"/>
      <c r="K1729" s="788"/>
      <c r="L1729" s="787"/>
      <c r="M1729" s="786"/>
      <c r="N1729" s="797"/>
      <c r="O1729" s="803"/>
      <c r="P1729" s="798"/>
      <c r="Q1729" s="798"/>
      <c r="R1729" s="798"/>
      <c r="S1729" s="798"/>
      <c r="T1729" s="798"/>
      <c r="U1729" s="798"/>
    </row>
    <row r="1730" spans="1:221" s="688" customFormat="1">
      <c r="A1730" s="679"/>
      <c r="B1730" s="1272" t="s">
        <v>2512</v>
      </c>
      <c r="C1730" s="1273" t="s">
        <v>1598</v>
      </c>
      <c r="D1730" s="1274"/>
      <c r="E1730" s="1255"/>
      <c r="F1730" s="681"/>
      <c r="G1730" s="681" t="s">
        <v>1909</v>
      </c>
      <c r="H1730" s="683"/>
      <c r="I1730" s="689"/>
      <c r="J1730" s="685"/>
      <c r="K1730" s="685"/>
      <c r="L1730" s="689"/>
      <c r="M1730" s="683"/>
      <c r="N1730" s="706"/>
      <c r="O1730" s="645"/>
      <c r="P1730" s="297"/>
      <c r="Q1730" s="297"/>
      <c r="R1730" s="297"/>
      <c r="S1730" s="297"/>
      <c r="T1730" s="297"/>
      <c r="U1730" s="297"/>
      <c r="V1730" s="305"/>
      <c r="W1730" s="305"/>
      <c r="X1730" s="305"/>
      <c r="Y1730" s="305"/>
      <c r="Z1730" s="305"/>
      <c r="AA1730" s="305"/>
      <c r="AB1730" s="305"/>
      <c r="AC1730" s="305"/>
      <c r="AD1730" s="305"/>
      <c r="AE1730" s="305"/>
      <c r="AF1730" s="305"/>
      <c r="AG1730" s="305"/>
      <c r="AH1730" s="305"/>
      <c r="AI1730" s="305"/>
      <c r="AJ1730" s="305"/>
      <c r="AK1730" s="305"/>
      <c r="AL1730" s="305"/>
      <c r="AM1730" s="305"/>
      <c r="AN1730" s="305"/>
      <c r="AO1730" s="305"/>
      <c r="AP1730" s="305"/>
      <c r="AQ1730" s="305"/>
      <c r="AR1730" s="305"/>
      <c r="AS1730" s="305"/>
      <c r="AT1730" s="305"/>
      <c r="AU1730" s="305"/>
      <c r="AV1730" s="305"/>
      <c r="AW1730" s="305"/>
      <c r="AX1730" s="305"/>
      <c r="AY1730" s="305"/>
      <c r="AZ1730" s="305"/>
      <c r="BA1730" s="305"/>
      <c r="BB1730" s="305"/>
      <c r="BC1730" s="305"/>
      <c r="BD1730" s="305"/>
      <c r="BE1730" s="305"/>
      <c r="BF1730" s="305"/>
      <c r="BG1730" s="305"/>
      <c r="BH1730" s="305"/>
      <c r="BI1730" s="305"/>
      <c r="BJ1730" s="305"/>
      <c r="BK1730" s="305"/>
      <c r="BL1730" s="305"/>
      <c r="BM1730" s="305"/>
      <c r="BN1730" s="305"/>
      <c r="BO1730" s="305"/>
      <c r="BP1730" s="305"/>
      <c r="BQ1730" s="305"/>
      <c r="BR1730" s="305"/>
      <c r="BS1730" s="305"/>
      <c r="BT1730" s="305"/>
      <c r="BU1730" s="305"/>
      <c r="BV1730" s="305"/>
      <c r="BW1730" s="305"/>
      <c r="BX1730" s="305"/>
      <c r="BY1730" s="305"/>
      <c r="BZ1730" s="305"/>
      <c r="CA1730" s="305"/>
      <c r="CB1730" s="305"/>
      <c r="CC1730" s="305"/>
      <c r="CD1730" s="305"/>
      <c r="CE1730" s="305"/>
      <c r="CF1730" s="305"/>
      <c r="CG1730" s="305"/>
      <c r="CH1730" s="305"/>
      <c r="CI1730" s="305"/>
      <c r="CJ1730" s="305"/>
      <c r="CK1730" s="305"/>
      <c r="CL1730" s="305"/>
      <c r="CM1730" s="305"/>
      <c r="CN1730" s="305"/>
      <c r="CO1730" s="305"/>
      <c r="CP1730" s="305"/>
      <c r="CQ1730" s="305"/>
      <c r="CR1730" s="305"/>
      <c r="CS1730" s="305"/>
      <c r="CT1730" s="305"/>
      <c r="CU1730" s="305"/>
      <c r="CV1730" s="305"/>
      <c r="CW1730" s="305"/>
      <c r="CX1730" s="305"/>
      <c r="CY1730" s="305"/>
      <c r="CZ1730" s="305"/>
      <c r="DA1730" s="305"/>
      <c r="DB1730" s="305"/>
      <c r="DC1730" s="305"/>
      <c r="DD1730" s="305"/>
      <c r="DE1730" s="305"/>
      <c r="DF1730" s="305"/>
      <c r="DG1730" s="305"/>
      <c r="DH1730" s="305"/>
      <c r="DI1730" s="305"/>
      <c r="DJ1730" s="305"/>
      <c r="DK1730" s="305"/>
      <c r="DL1730" s="305"/>
      <c r="DM1730" s="305"/>
      <c r="DN1730" s="305"/>
      <c r="DO1730" s="305"/>
      <c r="DP1730" s="305"/>
      <c r="DQ1730" s="305"/>
      <c r="DR1730" s="305"/>
      <c r="DS1730" s="305"/>
      <c r="DT1730" s="305"/>
      <c r="DU1730" s="305"/>
      <c r="DV1730" s="305"/>
      <c r="DW1730" s="305"/>
      <c r="DX1730" s="305"/>
      <c r="DY1730" s="305"/>
      <c r="DZ1730" s="305"/>
      <c r="EA1730" s="305"/>
      <c r="EB1730" s="305"/>
      <c r="EC1730" s="305"/>
      <c r="ED1730" s="305"/>
      <c r="EE1730" s="305"/>
      <c r="EF1730" s="305"/>
      <c r="EG1730" s="305"/>
      <c r="EH1730" s="305"/>
      <c r="EI1730" s="305"/>
      <c r="EJ1730" s="305"/>
      <c r="EK1730" s="305"/>
      <c r="EL1730" s="305"/>
      <c r="EM1730" s="305"/>
      <c r="EN1730" s="305"/>
      <c r="EO1730" s="305"/>
      <c r="EP1730" s="305"/>
      <c r="EQ1730" s="305"/>
      <c r="ER1730" s="305"/>
      <c r="ES1730" s="305"/>
      <c r="ET1730" s="305"/>
      <c r="EU1730" s="305"/>
      <c r="EV1730" s="305"/>
      <c r="EW1730" s="305"/>
      <c r="EX1730" s="305"/>
      <c r="EY1730" s="305"/>
      <c r="EZ1730" s="305"/>
      <c r="FA1730" s="305"/>
      <c r="FB1730" s="305"/>
      <c r="FC1730" s="305"/>
      <c r="FD1730" s="305"/>
      <c r="FE1730" s="305"/>
      <c r="FF1730" s="305"/>
      <c r="FG1730" s="305"/>
      <c r="FH1730" s="305"/>
      <c r="FI1730" s="305"/>
      <c r="FJ1730" s="305"/>
      <c r="FK1730" s="305"/>
      <c r="FL1730" s="305"/>
      <c r="FM1730" s="305"/>
      <c r="FN1730" s="305"/>
      <c r="FO1730" s="305"/>
      <c r="FP1730" s="305"/>
      <c r="FQ1730" s="305"/>
      <c r="FR1730" s="305"/>
      <c r="FS1730" s="305"/>
      <c r="FT1730" s="305"/>
      <c r="FU1730" s="305"/>
      <c r="FV1730" s="305"/>
      <c r="FW1730" s="305"/>
      <c r="FX1730" s="305"/>
      <c r="FY1730" s="305"/>
      <c r="FZ1730" s="305"/>
      <c r="GA1730" s="305"/>
      <c r="GB1730" s="305"/>
      <c r="GC1730" s="305"/>
      <c r="GD1730" s="305"/>
      <c r="GE1730" s="305"/>
      <c r="GF1730" s="305"/>
      <c r="GG1730" s="305"/>
      <c r="GH1730" s="305"/>
      <c r="GI1730" s="305"/>
      <c r="GJ1730" s="305"/>
      <c r="GK1730" s="305"/>
      <c r="GL1730" s="305"/>
      <c r="GM1730" s="305"/>
      <c r="GN1730" s="305"/>
      <c r="GO1730" s="305"/>
      <c r="GP1730" s="305"/>
      <c r="GQ1730" s="305"/>
      <c r="GR1730" s="305"/>
      <c r="GS1730" s="305"/>
      <c r="GT1730" s="305"/>
      <c r="GU1730" s="305"/>
      <c r="GV1730" s="305"/>
      <c r="GW1730" s="305"/>
      <c r="GX1730" s="305"/>
      <c r="GY1730" s="305"/>
      <c r="GZ1730" s="305"/>
      <c r="HA1730" s="305"/>
      <c r="HB1730" s="305"/>
      <c r="HC1730" s="305"/>
      <c r="HD1730" s="305"/>
      <c r="HE1730" s="305"/>
      <c r="HF1730" s="305"/>
      <c r="HG1730" s="305"/>
      <c r="HH1730" s="305"/>
      <c r="HI1730" s="305"/>
      <c r="HJ1730" s="305"/>
      <c r="HK1730" s="305"/>
      <c r="HL1730" s="305"/>
      <c r="HM1730" s="305"/>
    </row>
    <row r="1731" spans="1:221" s="688" customFormat="1">
      <c r="A1731" s="679" t="s">
        <v>1600</v>
      </c>
      <c r="B1731" s="1272" t="s">
        <v>407</v>
      </c>
      <c r="C1731" s="1273" t="s">
        <v>1598</v>
      </c>
      <c r="D1731" s="1274"/>
      <c r="E1731" s="1255">
        <v>59</v>
      </c>
      <c r="F1731" s="681"/>
      <c r="G1731" s="681"/>
      <c r="H1731" s="683"/>
      <c r="I1731" s="689"/>
      <c r="J1731" s="685"/>
      <c r="K1731" s="685"/>
      <c r="L1731" s="689">
        <v>77</v>
      </c>
      <c r="M1731" s="683"/>
      <c r="N1731" s="706"/>
      <c r="O1731" s="711" t="s">
        <v>1602</v>
      </c>
      <c r="P1731" s="696"/>
      <c r="Q1731" s="696"/>
      <c r="R1731" s="696"/>
      <c r="S1731" s="696"/>
      <c r="T1731" s="696"/>
      <c r="U1731" s="696"/>
    </row>
    <row r="1732" spans="1:221" s="456" customFormat="1">
      <c r="A1732" s="679" t="s">
        <v>1599</v>
      </c>
      <c r="B1732" s="1272" t="s">
        <v>407</v>
      </c>
      <c r="C1732" s="1273" t="s">
        <v>1598</v>
      </c>
      <c r="D1732" s="1274"/>
      <c r="E1732" s="1255">
        <v>72</v>
      </c>
      <c r="F1732" s="681" t="s">
        <v>1603</v>
      </c>
      <c r="G1732" s="681"/>
      <c r="H1732" s="683"/>
      <c r="I1732" s="689"/>
      <c r="J1732" s="685"/>
      <c r="K1732" s="685"/>
      <c r="L1732" s="689">
        <v>90</v>
      </c>
      <c r="M1732" s="683"/>
      <c r="N1732" s="706"/>
      <c r="O1732" s="711" t="s">
        <v>1602</v>
      </c>
      <c r="P1732" s="696"/>
      <c r="Q1732" s="696"/>
      <c r="R1732" s="696"/>
      <c r="S1732" s="696"/>
      <c r="T1732" s="696"/>
      <c r="U1732" s="696"/>
      <c r="V1732" s="688"/>
      <c r="W1732" s="688"/>
      <c r="X1732" s="688"/>
      <c r="Y1732" s="688"/>
      <c r="Z1732" s="688"/>
      <c r="AA1732" s="688"/>
      <c r="AB1732" s="688"/>
      <c r="AC1732" s="688"/>
      <c r="AD1732" s="688"/>
      <c r="AE1732" s="688"/>
      <c r="AF1732" s="688"/>
      <c r="AG1732" s="688"/>
      <c r="AH1732" s="688"/>
      <c r="AI1732" s="688"/>
      <c r="AJ1732" s="688"/>
      <c r="AK1732" s="688"/>
      <c r="AL1732" s="688"/>
      <c r="AM1732" s="688"/>
      <c r="AN1732" s="688"/>
      <c r="AO1732" s="688"/>
      <c r="AP1732" s="688"/>
      <c r="AQ1732" s="688"/>
      <c r="AR1732" s="688"/>
      <c r="AS1732" s="688"/>
      <c r="AT1732" s="688"/>
      <c r="AU1732" s="688"/>
      <c r="AV1732" s="688"/>
      <c r="AW1732" s="688"/>
      <c r="AX1732" s="688"/>
      <c r="AY1732" s="688"/>
      <c r="AZ1732" s="688"/>
      <c r="BA1732" s="688"/>
      <c r="BB1732" s="688"/>
      <c r="BC1732" s="688"/>
      <c r="BD1732" s="688"/>
      <c r="BE1732" s="688"/>
      <c r="BF1732" s="688"/>
      <c r="BG1732" s="688"/>
      <c r="BH1732" s="688"/>
      <c r="BI1732" s="688"/>
      <c r="BJ1732" s="688"/>
      <c r="BK1732" s="688"/>
      <c r="BL1732" s="688"/>
      <c r="BM1732" s="688"/>
      <c r="BN1732" s="688"/>
      <c r="BO1732" s="688"/>
      <c r="BP1732" s="688"/>
      <c r="BQ1732" s="688"/>
      <c r="BR1732" s="688"/>
      <c r="BS1732" s="688"/>
      <c r="BT1732" s="688"/>
      <c r="BU1732" s="688"/>
      <c r="BV1732" s="688"/>
      <c r="BW1732" s="688"/>
      <c r="BX1732" s="688"/>
      <c r="BY1732" s="688"/>
      <c r="BZ1732" s="688"/>
      <c r="CA1732" s="688"/>
      <c r="CB1732" s="688"/>
      <c r="CC1732" s="688"/>
      <c r="CD1732" s="688"/>
      <c r="CE1732" s="688"/>
      <c r="CF1732" s="688"/>
      <c r="CG1732" s="688"/>
      <c r="CH1732" s="688"/>
      <c r="CI1732" s="688"/>
      <c r="CJ1732" s="688"/>
      <c r="CK1732" s="688"/>
      <c r="CL1732" s="688"/>
      <c r="CM1732" s="688"/>
      <c r="CN1732" s="688"/>
      <c r="CO1732" s="688"/>
      <c r="CP1732" s="688"/>
      <c r="CQ1732" s="688"/>
      <c r="CR1732" s="688"/>
      <c r="CS1732" s="688"/>
      <c r="CT1732" s="688"/>
      <c r="CU1732" s="688"/>
      <c r="CV1732" s="688"/>
      <c r="CW1732" s="688"/>
      <c r="CX1732" s="688"/>
      <c r="CY1732" s="688"/>
      <c r="CZ1732" s="688"/>
      <c r="DA1732" s="688"/>
      <c r="DB1732" s="688"/>
      <c r="DC1732" s="688"/>
      <c r="DD1732" s="688"/>
      <c r="DE1732" s="688"/>
      <c r="DF1732" s="688"/>
      <c r="DG1732" s="688"/>
      <c r="DH1732" s="688"/>
      <c r="DI1732" s="688"/>
      <c r="DJ1732" s="688"/>
      <c r="DK1732" s="688"/>
      <c r="DL1732" s="688"/>
      <c r="DM1732" s="688"/>
      <c r="DN1732" s="688"/>
      <c r="DO1732" s="688"/>
      <c r="DP1732" s="688"/>
      <c r="DQ1732" s="688"/>
      <c r="DR1732" s="688"/>
      <c r="DS1732" s="688"/>
      <c r="DT1732" s="688"/>
      <c r="DU1732" s="688"/>
      <c r="DV1732" s="688"/>
      <c r="DW1732" s="688"/>
      <c r="DX1732" s="688"/>
      <c r="DY1732" s="688"/>
      <c r="DZ1732" s="688"/>
      <c r="EA1732" s="688"/>
      <c r="EB1732" s="688"/>
      <c r="EC1732" s="688"/>
      <c r="ED1732" s="688"/>
      <c r="EE1732" s="688"/>
      <c r="EF1732" s="688"/>
      <c r="EG1732" s="688"/>
      <c r="EH1732" s="688"/>
      <c r="EI1732" s="688"/>
      <c r="EJ1732" s="688"/>
      <c r="EK1732" s="688"/>
      <c r="EL1732" s="688"/>
      <c r="EM1732" s="688"/>
      <c r="EN1732" s="688"/>
      <c r="EO1732" s="688"/>
      <c r="EP1732" s="688"/>
      <c r="EQ1732" s="688"/>
      <c r="ER1732" s="688"/>
      <c r="ES1732" s="688"/>
      <c r="ET1732" s="688"/>
      <c r="EU1732" s="688"/>
      <c r="EV1732" s="688"/>
      <c r="EW1732" s="688"/>
      <c r="EX1732" s="688"/>
      <c r="EY1732" s="688"/>
      <c r="EZ1732" s="688"/>
      <c r="FA1732" s="688"/>
      <c r="FB1732" s="688"/>
      <c r="FC1732" s="688"/>
      <c r="FD1732" s="688"/>
      <c r="FE1732" s="688"/>
      <c r="FF1732" s="688"/>
      <c r="FG1732" s="688"/>
      <c r="FH1732" s="688"/>
      <c r="FI1732" s="688"/>
      <c r="FJ1732" s="688"/>
      <c r="FK1732" s="688"/>
      <c r="FL1732" s="688"/>
      <c r="FM1732" s="688"/>
      <c r="FN1732" s="688"/>
      <c r="FO1732" s="688"/>
      <c r="FP1732" s="688"/>
      <c r="FQ1732" s="688"/>
      <c r="FR1732" s="688"/>
      <c r="FS1732" s="688"/>
      <c r="FT1732" s="688"/>
      <c r="FU1732" s="688"/>
      <c r="FV1732" s="688"/>
      <c r="FW1732" s="688"/>
      <c r="FX1732" s="688"/>
      <c r="FY1732" s="688"/>
      <c r="FZ1732" s="688"/>
      <c r="GA1732" s="688"/>
      <c r="GB1732" s="688"/>
      <c r="GC1732" s="688"/>
      <c r="GD1732" s="688"/>
      <c r="GE1732" s="688"/>
      <c r="GF1732" s="688"/>
      <c r="GG1732" s="688"/>
      <c r="GH1732" s="688"/>
      <c r="GI1732" s="688"/>
      <c r="GJ1732" s="688"/>
      <c r="GK1732" s="688"/>
      <c r="GL1732" s="688"/>
      <c r="GM1732" s="688"/>
      <c r="GN1732" s="688"/>
      <c r="GO1732" s="688"/>
      <c r="GP1732" s="688"/>
      <c r="GQ1732" s="688"/>
      <c r="GR1732" s="688"/>
      <c r="GS1732" s="688"/>
      <c r="GT1732" s="688"/>
      <c r="GU1732" s="688"/>
      <c r="GV1732" s="688"/>
      <c r="GW1732" s="688"/>
      <c r="GX1732" s="688"/>
      <c r="GY1732" s="688"/>
      <c r="GZ1732" s="688"/>
      <c r="HA1732" s="688"/>
      <c r="HB1732" s="688"/>
      <c r="HC1732" s="688"/>
      <c r="HD1732" s="688"/>
      <c r="HE1732" s="688"/>
      <c r="HF1732" s="688"/>
      <c r="HG1732" s="688"/>
      <c r="HH1732" s="688"/>
      <c r="HI1732" s="688"/>
      <c r="HJ1732" s="688"/>
      <c r="HK1732" s="688"/>
      <c r="HL1732" s="688"/>
      <c r="HM1732" s="688"/>
    </row>
    <row r="1733" spans="1:221" s="456" customFormat="1">
      <c r="A1733" s="679" t="s">
        <v>1601</v>
      </c>
      <c r="B1733" s="1272" t="s">
        <v>407</v>
      </c>
      <c r="C1733" s="1273" t="s">
        <v>1598</v>
      </c>
      <c r="D1733" s="1274"/>
      <c r="E1733" s="1255">
        <v>74.5</v>
      </c>
      <c r="F1733" s="681" t="s">
        <v>1603</v>
      </c>
      <c r="G1733" s="681"/>
      <c r="H1733" s="683"/>
      <c r="I1733" s="689"/>
      <c r="J1733" s="685"/>
      <c r="K1733" s="685"/>
      <c r="L1733" s="689">
        <v>92.5</v>
      </c>
      <c r="M1733" s="683"/>
      <c r="N1733" s="706"/>
      <c r="O1733" s="711" t="s">
        <v>1602</v>
      </c>
      <c r="P1733" s="696"/>
      <c r="Q1733" s="696"/>
      <c r="R1733" s="696"/>
      <c r="S1733" s="696"/>
      <c r="T1733" s="696"/>
      <c r="U1733" s="696"/>
      <c r="V1733" s="688"/>
      <c r="W1733" s="688"/>
      <c r="X1733" s="688"/>
      <c r="Y1733" s="688"/>
      <c r="Z1733" s="688"/>
      <c r="AA1733" s="688"/>
      <c r="AB1733" s="688"/>
      <c r="AC1733" s="688"/>
      <c r="AD1733" s="688"/>
      <c r="AE1733" s="688"/>
      <c r="AF1733" s="688"/>
      <c r="AG1733" s="688"/>
      <c r="AH1733" s="688"/>
      <c r="AI1733" s="688"/>
      <c r="AJ1733" s="688"/>
      <c r="AK1733" s="688"/>
      <c r="AL1733" s="688"/>
      <c r="AM1733" s="688"/>
      <c r="AN1733" s="688"/>
      <c r="AO1733" s="688"/>
      <c r="AP1733" s="688"/>
      <c r="AQ1733" s="688"/>
      <c r="AR1733" s="688"/>
      <c r="AS1733" s="688"/>
      <c r="AT1733" s="688"/>
      <c r="AU1733" s="688"/>
      <c r="AV1733" s="688"/>
      <c r="AW1733" s="688"/>
      <c r="AX1733" s="688"/>
      <c r="AY1733" s="688"/>
      <c r="AZ1733" s="688"/>
      <c r="BA1733" s="688"/>
      <c r="BB1733" s="688"/>
      <c r="BC1733" s="688"/>
      <c r="BD1733" s="688"/>
      <c r="BE1733" s="688"/>
      <c r="BF1733" s="688"/>
      <c r="BG1733" s="688"/>
      <c r="BH1733" s="688"/>
      <c r="BI1733" s="688"/>
      <c r="BJ1733" s="688"/>
      <c r="BK1733" s="688"/>
      <c r="BL1733" s="688"/>
      <c r="BM1733" s="688"/>
      <c r="BN1733" s="688"/>
      <c r="BO1733" s="688"/>
      <c r="BP1733" s="688"/>
      <c r="BQ1733" s="688"/>
      <c r="BR1733" s="688"/>
      <c r="BS1733" s="688"/>
      <c r="BT1733" s="688"/>
      <c r="BU1733" s="688"/>
      <c r="BV1733" s="688"/>
      <c r="BW1733" s="688"/>
      <c r="BX1733" s="688"/>
      <c r="BY1733" s="688"/>
      <c r="BZ1733" s="688"/>
      <c r="CA1733" s="688"/>
      <c r="CB1733" s="688"/>
      <c r="CC1733" s="688"/>
      <c r="CD1733" s="688"/>
      <c r="CE1733" s="688"/>
      <c r="CF1733" s="688"/>
      <c r="CG1733" s="688"/>
      <c r="CH1733" s="688"/>
      <c r="CI1733" s="688"/>
      <c r="CJ1733" s="688"/>
      <c r="CK1733" s="688"/>
      <c r="CL1733" s="688"/>
      <c r="CM1733" s="688"/>
      <c r="CN1733" s="688"/>
      <c r="CO1733" s="688"/>
      <c r="CP1733" s="688"/>
      <c r="CQ1733" s="688"/>
      <c r="CR1733" s="688"/>
      <c r="CS1733" s="688"/>
      <c r="CT1733" s="688"/>
      <c r="CU1733" s="688"/>
      <c r="CV1733" s="688"/>
      <c r="CW1733" s="688"/>
      <c r="CX1733" s="688"/>
      <c r="CY1733" s="688"/>
      <c r="CZ1733" s="688"/>
      <c r="DA1733" s="688"/>
      <c r="DB1733" s="688"/>
      <c r="DC1733" s="688"/>
      <c r="DD1733" s="688"/>
      <c r="DE1733" s="688"/>
      <c r="DF1733" s="688"/>
      <c r="DG1733" s="688"/>
      <c r="DH1733" s="688"/>
      <c r="DI1733" s="688"/>
      <c r="DJ1733" s="688"/>
      <c r="DK1733" s="688"/>
      <c r="DL1733" s="688"/>
      <c r="DM1733" s="688"/>
      <c r="DN1733" s="688"/>
      <c r="DO1733" s="688"/>
      <c r="DP1733" s="688"/>
      <c r="DQ1733" s="688"/>
      <c r="DR1733" s="688"/>
      <c r="DS1733" s="688"/>
      <c r="DT1733" s="688"/>
      <c r="DU1733" s="688"/>
      <c r="DV1733" s="688"/>
      <c r="DW1733" s="688"/>
      <c r="DX1733" s="688"/>
      <c r="DY1733" s="688"/>
      <c r="DZ1733" s="688"/>
      <c r="EA1733" s="688"/>
      <c r="EB1733" s="688"/>
      <c r="EC1733" s="688"/>
      <c r="ED1733" s="688"/>
      <c r="EE1733" s="688"/>
      <c r="EF1733" s="688"/>
      <c r="EG1733" s="688"/>
      <c r="EH1733" s="688"/>
      <c r="EI1733" s="688"/>
      <c r="EJ1733" s="688"/>
      <c r="EK1733" s="688"/>
      <c r="EL1733" s="688"/>
      <c r="EM1733" s="688"/>
      <c r="EN1733" s="688"/>
      <c r="EO1733" s="688"/>
      <c r="EP1733" s="688"/>
      <c r="EQ1733" s="688"/>
      <c r="ER1733" s="688"/>
      <c r="ES1733" s="688"/>
      <c r="ET1733" s="688"/>
      <c r="EU1733" s="688"/>
      <c r="EV1733" s="688"/>
      <c r="EW1733" s="688"/>
      <c r="EX1733" s="688"/>
      <c r="EY1733" s="688"/>
      <c r="EZ1733" s="688"/>
      <c r="FA1733" s="688"/>
      <c r="FB1733" s="688"/>
      <c r="FC1733" s="688"/>
      <c r="FD1733" s="688"/>
      <c r="FE1733" s="688"/>
      <c r="FF1733" s="688"/>
      <c r="FG1733" s="688"/>
      <c r="FH1733" s="688"/>
      <c r="FI1733" s="688"/>
      <c r="FJ1733" s="688"/>
      <c r="FK1733" s="688"/>
      <c r="FL1733" s="688"/>
      <c r="FM1733" s="688"/>
      <c r="FN1733" s="688"/>
      <c r="FO1733" s="688"/>
      <c r="FP1733" s="688"/>
      <c r="FQ1733" s="688"/>
      <c r="FR1733" s="688"/>
      <c r="FS1733" s="688"/>
      <c r="FT1733" s="688"/>
      <c r="FU1733" s="688"/>
      <c r="FV1733" s="688"/>
      <c r="FW1733" s="688"/>
      <c r="FX1733" s="688"/>
      <c r="FY1733" s="688"/>
      <c r="FZ1733" s="688"/>
      <c r="GA1733" s="688"/>
      <c r="GB1733" s="688"/>
      <c r="GC1733" s="688"/>
      <c r="GD1733" s="688"/>
      <c r="GE1733" s="688"/>
      <c r="GF1733" s="688"/>
      <c r="GG1733" s="688"/>
      <c r="GH1733" s="688"/>
      <c r="GI1733" s="688"/>
      <c r="GJ1733" s="688"/>
      <c r="GK1733" s="688"/>
      <c r="GL1733" s="688"/>
      <c r="GM1733" s="688"/>
      <c r="GN1733" s="688"/>
      <c r="GO1733" s="688"/>
      <c r="GP1733" s="688"/>
      <c r="GQ1733" s="688"/>
      <c r="GR1733" s="688"/>
      <c r="GS1733" s="688"/>
      <c r="GT1733" s="688"/>
      <c r="GU1733" s="688"/>
      <c r="GV1733" s="688"/>
      <c r="GW1733" s="688"/>
      <c r="GX1733" s="688"/>
      <c r="GY1733" s="688"/>
      <c r="GZ1733" s="688"/>
      <c r="HA1733" s="688"/>
      <c r="HB1733" s="688"/>
      <c r="HC1733" s="688"/>
      <c r="HD1733" s="688"/>
      <c r="HE1733" s="688"/>
      <c r="HF1733" s="688"/>
      <c r="HG1733" s="688"/>
      <c r="HH1733" s="688"/>
      <c r="HI1733" s="688"/>
      <c r="HJ1733" s="688"/>
      <c r="HK1733" s="688"/>
      <c r="HL1733" s="688"/>
      <c r="HM1733" s="688"/>
    </row>
    <row r="1734" spans="1:221" s="305" customFormat="1">
      <c r="A1734" s="679"/>
      <c r="B1734" s="1272" t="s">
        <v>407</v>
      </c>
      <c r="C1734" s="1273" t="s">
        <v>2513</v>
      </c>
      <c r="D1734" s="1274"/>
      <c r="E1734" s="1255"/>
      <c r="F1734" s="681"/>
      <c r="G1734" s="681" t="s">
        <v>1909</v>
      </c>
      <c r="H1734" s="683"/>
      <c r="I1734" s="689"/>
      <c r="J1734" s="685"/>
      <c r="K1734" s="685"/>
      <c r="L1734" s="689"/>
      <c r="M1734" s="683"/>
      <c r="N1734" s="706"/>
      <c r="O1734" s="480"/>
      <c r="P1734" s="297"/>
      <c r="Q1734" s="297"/>
      <c r="R1734" s="297"/>
      <c r="S1734" s="297"/>
      <c r="T1734" s="297"/>
      <c r="U1734" s="297"/>
    </row>
    <row r="1735" spans="1:221" s="456" customFormat="1">
      <c r="A1735" s="679"/>
      <c r="B1735" s="1272" t="s">
        <v>407</v>
      </c>
      <c r="C1735" s="1273" t="s">
        <v>2513</v>
      </c>
      <c r="D1735" s="1274"/>
      <c r="E1735" s="1255"/>
      <c r="F1735" s="681"/>
      <c r="G1735" s="681" t="s">
        <v>1909</v>
      </c>
      <c r="H1735" s="683"/>
      <c r="I1735" s="689"/>
      <c r="J1735" s="685"/>
      <c r="K1735" s="685"/>
      <c r="L1735" s="689"/>
      <c r="M1735" s="683"/>
      <c r="N1735" s="706"/>
      <c r="O1735" s="480"/>
      <c r="P1735" s="479"/>
      <c r="Q1735" s="479"/>
      <c r="R1735" s="479"/>
      <c r="S1735" s="479"/>
      <c r="T1735" s="479"/>
      <c r="U1735" s="479"/>
    </row>
    <row r="1736" spans="1:221" s="456" customFormat="1">
      <c r="A1736" s="679"/>
      <c r="B1736" s="1272" t="s">
        <v>407</v>
      </c>
      <c r="C1736" s="1273" t="s">
        <v>2514</v>
      </c>
      <c r="D1736" s="1274"/>
      <c r="E1736" s="1255"/>
      <c r="F1736" s="681"/>
      <c r="G1736" s="681" t="s">
        <v>1909</v>
      </c>
      <c r="H1736" s="683"/>
      <c r="I1736" s="689"/>
      <c r="J1736" s="685"/>
      <c r="K1736" s="685"/>
      <c r="L1736" s="689"/>
      <c r="M1736" s="683"/>
      <c r="N1736" s="706"/>
      <c r="O1736" s="645"/>
      <c r="P1736" s="479"/>
      <c r="Q1736" s="479"/>
      <c r="R1736" s="479"/>
      <c r="S1736" s="479"/>
      <c r="T1736" s="479"/>
      <c r="U1736" s="479"/>
    </row>
    <row r="1737" spans="1:221" s="456" customFormat="1" ht="16" thickBot="1">
      <c r="A1737" s="679"/>
      <c r="B1737" s="1272" t="s">
        <v>2454</v>
      </c>
      <c r="C1737" s="1273" t="s">
        <v>2453</v>
      </c>
      <c r="D1737" s="1274"/>
      <c r="E1737" s="1255">
        <f>46.2+4.8</f>
        <v>51</v>
      </c>
      <c r="F1737" s="681"/>
      <c r="G1737" s="681"/>
      <c r="H1737" s="683"/>
      <c r="I1737" s="689"/>
      <c r="J1737" s="685"/>
      <c r="K1737" s="685"/>
      <c r="L1737" s="689">
        <f>E1737+16</f>
        <v>67</v>
      </c>
      <c r="M1737" s="683">
        <v>16</v>
      </c>
      <c r="N1737" s="706"/>
      <c r="O1737" s="645"/>
      <c r="P1737" s="479"/>
      <c r="Q1737" s="479"/>
      <c r="R1737" s="479"/>
      <c r="S1737" s="479"/>
      <c r="T1737" s="479"/>
      <c r="U1737" s="479"/>
    </row>
    <row r="1738" spans="1:221" s="445" customFormat="1" ht="16" thickBot="1">
      <c r="A1738" s="2809" t="s">
        <v>2080</v>
      </c>
      <c r="B1738" s="2810"/>
      <c r="C1738" s="2810"/>
      <c r="D1738" s="2810"/>
      <c r="E1738" s="2810"/>
      <c r="F1738" s="2810"/>
      <c r="G1738" s="2810"/>
      <c r="H1738" s="2810"/>
      <c r="I1738" s="2810"/>
      <c r="J1738" s="2810"/>
      <c r="K1738" s="2810"/>
      <c r="L1738" s="2810"/>
      <c r="M1738" s="2810"/>
      <c r="N1738" s="2811"/>
      <c r="O1738" s="644"/>
      <c r="P1738" s="487"/>
      <c r="Q1738" s="487"/>
      <c r="R1738" s="487"/>
      <c r="S1738" s="487"/>
      <c r="T1738" s="487"/>
      <c r="U1738" s="487"/>
    </row>
    <row r="1739" spans="1:221" s="688" customFormat="1">
      <c r="A1739" s="725" t="s">
        <v>1567</v>
      </c>
      <c r="B1739" s="1272" t="s">
        <v>1566</v>
      </c>
      <c r="C1739" s="1273" t="s">
        <v>1574</v>
      </c>
      <c r="D1739" s="1274"/>
      <c r="E1739" s="1255">
        <v>80</v>
      </c>
      <c r="F1739" s="683" t="s">
        <v>50</v>
      </c>
      <c r="G1739" s="283" t="s">
        <v>2745</v>
      </c>
      <c r="H1739" s="683">
        <v>4.4000000000000004</v>
      </c>
      <c r="I1739" s="689" t="s">
        <v>206</v>
      </c>
      <c r="J1739" s="685"/>
      <c r="K1739" s="685"/>
      <c r="L1739" s="689">
        <v>125</v>
      </c>
      <c r="M1739" s="683">
        <v>45</v>
      </c>
      <c r="N1739" s="706">
        <v>9</v>
      </c>
      <c r="O1739" s="283" t="s">
        <v>2745</v>
      </c>
      <c r="P1739" s="696"/>
      <c r="Q1739" s="696"/>
      <c r="R1739" s="696"/>
      <c r="S1739" s="696"/>
      <c r="T1739" s="696"/>
      <c r="U1739" s="696"/>
    </row>
    <row r="1740" spans="1:221" s="688" customFormat="1">
      <c r="A1740" s="725" t="s">
        <v>1568</v>
      </c>
      <c r="B1740" s="1272" t="s">
        <v>1566</v>
      </c>
      <c r="C1740" s="1273" t="s">
        <v>585</v>
      </c>
      <c r="D1740" s="1274"/>
      <c r="E1740" s="1255">
        <v>106</v>
      </c>
      <c r="F1740" s="683" t="s">
        <v>50</v>
      </c>
      <c r="G1740" s="283" t="s">
        <v>2745</v>
      </c>
      <c r="H1740" s="683">
        <v>4.4000000000000004</v>
      </c>
      <c r="I1740" s="689" t="s">
        <v>206</v>
      </c>
      <c r="J1740" s="685"/>
      <c r="K1740" s="685"/>
      <c r="L1740" s="689">
        <v>149</v>
      </c>
      <c r="M1740" s="683">
        <v>50</v>
      </c>
      <c r="N1740" s="706">
        <v>9</v>
      </c>
      <c r="O1740" s="283" t="s">
        <v>2745</v>
      </c>
      <c r="P1740" s="696"/>
      <c r="Q1740" s="696"/>
      <c r="R1740" s="696"/>
      <c r="S1740" s="696"/>
      <c r="T1740" s="696"/>
      <c r="U1740" s="696"/>
    </row>
    <row r="1741" spans="1:221" s="688" customFormat="1">
      <c r="A1741" s="726" t="s">
        <v>7</v>
      </c>
      <c r="B1741" s="1272" t="s">
        <v>1566</v>
      </c>
      <c r="C1741" s="1273" t="s">
        <v>585</v>
      </c>
      <c r="D1741" s="1274"/>
      <c r="E1741" s="1255">
        <v>117.5</v>
      </c>
      <c r="F1741" s="683" t="s">
        <v>50</v>
      </c>
      <c r="G1741" s="683"/>
      <c r="H1741" s="683">
        <v>4.4000000000000004</v>
      </c>
      <c r="I1741" s="689" t="s">
        <v>206</v>
      </c>
      <c r="J1741" s="685"/>
      <c r="K1741" s="685"/>
      <c r="L1741" s="689">
        <v>159</v>
      </c>
      <c r="M1741" s="683">
        <v>41.5</v>
      </c>
      <c r="N1741" s="706">
        <v>9</v>
      </c>
      <c r="O1741" s="283"/>
      <c r="P1741" s="696"/>
      <c r="Q1741" s="696"/>
      <c r="R1741" s="696"/>
      <c r="S1741" s="696"/>
      <c r="T1741" s="696"/>
      <c r="U1741" s="696"/>
    </row>
    <row r="1742" spans="1:221" s="305" customFormat="1">
      <c r="A1742" s="2493" t="s">
        <v>4505</v>
      </c>
      <c r="B1742" s="1286" t="s">
        <v>1566</v>
      </c>
      <c r="C1742" s="1280" t="s">
        <v>4319</v>
      </c>
      <c r="D1742" s="1312"/>
      <c r="E1742" s="1851">
        <v>59</v>
      </c>
      <c r="F1742" s="664" t="s">
        <v>50</v>
      </c>
      <c r="G1742" s="664" t="s">
        <v>4501</v>
      </c>
      <c r="H1742" s="283"/>
      <c r="I1742" s="289"/>
      <c r="J1742" s="292"/>
      <c r="K1742" s="292"/>
      <c r="L1742" s="665">
        <v>89</v>
      </c>
      <c r="M1742" s="664">
        <f>L1742-E1742</f>
        <v>30</v>
      </c>
      <c r="N1742" s="667">
        <v>6</v>
      </c>
      <c r="O1742" s="1856" t="s">
        <v>4227</v>
      </c>
      <c r="P1742" s="297"/>
      <c r="Q1742" s="2403" t="s">
        <v>4082</v>
      </c>
      <c r="R1742" s="297"/>
      <c r="S1742" s="297"/>
      <c r="T1742" s="297"/>
      <c r="U1742" s="297"/>
    </row>
    <row r="1743" spans="1:221" s="305" customFormat="1">
      <c r="A1743" s="2493" t="s">
        <v>4506</v>
      </c>
      <c r="B1743" s="1286" t="s">
        <v>1566</v>
      </c>
      <c r="C1743" s="1280" t="s">
        <v>4319</v>
      </c>
      <c r="D1743" s="1312"/>
      <c r="E1743" s="1851">
        <v>69</v>
      </c>
      <c r="F1743" s="664" t="s">
        <v>50</v>
      </c>
      <c r="G1743" s="664" t="s">
        <v>4501</v>
      </c>
      <c r="H1743" s="283"/>
      <c r="I1743" s="289"/>
      <c r="J1743" s="292"/>
      <c r="K1743" s="292"/>
      <c r="L1743" s="665">
        <v>104</v>
      </c>
      <c r="M1743" s="664">
        <f t="shared" ref="M1743:M1746" si="81">L1743-E1743</f>
        <v>35</v>
      </c>
      <c r="N1743" s="667">
        <v>6</v>
      </c>
      <c r="O1743" s="1856" t="s">
        <v>4227</v>
      </c>
      <c r="P1743" s="297"/>
      <c r="Q1743" s="2403" t="s">
        <v>4082</v>
      </c>
      <c r="R1743" s="297"/>
      <c r="S1743" s="297"/>
      <c r="T1743" s="297"/>
      <c r="U1743" s="297"/>
    </row>
    <row r="1744" spans="1:221" s="305" customFormat="1">
      <c r="A1744" s="2493" t="s">
        <v>4502</v>
      </c>
      <c r="B1744" s="1286" t="s">
        <v>1566</v>
      </c>
      <c r="C1744" s="1280" t="s">
        <v>4319</v>
      </c>
      <c r="D1744" s="1312"/>
      <c r="E1744" s="1851">
        <v>84</v>
      </c>
      <c r="F1744" s="664" t="s">
        <v>50</v>
      </c>
      <c r="G1744" s="664" t="s">
        <v>4501</v>
      </c>
      <c r="H1744" s="283"/>
      <c r="I1744" s="289"/>
      <c r="J1744" s="292"/>
      <c r="K1744" s="292"/>
      <c r="L1744" s="665">
        <v>129</v>
      </c>
      <c r="M1744" s="664">
        <f t="shared" si="81"/>
        <v>45</v>
      </c>
      <c r="N1744" s="667">
        <v>6</v>
      </c>
      <c r="O1744" s="1856" t="s">
        <v>4227</v>
      </c>
      <c r="P1744" s="297"/>
      <c r="Q1744" s="2403" t="s">
        <v>4082</v>
      </c>
      <c r="R1744" s="297"/>
      <c r="S1744" s="297"/>
      <c r="T1744" s="297"/>
      <c r="U1744" s="297"/>
    </row>
    <row r="1745" spans="1:21" s="305" customFormat="1">
      <c r="A1745" s="2493" t="s">
        <v>4503</v>
      </c>
      <c r="B1745" s="1286" t="s">
        <v>1566</v>
      </c>
      <c r="C1745" s="1280" t="s">
        <v>4319</v>
      </c>
      <c r="D1745" s="1312"/>
      <c r="E1745" s="1851">
        <v>89</v>
      </c>
      <c r="F1745" s="664" t="s">
        <v>50</v>
      </c>
      <c r="G1745" s="664" t="s">
        <v>4501</v>
      </c>
      <c r="H1745" s="283"/>
      <c r="I1745" s="289"/>
      <c r="J1745" s="292"/>
      <c r="K1745" s="292"/>
      <c r="L1745" s="665">
        <v>134</v>
      </c>
      <c r="M1745" s="664">
        <f t="shared" si="81"/>
        <v>45</v>
      </c>
      <c r="N1745" s="667">
        <v>6</v>
      </c>
      <c r="O1745" s="1856" t="s">
        <v>4227</v>
      </c>
      <c r="P1745" s="297"/>
      <c r="Q1745" s="2403" t="s">
        <v>4082</v>
      </c>
      <c r="R1745" s="297"/>
      <c r="S1745" s="297"/>
      <c r="T1745" s="297"/>
      <c r="U1745" s="297"/>
    </row>
    <row r="1746" spans="1:21" s="305" customFormat="1">
      <c r="A1746" s="2493" t="s">
        <v>4504</v>
      </c>
      <c r="B1746" s="1286" t="s">
        <v>1566</v>
      </c>
      <c r="C1746" s="1280" t="s">
        <v>4319</v>
      </c>
      <c r="D1746" s="1312"/>
      <c r="E1746" s="1851">
        <v>94</v>
      </c>
      <c r="F1746" s="664" t="s">
        <v>50</v>
      </c>
      <c r="G1746" s="664" t="s">
        <v>4501</v>
      </c>
      <c r="H1746" s="283"/>
      <c r="I1746" s="289"/>
      <c r="J1746" s="292"/>
      <c r="K1746" s="292"/>
      <c r="L1746" s="665">
        <v>144</v>
      </c>
      <c r="M1746" s="664">
        <f t="shared" si="81"/>
        <v>50</v>
      </c>
      <c r="N1746" s="667">
        <v>6</v>
      </c>
      <c r="O1746" s="1856" t="s">
        <v>4227</v>
      </c>
      <c r="P1746" s="297"/>
      <c r="Q1746" s="2403" t="s">
        <v>4082</v>
      </c>
      <c r="R1746" s="297"/>
      <c r="S1746" s="297"/>
      <c r="T1746" s="297"/>
      <c r="U1746" s="297"/>
    </row>
    <row r="1747" spans="1:21" s="305" customFormat="1">
      <c r="A1747" s="2493" t="s">
        <v>4507</v>
      </c>
      <c r="B1747" s="1286" t="s">
        <v>1566</v>
      </c>
      <c r="C1747" s="1280" t="s">
        <v>4319</v>
      </c>
      <c r="D1747" s="1312"/>
      <c r="E1747" s="1851">
        <v>54</v>
      </c>
      <c r="F1747" s="664" t="s">
        <v>50</v>
      </c>
      <c r="G1747" s="664" t="s">
        <v>4501</v>
      </c>
      <c r="H1747" s="283"/>
      <c r="I1747" s="289"/>
      <c r="J1747" s="292"/>
      <c r="K1747" s="292"/>
      <c r="L1747" s="665">
        <v>79</v>
      </c>
      <c r="M1747" s="283"/>
      <c r="N1747" s="634"/>
      <c r="O1747" s="1856"/>
      <c r="P1747" s="297"/>
      <c r="Q1747" s="2403"/>
      <c r="R1747" s="297"/>
      <c r="S1747" s="297"/>
      <c r="T1747" s="297"/>
      <c r="U1747" s="297"/>
    </row>
    <row r="1748" spans="1:21" s="688" customFormat="1">
      <c r="A1748" s="726"/>
      <c r="B1748" s="1272" t="s">
        <v>162</v>
      </c>
      <c r="C1748" s="1273" t="s">
        <v>1486</v>
      </c>
      <c r="D1748" s="1274"/>
      <c r="E1748" s="1255">
        <v>122.5</v>
      </c>
      <c r="F1748" s="683" t="s">
        <v>2060</v>
      </c>
      <c r="G1748" s="683"/>
      <c r="H1748" s="683"/>
      <c r="I1748" s="689"/>
      <c r="J1748" s="685"/>
      <c r="K1748" s="685"/>
      <c r="L1748" s="689">
        <f>62.5+122.5</f>
        <v>185</v>
      </c>
      <c r="M1748" s="683">
        <v>62.5</v>
      </c>
      <c r="N1748" s="706">
        <v>5</v>
      </c>
      <c r="O1748" s="711"/>
      <c r="P1748" s="696"/>
      <c r="Q1748" s="696"/>
      <c r="R1748" s="696"/>
      <c r="S1748" s="696"/>
      <c r="T1748" s="696"/>
      <c r="U1748" s="696"/>
    </row>
    <row r="1749" spans="1:21" s="688" customFormat="1">
      <c r="A1749" s="736"/>
      <c r="B1749" s="1272" t="s">
        <v>1566</v>
      </c>
      <c r="C1749" s="1273" t="s">
        <v>1619</v>
      </c>
      <c r="D1749" s="1274"/>
      <c r="E1749" s="1255">
        <v>120</v>
      </c>
      <c r="F1749" s="683" t="s">
        <v>1620</v>
      </c>
      <c r="G1749" s="683"/>
      <c r="H1749" s="683"/>
      <c r="I1749" s="689"/>
      <c r="J1749" s="685"/>
      <c r="K1749" s="685"/>
      <c r="L1749" s="689">
        <v>200</v>
      </c>
      <c r="M1749" s="683">
        <v>80</v>
      </c>
      <c r="N1749" s="706"/>
      <c r="O1749" s="711"/>
      <c r="P1749" s="696"/>
      <c r="Q1749" s="696"/>
      <c r="R1749" s="696"/>
      <c r="S1749" s="696"/>
      <c r="T1749" s="696"/>
      <c r="U1749" s="696"/>
    </row>
    <row r="1750" spans="1:21" s="688" customFormat="1">
      <c r="A1750" s="736"/>
      <c r="B1750" s="1272" t="s">
        <v>1566</v>
      </c>
      <c r="C1750" s="1273" t="s">
        <v>2053</v>
      </c>
      <c r="D1750" s="1274"/>
      <c r="E1750" s="1255">
        <v>105</v>
      </c>
      <c r="F1750" s="683" t="s">
        <v>1620</v>
      </c>
      <c r="G1750" s="683"/>
      <c r="H1750" s="683"/>
      <c r="I1750" s="689"/>
      <c r="J1750" s="685"/>
      <c r="K1750" s="685"/>
      <c r="L1750" s="689">
        <f>105+65</f>
        <v>170</v>
      </c>
      <c r="M1750" s="683">
        <v>65</v>
      </c>
      <c r="N1750" s="706"/>
      <c r="O1750" s="711"/>
      <c r="P1750" s="696"/>
      <c r="Q1750" s="696"/>
      <c r="R1750" s="696"/>
      <c r="S1750" s="696"/>
      <c r="T1750" s="696"/>
      <c r="U1750" s="696"/>
    </row>
    <row r="1751" spans="1:21" s="688" customFormat="1">
      <c r="A1751" s="2488" t="s">
        <v>4367</v>
      </c>
      <c r="B1751" s="1286" t="s">
        <v>162</v>
      </c>
      <c r="C1751" s="1280" t="s">
        <v>2052</v>
      </c>
      <c r="D1751" s="1274"/>
      <c r="E1751" s="1851">
        <v>80</v>
      </c>
      <c r="F1751" s="664" t="s">
        <v>50</v>
      </c>
      <c r="G1751" s="683"/>
      <c r="H1751" s="664" t="s">
        <v>884</v>
      </c>
      <c r="I1751" s="665" t="s">
        <v>206</v>
      </c>
      <c r="J1751" s="685"/>
      <c r="K1751" s="685"/>
      <c r="L1751" s="665">
        <v>125</v>
      </c>
      <c r="M1751" s="664">
        <f>L1751-E1751</f>
        <v>45</v>
      </c>
      <c r="N1751" s="667">
        <v>9</v>
      </c>
      <c r="O1751" s="711"/>
      <c r="P1751" s="696"/>
      <c r="Q1751" s="2403" t="s">
        <v>3990</v>
      </c>
      <c r="R1751" s="696"/>
      <c r="S1751" s="2403" t="s">
        <v>4370</v>
      </c>
      <c r="T1751" s="696"/>
      <c r="U1751" s="696"/>
    </row>
    <row r="1752" spans="1:21" s="688" customFormat="1">
      <c r="A1752" s="2488" t="s">
        <v>4368</v>
      </c>
      <c r="B1752" s="1286" t="s">
        <v>162</v>
      </c>
      <c r="C1752" s="1280" t="s">
        <v>2052</v>
      </c>
      <c r="D1752" s="1274"/>
      <c r="E1752" s="1851">
        <v>99</v>
      </c>
      <c r="F1752" s="664" t="s">
        <v>50</v>
      </c>
      <c r="G1752" s="683"/>
      <c r="H1752" s="664" t="s">
        <v>884</v>
      </c>
      <c r="I1752" s="665" t="s">
        <v>206</v>
      </c>
      <c r="J1752" s="685"/>
      <c r="K1752" s="685"/>
      <c r="L1752" s="665">
        <v>149</v>
      </c>
      <c r="M1752" s="664">
        <f t="shared" ref="M1752:M1753" si="82">L1752-E1752</f>
        <v>50</v>
      </c>
      <c r="N1752" s="667">
        <v>9</v>
      </c>
      <c r="O1752" s="711"/>
      <c r="P1752" s="696"/>
      <c r="Q1752" s="2403" t="s">
        <v>3990</v>
      </c>
      <c r="R1752" s="696"/>
      <c r="S1752" s="2403" t="s">
        <v>4370</v>
      </c>
      <c r="T1752" s="696"/>
      <c r="U1752" s="696"/>
    </row>
    <row r="1753" spans="1:21" s="305" customFormat="1">
      <c r="A1753" s="2488" t="s">
        <v>4369</v>
      </c>
      <c r="B1753" s="1286" t="s">
        <v>162</v>
      </c>
      <c r="C1753" s="1280" t="s">
        <v>2052</v>
      </c>
      <c r="D1753" s="1312"/>
      <c r="E1753" s="1851">
        <v>125</v>
      </c>
      <c r="F1753" s="664" t="s">
        <v>50</v>
      </c>
      <c r="G1753" s="283"/>
      <c r="H1753" s="664" t="s">
        <v>884</v>
      </c>
      <c r="I1753" s="665" t="s">
        <v>206</v>
      </c>
      <c r="J1753" s="292"/>
      <c r="K1753" s="292"/>
      <c r="L1753" s="665">
        <v>170</v>
      </c>
      <c r="M1753" s="664">
        <f t="shared" si="82"/>
        <v>45</v>
      </c>
      <c r="N1753" s="667">
        <v>9</v>
      </c>
      <c r="O1753" s="645"/>
      <c r="P1753" s="297"/>
      <c r="Q1753" s="2403" t="s">
        <v>3990</v>
      </c>
      <c r="R1753" s="297"/>
      <c r="S1753" s="2403" t="s">
        <v>4370</v>
      </c>
      <c r="T1753" s="297"/>
      <c r="U1753" s="297"/>
    </row>
    <row r="1754" spans="1:21" s="456" customFormat="1">
      <c r="A1754" s="485"/>
      <c r="B1754" s="1790" t="s">
        <v>208</v>
      </c>
      <c r="C1754" s="1783" t="s">
        <v>500</v>
      </c>
      <c r="D1754" s="1784"/>
      <c r="E1754" s="1785">
        <v>68</v>
      </c>
      <c r="F1754" s="1795" t="s">
        <v>50</v>
      </c>
      <c r="G1754" s="1795" t="s">
        <v>1909</v>
      </c>
      <c r="H1754" s="1795"/>
      <c r="I1754" s="1796" t="s">
        <v>206</v>
      </c>
      <c r="J1754" s="1797"/>
      <c r="K1754" s="1797"/>
      <c r="L1754" s="1796">
        <v>114</v>
      </c>
      <c r="M1754" s="1795">
        <v>46</v>
      </c>
      <c r="N1754" s="1798">
        <v>6</v>
      </c>
      <c r="O1754" s="644"/>
      <c r="P1754" s="479"/>
      <c r="Q1754" s="479"/>
      <c r="R1754" s="479"/>
      <c r="S1754" s="479"/>
      <c r="T1754" s="479"/>
      <c r="U1754" s="479"/>
    </row>
    <row r="1755" spans="1:21" s="445" customFormat="1">
      <c r="A1755" s="1827" t="s">
        <v>190</v>
      </c>
      <c r="B1755" s="1790" t="s">
        <v>208</v>
      </c>
      <c r="C1755" s="1783" t="s">
        <v>207</v>
      </c>
      <c r="D1755" s="1784"/>
      <c r="E1755" s="1785">
        <v>96</v>
      </c>
      <c r="F1755" s="1795" t="s">
        <v>50</v>
      </c>
      <c r="G1755" s="1795" t="s">
        <v>1909</v>
      </c>
      <c r="H1755" s="1795">
        <v>3.4</v>
      </c>
      <c r="I1755" s="1796" t="s">
        <v>206</v>
      </c>
      <c r="J1755" s="1797"/>
      <c r="K1755" s="1797"/>
      <c r="L1755" s="1796">
        <v>115</v>
      </c>
      <c r="M1755" s="1795">
        <v>19</v>
      </c>
      <c r="N1755" s="1798">
        <v>8</v>
      </c>
      <c r="O1755" s="644"/>
      <c r="P1755" s="487"/>
      <c r="Q1755" s="487"/>
      <c r="R1755" s="487"/>
      <c r="S1755" s="487"/>
      <c r="T1755" s="487"/>
      <c r="U1755" s="487"/>
    </row>
    <row r="1756" spans="1:21" s="445" customFormat="1">
      <c r="A1756" s="1827" t="s">
        <v>354</v>
      </c>
      <c r="B1756" s="1790" t="s">
        <v>208</v>
      </c>
      <c r="C1756" s="1783" t="s">
        <v>207</v>
      </c>
      <c r="D1756" s="1784"/>
      <c r="E1756" s="1785">
        <v>108.5</v>
      </c>
      <c r="F1756" s="1795" t="s">
        <v>50</v>
      </c>
      <c r="G1756" s="1795" t="s">
        <v>1909</v>
      </c>
      <c r="H1756" s="1795">
        <v>3.4</v>
      </c>
      <c r="I1756" s="1796" t="s">
        <v>206</v>
      </c>
      <c r="J1756" s="1797"/>
      <c r="K1756" s="1797"/>
      <c r="L1756" s="1796">
        <v>130</v>
      </c>
      <c r="M1756" s="1795">
        <v>21.5</v>
      </c>
      <c r="N1756" s="1798">
        <v>8</v>
      </c>
      <c r="O1756" s="644"/>
      <c r="P1756" s="487"/>
      <c r="Q1756" s="487"/>
      <c r="R1756" s="487"/>
      <c r="S1756" s="487"/>
      <c r="T1756" s="487"/>
      <c r="U1756" s="487"/>
    </row>
    <row r="1757" spans="1:21" s="688" customFormat="1">
      <c r="A1757" s="736"/>
      <c r="B1757" s="1272" t="s">
        <v>208</v>
      </c>
      <c r="C1757" s="1273" t="s">
        <v>581</v>
      </c>
      <c r="D1757" s="1274"/>
      <c r="E1757" s="1255">
        <v>85.7</v>
      </c>
      <c r="F1757" s="683" t="s">
        <v>50</v>
      </c>
      <c r="G1757" s="683"/>
      <c r="H1757" s="683"/>
      <c r="I1757" s="689"/>
      <c r="J1757" s="685"/>
      <c r="K1757" s="685"/>
      <c r="L1757" s="689">
        <f>E1757+M1757</f>
        <v>145.69999999999999</v>
      </c>
      <c r="M1757" s="683">
        <v>60</v>
      </c>
      <c r="N1757" s="706"/>
      <c r="O1757" s="711"/>
      <c r="P1757" s="696"/>
      <c r="Q1757" s="696"/>
      <c r="R1757" s="696"/>
      <c r="S1757" s="696"/>
      <c r="T1757" s="696"/>
      <c r="U1757" s="696"/>
    </row>
    <row r="1758" spans="1:21" s="445" customFormat="1">
      <c r="A1758" s="1828"/>
      <c r="B1758" s="1790" t="s">
        <v>642</v>
      </c>
      <c r="C1758" s="1783" t="s">
        <v>665</v>
      </c>
      <c r="D1758" s="1784"/>
      <c r="E1758" s="1785">
        <v>123</v>
      </c>
      <c r="F1758" s="1787" t="s">
        <v>50</v>
      </c>
      <c r="G1758" s="1795" t="s">
        <v>1909</v>
      </c>
      <c r="H1758" s="1787" t="s">
        <v>420</v>
      </c>
      <c r="I1758" s="1801"/>
      <c r="J1758" s="1801"/>
      <c r="K1758" s="1801"/>
      <c r="L1758" s="1801">
        <v>133</v>
      </c>
      <c r="M1758" s="1787">
        <v>10</v>
      </c>
      <c r="N1758" s="1789">
        <v>5</v>
      </c>
      <c r="O1758" s="644"/>
      <c r="P1758" s="487"/>
      <c r="Q1758" s="487"/>
      <c r="R1758" s="487"/>
      <c r="S1758" s="487"/>
      <c r="T1758" s="487"/>
      <c r="U1758" s="487"/>
    </row>
    <row r="1759" spans="1:21" s="445" customFormat="1">
      <c r="A1759" s="1828"/>
      <c r="B1759" s="1790" t="s">
        <v>1488</v>
      </c>
      <c r="C1759" s="1783" t="s">
        <v>1487</v>
      </c>
      <c r="D1759" s="1784"/>
      <c r="E1759" s="1785"/>
      <c r="F1759" s="1787"/>
      <c r="G1759" s="1795" t="s">
        <v>1909</v>
      </c>
      <c r="H1759" s="1787"/>
      <c r="I1759" s="1801"/>
      <c r="J1759" s="1801"/>
      <c r="K1759" s="1801"/>
      <c r="L1759" s="1801"/>
      <c r="M1759" s="1787"/>
      <c r="N1759" s="1789"/>
      <c r="O1759" s="480"/>
      <c r="P1759" s="487"/>
      <c r="Q1759" s="487"/>
      <c r="R1759" s="487"/>
      <c r="S1759" s="487"/>
      <c r="T1759" s="487"/>
      <c r="U1759" s="487"/>
    </row>
    <row r="1760" spans="1:21" s="688" customFormat="1">
      <c r="A1760" s="705" t="s">
        <v>1536</v>
      </c>
      <c r="B1760" s="1272" t="s">
        <v>642</v>
      </c>
      <c r="C1760" s="1273" t="s">
        <v>400</v>
      </c>
      <c r="D1760" s="1274"/>
      <c r="E1760" s="1255">
        <v>87.5</v>
      </c>
      <c r="F1760" s="683" t="s">
        <v>50</v>
      </c>
      <c r="G1760" s="1795" t="s">
        <v>1909</v>
      </c>
      <c r="H1760" s="683">
        <v>5.9</v>
      </c>
      <c r="I1760" s="689" t="s">
        <v>206</v>
      </c>
      <c r="J1760" s="685"/>
      <c r="K1760" s="685"/>
      <c r="L1760" s="689">
        <v>150</v>
      </c>
      <c r="M1760" s="683">
        <v>62.5</v>
      </c>
      <c r="N1760" s="686">
        <v>5</v>
      </c>
      <c r="O1760" s="682"/>
      <c r="P1760" s="687"/>
    </row>
    <row r="1761" spans="1:21" s="445" customFormat="1">
      <c r="A1761" s="1828" t="s">
        <v>1055</v>
      </c>
      <c r="B1761" s="1790" t="s">
        <v>642</v>
      </c>
      <c r="C1761" s="1783" t="s">
        <v>1054</v>
      </c>
      <c r="D1761" s="1784"/>
      <c r="E1761" s="1785">
        <v>70</v>
      </c>
      <c r="F1761" s="1787" t="s">
        <v>50</v>
      </c>
      <c r="G1761" s="1795" t="s">
        <v>1909</v>
      </c>
      <c r="H1761" s="1787">
        <v>5.9</v>
      </c>
      <c r="I1761" s="1801" t="s">
        <v>206</v>
      </c>
      <c r="J1761" s="1801"/>
      <c r="K1761" s="1801"/>
      <c r="L1761" s="1801">
        <v>100</v>
      </c>
      <c r="M1761" s="1787">
        <v>30</v>
      </c>
      <c r="N1761" s="1789">
        <v>4</v>
      </c>
      <c r="O1761" s="480"/>
      <c r="P1761" s="487"/>
      <c r="Q1761" s="487"/>
      <c r="R1761" s="487"/>
      <c r="S1761" s="487"/>
      <c r="T1761" s="487"/>
      <c r="U1761" s="487"/>
    </row>
    <row r="1762" spans="1:21" s="305" customFormat="1">
      <c r="A1762" s="1858" t="s">
        <v>3618</v>
      </c>
      <c r="B1762" s="1286" t="s">
        <v>1296</v>
      </c>
      <c r="C1762" s="2792" t="s">
        <v>3371</v>
      </c>
      <c r="D1762" s="2793"/>
      <c r="E1762" s="1851">
        <v>60</v>
      </c>
      <c r="F1762" s="663" t="s">
        <v>3615</v>
      </c>
      <c r="G1762" s="1319"/>
      <c r="H1762" s="1319"/>
      <c r="I1762" s="1853" t="s">
        <v>3418</v>
      </c>
      <c r="J1762" s="1321"/>
      <c r="K1762" s="1321"/>
      <c r="L1762" s="1853">
        <f>E1762+M1762</f>
        <v>90</v>
      </c>
      <c r="M1762" s="1852">
        <v>30</v>
      </c>
      <c r="N1762" s="669">
        <v>10</v>
      </c>
      <c r="O1762" s="645"/>
      <c r="P1762" s="297"/>
      <c r="Q1762" s="297"/>
      <c r="R1762" s="297"/>
      <c r="S1762" s="297"/>
      <c r="T1762" s="297"/>
      <c r="U1762" s="297"/>
    </row>
    <row r="1763" spans="1:21" s="305" customFormat="1">
      <c r="A1763" s="1858" t="s">
        <v>3617</v>
      </c>
      <c r="B1763" s="1286" t="s">
        <v>1296</v>
      </c>
      <c r="C1763" s="2792" t="s">
        <v>3371</v>
      </c>
      <c r="D1763" s="2793"/>
      <c r="E1763" s="1851">
        <v>55</v>
      </c>
      <c r="F1763" s="663" t="s">
        <v>3615</v>
      </c>
      <c r="G1763" s="1319"/>
      <c r="H1763" s="1319"/>
      <c r="I1763" s="1853" t="s">
        <v>3418</v>
      </c>
      <c r="J1763" s="1321"/>
      <c r="K1763" s="1321"/>
      <c r="L1763" s="1853">
        <f>E1763+M1763</f>
        <v>85</v>
      </c>
      <c r="M1763" s="1852">
        <v>30</v>
      </c>
      <c r="N1763" s="669">
        <v>10</v>
      </c>
      <c r="O1763" s="645"/>
      <c r="P1763" s="297"/>
      <c r="Q1763" s="297"/>
      <c r="R1763" s="297"/>
      <c r="S1763" s="297"/>
      <c r="T1763" s="297"/>
      <c r="U1763" s="297"/>
    </row>
    <row r="1764" spans="1:21" s="305" customFormat="1">
      <c r="A1764" s="1858" t="s">
        <v>3616</v>
      </c>
      <c r="B1764" s="1286" t="s">
        <v>1296</v>
      </c>
      <c r="C1764" s="2792" t="s">
        <v>3371</v>
      </c>
      <c r="D1764" s="2793"/>
      <c r="E1764" s="1851">
        <v>55</v>
      </c>
      <c r="F1764" s="663" t="s">
        <v>3615</v>
      </c>
      <c r="G1764" s="1319"/>
      <c r="H1764" s="1319"/>
      <c r="I1764" s="1853" t="s">
        <v>3418</v>
      </c>
      <c r="J1764" s="1321"/>
      <c r="K1764" s="1321"/>
      <c r="L1764" s="1853">
        <f>E1764+M1764</f>
        <v>85</v>
      </c>
      <c r="M1764" s="1852">
        <v>30</v>
      </c>
      <c r="N1764" s="669">
        <v>10</v>
      </c>
      <c r="O1764" s="645"/>
      <c r="P1764" s="297"/>
      <c r="Q1764" s="297"/>
      <c r="R1764" s="297"/>
      <c r="S1764" s="297"/>
      <c r="T1764" s="297"/>
      <c r="U1764" s="297"/>
    </row>
    <row r="1765" spans="1:21" s="456" customFormat="1">
      <c r="A1765" s="1828"/>
      <c r="B1765" s="1790" t="s">
        <v>191</v>
      </c>
      <c r="C1765" s="1783" t="s">
        <v>221</v>
      </c>
      <c r="D1765" s="1784"/>
      <c r="E1765" s="1785">
        <v>75</v>
      </c>
      <c r="F1765" s="1787" t="s">
        <v>50</v>
      </c>
      <c r="G1765" s="1795" t="s">
        <v>2069</v>
      </c>
      <c r="H1765" s="1787" t="s">
        <v>51</v>
      </c>
      <c r="I1765" s="1801"/>
      <c r="J1765" s="1801"/>
      <c r="K1765" s="1801"/>
      <c r="L1765" s="1801">
        <v>130</v>
      </c>
      <c r="M1765" s="1787">
        <v>55</v>
      </c>
      <c r="N1765" s="1789">
        <v>6</v>
      </c>
      <c r="O1765" s="645"/>
      <c r="P1765" s="479"/>
      <c r="Q1765" s="479"/>
      <c r="R1765" s="479"/>
      <c r="S1765" s="479"/>
      <c r="T1765" s="479"/>
      <c r="U1765" s="479"/>
    </row>
    <row r="1766" spans="1:21" s="456" customFormat="1">
      <c r="A1766" s="1828"/>
      <c r="B1766" s="1790" t="s">
        <v>191</v>
      </c>
      <c r="C1766" s="1783" t="s">
        <v>221</v>
      </c>
      <c r="D1766" s="1784"/>
      <c r="E1766" s="1785">
        <v>65</v>
      </c>
      <c r="F1766" s="1787" t="s">
        <v>50</v>
      </c>
      <c r="G1766" s="1795" t="s">
        <v>1909</v>
      </c>
      <c r="H1766" s="1787"/>
      <c r="I1766" s="1801"/>
      <c r="J1766" s="1801"/>
      <c r="K1766" s="1801"/>
      <c r="L1766" s="1801">
        <v>120</v>
      </c>
      <c r="M1766" s="1787">
        <v>55</v>
      </c>
      <c r="N1766" s="1789">
        <v>6</v>
      </c>
      <c r="O1766" s="645"/>
      <c r="P1766" s="479"/>
      <c r="Q1766" s="479"/>
      <c r="R1766" s="479"/>
      <c r="S1766" s="479"/>
      <c r="T1766" s="479"/>
      <c r="U1766" s="479"/>
    </row>
    <row r="1767" spans="1:21" s="456" customFormat="1">
      <c r="A1767" s="1781"/>
      <c r="B1767" s="1790" t="s">
        <v>191</v>
      </c>
      <c r="C1767" s="1783" t="s">
        <v>222</v>
      </c>
      <c r="D1767" s="1784"/>
      <c r="E1767" s="1785">
        <v>39</v>
      </c>
      <c r="F1767" s="1787" t="s">
        <v>50</v>
      </c>
      <c r="G1767" s="1795" t="s">
        <v>1909</v>
      </c>
      <c r="H1767" s="1787"/>
      <c r="I1767" s="1801"/>
      <c r="J1767" s="1801"/>
      <c r="K1767" s="1801"/>
      <c r="L1767" s="1801">
        <v>65</v>
      </c>
      <c r="M1767" s="1787">
        <v>26</v>
      </c>
      <c r="N1767" s="1789">
        <v>2</v>
      </c>
      <c r="O1767" s="645"/>
      <c r="P1767" s="479"/>
      <c r="Q1767" s="479"/>
      <c r="R1767" s="479"/>
      <c r="S1767" s="479"/>
      <c r="T1767" s="479"/>
      <c r="U1767" s="479"/>
    </row>
    <row r="1768" spans="1:21" s="305" customFormat="1">
      <c r="A1768" s="1858" t="s">
        <v>3610</v>
      </c>
      <c r="B1768" s="1286" t="s">
        <v>483</v>
      </c>
      <c r="C1768" s="2792" t="s">
        <v>646</v>
      </c>
      <c r="D1768" s="2793"/>
      <c r="E1768" s="1851">
        <v>83</v>
      </c>
      <c r="F1768" s="663" t="s">
        <v>50</v>
      </c>
      <c r="G1768" s="663" t="s">
        <v>3614</v>
      </c>
      <c r="H1768" s="283"/>
      <c r="I1768" s="671" t="s">
        <v>3418</v>
      </c>
      <c r="J1768" s="293"/>
      <c r="K1768" s="292"/>
      <c r="L1768" s="666">
        <f t="shared" ref="L1768:L1773" si="83">M1768+E1768</f>
        <v>134</v>
      </c>
      <c r="M1768" s="663">
        <v>51</v>
      </c>
      <c r="N1768" s="667">
        <v>11</v>
      </c>
      <c r="O1768" s="645"/>
      <c r="P1768" s="2403" t="s">
        <v>3753</v>
      </c>
      <c r="Q1768" s="297"/>
      <c r="R1768" s="297"/>
      <c r="S1768" s="297"/>
      <c r="T1768" s="297"/>
      <c r="U1768" s="297"/>
    </row>
    <row r="1769" spans="1:21" s="305" customFormat="1">
      <c r="A1769" s="1858" t="s">
        <v>3611</v>
      </c>
      <c r="B1769" s="1286" t="s">
        <v>483</v>
      </c>
      <c r="C1769" s="2792" t="s">
        <v>646</v>
      </c>
      <c r="D1769" s="2793"/>
      <c r="E1769" s="1851">
        <v>58</v>
      </c>
      <c r="F1769" s="663" t="s">
        <v>50</v>
      </c>
      <c r="G1769" s="663" t="s">
        <v>3614</v>
      </c>
      <c r="H1769" s="283"/>
      <c r="I1769" s="671" t="s">
        <v>3418</v>
      </c>
      <c r="J1769" s="293"/>
      <c r="K1769" s="292"/>
      <c r="L1769" s="666">
        <f t="shared" si="83"/>
        <v>99</v>
      </c>
      <c r="M1769" s="663">
        <v>41</v>
      </c>
      <c r="N1769" s="667">
        <v>11</v>
      </c>
      <c r="O1769" s="645"/>
      <c r="P1769" s="2403" t="s">
        <v>3753</v>
      </c>
      <c r="Q1769" s="297"/>
      <c r="R1769" s="297"/>
      <c r="S1769" s="297"/>
      <c r="T1769" s="297"/>
      <c r="U1769" s="297"/>
    </row>
    <row r="1770" spans="1:21" s="305" customFormat="1">
      <c r="A1770" s="1858" t="s">
        <v>3847</v>
      </c>
      <c r="B1770" s="1286" t="s">
        <v>483</v>
      </c>
      <c r="C1770" s="2792" t="s">
        <v>646</v>
      </c>
      <c r="D1770" s="2793"/>
      <c r="E1770" s="1851">
        <v>64</v>
      </c>
      <c r="F1770" s="663" t="s">
        <v>50</v>
      </c>
      <c r="G1770" s="663" t="s">
        <v>3614</v>
      </c>
      <c r="H1770" s="283"/>
      <c r="I1770" s="671" t="s">
        <v>3418</v>
      </c>
      <c r="J1770" s="293"/>
      <c r="K1770" s="292"/>
      <c r="L1770" s="666">
        <f t="shared" si="83"/>
        <v>115</v>
      </c>
      <c r="M1770" s="663">
        <v>51</v>
      </c>
      <c r="N1770" s="667">
        <v>11</v>
      </c>
      <c r="O1770" s="645"/>
      <c r="P1770" s="2403" t="s">
        <v>3753</v>
      </c>
      <c r="Q1770" s="297"/>
      <c r="R1770" s="297"/>
      <c r="S1770" s="297"/>
      <c r="T1770" s="297"/>
      <c r="U1770" s="297"/>
    </row>
    <row r="1771" spans="1:21" s="305" customFormat="1">
      <c r="A1771" s="1858" t="s">
        <v>3848</v>
      </c>
      <c r="B1771" s="1286" t="s">
        <v>483</v>
      </c>
      <c r="C1771" s="2792" t="s">
        <v>646</v>
      </c>
      <c r="D1771" s="2793"/>
      <c r="E1771" s="1851">
        <v>58</v>
      </c>
      <c r="F1771" s="663" t="s">
        <v>50</v>
      </c>
      <c r="G1771" s="663" t="s">
        <v>3614</v>
      </c>
      <c r="H1771" s="283"/>
      <c r="I1771" s="671" t="s">
        <v>3418</v>
      </c>
      <c r="J1771" s="293"/>
      <c r="K1771" s="292"/>
      <c r="L1771" s="666">
        <f t="shared" si="83"/>
        <v>99</v>
      </c>
      <c r="M1771" s="663">
        <v>41</v>
      </c>
      <c r="N1771" s="667">
        <v>11</v>
      </c>
      <c r="O1771" s="645"/>
      <c r="P1771" s="2403" t="s">
        <v>3753</v>
      </c>
      <c r="Q1771" s="297"/>
      <c r="R1771" s="297"/>
      <c r="S1771" s="297"/>
      <c r="T1771" s="297"/>
      <c r="U1771" s="297"/>
    </row>
    <row r="1772" spans="1:21" s="305" customFormat="1">
      <c r="A1772" s="1858" t="s">
        <v>3612</v>
      </c>
      <c r="B1772" s="1286" t="s">
        <v>483</v>
      </c>
      <c r="C1772" s="2792" t="s">
        <v>646</v>
      </c>
      <c r="D1772" s="2793"/>
      <c r="E1772" s="1851">
        <v>60</v>
      </c>
      <c r="F1772" s="663" t="s">
        <v>50</v>
      </c>
      <c r="G1772" s="663" t="s">
        <v>3614</v>
      </c>
      <c r="H1772" s="283"/>
      <c r="I1772" s="671" t="s">
        <v>3418</v>
      </c>
      <c r="J1772" s="293"/>
      <c r="K1772" s="292"/>
      <c r="L1772" s="666">
        <f t="shared" si="83"/>
        <v>111</v>
      </c>
      <c r="M1772" s="663">
        <v>51</v>
      </c>
      <c r="N1772" s="667">
        <v>11</v>
      </c>
      <c r="O1772" s="645"/>
      <c r="P1772" s="2403" t="s">
        <v>3753</v>
      </c>
      <c r="Q1772" s="297"/>
      <c r="R1772" s="297"/>
      <c r="S1772" s="297"/>
      <c r="T1772" s="297"/>
      <c r="U1772" s="297"/>
    </row>
    <row r="1773" spans="1:21" s="305" customFormat="1">
      <c r="A1773" s="1861" t="s">
        <v>3613</v>
      </c>
      <c r="B1773" s="1286" t="s">
        <v>483</v>
      </c>
      <c r="C1773" s="2792" t="s">
        <v>646</v>
      </c>
      <c r="D1773" s="2793"/>
      <c r="E1773" s="1851">
        <v>58</v>
      </c>
      <c r="F1773" s="663" t="s">
        <v>50</v>
      </c>
      <c r="G1773" s="663" t="s">
        <v>3614</v>
      </c>
      <c r="H1773" s="283"/>
      <c r="I1773" s="671" t="s">
        <v>3418</v>
      </c>
      <c r="J1773" s="293"/>
      <c r="K1773" s="292"/>
      <c r="L1773" s="666">
        <f t="shared" si="83"/>
        <v>99</v>
      </c>
      <c r="M1773" s="663">
        <v>41</v>
      </c>
      <c r="N1773" s="667">
        <v>11</v>
      </c>
      <c r="O1773" s="645"/>
      <c r="P1773" s="2403" t="s">
        <v>3753</v>
      </c>
      <c r="Q1773" s="297"/>
      <c r="R1773" s="297"/>
      <c r="S1773" s="297"/>
      <c r="T1773" s="297"/>
      <c r="U1773" s="297"/>
    </row>
    <row r="1774" spans="1:21" s="688" customFormat="1">
      <c r="A1774" s="719"/>
      <c r="B1774" s="1272" t="s">
        <v>2061</v>
      </c>
      <c r="C1774" s="1307" t="s">
        <v>1324</v>
      </c>
      <c r="D1774" s="1308"/>
      <c r="E1774" s="1255">
        <v>128.5</v>
      </c>
      <c r="F1774" s="681"/>
      <c r="G1774" s="681"/>
      <c r="H1774" s="683"/>
      <c r="I1774" s="682"/>
      <c r="J1774" s="682"/>
      <c r="K1774" s="685"/>
      <c r="L1774" s="689">
        <f>105+128.5</f>
        <v>233.5</v>
      </c>
      <c r="M1774" s="681">
        <v>105</v>
      </c>
      <c r="N1774" s="706">
        <v>6</v>
      </c>
      <c r="O1774" s="711"/>
      <c r="P1774" s="696"/>
      <c r="Q1774" s="696"/>
      <c r="R1774" s="696"/>
      <c r="S1774" s="696"/>
      <c r="T1774" s="696"/>
      <c r="U1774" s="696"/>
    </row>
    <row r="1775" spans="1:21" s="305" customFormat="1">
      <c r="A1775" s="1858" t="s">
        <v>4244</v>
      </c>
      <c r="B1775" s="1286" t="s">
        <v>2055</v>
      </c>
      <c r="C1775" s="2792" t="s">
        <v>2054</v>
      </c>
      <c r="D1775" s="2793"/>
      <c r="E1775" s="1851">
        <v>55</v>
      </c>
      <c r="F1775" s="664" t="s">
        <v>50</v>
      </c>
      <c r="G1775" s="663" t="s">
        <v>2738</v>
      </c>
      <c r="H1775" s="283"/>
      <c r="I1775" s="293"/>
      <c r="J1775" s="293"/>
      <c r="K1775" s="292"/>
      <c r="L1775" s="665">
        <v>90</v>
      </c>
      <c r="M1775" s="663">
        <f>L1775-E1775</f>
        <v>35</v>
      </c>
      <c r="N1775" s="667" t="s">
        <v>417</v>
      </c>
      <c r="O1775" s="1856" t="s">
        <v>4227</v>
      </c>
      <c r="P1775" s="2403" t="s">
        <v>4247</v>
      </c>
      <c r="Q1775" s="2403" t="s">
        <v>4248</v>
      </c>
      <c r="R1775" s="297"/>
      <c r="S1775" s="2403" t="s">
        <v>4249</v>
      </c>
      <c r="T1775" s="297"/>
      <c r="U1775" s="297"/>
    </row>
    <row r="1776" spans="1:21" s="305" customFormat="1">
      <c r="A1776" s="1858" t="s">
        <v>4245</v>
      </c>
      <c r="B1776" s="1286" t="s">
        <v>2055</v>
      </c>
      <c r="C1776" s="2792" t="s">
        <v>2054</v>
      </c>
      <c r="D1776" s="2793"/>
      <c r="E1776" s="1851">
        <v>60</v>
      </c>
      <c r="F1776" s="664" t="s">
        <v>50</v>
      </c>
      <c r="G1776" s="663" t="s">
        <v>2738</v>
      </c>
      <c r="H1776" s="283"/>
      <c r="I1776" s="293"/>
      <c r="J1776" s="293"/>
      <c r="K1776" s="292"/>
      <c r="L1776" s="665">
        <v>100</v>
      </c>
      <c r="M1776" s="663">
        <f>L1776-E1776</f>
        <v>40</v>
      </c>
      <c r="N1776" s="667" t="s">
        <v>417</v>
      </c>
      <c r="O1776" s="1856" t="s">
        <v>4227</v>
      </c>
      <c r="P1776" s="2403" t="s">
        <v>4247</v>
      </c>
      <c r="Q1776" s="2403" t="s">
        <v>4248</v>
      </c>
      <c r="R1776" s="297"/>
      <c r="S1776" s="2403" t="s">
        <v>4249</v>
      </c>
      <c r="T1776" s="297"/>
      <c r="U1776" s="297"/>
    </row>
    <row r="1777" spans="1:21" s="305" customFormat="1">
      <c r="A1777" s="1858" t="s">
        <v>4246</v>
      </c>
      <c r="B1777" s="1286" t="s">
        <v>2055</v>
      </c>
      <c r="C1777" s="2792" t="s">
        <v>2054</v>
      </c>
      <c r="D1777" s="2793"/>
      <c r="E1777" s="1851">
        <v>77</v>
      </c>
      <c r="F1777" s="664" t="s">
        <v>50</v>
      </c>
      <c r="G1777" s="663" t="s">
        <v>2738</v>
      </c>
      <c r="H1777" s="283"/>
      <c r="I1777" s="293"/>
      <c r="J1777" s="293"/>
      <c r="K1777" s="292"/>
      <c r="L1777" s="665">
        <v>140</v>
      </c>
      <c r="M1777" s="663">
        <f>L1777-E1777</f>
        <v>63</v>
      </c>
      <c r="N1777" s="667" t="s">
        <v>417</v>
      </c>
      <c r="O1777" s="1856" t="s">
        <v>4227</v>
      </c>
      <c r="P1777" s="2403" t="s">
        <v>4247</v>
      </c>
      <c r="Q1777" s="2403" t="s">
        <v>4248</v>
      </c>
      <c r="R1777" s="297"/>
      <c r="S1777" s="2403" t="s">
        <v>4249</v>
      </c>
      <c r="T1777" s="297"/>
      <c r="U1777" s="297"/>
    </row>
    <row r="1778" spans="1:21" s="305" customFormat="1">
      <c r="A1778" s="1858" t="s">
        <v>4474</v>
      </c>
      <c r="B1778" s="1286" t="s">
        <v>643</v>
      </c>
      <c r="C1778" s="1280" t="s">
        <v>2739</v>
      </c>
      <c r="D1778" s="1281"/>
      <c r="E1778" s="1851">
        <v>112.5</v>
      </c>
      <c r="F1778" s="664" t="s">
        <v>50</v>
      </c>
      <c r="G1778" s="283"/>
      <c r="H1778" s="664">
        <v>4.75</v>
      </c>
      <c r="I1778" s="665" t="s">
        <v>206</v>
      </c>
      <c r="J1778" s="292"/>
      <c r="K1778" s="292"/>
      <c r="L1778" s="665">
        <f>M1778+E1778</f>
        <v>175</v>
      </c>
      <c r="M1778" s="664">
        <v>62.5</v>
      </c>
      <c r="N1778" s="667">
        <v>12</v>
      </c>
      <c r="O1778" s="1856" t="s">
        <v>3880</v>
      </c>
      <c r="P1778" s="297"/>
      <c r="Q1778" s="2403" t="s">
        <v>2765</v>
      </c>
      <c r="R1778" s="297"/>
      <c r="S1778" s="297"/>
      <c r="T1778" s="297"/>
      <c r="U1778" s="297"/>
    </row>
    <row r="1779" spans="1:21" s="305" customFormat="1">
      <c r="A1779" s="1858" t="s">
        <v>4470</v>
      </c>
      <c r="B1779" s="1286" t="s">
        <v>643</v>
      </c>
      <c r="C1779" s="1280" t="s">
        <v>2739</v>
      </c>
      <c r="D1779" s="1281"/>
      <c r="E1779" s="1851">
        <v>127.5</v>
      </c>
      <c r="F1779" s="664" t="s">
        <v>50</v>
      </c>
      <c r="G1779" s="283"/>
      <c r="H1779" s="664">
        <v>4.75</v>
      </c>
      <c r="I1779" s="665" t="s">
        <v>206</v>
      </c>
      <c r="J1779" s="292"/>
      <c r="K1779" s="292"/>
      <c r="L1779" s="665">
        <f t="shared" ref="L1779:L1784" si="84">M1779+E1779</f>
        <v>190</v>
      </c>
      <c r="M1779" s="664">
        <v>62.5</v>
      </c>
      <c r="N1779" s="667">
        <v>12</v>
      </c>
      <c r="O1779" s="1856" t="s">
        <v>3880</v>
      </c>
      <c r="P1779" s="297"/>
      <c r="Q1779" s="2403" t="s">
        <v>2765</v>
      </c>
      <c r="R1779" s="297"/>
      <c r="S1779" s="297"/>
      <c r="T1779" s="297"/>
      <c r="U1779" s="297"/>
    </row>
    <row r="1780" spans="1:21" s="305" customFormat="1">
      <c r="A1780" s="1858" t="s">
        <v>4473</v>
      </c>
      <c r="B1780" s="1286" t="s">
        <v>643</v>
      </c>
      <c r="C1780" s="1280" t="s">
        <v>2739</v>
      </c>
      <c r="D1780" s="1281"/>
      <c r="E1780" s="1851">
        <v>162.5</v>
      </c>
      <c r="F1780" s="664" t="s">
        <v>50</v>
      </c>
      <c r="G1780" s="283"/>
      <c r="H1780" s="664">
        <v>4.75</v>
      </c>
      <c r="I1780" s="665" t="s">
        <v>206</v>
      </c>
      <c r="J1780" s="292"/>
      <c r="K1780" s="292"/>
      <c r="L1780" s="665">
        <f t="shared" si="84"/>
        <v>225</v>
      </c>
      <c r="M1780" s="664">
        <v>62.5</v>
      </c>
      <c r="N1780" s="667">
        <v>12</v>
      </c>
      <c r="O1780" s="1856" t="s">
        <v>3880</v>
      </c>
      <c r="P1780" s="297"/>
      <c r="Q1780" s="2403" t="s">
        <v>2765</v>
      </c>
      <c r="R1780" s="297"/>
      <c r="S1780" s="297"/>
      <c r="T1780" s="297"/>
      <c r="U1780" s="297"/>
    </row>
    <row r="1781" spans="1:21" s="305" customFormat="1">
      <c r="A1781" s="1858" t="s">
        <v>4471</v>
      </c>
      <c r="B1781" s="1286" t="s">
        <v>643</v>
      </c>
      <c r="C1781" s="1280" t="s">
        <v>2739</v>
      </c>
      <c r="D1781" s="1281"/>
      <c r="E1781" s="1851">
        <v>202.5</v>
      </c>
      <c r="F1781" s="664" t="s">
        <v>50</v>
      </c>
      <c r="G1781" s="283"/>
      <c r="H1781" s="664">
        <v>4.75</v>
      </c>
      <c r="I1781" s="665" t="s">
        <v>206</v>
      </c>
      <c r="J1781" s="292"/>
      <c r="K1781" s="292"/>
      <c r="L1781" s="665">
        <f t="shared" si="84"/>
        <v>265</v>
      </c>
      <c r="M1781" s="664">
        <v>62.5</v>
      </c>
      <c r="N1781" s="667">
        <v>12</v>
      </c>
      <c r="O1781" s="1856" t="s">
        <v>3880</v>
      </c>
      <c r="P1781" s="297"/>
      <c r="Q1781" s="2403" t="s">
        <v>2765</v>
      </c>
      <c r="R1781" s="297"/>
      <c r="S1781" s="297"/>
      <c r="T1781" s="297"/>
      <c r="U1781" s="297"/>
    </row>
    <row r="1782" spans="1:21" s="305" customFormat="1">
      <c r="A1782" s="1858" t="s">
        <v>4472</v>
      </c>
      <c r="B1782" s="1286" t="s">
        <v>643</v>
      </c>
      <c r="C1782" s="1280" t="s">
        <v>2739</v>
      </c>
      <c r="D1782" s="1281"/>
      <c r="E1782" s="1851">
        <v>192.5</v>
      </c>
      <c r="F1782" s="664" t="s">
        <v>50</v>
      </c>
      <c r="G1782" s="283"/>
      <c r="H1782" s="664">
        <v>4.75</v>
      </c>
      <c r="I1782" s="665" t="s">
        <v>206</v>
      </c>
      <c r="J1782" s="292"/>
      <c r="K1782" s="292"/>
      <c r="L1782" s="665">
        <f t="shared" si="84"/>
        <v>255</v>
      </c>
      <c r="M1782" s="664">
        <v>62.5</v>
      </c>
      <c r="N1782" s="667">
        <v>12</v>
      </c>
      <c r="O1782" s="1856" t="s">
        <v>3880</v>
      </c>
      <c r="P1782" s="297"/>
      <c r="Q1782" s="2403" t="s">
        <v>2765</v>
      </c>
      <c r="R1782" s="297"/>
      <c r="S1782" s="297"/>
      <c r="T1782" s="297"/>
      <c r="U1782" s="297"/>
    </row>
    <row r="1783" spans="1:21" s="305" customFormat="1">
      <c r="A1783" s="1858" t="s">
        <v>4475</v>
      </c>
      <c r="B1783" s="1286" t="s">
        <v>643</v>
      </c>
      <c r="C1783" s="1280" t="s">
        <v>2739</v>
      </c>
      <c r="D1783" s="1281"/>
      <c r="E1783" s="1851">
        <v>107.5</v>
      </c>
      <c r="F1783" s="664" t="s">
        <v>50</v>
      </c>
      <c r="G1783" s="283"/>
      <c r="H1783" s="664">
        <v>4.75</v>
      </c>
      <c r="I1783" s="665" t="s">
        <v>206</v>
      </c>
      <c r="J1783" s="292"/>
      <c r="K1783" s="292"/>
      <c r="L1783" s="665">
        <f t="shared" si="84"/>
        <v>170</v>
      </c>
      <c r="M1783" s="664">
        <v>62.5</v>
      </c>
      <c r="N1783" s="667">
        <v>12</v>
      </c>
      <c r="O1783" s="1856" t="s">
        <v>3880</v>
      </c>
      <c r="P1783" s="297"/>
      <c r="Q1783" s="2403" t="s">
        <v>2765</v>
      </c>
      <c r="R1783" s="297"/>
      <c r="S1783" s="297"/>
      <c r="T1783" s="297"/>
      <c r="U1783" s="297"/>
    </row>
    <row r="1784" spans="1:21" s="305" customFormat="1">
      <c r="A1784" s="1858" t="s">
        <v>4476</v>
      </c>
      <c r="B1784" s="1286" t="s">
        <v>643</v>
      </c>
      <c r="C1784" s="1280" t="s">
        <v>2739</v>
      </c>
      <c r="D1784" s="1281"/>
      <c r="E1784" s="1851">
        <v>205</v>
      </c>
      <c r="F1784" s="664" t="s">
        <v>50</v>
      </c>
      <c r="G1784" s="283"/>
      <c r="H1784" s="664">
        <v>4.75</v>
      </c>
      <c r="I1784" s="665" t="s">
        <v>206</v>
      </c>
      <c r="J1784" s="292"/>
      <c r="K1784" s="292"/>
      <c r="L1784" s="665">
        <f t="shared" si="84"/>
        <v>270</v>
      </c>
      <c r="M1784" s="664">
        <v>65</v>
      </c>
      <c r="N1784" s="667">
        <v>12</v>
      </c>
      <c r="O1784" s="1856" t="s">
        <v>3880</v>
      </c>
      <c r="P1784" s="297"/>
      <c r="Q1784" s="2403" t="s">
        <v>2765</v>
      </c>
      <c r="R1784" s="297"/>
      <c r="S1784" s="297"/>
      <c r="T1784" s="297"/>
      <c r="U1784" s="297"/>
    </row>
    <row r="1785" spans="1:21" s="305" customFormat="1">
      <c r="A1785" s="1858" t="s">
        <v>4085</v>
      </c>
      <c r="B1785" s="1286" t="s">
        <v>643</v>
      </c>
      <c r="C1785" s="1280" t="s">
        <v>396</v>
      </c>
      <c r="D1785" s="1312"/>
      <c r="E1785" s="1851" t="s">
        <v>719</v>
      </c>
      <c r="F1785" s="283"/>
      <c r="G1785" s="288"/>
      <c r="H1785" s="283"/>
      <c r="I1785" s="289"/>
      <c r="J1785" s="292"/>
      <c r="K1785" s="292"/>
      <c r="L1785" s="289"/>
      <c r="M1785" s="283"/>
      <c r="N1785" s="634"/>
      <c r="O1785" s="645"/>
      <c r="P1785" s="297"/>
      <c r="Q1785" s="297"/>
      <c r="R1785" s="297"/>
      <c r="S1785" s="297"/>
      <c r="T1785" s="297"/>
      <c r="U1785" s="297"/>
    </row>
    <row r="1786" spans="1:21" s="305" customFormat="1">
      <c r="A1786" s="1858" t="s">
        <v>4079</v>
      </c>
      <c r="B1786" s="1286" t="s">
        <v>643</v>
      </c>
      <c r="C1786" s="1280" t="s">
        <v>396</v>
      </c>
      <c r="D1786" s="1312"/>
      <c r="E1786" s="1851">
        <v>95</v>
      </c>
      <c r="F1786" s="664" t="s">
        <v>4084</v>
      </c>
      <c r="G1786" s="663" t="s">
        <v>4086</v>
      </c>
      <c r="H1786" s="664">
        <v>4.75</v>
      </c>
      <c r="I1786" s="665" t="s">
        <v>206</v>
      </c>
      <c r="J1786" s="292"/>
      <c r="K1786" s="292"/>
      <c r="L1786" s="665">
        <v>115</v>
      </c>
      <c r="M1786" s="664">
        <f>L1786-E1786</f>
        <v>20</v>
      </c>
      <c r="N1786" s="667">
        <v>5</v>
      </c>
      <c r="O1786" s="1856" t="s">
        <v>3880</v>
      </c>
      <c r="P1786" s="297"/>
      <c r="Q1786" s="2403" t="s">
        <v>4082</v>
      </c>
      <c r="R1786" s="297"/>
      <c r="S1786" s="297"/>
      <c r="T1786" s="297"/>
      <c r="U1786" s="297"/>
    </row>
    <row r="1787" spans="1:21" s="305" customFormat="1">
      <c r="A1787" s="1858" t="s">
        <v>4080</v>
      </c>
      <c r="B1787" s="1286" t="s">
        <v>643</v>
      </c>
      <c r="C1787" s="1280" t="s">
        <v>396</v>
      </c>
      <c r="D1787" s="1312"/>
      <c r="E1787" s="1851">
        <v>110</v>
      </c>
      <c r="F1787" s="664" t="s">
        <v>4083</v>
      </c>
      <c r="G1787" s="663" t="s">
        <v>4086</v>
      </c>
      <c r="H1787" s="664">
        <v>4.75</v>
      </c>
      <c r="I1787" s="665" t="s">
        <v>206</v>
      </c>
      <c r="J1787" s="292"/>
      <c r="K1787" s="292"/>
      <c r="L1787" s="665">
        <v>130</v>
      </c>
      <c r="M1787" s="664">
        <f>L1787-E1787</f>
        <v>20</v>
      </c>
      <c r="N1787" s="667">
        <v>5</v>
      </c>
      <c r="O1787" s="1856" t="s">
        <v>3880</v>
      </c>
      <c r="P1787" s="297"/>
      <c r="Q1787" s="2403" t="s">
        <v>4082</v>
      </c>
      <c r="R1787" s="297"/>
      <c r="S1787" s="297"/>
      <c r="T1787" s="297"/>
      <c r="U1787" s="297"/>
    </row>
    <row r="1788" spans="1:21" s="305" customFormat="1">
      <c r="A1788" s="1858" t="s">
        <v>4081</v>
      </c>
      <c r="B1788" s="1286" t="s">
        <v>643</v>
      </c>
      <c r="C1788" s="1280" t="s">
        <v>396</v>
      </c>
      <c r="D1788" s="1312"/>
      <c r="E1788" s="1851">
        <v>140</v>
      </c>
      <c r="F1788" s="664" t="s">
        <v>4083</v>
      </c>
      <c r="G1788" s="663" t="s">
        <v>4086</v>
      </c>
      <c r="H1788" s="664">
        <v>4.75</v>
      </c>
      <c r="I1788" s="665" t="s">
        <v>206</v>
      </c>
      <c r="J1788" s="292"/>
      <c r="K1788" s="292"/>
      <c r="L1788" s="665">
        <v>160</v>
      </c>
      <c r="M1788" s="664">
        <f>L1788-E1788</f>
        <v>20</v>
      </c>
      <c r="N1788" s="667">
        <v>5</v>
      </c>
      <c r="O1788" s="1856" t="s">
        <v>3880</v>
      </c>
      <c r="P1788" s="297"/>
      <c r="Q1788" s="2403" t="s">
        <v>4082</v>
      </c>
      <c r="R1788" s="297"/>
      <c r="S1788" s="297"/>
      <c r="T1788" s="297"/>
      <c r="U1788" s="297"/>
    </row>
    <row r="1789" spans="1:21" s="688" customFormat="1">
      <c r="A1789" s="719" t="s">
        <v>2064</v>
      </c>
      <c r="B1789" s="1272" t="s">
        <v>643</v>
      </c>
      <c r="C1789" s="1273" t="s">
        <v>1452</v>
      </c>
      <c r="D1789" s="1274"/>
      <c r="E1789" s="1255">
        <v>109</v>
      </c>
      <c r="F1789" s="683" t="s">
        <v>50</v>
      </c>
      <c r="G1789" s="683"/>
      <c r="H1789" s="683"/>
      <c r="I1789" s="689"/>
      <c r="J1789" s="685"/>
      <c r="K1789" s="685"/>
      <c r="L1789" s="689">
        <f>M1789+E1789</f>
        <v>169</v>
      </c>
      <c r="M1789" s="683">
        <v>60</v>
      </c>
      <c r="N1789" s="706">
        <v>6</v>
      </c>
      <c r="O1789" s="711"/>
      <c r="P1789" s="696"/>
      <c r="Q1789" s="696"/>
      <c r="R1789" s="696"/>
      <c r="S1789" s="696"/>
      <c r="T1789" s="696"/>
      <c r="U1789" s="696"/>
    </row>
    <row r="1790" spans="1:21" s="688" customFormat="1">
      <c r="A1790" s="719" t="s">
        <v>2063</v>
      </c>
      <c r="B1790" s="1272" t="s">
        <v>643</v>
      </c>
      <c r="C1790" s="1273" t="s">
        <v>1452</v>
      </c>
      <c r="D1790" s="1274"/>
      <c r="E1790" s="1255">
        <v>128.19999999999999</v>
      </c>
      <c r="F1790" s="683" t="s">
        <v>50</v>
      </c>
      <c r="G1790" s="683"/>
      <c r="H1790" s="683"/>
      <c r="I1790" s="689"/>
      <c r="J1790" s="685"/>
      <c r="K1790" s="685"/>
      <c r="L1790" s="689">
        <f>M1790+E1790</f>
        <v>208.2</v>
      </c>
      <c r="M1790" s="683">
        <v>80</v>
      </c>
      <c r="N1790" s="706">
        <v>6</v>
      </c>
      <c r="O1790" s="711"/>
      <c r="P1790" s="696"/>
      <c r="Q1790" s="696"/>
      <c r="R1790" s="696"/>
      <c r="S1790" s="696"/>
      <c r="T1790" s="696"/>
      <c r="U1790" s="696"/>
    </row>
    <row r="1791" spans="1:21" s="688" customFormat="1">
      <c r="A1791" s="719" t="s">
        <v>1908</v>
      </c>
      <c r="B1791" s="1272" t="s">
        <v>643</v>
      </c>
      <c r="C1791" s="1273" t="s">
        <v>1453</v>
      </c>
      <c r="D1791" s="1274"/>
      <c r="E1791" s="1255">
        <f>115.8+3.2</f>
        <v>119</v>
      </c>
      <c r="F1791" s="683" t="s">
        <v>50</v>
      </c>
      <c r="G1791" s="683" t="s">
        <v>2071</v>
      </c>
      <c r="H1791" s="683"/>
      <c r="I1791" s="689"/>
      <c r="J1791" s="685"/>
      <c r="K1791" s="685"/>
      <c r="L1791" s="689">
        <f>E1791+M1791</f>
        <v>134</v>
      </c>
      <c r="M1791" s="683">
        <v>15</v>
      </c>
      <c r="N1791" s="706">
        <v>4</v>
      </c>
      <c r="O1791" s="711"/>
      <c r="P1791" s="696"/>
      <c r="Q1791" s="696"/>
      <c r="R1791" s="696"/>
      <c r="S1791" s="696"/>
      <c r="T1791" s="696"/>
      <c r="U1791" s="696"/>
    </row>
    <row r="1792" spans="1:21" s="688" customFormat="1">
      <c r="A1792" s="719" t="s">
        <v>2070</v>
      </c>
      <c r="B1792" s="1272" t="s">
        <v>643</v>
      </c>
      <c r="C1792" s="1273" t="s">
        <v>1453</v>
      </c>
      <c r="D1792" s="1274"/>
      <c r="E1792" s="1255">
        <f>132</f>
        <v>132</v>
      </c>
      <c r="F1792" s="683" t="s">
        <v>50</v>
      </c>
      <c r="G1792" s="683" t="s">
        <v>2071</v>
      </c>
      <c r="H1792" s="683"/>
      <c r="I1792" s="689"/>
      <c r="J1792" s="685"/>
      <c r="K1792" s="685"/>
      <c r="L1792" s="689">
        <f>M1792+E1792</f>
        <v>147</v>
      </c>
      <c r="M1792" s="683">
        <v>15</v>
      </c>
      <c r="N1792" s="706">
        <v>4</v>
      </c>
      <c r="O1792" s="711"/>
      <c r="P1792" s="696"/>
      <c r="Q1792" s="696"/>
      <c r="R1792" s="696"/>
      <c r="S1792" s="696"/>
      <c r="T1792" s="696"/>
      <c r="U1792" s="696"/>
    </row>
    <row r="1793" spans="1:21" s="688" customFormat="1">
      <c r="A1793" s="719"/>
      <c r="B1793" s="1272" t="s">
        <v>2065</v>
      </c>
      <c r="C1793" s="1273" t="s">
        <v>2066</v>
      </c>
      <c r="D1793" s="1274"/>
      <c r="E1793" s="1255">
        <v>97.1</v>
      </c>
      <c r="F1793" s="683" t="s">
        <v>50</v>
      </c>
      <c r="G1793" s="683" t="s">
        <v>2067</v>
      </c>
      <c r="H1793" s="683"/>
      <c r="I1793" s="689"/>
      <c r="J1793" s="685"/>
      <c r="K1793" s="685"/>
      <c r="L1793" s="689">
        <f>E1793+M1793</f>
        <v>172.1</v>
      </c>
      <c r="M1793" s="683">
        <v>75</v>
      </c>
      <c r="N1793" s="706"/>
      <c r="O1793" s="711"/>
      <c r="P1793" s="696"/>
      <c r="Q1793" s="696"/>
      <c r="R1793" s="696"/>
      <c r="S1793" s="696"/>
      <c r="T1793" s="696"/>
      <c r="U1793" s="696"/>
    </row>
    <row r="1794" spans="1:21" s="688" customFormat="1">
      <c r="A1794" s="719" t="s">
        <v>2068</v>
      </c>
      <c r="B1794" s="1272" t="s">
        <v>2065</v>
      </c>
      <c r="C1794" s="1273" t="s">
        <v>2066</v>
      </c>
      <c r="D1794" s="1274"/>
      <c r="E1794" s="1255">
        <f>73+2.1</f>
        <v>75.099999999999994</v>
      </c>
      <c r="F1794" s="683" t="s">
        <v>50</v>
      </c>
      <c r="G1794" s="683" t="s">
        <v>2067</v>
      </c>
      <c r="H1794" s="683"/>
      <c r="I1794" s="689"/>
      <c r="J1794" s="685"/>
      <c r="K1794" s="685"/>
      <c r="L1794" s="689">
        <f>E1794+M1794</f>
        <v>145.1</v>
      </c>
      <c r="M1794" s="683">
        <v>70</v>
      </c>
      <c r="N1794" s="706"/>
      <c r="O1794" s="711"/>
      <c r="P1794" s="696"/>
      <c r="Q1794" s="696"/>
      <c r="R1794" s="696"/>
      <c r="S1794" s="696"/>
      <c r="T1794" s="696"/>
      <c r="U1794" s="696"/>
    </row>
    <row r="1795" spans="1:21" s="456" customFormat="1" ht="15" customHeight="1">
      <c r="A1795" s="664" t="s">
        <v>4326</v>
      </c>
      <c r="B1795" s="1286" t="s">
        <v>643</v>
      </c>
      <c r="C1795" s="1280" t="s">
        <v>2769</v>
      </c>
      <c r="D1795" s="1312"/>
      <c r="E1795" s="1851">
        <v>95</v>
      </c>
      <c r="F1795" s="664" t="s">
        <v>50</v>
      </c>
      <c r="G1795" s="664" t="s">
        <v>4331</v>
      </c>
      <c r="H1795" s="664">
        <v>4.75</v>
      </c>
      <c r="I1795" s="665" t="s">
        <v>206</v>
      </c>
      <c r="J1795" s="292"/>
      <c r="K1795" s="278"/>
      <c r="L1795" s="277">
        <f>M1795+E1795</f>
        <v>115</v>
      </c>
      <c r="M1795" s="276">
        <v>20</v>
      </c>
      <c r="N1795" s="632">
        <v>4</v>
      </c>
      <c r="O1795" s="1856" t="s">
        <v>3880</v>
      </c>
      <c r="P1795" s="696"/>
      <c r="Q1795" s="2403" t="s">
        <v>3953</v>
      </c>
      <c r="R1795" s="696"/>
      <c r="S1795" s="479"/>
      <c r="T1795" s="479"/>
      <c r="U1795" s="479"/>
    </row>
    <row r="1796" spans="1:21" s="456" customFormat="1" ht="15" customHeight="1">
      <c r="A1796" s="664" t="s">
        <v>4327</v>
      </c>
      <c r="B1796" s="1286" t="s">
        <v>643</v>
      </c>
      <c r="C1796" s="1280" t="s">
        <v>2769</v>
      </c>
      <c r="D1796" s="1312"/>
      <c r="E1796" s="1851">
        <v>140</v>
      </c>
      <c r="F1796" s="664" t="s">
        <v>50</v>
      </c>
      <c r="G1796" s="664" t="s">
        <v>4331</v>
      </c>
      <c r="H1796" s="664">
        <v>4.75</v>
      </c>
      <c r="I1796" s="665" t="s">
        <v>206</v>
      </c>
      <c r="J1796" s="292"/>
      <c r="K1796" s="278"/>
      <c r="L1796" s="277">
        <f t="shared" ref="L1796:L1799" si="85">M1796+E1796</f>
        <v>160</v>
      </c>
      <c r="M1796" s="276">
        <v>20</v>
      </c>
      <c r="N1796" s="632">
        <v>4</v>
      </c>
      <c r="O1796" s="1856" t="s">
        <v>3880</v>
      </c>
      <c r="P1796" s="696"/>
      <c r="Q1796" s="2403" t="s">
        <v>3953</v>
      </c>
      <c r="R1796" s="696"/>
      <c r="S1796" s="479"/>
      <c r="T1796" s="479"/>
      <c r="U1796" s="479"/>
    </row>
    <row r="1797" spans="1:21" s="456" customFormat="1" ht="15" customHeight="1">
      <c r="A1797" s="664" t="s">
        <v>4328</v>
      </c>
      <c r="B1797" s="1286" t="s">
        <v>643</v>
      </c>
      <c r="C1797" s="1280" t="s">
        <v>2769</v>
      </c>
      <c r="D1797" s="1312"/>
      <c r="E1797" s="1851">
        <v>125</v>
      </c>
      <c r="F1797" s="664" t="s">
        <v>50</v>
      </c>
      <c r="G1797" s="664" t="s">
        <v>4331</v>
      </c>
      <c r="H1797" s="664">
        <v>4.75</v>
      </c>
      <c r="I1797" s="665" t="s">
        <v>206</v>
      </c>
      <c r="J1797" s="292"/>
      <c r="K1797" s="278"/>
      <c r="L1797" s="277">
        <f t="shared" si="85"/>
        <v>145</v>
      </c>
      <c r="M1797" s="276">
        <v>20</v>
      </c>
      <c r="N1797" s="632">
        <v>4</v>
      </c>
      <c r="O1797" s="1856" t="s">
        <v>3880</v>
      </c>
      <c r="P1797" s="696"/>
      <c r="Q1797" s="2403" t="s">
        <v>3953</v>
      </c>
      <c r="R1797" s="696"/>
      <c r="S1797" s="479"/>
      <c r="T1797" s="479"/>
      <c r="U1797" s="479"/>
    </row>
    <row r="1798" spans="1:21" s="456" customFormat="1" ht="15" customHeight="1">
      <c r="A1798" s="664" t="s">
        <v>4329</v>
      </c>
      <c r="B1798" s="1286" t="s">
        <v>643</v>
      </c>
      <c r="C1798" s="1280" t="s">
        <v>2769</v>
      </c>
      <c r="D1798" s="1312"/>
      <c r="E1798" s="1851">
        <v>152</v>
      </c>
      <c r="F1798" s="664" t="s">
        <v>50</v>
      </c>
      <c r="G1798" s="664" t="s">
        <v>4331</v>
      </c>
      <c r="H1798" s="664">
        <v>4.75</v>
      </c>
      <c r="I1798" s="665" t="s">
        <v>206</v>
      </c>
      <c r="J1798" s="292"/>
      <c r="K1798" s="278"/>
      <c r="L1798" s="277">
        <f t="shared" si="85"/>
        <v>172</v>
      </c>
      <c r="M1798" s="276">
        <v>20</v>
      </c>
      <c r="N1798" s="632">
        <v>4</v>
      </c>
      <c r="O1798" s="1856" t="s">
        <v>3880</v>
      </c>
      <c r="P1798" s="696"/>
      <c r="Q1798" s="2403" t="s">
        <v>3953</v>
      </c>
      <c r="R1798" s="696"/>
      <c r="S1798" s="479"/>
      <c r="T1798" s="479"/>
      <c r="U1798" s="479"/>
    </row>
    <row r="1799" spans="1:21" s="456" customFormat="1" ht="15" customHeight="1">
      <c r="A1799" s="664" t="s">
        <v>4330</v>
      </c>
      <c r="B1799" s="1286" t="s">
        <v>643</v>
      </c>
      <c r="C1799" s="1280" t="s">
        <v>2769</v>
      </c>
      <c r="D1799" s="1312"/>
      <c r="E1799" s="1851">
        <v>145</v>
      </c>
      <c r="F1799" s="664" t="s">
        <v>50</v>
      </c>
      <c r="G1799" s="664" t="s">
        <v>4331</v>
      </c>
      <c r="H1799" s="664">
        <v>4.75</v>
      </c>
      <c r="I1799" s="665" t="s">
        <v>206</v>
      </c>
      <c r="J1799" s="292"/>
      <c r="K1799" s="278"/>
      <c r="L1799" s="277">
        <f t="shared" si="85"/>
        <v>165</v>
      </c>
      <c r="M1799" s="276">
        <v>20</v>
      </c>
      <c r="N1799" s="632">
        <v>4</v>
      </c>
      <c r="O1799" s="1856" t="s">
        <v>3880</v>
      </c>
      <c r="P1799" s="696"/>
      <c r="Q1799" s="2403" t="s">
        <v>3953</v>
      </c>
      <c r="R1799" s="696"/>
      <c r="S1799" s="479"/>
      <c r="T1799" s="479"/>
      <c r="U1799" s="479"/>
    </row>
    <row r="1800" spans="1:21" s="688" customFormat="1">
      <c r="A1800" s="719" t="s">
        <v>1056</v>
      </c>
      <c r="B1800" s="1272" t="s">
        <v>192</v>
      </c>
      <c r="C1800" s="1273" t="s">
        <v>499</v>
      </c>
      <c r="D1800" s="1274"/>
      <c r="E1800" s="1255">
        <v>85</v>
      </c>
      <c r="F1800" s="683" t="s">
        <v>50</v>
      </c>
      <c r="G1800" s="683"/>
      <c r="H1800" s="683"/>
      <c r="I1800" s="689"/>
      <c r="J1800" s="685"/>
      <c r="K1800" s="685"/>
      <c r="L1800" s="689">
        <v>98</v>
      </c>
      <c r="M1800" s="683">
        <v>33</v>
      </c>
      <c r="N1800" s="706">
        <v>6</v>
      </c>
      <c r="O1800" s="711"/>
      <c r="P1800" s="696"/>
      <c r="Q1800" s="696"/>
      <c r="R1800" s="696"/>
      <c r="S1800" s="696"/>
      <c r="T1800" s="696"/>
      <c r="U1800" s="696"/>
    </row>
    <row r="1801" spans="1:21" s="305" customFormat="1">
      <c r="A1801" s="299" t="s">
        <v>2747</v>
      </c>
      <c r="B1801" s="1314" t="s">
        <v>192</v>
      </c>
      <c r="C1801" s="1316" t="s">
        <v>2746</v>
      </c>
      <c r="D1801" s="1312"/>
      <c r="E1801" s="1300">
        <v>120</v>
      </c>
      <c r="F1801" s="283" t="s">
        <v>50</v>
      </c>
      <c r="G1801" s="288"/>
      <c r="H1801" s="283"/>
      <c r="I1801" s="289"/>
      <c r="J1801" s="292"/>
      <c r="K1801" s="292"/>
      <c r="L1801" s="289">
        <v>160</v>
      </c>
      <c r="M1801" s="283">
        <v>40</v>
      </c>
      <c r="N1801" s="634">
        <v>6</v>
      </c>
      <c r="O1801" s="645"/>
      <c r="P1801" s="302"/>
      <c r="Q1801" s="297"/>
      <c r="R1801" s="297"/>
      <c r="S1801" s="297"/>
      <c r="T1801" s="297"/>
      <c r="U1801" s="297"/>
    </row>
    <row r="1802" spans="1:21" s="305" customFormat="1">
      <c r="A1802" s="1858" t="s">
        <v>4107</v>
      </c>
      <c r="B1802" s="1286" t="s">
        <v>192</v>
      </c>
      <c r="C1802" s="1280" t="s">
        <v>2868</v>
      </c>
      <c r="D1802" s="1312"/>
      <c r="E1802" s="1851">
        <v>75</v>
      </c>
      <c r="F1802" s="664" t="s">
        <v>50</v>
      </c>
      <c r="G1802" s="288"/>
      <c r="H1802" s="283"/>
      <c r="I1802" s="289"/>
      <c r="J1802" s="292"/>
      <c r="K1802" s="292"/>
      <c r="L1802" s="665">
        <v>117</v>
      </c>
      <c r="M1802" s="664">
        <f>L1802-E1802</f>
        <v>42</v>
      </c>
      <c r="N1802" s="667">
        <v>8</v>
      </c>
      <c r="O1802" s="1856" t="s">
        <v>3939</v>
      </c>
      <c r="P1802" s="302"/>
      <c r="Q1802" s="2403" t="s">
        <v>4110</v>
      </c>
      <c r="R1802" s="297"/>
      <c r="S1802" s="297"/>
      <c r="T1802" s="297"/>
      <c r="U1802" s="297"/>
    </row>
    <row r="1803" spans="1:21" s="305" customFormat="1">
      <c r="A1803" s="1858" t="s">
        <v>4108</v>
      </c>
      <c r="B1803" s="1286" t="s">
        <v>192</v>
      </c>
      <c r="C1803" s="1280" t="s">
        <v>2868</v>
      </c>
      <c r="D1803" s="1312"/>
      <c r="E1803" s="1851">
        <v>107.5</v>
      </c>
      <c r="F1803" s="664" t="s">
        <v>50</v>
      </c>
      <c r="G1803" s="288"/>
      <c r="H1803" s="283"/>
      <c r="I1803" s="289"/>
      <c r="J1803" s="292"/>
      <c r="K1803" s="292"/>
      <c r="L1803" s="665">
        <v>150</v>
      </c>
      <c r="M1803" s="664">
        <f>L1803-E1803</f>
        <v>42.5</v>
      </c>
      <c r="N1803" s="667">
        <v>8</v>
      </c>
      <c r="O1803" s="1856" t="s">
        <v>3939</v>
      </c>
      <c r="P1803" s="302"/>
      <c r="Q1803" s="2403" t="s">
        <v>4110</v>
      </c>
      <c r="R1803" s="297"/>
      <c r="S1803" s="297"/>
      <c r="T1803" s="297"/>
      <c r="U1803" s="297"/>
    </row>
    <row r="1804" spans="1:21" s="305" customFormat="1">
      <c r="A1804" s="1858" t="s">
        <v>4109</v>
      </c>
      <c r="B1804" s="1286" t="s">
        <v>192</v>
      </c>
      <c r="C1804" s="1280" t="s">
        <v>2868</v>
      </c>
      <c r="D1804" s="1312"/>
      <c r="E1804" s="1851">
        <v>120</v>
      </c>
      <c r="F1804" s="664" t="s">
        <v>50</v>
      </c>
      <c r="G1804" s="288"/>
      <c r="H1804" s="283"/>
      <c r="I1804" s="289"/>
      <c r="J1804" s="292"/>
      <c r="K1804" s="292"/>
      <c r="L1804" s="665">
        <v>170</v>
      </c>
      <c r="M1804" s="664">
        <f>L1804-E1804</f>
        <v>50</v>
      </c>
      <c r="N1804" s="667">
        <v>8</v>
      </c>
      <c r="O1804" s="1856" t="s">
        <v>3939</v>
      </c>
      <c r="P1804" s="302"/>
      <c r="Q1804" s="2403" t="s">
        <v>4110</v>
      </c>
      <c r="R1804" s="297"/>
      <c r="S1804" s="297"/>
      <c r="T1804" s="297"/>
      <c r="U1804" s="297"/>
    </row>
    <row r="1805" spans="1:21" s="445" customFormat="1">
      <c r="A1805" s="1830" t="s">
        <v>843</v>
      </c>
      <c r="B1805" s="1790" t="s">
        <v>192</v>
      </c>
      <c r="C1805" s="1783" t="s">
        <v>499</v>
      </c>
      <c r="D1805" s="1784"/>
      <c r="E1805" s="1785">
        <v>120</v>
      </c>
      <c r="F1805" s="1795" t="s">
        <v>50</v>
      </c>
      <c r="G1805" s="1786"/>
      <c r="H1805" s="1795"/>
      <c r="I1805" s="1796"/>
      <c r="J1805" s="1797"/>
      <c r="K1805" s="1797"/>
      <c r="L1805" s="1796">
        <v>150</v>
      </c>
      <c r="M1805" s="1795">
        <v>30</v>
      </c>
      <c r="N1805" s="1798">
        <v>6</v>
      </c>
      <c r="O1805" s="647"/>
      <c r="P1805" s="487"/>
      <c r="Q1805" s="487"/>
      <c r="R1805" s="487"/>
      <c r="S1805" s="487"/>
      <c r="T1805" s="487"/>
      <c r="U1805" s="487"/>
    </row>
    <row r="1806" spans="1:21" s="445" customFormat="1">
      <c r="A1806" s="1830"/>
      <c r="B1806" s="1790"/>
      <c r="C1806" s="1783"/>
      <c r="D1806" s="1784"/>
      <c r="E1806" s="1785"/>
      <c r="F1806" s="1795" t="s">
        <v>50</v>
      </c>
      <c r="G1806" s="1786"/>
      <c r="H1806" s="1795"/>
      <c r="I1806" s="1796"/>
      <c r="J1806" s="1797"/>
      <c r="K1806" s="1797"/>
      <c r="L1806" s="1796">
        <v>113</v>
      </c>
      <c r="M1806" s="1795">
        <v>29</v>
      </c>
      <c r="N1806" s="1798">
        <v>6</v>
      </c>
      <c r="O1806" s="649"/>
      <c r="P1806" s="487"/>
      <c r="Q1806" s="487"/>
      <c r="R1806" s="487"/>
      <c r="S1806" s="487"/>
      <c r="T1806" s="487"/>
      <c r="U1806" s="487"/>
    </row>
    <row r="1807" spans="1:21" s="688" customFormat="1">
      <c r="A1807" s="719" t="s">
        <v>1612</v>
      </c>
      <c r="B1807" s="1272" t="s">
        <v>192</v>
      </c>
      <c r="C1807" s="1273" t="s">
        <v>1611</v>
      </c>
      <c r="D1807" s="1274"/>
      <c r="E1807" s="1255">
        <v>75</v>
      </c>
      <c r="F1807" s="682" t="s">
        <v>50</v>
      </c>
      <c r="G1807" s="681"/>
      <c r="H1807" s="683"/>
      <c r="I1807" s="689" t="s">
        <v>1617</v>
      </c>
      <c r="J1807" s="685"/>
      <c r="K1807" s="685"/>
      <c r="L1807" s="689">
        <v>100</v>
      </c>
      <c r="M1807" s="683"/>
      <c r="N1807" s="706">
        <v>7</v>
      </c>
      <c r="O1807" s="711" t="s">
        <v>1616</v>
      </c>
      <c r="P1807" s="696"/>
      <c r="Q1807" s="696"/>
      <c r="R1807" s="696"/>
      <c r="S1807" s="696"/>
      <c r="T1807" s="696"/>
      <c r="U1807" s="696"/>
    </row>
    <row r="1808" spans="1:21" s="688" customFormat="1">
      <c r="A1808" s="719" t="s">
        <v>1613</v>
      </c>
      <c r="B1808" s="1272" t="s">
        <v>192</v>
      </c>
      <c r="C1808" s="1273" t="s">
        <v>1611</v>
      </c>
      <c r="D1808" s="1274"/>
      <c r="E1808" s="1255">
        <v>96</v>
      </c>
      <c r="F1808" s="682" t="s">
        <v>50</v>
      </c>
      <c r="G1808" s="681"/>
      <c r="H1808" s="683"/>
      <c r="I1808" s="689" t="s">
        <v>1617</v>
      </c>
      <c r="J1808" s="685"/>
      <c r="K1808" s="685"/>
      <c r="L1808" s="689">
        <v>121</v>
      </c>
      <c r="M1808" s="683"/>
      <c r="N1808" s="706">
        <v>7</v>
      </c>
      <c r="O1808" s="711" t="s">
        <v>1616</v>
      </c>
      <c r="P1808" s="696"/>
      <c r="Q1808" s="696"/>
      <c r="R1808" s="696"/>
      <c r="S1808" s="696"/>
      <c r="T1808" s="696"/>
      <c r="U1808" s="696"/>
    </row>
    <row r="1809" spans="1:21" s="688" customFormat="1">
      <c r="A1809" s="719" t="s">
        <v>1614</v>
      </c>
      <c r="B1809" s="1272" t="s">
        <v>192</v>
      </c>
      <c r="C1809" s="1273" t="s">
        <v>1611</v>
      </c>
      <c r="D1809" s="1274"/>
      <c r="E1809" s="1255">
        <v>120</v>
      </c>
      <c r="F1809" s="682" t="s">
        <v>50</v>
      </c>
      <c r="G1809" s="681"/>
      <c r="H1809" s="683"/>
      <c r="I1809" s="689" t="s">
        <v>1617</v>
      </c>
      <c r="J1809" s="685"/>
      <c r="K1809" s="685"/>
      <c r="L1809" s="689">
        <v>145</v>
      </c>
      <c r="M1809" s="683"/>
      <c r="N1809" s="706">
        <v>7</v>
      </c>
      <c r="O1809" s="711" t="s">
        <v>1616</v>
      </c>
      <c r="P1809" s="696"/>
      <c r="Q1809" s="696"/>
      <c r="R1809" s="696"/>
      <c r="S1809" s="696"/>
      <c r="T1809" s="696"/>
      <c r="U1809" s="696"/>
    </row>
    <row r="1810" spans="1:21" s="688" customFormat="1">
      <c r="A1810" s="719" t="s">
        <v>1615</v>
      </c>
      <c r="B1810" s="1272" t="s">
        <v>192</v>
      </c>
      <c r="C1810" s="1273" t="s">
        <v>1611</v>
      </c>
      <c r="D1810" s="1274"/>
      <c r="E1810" s="1255">
        <v>96</v>
      </c>
      <c r="F1810" s="682" t="s">
        <v>50</v>
      </c>
      <c r="G1810" s="681"/>
      <c r="H1810" s="683"/>
      <c r="I1810" s="689" t="s">
        <v>1617</v>
      </c>
      <c r="J1810" s="685"/>
      <c r="K1810" s="685"/>
      <c r="L1810" s="689">
        <v>121</v>
      </c>
      <c r="M1810" s="683"/>
      <c r="N1810" s="706">
        <v>7</v>
      </c>
      <c r="O1810" s="711" t="s">
        <v>1616</v>
      </c>
      <c r="P1810" s="696"/>
      <c r="Q1810" s="696"/>
      <c r="R1810" s="696"/>
      <c r="S1810" s="696"/>
      <c r="T1810" s="696"/>
      <c r="U1810" s="696"/>
    </row>
    <row r="1811" spans="1:21" s="445" customFormat="1">
      <c r="A1811" s="1813"/>
      <c r="B1811" s="1790" t="s">
        <v>1490</v>
      </c>
      <c r="C1811" s="1783" t="s">
        <v>1491</v>
      </c>
      <c r="D1811" s="1784"/>
      <c r="E1811" s="1785"/>
      <c r="F1811" s="1786"/>
      <c r="G1811" s="1795" t="s">
        <v>1909</v>
      </c>
      <c r="H1811" s="1829"/>
      <c r="I1811" s="1829"/>
      <c r="J1811" s="1829"/>
      <c r="K1811" s="1797"/>
      <c r="L1811" s="1796"/>
      <c r="M1811" s="1786"/>
      <c r="N1811" s="1798"/>
      <c r="O1811" s="649"/>
      <c r="P1811" s="487"/>
      <c r="Q1811" s="487"/>
      <c r="R1811" s="487"/>
      <c r="S1811" s="487"/>
      <c r="T1811" s="487"/>
      <c r="U1811" s="487"/>
    </row>
    <row r="1812" spans="1:21" s="445" customFormat="1">
      <c r="A1812" s="1813"/>
      <c r="B1812" s="1790" t="s">
        <v>1489</v>
      </c>
      <c r="C1812" s="1783" t="s">
        <v>164</v>
      </c>
      <c r="D1812" s="1784"/>
      <c r="E1812" s="1785">
        <v>160</v>
      </c>
      <c r="F1812" s="1786"/>
      <c r="G1812" s="1795" t="s">
        <v>1909</v>
      </c>
      <c r="H1812" s="1795"/>
      <c r="I1812" s="1796"/>
      <c r="J1812" s="1797"/>
      <c r="K1812" s="1797"/>
      <c r="L1812" s="1796">
        <v>220</v>
      </c>
      <c r="M1812" s="1786">
        <v>60</v>
      </c>
      <c r="N1812" s="1798">
        <v>10</v>
      </c>
      <c r="O1812" s="649"/>
      <c r="P1812" s="487"/>
      <c r="Q1812" s="487"/>
      <c r="R1812" s="487"/>
      <c r="S1812" s="487"/>
      <c r="T1812" s="487"/>
      <c r="U1812" s="487"/>
    </row>
    <row r="1813" spans="1:21" s="445" customFormat="1">
      <c r="A1813" s="455"/>
      <c r="B1813" s="1790" t="s">
        <v>163</v>
      </c>
      <c r="C1813" s="1783" t="s">
        <v>644</v>
      </c>
      <c r="D1813" s="1784"/>
      <c r="E1813" s="1785">
        <v>95</v>
      </c>
      <c r="F1813" s="1786" t="s">
        <v>50</v>
      </c>
      <c r="G1813" s="1795" t="s">
        <v>1909</v>
      </c>
      <c r="H1813" s="1795"/>
      <c r="I1813" s="1796"/>
      <c r="J1813" s="1797"/>
      <c r="K1813" s="1797"/>
      <c r="L1813" s="1796">
        <v>130</v>
      </c>
      <c r="M1813" s="1786">
        <v>35</v>
      </c>
      <c r="N1813" s="1798">
        <v>4</v>
      </c>
      <c r="O1813" s="649"/>
      <c r="P1813" s="487"/>
      <c r="Q1813" s="487"/>
      <c r="R1813" s="487"/>
      <c r="S1813" s="487"/>
      <c r="T1813" s="487"/>
      <c r="U1813" s="487"/>
    </row>
    <row r="1814" spans="1:21" s="445" customFormat="1">
      <c r="A1814" s="486"/>
      <c r="B1814" s="1790" t="s">
        <v>497</v>
      </c>
      <c r="C1814" s="1783" t="s">
        <v>498</v>
      </c>
      <c r="D1814" s="1784"/>
      <c r="E1814" s="1785">
        <v>115</v>
      </c>
      <c r="F1814" s="1786" t="s">
        <v>50</v>
      </c>
      <c r="G1814" s="1795" t="s">
        <v>1909</v>
      </c>
      <c r="H1814" s="1795">
        <v>3.45</v>
      </c>
      <c r="I1814" s="1796" t="s">
        <v>206</v>
      </c>
      <c r="J1814" s="1797"/>
      <c r="K1814" s="1797"/>
      <c r="L1814" s="1796">
        <v>135</v>
      </c>
      <c r="M1814" s="1786">
        <v>20</v>
      </c>
      <c r="N1814" s="1798">
        <v>8</v>
      </c>
      <c r="O1814" s="649"/>
      <c r="P1814" s="487"/>
      <c r="Q1814" s="487"/>
      <c r="R1814" s="487"/>
      <c r="S1814" s="487"/>
      <c r="T1814" s="487"/>
      <c r="U1814" s="487"/>
    </row>
    <row r="1815" spans="1:21" s="688" customFormat="1">
      <c r="A1815" s="719"/>
      <c r="B1815" s="1272" t="s">
        <v>497</v>
      </c>
      <c r="C1815" s="2790" t="s">
        <v>1454</v>
      </c>
      <c r="D1815" s="2791"/>
      <c r="E1815" s="1255">
        <v>155</v>
      </c>
      <c r="F1815" s="682" t="s">
        <v>50</v>
      </c>
      <c r="G1815" s="681" t="s">
        <v>2062</v>
      </c>
      <c r="H1815" s="683"/>
      <c r="I1815" s="682"/>
      <c r="J1815" s="682"/>
      <c r="K1815" s="685"/>
      <c r="L1815" s="689">
        <v>175</v>
      </c>
      <c r="M1815" s="681">
        <v>20</v>
      </c>
      <c r="N1815" s="706">
        <v>8</v>
      </c>
      <c r="O1815" s="711"/>
      <c r="P1815" s="696"/>
      <c r="Q1815" s="696"/>
      <c r="R1815" s="696"/>
      <c r="S1815" s="696"/>
      <c r="T1815" s="696"/>
      <c r="U1815" s="696"/>
    </row>
    <row r="1816" spans="1:21" s="445" customFormat="1">
      <c r="A1816" s="486"/>
      <c r="B1816" s="1790" t="s">
        <v>1492</v>
      </c>
      <c r="C1816" s="1783" t="s">
        <v>1493</v>
      </c>
      <c r="D1816" s="1784"/>
      <c r="E1816" s="1785"/>
      <c r="F1816" s="1786"/>
      <c r="G1816" s="1795" t="s">
        <v>1909</v>
      </c>
      <c r="H1816" s="1795"/>
      <c r="I1816" s="1796"/>
      <c r="J1816" s="666"/>
      <c r="K1816" s="666"/>
      <c r="L1816" s="665"/>
      <c r="M1816" s="663"/>
      <c r="N1816" s="667"/>
      <c r="O1816" s="649"/>
      <c r="P1816" s="487"/>
      <c r="Q1816" s="487"/>
      <c r="R1816" s="487"/>
      <c r="S1816" s="487"/>
      <c r="T1816" s="487"/>
      <c r="U1816" s="487"/>
    </row>
    <row r="1817" spans="1:21" s="688" customFormat="1">
      <c r="A1817" s="719"/>
      <c r="B1817" s="1272" t="s">
        <v>497</v>
      </c>
      <c r="C1817" s="2790" t="s">
        <v>1455</v>
      </c>
      <c r="D1817" s="2791"/>
      <c r="E1817" s="1255">
        <v>142</v>
      </c>
      <c r="F1817" s="682" t="s">
        <v>50</v>
      </c>
      <c r="G1817" s="681"/>
      <c r="H1817" s="683"/>
      <c r="I1817" s="682"/>
      <c r="J1817" s="682"/>
      <c r="K1817" s="685"/>
      <c r="L1817" s="689">
        <v>162</v>
      </c>
      <c r="M1817" s="681">
        <v>20</v>
      </c>
      <c r="N1817" s="706">
        <v>6</v>
      </c>
      <c r="O1817" s="711"/>
      <c r="P1817" s="696"/>
      <c r="Q1817" s="696"/>
      <c r="R1817" s="696"/>
      <c r="S1817" s="696"/>
      <c r="T1817" s="696"/>
      <c r="U1817" s="696"/>
    </row>
    <row r="1818" spans="1:21" s="445" customFormat="1">
      <c r="A1818" s="442"/>
      <c r="B1818" s="1790" t="s">
        <v>165</v>
      </c>
      <c r="C1818" s="1783" t="s">
        <v>1487</v>
      </c>
      <c r="D1818" s="1784"/>
      <c r="E1818" s="1785">
        <v>98</v>
      </c>
      <c r="F1818" s="1786" t="s">
        <v>50</v>
      </c>
      <c r="G1818" s="1795" t="s">
        <v>1909</v>
      </c>
      <c r="H1818" s="1795" t="s">
        <v>645</v>
      </c>
      <c r="I1818" s="1810"/>
      <c r="J1818" s="1797"/>
      <c r="K1818" s="1797"/>
      <c r="L1818" s="1796">
        <v>105</v>
      </c>
      <c r="M1818" s="1786">
        <v>7</v>
      </c>
      <c r="N1818" s="1798">
        <v>5</v>
      </c>
      <c r="O1818" s="649"/>
      <c r="P1818" s="487"/>
      <c r="Q1818" s="487"/>
      <c r="R1818" s="487"/>
      <c r="S1818" s="487"/>
      <c r="T1818" s="487"/>
      <c r="U1818" s="487"/>
    </row>
    <row r="1819" spans="1:21" s="688" customFormat="1">
      <c r="A1819" s="719"/>
      <c r="B1819" s="1272" t="s">
        <v>1494</v>
      </c>
      <c r="C1819" s="2790" t="s">
        <v>1495</v>
      </c>
      <c r="D1819" s="2791"/>
      <c r="E1819" s="1255">
        <v>111</v>
      </c>
      <c r="F1819" s="682" t="s">
        <v>50</v>
      </c>
      <c r="G1819" s="681" t="s">
        <v>2073</v>
      </c>
      <c r="H1819" s="683"/>
      <c r="I1819" s="682"/>
      <c r="J1819" s="682"/>
      <c r="K1819" s="685"/>
      <c r="L1819" s="689">
        <f>M1819+E1819</f>
        <v>165</v>
      </c>
      <c r="M1819" s="681">
        <v>54</v>
      </c>
      <c r="N1819" s="706">
        <v>8</v>
      </c>
      <c r="O1819" s="711"/>
      <c r="P1819" s="696"/>
      <c r="Q1819" s="696"/>
      <c r="R1819" s="696"/>
      <c r="S1819" s="696"/>
      <c r="T1819" s="696"/>
      <c r="U1819" s="696"/>
    </row>
    <row r="1820" spans="1:21" s="305" customFormat="1">
      <c r="A1820" s="299" t="s">
        <v>2741</v>
      </c>
      <c r="B1820" s="1314" t="s">
        <v>165</v>
      </c>
      <c r="C1820" s="2820" t="s">
        <v>131</v>
      </c>
      <c r="D1820" s="2825"/>
      <c r="E1820" s="1300">
        <v>110</v>
      </c>
      <c r="F1820" s="293"/>
      <c r="G1820" s="288"/>
      <c r="H1820" s="283">
        <v>4.5</v>
      </c>
      <c r="I1820" s="293" t="s">
        <v>2744</v>
      </c>
      <c r="J1820" s="293"/>
      <c r="K1820" s="292"/>
      <c r="L1820" s="289">
        <v>175</v>
      </c>
      <c r="M1820" s="288">
        <f>L1820-E1820</f>
        <v>65</v>
      </c>
      <c r="N1820" s="634">
        <v>4</v>
      </c>
      <c r="O1820" s="645"/>
      <c r="P1820" s="297"/>
      <c r="Q1820" s="297"/>
      <c r="R1820" s="297"/>
      <c r="S1820" s="297"/>
      <c r="T1820" s="297"/>
      <c r="U1820" s="297"/>
    </row>
    <row r="1821" spans="1:21" s="305" customFormat="1">
      <c r="A1821" s="299" t="s">
        <v>2742</v>
      </c>
      <c r="B1821" s="1314" t="s">
        <v>165</v>
      </c>
      <c r="C1821" s="2820" t="s">
        <v>131</v>
      </c>
      <c r="D1821" s="2825"/>
      <c r="E1821" s="1300">
        <v>125</v>
      </c>
      <c r="F1821" s="293"/>
      <c r="G1821" s="288"/>
      <c r="H1821" s="283">
        <v>4.5</v>
      </c>
      <c r="I1821" s="293" t="s">
        <v>2744</v>
      </c>
      <c r="J1821" s="293"/>
      <c r="K1821" s="292"/>
      <c r="L1821" s="289">
        <v>185</v>
      </c>
      <c r="M1821" s="288">
        <f>L1821-E1821</f>
        <v>60</v>
      </c>
      <c r="N1821" s="634">
        <v>4</v>
      </c>
      <c r="O1821" s="645"/>
      <c r="P1821" s="297"/>
      <c r="Q1821" s="297"/>
      <c r="R1821" s="297"/>
      <c r="S1821" s="297"/>
      <c r="T1821" s="297"/>
      <c r="U1821" s="297"/>
    </row>
    <row r="1822" spans="1:21" s="305" customFormat="1">
      <c r="A1822" s="299" t="s">
        <v>2743</v>
      </c>
      <c r="B1822" s="1314" t="s">
        <v>165</v>
      </c>
      <c r="C1822" s="2820" t="s">
        <v>131</v>
      </c>
      <c r="D1822" s="2825"/>
      <c r="E1822" s="1300">
        <v>150</v>
      </c>
      <c r="F1822" s="293"/>
      <c r="G1822" s="288"/>
      <c r="H1822" s="283">
        <v>4.5</v>
      </c>
      <c r="I1822" s="293" t="s">
        <v>2744</v>
      </c>
      <c r="J1822" s="293"/>
      <c r="K1822" s="292"/>
      <c r="L1822" s="289">
        <v>210</v>
      </c>
      <c r="M1822" s="288">
        <f>L1822-E1822</f>
        <v>60</v>
      </c>
      <c r="N1822" s="634">
        <v>4</v>
      </c>
      <c r="O1822" s="645"/>
      <c r="P1822" s="297"/>
      <c r="Q1822" s="297"/>
      <c r="R1822" s="297"/>
      <c r="S1822" s="297"/>
      <c r="T1822" s="297"/>
      <c r="U1822" s="297"/>
    </row>
    <row r="1823" spans="1:21" s="688" customFormat="1">
      <c r="A1823" s="719"/>
      <c r="B1823" s="1272" t="s">
        <v>165</v>
      </c>
      <c r="C1823" s="2790" t="s">
        <v>2059</v>
      </c>
      <c r="D1823" s="2791"/>
      <c r="E1823" s="1255">
        <v>103</v>
      </c>
      <c r="F1823" s="682"/>
      <c r="G1823" s="681"/>
      <c r="H1823" s="683"/>
      <c r="I1823" s="682"/>
      <c r="J1823" s="682"/>
      <c r="K1823" s="685"/>
      <c r="L1823" s="689">
        <v>123</v>
      </c>
      <c r="M1823" s="681">
        <v>20</v>
      </c>
      <c r="N1823" s="706"/>
      <c r="O1823" s="711"/>
      <c r="P1823" s="696"/>
      <c r="Q1823" s="696"/>
      <c r="R1823" s="696"/>
      <c r="S1823" s="696"/>
      <c r="T1823" s="696"/>
      <c r="U1823" s="696"/>
    </row>
    <row r="1824" spans="1:21" s="688" customFormat="1">
      <c r="A1824" s="719"/>
      <c r="B1824" s="1272" t="s">
        <v>165</v>
      </c>
      <c r="C1824" s="2790" t="s">
        <v>1457</v>
      </c>
      <c r="D1824" s="2791"/>
      <c r="E1824" s="1255">
        <v>113</v>
      </c>
      <c r="F1824" s="682" t="s">
        <v>2072</v>
      </c>
      <c r="G1824" s="681"/>
      <c r="H1824" s="683"/>
      <c r="I1824" s="682"/>
      <c r="J1824" s="682"/>
      <c r="K1824" s="685"/>
      <c r="L1824" s="689"/>
      <c r="M1824" s="681"/>
      <c r="N1824" s="706"/>
      <c r="O1824" s="711"/>
      <c r="P1824" s="696"/>
      <c r="Q1824" s="696"/>
      <c r="R1824" s="696"/>
      <c r="S1824" s="696"/>
      <c r="T1824" s="696"/>
      <c r="U1824" s="696"/>
    </row>
    <row r="1825" spans="1:21" s="305" customFormat="1">
      <c r="A1825" s="299"/>
      <c r="B1825" s="1286" t="s">
        <v>165</v>
      </c>
      <c r="C1825" s="2792" t="s">
        <v>2869</v>
      </c>
      <c r="D1825" s="2793"/>
      <c r="E1825" s="1851">
        <v>113</v>
      </c>
      <c r="F1825" s="671" t="s">
        <v>50</v>
      </c>
      <c r="G1825" s="663" t="s">
        <v>4323</v>
      </c>
      <c r="H1825" s="283"/>
      <c r="I1825" s="293"/>
      <c r="J1825" s="293"/>
      <c r="K1825" s="292"/>
      <c r="L1825" s="665">
        <v>153</v>
      </c>
      <c r="M1825" s="663">
        <f>L1825-E1825</f>
        <v>40</v>
      </c>
      <c r="N1825" s="667">
        <v>12</v>
      </c>
      <c r="O1825" s="645"/>
      <c r="P1825" s="297"/>
      <c r="Q1825" s="2403" t="s">
        <v>4324</v>
      </c>
      <c r="R1825" s="297"/>
      <c r="S1825" s="2403" t="s">
        <v>4325</v>
      </c>
      <c r="T1825" s="297"/>
      <c r="U1825" s="297"/>
    </row>
    <row r="1826" spans="1:21" s="305" customFormat="1">
      <c r="A1826" s="1858" t="s">
        <v>4418</v>
      </c>
      <c r="B1826" s="1286" t="s">
        <v>166</v>
      </c>
      <c r="C1826" s="2484" t="s">
        <v>2845</v>
      </c>
      <c r="D1826" s="2485"/>
      <c r="E1826" s="1851">
        <v>54</v>
      </c>
      <c r="F1826" s="671" t="s">
        <v>50</v>
      </c>
      <c r="G1826" s="663" t="s">
        <v>4424</v>
      </c>
      <c r="H1826" s="283"/>
      <c r="I1826" s="293"/>
      <c r="J1826" s="293"/>
      <c r="K1826" s="292"/>
      <c r="L1826" s="665">
        <f>M1826+E1826</f>
        <v>89</v>
      </c>
      <c r="M1826" s="663">
        <v>35</v>
      </c>
      <c r="N1826" s="667"/>
      <c r="O1826" s="1856" t="s">
        <v>4422</v>
      </c>
      <c r="P1826" s="2403" t="s">
        <v>4423</v>
      </c>
      <c r="Q1826" s="2403" t="s">
        <v>4603</v>
      </c>
      <c r="R1826" s="297"/>
      <c r="S1826" s="2403" t="s">
        <v>4421</v>
      </c>
      <c r="T1826" s="297"/>
      <c r="U1826" s="297"/>
    </row>
    <row r="1827" spans="1:21" s="305" customFormat="1">
      <c r="A1827" s="1858" t="s">
        <v>4419</v>
      </c>
      <c r="B1827" s="1286" t="s">
        <v>166</v>
      </c>
      <c r="C1827" s="2484" t="s">
        <v>2845</v>
      </c>
      <c r="D1827" s="2485"/>
      <c r="E1827" s="1851">
        <v>57</v>
      </c>
      <c r="F1827" s="671" t="s">
        <v>50</v>
      </c>
      <c r="G1827" s="663" t="s">
        <v>4424</v>
      </c>
      <c r="H1827" s="283"/>
      <c r="I1827" s="293"/>
      <c r="J1827" s="293"/>
      <c r="K1827" s="292"/>
      <c r="L1827" s="665">
        <f t="shared" ref="L1827:L1829" si="86">M1827+E1827</f>
        <v>92</v>
      </c>
      <c r="M1827" s="663">
        <v>35</v>
      </c>
      <c r="N1827" s="667"/>
      <c r="O1827" s="1856" t="s">
        <v>4422</v>
      </c>
      <c r="P1827" s="2403" t="s">
        <v>4423</v>
      </c>
      <c r="Q1827" s="2403" t="s">
        <v>4603</v>
      </c>
      <c r="R1827" s="297"/>
      <c r="S1827" s="2403" t="s">
        <v>4421</v>
      </c>
      <c r="T1827" s="297"/>
      <c r="U1827" s="297"/>
    </row>
    <row r="1828" spans="1:21" s="305" customFormat="1">
      <c r="A1828" s="1858" t="s">
        <v>4416</v>
      </c>
      <c r="B1828" s="1286" t="s">
        <v>166</v>
      </c>
      <c r="C1828" s="2484" t="s">
        <v>2845</v>
      </c>
      <c r="D1828" s="2485"/>
      <c r="E1828" s="1851">
        <v>57</v>
      </c>
      <c r="F1828" s="671" t="s">
        <v>50</v>
      </c>
      <c r="G1828" s="663" t="s">
        <v>4424</v>
      </c>
      <c r="H1828" s="283"/>
      <c r="I1828" s="293"/>
      <c r="J1828" s="293"/>
      <c r="K1828" s="292"/>
      <c r="L1828" s="665">
        <f t="shared" si="86"/>
        <v>92</v>
      </c>
      <c r="M1828" s="663">
        <v>35</v>
      </c>
      <c r="N1828" s="667"/>
      <c r="O1828" s="1856" t="s">
        <v>4422</v>
      </c>
      <c r="P1828" s="2403" t="s">
        <v>4423</v>
      </c>
      <c r="Q1828" s="2403" t="s">
        <v>4603</v>
      </c>
      <c r="R1828" s="297"/>
      <c r="S1828" s="2403" t="s">
        <v>4421</v>
      </c>
      <c r="T1828" s="297"/>
      <c r="U1828" s="297"/>
    </row>
    <row r="1829" spans="1:21" s="305" customFormat="1">
      <c r="A1829" s="1858" t="s">
        <v>4417</v>
      </c>
      <c r="B1829" s="1286" t="s">
        <v>166</v>
      </c>
      <c r="C1829" s="2484" t="s">
        <v>2845</v>
      </c>
      <c r="D1829" s="2485"/>
      <c r="E1829" s="1851">
        <v>67</v>
      </c>
      <c r="F1829" s="671" t="s">
        <v>50</v>
      </c>
      <c r="G1829" s="663" t="s">
        <v>4424</v>
      </c>
      <c r="H1829" s="283"/>
      <c r="I1829" s="293"/>
      <c r="J1829" s="293"/>
      <c r="K1829" s="292"/>
      <c r="L1829" s="665">
        <f t="shared" si="86"/>
        <v>102</v>
      </c>
      <c r="M1829" s="663">
        <v>35</v>
      </c>
      <c r="N1829" s="667"/>
      <c r="O1829" s="1856" t="s">
        <v>4422</v>
      </c>
      <c r="P1829" s="2403" t="s">
        <v>4423</v>
      </c>
      <c r="Q1829" s="2403" t="s">
        <v>4420</v>
      </c>
      <c r="R1829" s="297"/>
      <c r="S1829" s="2403" t="s">
        <v>4421</v>
      </c>
      <c r="T1829" s="297"/>
      <c r="U1829" s="297"/>
    </row>
    <row r="1830" spans="1:21" s="688" customFormat="1">
      <c r="A1830" s="719" t="s">
        <v>1569</v>
      </c>
      <c r="B1830" s="1272" t="s">
        <v>166</v>
      </c>
      <c r="C1830" s="2790" t="s">
        <v>1578</v>
      </c>
      <c r="D1830" s="2791"/>
      <c r="E1830" s="1255">
        <v>80</v>
      </c>
      <c r="F1830" s="293" t="s">
        <v>2737</v>
      </c>
      <c r="G1830" s="681"/>
      <c r="H1830" s="683"/>
      <c r="I1830" s="682" t="s">
        <v>50</v>
      </c>
      <c r="J1830" s="682"/>
      <c r="K1830" s="685"/>
      <c r="L1830" s="689">
        <v>120</v>
      </c>
      <c r="M1830" s="681">
        <v>40</v>
      </c>
      <c r="N1830" s="706">
        <v>6</v>
      </c>
      <c r="O1830" s="711"/>
      <c r="P1830" s="696"/>
      <c r="Q1830" s="696"/>
      <c r="R1830" s="696"/>
      <c r="S1830" s="696"/>
      <c r="T1830" s="696"/>
      <c r="U1830" s="696"/>
    </row>
    <row r="1831" spans="1:21" s="688" customFormat="1">
      <c r="A1831" s="719" t="s">
        <v>1570</v>
      </c>
      <c r="B1831" s="1272" t="s">
        <v>166</v>
      </c>
      <c r="C1831" s="2790" t="s">
        <v>1578</v>
      </c>
      <c r="D1831" s="2791"/>
      <c r="E1831" s="1255">
        <v>95</v>
      </c>
      <c r="F1831" s="682" t="s">
        <v>55</v>
      </c>
      <c r="G1831" s="681"/>
      <c r="H1831" s="683"/>
      <c r="I1831" s="682" t="s">
        <v>50</v>
      </c>
      <c r="J1831" s="682"/>
      <c r="K1831" s="685"/>
      <c r="L1831" s="689">
        <v>150</v>
      </c>
      <c r="M1831" s="681">
        <v>55</v>
      </c>
      <c r="N1831" s="706">
        <v>6</v>
      </c>
      <c r="O1831" s="707"/>
      <c r="P1831" s="696"/>
      <c r="Q1831" s="696"/>
      <c r="R1831" s="696"/>
      <c r="S1831" s="696"/>
      <c r="T1831" s="696"/>
      <c r="U1831" s="696"/>
    </row>
    <row r="1832" spans="1:21" s="688" customFormat="1">
      <c r="A1832" s="719" t="s">
        <v>1571</v>
      </c>
      <c r="B1832" s="1272" t="s">
        <v>166</v>
      </c>
      <c r="C1832" s="2790" t="s">
        <v>1578</v>
      </c>
      <c r="D1832" s="2791"/>
      <c r="E1832" s="1255">
        <v>80</v>
      </c>
      <c r="F1832" s="682" t="s">
        <v>55</v>
      </c>
      <c r="G1832" s="681"/>
      <c r="H1832" s="683"/>
      <c r="I1832" s="682" t="s">
        <v>50</v>
      </c>
      <c r="J1832" s="682"/>
      <c r="K1832" s="685"/>
      <c r="L1832" s="689">
        <v>120</v>
      </c>
      <c r="M1832" s="681">
        <v>40</v>
      </c>
      <c r="N1832" s="706">
        <v>6</v>
      </c>
      <c r="O1832" s="707"/>
      <c r="P1832" s="696"/>
      <c r="Q1832" s="696"/>
      <c r="R1832" s="696"/>
      <c r="S1832" s="696"/>
      <c r="T1832" s="696"/>
      <c r="U1832" s="696"/>
    </row>
    <row r="1833" spans="1:21" s="688" customFormat="1">
      <c r="A1833" s="719" t="s">
        <v>1575</v>
      </c>
      <c r="B1833" s="1272" t="s">
        <v>166</v>
      </c>
      <c r="C1833" s="2790" t="s">
        <v>1574</v>
      </c>
      <c r="D1833" s="2791"/>
      <c r="E1833" s="1255">
        <v>62.5</v>
      </c>
      <c r="F1833" s="682" t="s">
        <v>50</v>
      </c>
      <c r="G1833" s="681"/>
      <c r="H1833" s="683"/>
      <c r="I1833" s="682"/>
      <c r="J1833" s="682"/>
      <c r="K1833" s="685"/>
      <c r="L1833" s="689">
        <v>105</v>
      </c>
      <c r="M1833" s="681">
        <v>42.5</v>
      </c>
      <c r="N1833" s="706">
        <v>10</v>
      </c>
      <c r="O1833" s="711"/>
      <c r="P1833" s="696"/>
      <c r="Q1833" s="696"/>
      <c r="R1833" s="696"/>
      <c r="S1833" s="696"/>
      <c r="T1833" s="696"/>
      <c r="U1833" s="696"/>
    </row>
    <row r="1834" spans="1:21" s="688" customFormat="1">
      <c r="A1834" s="719" t="s">
        <v>1576</v>
      </c>
      <c r="B1834" s="1272" t="s">
        <v>166</v>
      </c>
      <c r="C1834" s="2790" t="s">
        <v>1574</v>
      </c>
      <c r="D1834" s="2791"/>
      <c r="E1834" s="1255">
        <v>67.5</v>
      </c>
      <c r="F1834" s="682" t="s">
        <v>50</v>
      </c>
      <c r="G1834" s="681"/>
      <c r="H1834" s="683" t="s">
        <v>1572</v>
      </c>
      <c r="I1834" s="682"/>
      <c r="J1834" s="682"/>
      <c r="K1834" s="685"/>
      <c r="L1834" s="689">
        <v>115</v>
      </c>
      <c r="M1834" s="681">
        <v>47.5</v>
      </c>
      <c r="N1834" s="706">
        <v>10</v>
      </c>
      <c r="O1834" s="707"/>
      <c r="P1834" s="696"/>
      <c r="Q1834" s="696"/>
      <c r="R1834" s="696"/>
      <c r="S1834" s="696"/>
      <c r="T1834" s="696"/>
      <c r="U1834" s="696"/>
    </row>
    <row r="1835" spans="1:21" s="688" customFormat="1">
      <c r="A1835" s="719" t="s">
        <v>1577</v>
      </c>
      <c r="B1835" s="1272" t="s">
        <v>166</v>
      </c>
      <c r="C1835" s="2790" t="s">
        <v>1574</v>
      </c>
      <c r="D1835" s="2791"/>
      <c r="E1835" s="1255">
        <v>72.5</v>
      </c>
      <c r="F1835" s="682" t="s">
        <v>50</v>
      </c>
      <c r="G1835" s="681"/>
      <c r="H1835" s="683" t="s">
        <v>1573</v>
      </c>
      <c r="I1835" s="682"/>
      <c r="J1835" s="682"/>
      <c r="K1835" s="685"/>
      <c r="L1835" s="689">
        <v>125</v>
      </c>
      <c r="M1835" s="681">
        <v>52.5</v>
      </c>
      <c r="N1835" s="706">
        <v>10</v>
      </c>
      <c r="O1835" s="707"/>
      <c r="P1835" s="696"/>
      <c r="Q1835" s="696"/>
      <c r="R1835" s="696"/>
      <c r="S1835" s="696"/>
      <c r="T1835" s="696"/>
      <c r="U1835" s="696"/>
    </row>
    <row r="1836" spans="1:21" s="688" customFormat="1">
      <c r="A1836" s="719"/>
      <c r="B1836" s="1272" t="s">
        <v>166</v>
      </c>
      <c r="C1836" s="1390" t="s">
        <v>2866</v>
      </c>
      <c r="D1836" s="1391"/>
      <c r="E1836" s="1255">
        <v>70</v>
      </c>
      <c r="F1836" s="682" t="s">
        <v>50</v>
      </c>
      <c r="G1836" s="681"/>
      <c r="H1836" s="683">
        <v>2.5</v>
      </c>
      <c r="I1836" s="682" t="s">
        <v>206</v>
      </c>
      <c r="J1836" s="682"/>
      <c r="K1836" s="685"/>
      <c r="L1836" s="689">
        <v>110</v>
      </c>
      <c r="M1836" s="681">
        <v>40</v>
      </c>
      <c r="N1836" s="706"/>
      <c r="O1836" s="707" t="s">
        <v>2867</v>
      </c>
      <c r="P1836" s="696"/>
      <c r="Q1836" s="696"/>
      <c r="R1836" s="696"/>
      <c r="S1836" s="696"/>
      <c r="T1836" s="696"/>
      <c r="U1836" s="696"/>
    </row>
    <row r="1837" spans="1:21" s="688" customFormat="1">
      <c r="A1837" s="719" t="s">
        <v>1609</v>
      </c>
      <c r="B1837" s="1272" t="s">
        <v>166</v>
      </c>
      <c r="C1837" s="2790" t="s">
        <v>646</v>
      </c>
      <c r="D1837" s="2791"/>
      <c r="E1837" s="1255">
        <v>70</v>
      </c>
      <c r="F1837" s="681" t="s">
        <v>1295</v>
      </c>
      <c r="G1837" s="681"/>
      <c r="H1837" s="683"/>
      <c r="I1837" s="682" t="s">
        <v>50</v>
      </c>
      <c r="J1837" s="682"/>
      <c r="K1837" s="685"/>
      <c r="L1837" s="689">
        <v>110</v>
      </c>
      <c r="M1837" s="681">
        <v>40</v>
      </c>
      <c r="N1837" s="706">
        <v>10</v>
      </c>
      <c r="O1837" s="711"/>
      <c r="P1837" s="696"/>
      <c r="Q1837" s="696"/>
      <c r="R1837" s="696"/>
      <c r="S1837" s="696"/>
      <c r="T1837" s="696"/>
      <c r="U1837" s="696"/>
    </row>
    <row r="1838" spans="1:21" s="688" customFormat="1">
      <c r="A1838" s="719" t="s">
        <v>1608</v>
      </c>
      <c r="B1838" s="1272" t="s">
        <v>166</v>
      </c>
      <c r="C1838" s="2790" t="s">
        <v>646</v>
      </c>
      <c r="D1838" s="2791"/>
      <c r="E1838" s="1255">
        <v>60</v>
      </c>
      <c r="F1838" s="681" t="s">
        <v>1295</v>
      </c>
      <c r="G1838" s="681"/>
      <c r="H1838" s="683"/>
      <c r="I1838" s="682" t="s">
        <v>50</v>
      </c>
      <c r="J1838" s="682"/>
      <c r="K1838" s="685"/>
      <c r="L1838" s="689">
        <v>100</v>
      </c>
      <c r="M1838" s="681">
        <v>40</v>
      </c>
      <c r="N1838" s="706">
        <v>10</v>
      </c>
      <c r="O1838" s="707"/>
      <c r="P1838" s="696"/>
      <c r="Q1838" s="696"/>
      <c r="R1838" s="696"/>
      <c r="S1838" s="696"/>
      <c r="T1838" s="696"/>
      <c r="U1838" s="696"/>
    </row>
    <row r="1839" spans="1:21" s="688" customFormat="1">
      <c r="A1839" s="719" t="s">
        <v>1607</v>
      </c>
      <c r="B1839" s="1272" t="s">
        <v>166</v>
      </c>
      <c r="C1839" s="2790" t="s">
        <v>646</v>
      </c>
      <c r="D1839" s="2791"/>
      <c r="E1839" s="1255">
        <v>50</v>
      </c>
      <c r="F1839" s="681" t="s">
        <v>1295</v>
      </c>
      <c r="G1839" s="681"/>
      <c r="H1839" s="683"/>
      <c r="I1839" s="682" t="s">
        <v>50</v>
      </c>
      <c r="J1839" s="682"/>
      <c r="K1839" s="685"/>
      <c r="L1839" s="689">
        <v>85</v>
      </c>
      <c r="M1839" s="681">
        <v>35</v>
      </c>
      <c r="N1839" s="706">
        <v>10</v>
      </c>
      <c r="O1839" s="707"/>
      <c r="P1839" s="696"/>
      <c r="Q1839" s="696"/>
      <c r="R1839" s="696"/>
      <c r="S1839" s="696"/>
      <c r="T1839" s="696"/>
      <c r="U1839" s="696"/>
    </row>
    <row r="1840" spans="1:21" s="791" customFormat="1">
      <c r="A1840" s="1238" t="s">
        <v>354</v>
      </c>
      <c r="B1840" s="1275" t="s">
        <v>166</v>
      </c>
      <c r="C1840" s="2794" t="s">
        <v>646</v>
      </c>
      <c r="D1840" s="2795"/>
      <c r="E1840" s="1278">
        <v>55</v>
      </c>
      <c r="F1840" s="785" t="s">
        <v>1297</v>
      </c>
      <c r="G1840" s="785"/>
      <c r="H1840" s="786"/>
      <c r="I1840" s="792" t="s">
        <v>50</v>
      </c>
      <c r="J1840" s="792"/>
      <c r="K1840" s="788"/>
      <c r="L1840" s="811">
        <f>M1840+E1840</f>
        <v>95</v>
      </c>
      <c r="M1840" s="785">
        <v>40</v>
      </c>
      <c r="N1840" s="797">
        <v>10</v>
      </c>
      <c r="O1840" s="707"/>
      <c r="P1840" s="798"/>
      <c r="Q1840" s="798"/>
      <c r="R1840" s="798"/>
      <c r="S1840" s="798"/>
      <c r="T1840" s="798"/>
      <c r="U1840" s="798"/>
    </row>
    <row r="1841" spans="1:21" s="791" customFormat="1">
      <c r="A1841" s="1238" t="s">
        <v>355</v>
      </c>
      <c r="B1841" s="1275" t="s">
        <v>166</v>
      </c>
      <c r="C1841" s="2794" t="s">
        <v>646</v>
      </c>
      <c r="D1841" s="2795"/>
      <c r="E1841" s="1278">
        <v>50</v>
      </c>
      <c r="F1841" s="785" t="s">
        <v>1297</v>
      </c>
      <c r="G1841" s="785"/>
      <c r="H1841" s="786"/>
      <c r="I1841" s="792" t="s">
        <v>50</v>
      </c>
      <c r="J1841" s="792"/>
      <c r="K1841" s="788"/>
      <c r="L1841" s="811">
        <f>M1841+E1841</f>
        <v>83</v>
      </c>
      <c r="M1841" s="785">
        <v>33</v>
      </c>
      <c r="N1841" s="797">
        <v>10</v>
      </c>
      <c r="O1841" s="707"/>
      <c r="P1841" s="798"/>
      <c r="Q1841" s="798"/>
      <c r="R1841" s="798"/>
      <c r="S1841" s="798"/>
      <c r="T1841" s="798"/>
      <c r="U1841" s="798"/>
    </row>
    <row r="1842" spans="1:21" s="791" customFormat="1">
      <c r="A1842" s="1238" t="s">
        <v>2531</v>
      </c>
      <c r="B1842" s="1275" t="s">
        <v>166</v>
      </c>
      <c r="C1842" s="2794" t="s">
        <v>646</v>
      </c>
      <c r="D1842" s="2795"/>
      <c r="E1842" s="1278">
        <v>48</v>
      </c>
      <c r="F1842" s="785" t="s">
        <v>1297</v>
      </c>
      <c r="G1842" s="785"/>
      <c r="H1842" s="786"/>
      <c r="I1842" s="792" t="s">
        <v>50</v>
      </c>
      <c r="J1842" s="792"/>
      <c r="K1842" s="788"/>
      <c r="L1842" s="811">
        <f>M1842+E1842</f>
        <v>81</v>
      </c>
      <c r="M1842" s="785">
        <v>33</v>
      </c>
      <c r="N1842" s="797">
        <v>10</v>
      </c>
      <c r="O1842" s="707"/>
      <c r="P1842" s="798"/>
      <c r="Q1842" s="798"/>
      <c r="R1842" s="798"/>
      <c r="S1842" s="798"/>
      <c r="T1842" s="798"/>
      <c r="U1842" s="798"/>
    </row>
    <row r="1843" spans="1:21" s="718" customFormat="1">
      <c r="A1843" s="719" t="s">
        <v>1604</v>
      </c>
      <c r="B1843" s="1272" t="s">
        <v>166</v>
      </c>
      <c r="C1843" s="2790" t="s">
        <v>647</v>
      </c>
      <c r="D1843" s="2791"/>
      <c r="E1843" s="1255">
        <v>67.5</v>
      </c>
      <c r="F1843" s="681" t="s">
        <v>50</v>
      </c>
      <c r="G1843" s="719" t="s">
        <v>1078</v>
      </c>
      <c r="H1843" s="683">
        <v>2.5</v>
      </c>
      <c r="I1843" s="689" t="s">
        <v>206</v>
      </c>
      <c r="J1843" s="685"/>
      <c r="K1843" s="685"/>
      <c r="L1843" s="689">
        <v>110</v>
      </c>
      <c r="M1843" s="681"/>
      <c r="N1843" s="706">
        <v>6</v>
      </c>
      <c r="O1843" s="707"/>
      <c r="P1843" s="798"/>
      <c r="Q1843" s="735"/>
      <c r="R1843" s="735"/>
      <c r="S1843" s="735"/>
      <c r="T1843" s="735"/>
      <c r="U1843" s="735"/>
    </row>
    <row r="1844" spans="1:21" s="718" customFormat="1">
      <c r="A1844" s="719" t="s">
        <v>1604</v>
      </c>
      <c r="B1844" s="1272" t="s">
        <v>166</v>
      </c>
      <c r="C1844" s="2790" t="s">
        <v>647</v>
      </c>
      <c r="D1844" s="2791"/>
      <c r="E1844" s="1255">
        <v>75</v>
      </c>
      <c r="F1844" s="681" t="s">
        <v>50</v>
      </c>
      <c r="G1844" s="719" t="s">
        <v>1079</v>
      </c>
      <c r="H1844" s="683">
        <v>2.5</v>
      </c>
      <c r="I1844" s="689" t="s">
        <v>206</v>
      </c>
      <c r="J1844" s="685"/>
      <c r="K1844" s="685"/>
      <c r="L1844" s="689">
        <v>130</v>
      </c>
      <c r="M1844" s="681">
        <v>55</v>
      </c>
      <c r="N1844" s="706">
        <v>6</v>
      </c>
      <c r="O1844" s="707"/>
      <c r="P1844" s="798"/>
      <c r="Q1844" s="735"/>
      <c r="R1844" s="735"/>
      <c r="S1844" s="735"/>
      <c r="T1844" s="735"/>
      <c r="U1844" s="735"/>
    </row>
    <row r="1845" spans="1:21" s="718" customFormat="1">
      <c r="A1845" s="719" t="s">
        <v>1604</v>
      </c>
      <c r="B1845" s="1272" t="s">
        <v>166</v>
      </c>
      <c r="C1845" s="2790" t="s">
        <v>647</v>
      </c>
      <c r="D1845" s="2791"/>
      <c r="E1845" s="1255">
        <v>62.5</v>
      </c>
      <c r="F1845" s="681" t="s">
        <v>50</v>
      </c>
      <c r="G1845" s="719" t="s">
        <v>355</v>
      </c>
      <c r="H1845" s="683">
        <v>2.5</v>
      </c>
      <c r="I1845" s="689" t="s">
        <v>206</v>
      </c>
      <c r="J1845" s="685"/>
      <c r="K1845" s="685"/>
      <c r="L1845" s="689">
        <v>105</v>
      </c>
      <c r="M1845" s="681">
        <v>42.5</v>
      </c>
      <c r="N1845" s="706">
        <v>6</v>
      </c>
      <c r="O1845" s="707"/>
      <c r="P1845" s="798"/>
      <c r="Q1845" s="735"/>
      <c r="R1845" s="735"/>
      <c r="S1845" s="735"/>
      <c r="T1845" s="735"/>
      <c r="U1845" s="735"/>
    </row>
    <row r="1846" spans="1:21" s="718" customFormat="1">
      <c r="A1846" s="719" t="s">
        <v>1605</v>
      </c>
      <c r="B1846" s="1272" t="s">
        <v>166</v>
      </c>
      <c r="C1846" s="2790" t="s">
        <v>647</v>
      </c>
      <c r="D1846" s="2791"/>
      <c r="E1846" s="1255">
        <v>80</v>
      </c>
      <c r="F1846" s="681" t="s">
        <v>50</v>
      </c>
      <c r="G1846" s="719" t="s">
        <v>1078</v>
      </c>
      <c r="H1846" s="683">
        <v>2.5</v>
      </c>
      <c r="I1846" s="689" t="s">
        <v>206</v>
      </c>
      <c r="J1846" s="685"/>
      <c r="K1846" s="685"/>
      <c r="L1846" s="689">
        <v>140</v>
      </c>
      <c r="M1846" s="681"/>
      <c r="N1846" s="706">
        <v>6</v>
      </c>
      <c r="O1846" s="707"/>
      <c r="P1846" s="798"/>
      <c r="Q1846" s="735"/>
      <c r="R1846" s="735"/>
      <c r="S1846" s="735"/>
      <c r="T1846" s="735"/>
      <c r="U1846" s="735"/>
    </row>
    <row r="1847" spans="1:21" s="718" customFormat="1">
      <c r="A1847" s="719" t="s">
        <v>1605</v>
      </c>
      <c r="B1847" s="1272" t="s">
        <v>166</v>
      </c>
      <c r="C1847" s="2790" t="s">
        <v>647</v>
      </c>
      <c r="D1847" s="2791"/>
      <c r="E1847" s="1255">
        <v>90</v>
      </c>
      <c r="F1847" s="681" t="s">
        <v>50</v>
      </c>
      <c r="G1847" s="719" t="s">
        <v>1079</v>
      </c>
      <c r="H1847" s="683">
        <v>2.5</v>
      </c>
      <c r="I1847" s="689" t="s">
        <v>206</v>
      </c>
      <c r="J1847" s="685"/>
      <c r="K1847" s="685"/>
      <c r="L1847" s="689">
        <v>160</v>
      </c>
      <c r="M1847" s="681"/>
      <c r="N1847" s="706">
        <v>6</v>
      </c>
      <c r="O1847" s="707"/>
      <c r="P1847" s="798"/>
      <c r="Q1847" s="735"/>
      <c r="R1847" s="735"/>
      <c r="S1847" s="735"/>
      <c r="T1847" s="735"/>
      <c r="U1847" s="735"/>
    </row>
    <row r="1848" spans="1:21" s="718" customFormat="1">
      <c r="A1848" s="719" t="s">
        <v>1605</v>
      </c>
      <c r="B1848" s="1272" t="s">
        <v>166</v>
      </c>
      <c r="C1848" s="2790" t="s">
        <v>647</v>
      </c>
      <c r="D1848" s="2791"/>
      <c r="E1848" s="1255">
        <v>70</v>
      </c>
      <c r="F1848" s="681" t="s">
        <v>50</v>
      </c>
      <c r="G1848" s="719" t="s">
        <v>355</v>
      </c>
      <c r="H1848" s="683">
        <v>2.5</v>
      </c>
      <c r="I1848" s="689" t="s">
        <v>206</v>
      </c>
      <c r="J1848" s="685"/>
      <c r="K1848" s="685"/>
      <c r="L1848" s="689">
        <v>120</v>
      </c>
      <c r="M1848" s="681"/>
      <c r="N1848" s="706">
        <v>6</v>
      </c>
      <c r="O1848" s="707"/>
      <c r="P1848" s="798"/>
      <c r="Q1848" s="735"/>
      <c r="R1848" s="735"/>
      <c r="S1848" s="735"/>
      <c r="T1848" s="735"/>
      <c r="U1848" s="735"/>
    </row>
    <row r="1849" spans="1:21" s="718" customFormat="1">
      <c r="A1849" s="719" t="s">
        <v>1606</v>
      </c>
      <c r="B1849" s="1272" t="s">
        <v>166</v>
      </c>
      <c r="C1849" s="2790" t="s">
        <v>647</v>
      </c>
      <c r="D1849" s="2791"/>
      <c r="E1849" s="1255">
        <v>70</v>
      </c>
      <c r="F1849" s="681" t="s">
        <v>50</v>
      </c>
      <c r="G1849" s="719" t="s">
        <v>1078</v>
      </c>
      <c r="H1849" s="683">
        <v>2.5</v>
      </c>
      <c r="I1849" s="689" t="s">
        <v>206</v>
      </c>
      <c r="J1849" s="685"/>
      <c r="K1849" s="685"/>
      <c r="L1849" s="689">
        <v>120</v>
      </c>
      <c r="M1849" s="681"/>
      <c r="N1849" s="706">
        <v>6</v>
      </c>
      <c r="O1849" s="707"/>
      <c r="P1849" s="798"/>
      <c r="Q1849" s="735"/>
      <c r="R1849" s="735"/>
      <c r="S1849" s="735"/>
      <c r="T1849" s="735"/>
      <c r="U1849" s="735"/>
    </row>
    <row r="1850" spans="1:21" s="718" customFormat="1">
      <c r="A1850" s="719" t="s">
        <v>1606</v>
      </c>
      <c r="B1850" s="1272" t="s">
        <v>166</v>
      </c>
      <c r="C1850" s="2790" t="s">
        <v>647</v>
      </c>
      <c r="D1850" s="2791"/>
      <c r="E1850" s="1255">
        <v>80</v>
      </c>
      <c r="F1850" s="681" t="s">
        <v>50</v>
      </c>
      <c r="G1850" s="719" t="s">
        <v>1079</v>
      </c>
      <c r="H1850" s="683">
        <v>2.5</v>
      </c>
      <c r="I1850" s="689" t="s">
        <v>206</v>
      </c>
      <c r="J1850" s="685"/>
      <c r="K1850" s="685"/>
      <c r="L1850" s="689">
        <v>140</v>
      </c>
      <c r="M1850" s="681"/>
      <c r="N1850" s="706">
        <v>6</v>
      </c>
      <c r="O1850" s="707"/>
      <c r="P1850" s="798"/>
      <c r="Q1850" s="735"/>
      <c r="R1850" s="735"/>
      <c r="S1850" s="735"/>
      <c r="T1850" s="735"/>
      <c r="U1850" s="735"/>
    </row>
    <row r="1851" spans="1:21" s="718" customFormat="1">
      <c r="A1851" s="719" t="s">
        <v>1606</v>
      </c>
      <c r="B1851" s="1272" t="s">
        <v>166</v>
      </c>
      <c r="C1851" s="2790" t="s">
        <v>647</v>
      </c>
      <c r="D1851" s="2791"/>
      <c r="E1851" s="1255">
        <v>67.5</v>
      </c>
      <c r="F1851" s="681" t="s">
        <v>50</v>
      </c>
      <c r="G1851" s="719" t="s">
        <v>355</v>
      </c>
      <c r="H1851" s="683">
        <v>2.5</v>
      </c>
      <c r="I1851" s="689" t="s">
        <v>206</v>
      </c>
      <c r="J1851" s="685"/>
      <c r="K1851" s="685"/>
      <c r="L1851" s="689">
        <v>110</v>
      </c>
      <c r="M1851" s="681"/>
      <c r="N1851" s="706">
        <v>6</v>
      </c>
      <c r="O1851" s="707"/>
      <c r="P1851" s="798"/>
      <c r="Q1851" s="735"/>
      <c r="R1851" s="735"/>
      <c r="S1851" s="735"/>
      <c r="T1851" s="735"/>
      <c r="U1851" s="735"/>
    </row>
    <row r="1852" spans="1:21" s="718" customFormat="1">
      <c r="A1852" s="719" t="s">
        <v>1077</v>
      </c>
      <c r="B1852" s="1272" t="s">
        <v>166</v>
      </c>
      <c r="C1852" s="2790" t="s">
        <v>1456</v>
      </c>
      <c r="D1852" s="2791"/>
      <c r="E1852" s="1255">
        <v>67.5</v>
      </c>
      <c r="F1852" s="681" t="s">
        <v>50</v>
      </c>
      <c r="G1852" s="719" t="s">
        <v>2056</v>
      </c>
      <c r="H1852" s="283" t="s">
        <v>2740</v>
      </c>
      <c r="I1852" s="689"/>
      <c r="J1852" s="685"/>
      <c r="K1852" s="685"/>
      <c r="L1852" s="689">
        <v>112.5</v>
      </c>
      <c r="M1852" s="681">
        <v>45</v>
      </c>
      <c r="N1852" s="706"/>
      <c r="O1852" s="707"/>
      <c r="P1852" s="798"/>
      <c r="Q1852" s="735"/>
      <c r="R1852" s="735"/>
      <c r="S1852" s="735"/>
      <c r="T1852" s="735"/>
      <c r="U1852" s="735"/>
    </row>
    <row r="1853" spans="1:21" s="718" customFormat="1" ht="15" customHeight="1">
      <c r="A1853" s="719"/>
      <c r="B1853" s="1272" t="s">
        <v>166</v>
      </c>
      <c r="C1853" s="2790" t="s">
        <v>2057</v>
      </c>
      <c r="D1853" s="2791"/>
      <c r="E1853" s="1255">
        <v>77.5</v>
      </c>
      <c r="F1853" s="681" t="s">
        <v>50</v>
      </c>
      <c r="G1853" s="719" t="s">
        <v>2058</v>
      </c>
      <c r="H1853" s="683"/>
      <c r="I1853" s="689"/>
      <c r="J1853" s="685"/>
      <c r="K1853" s="685"/>
      <c r="L1853" s="689">
        <f>77.5+65</f>
        <v>142.5</v>
      </c>
      <c r="M1853" s="681">
        <v>65</v>
      </c>
      <c r="N1853" s="706"/>
      <c r="O1853" s="707"/>
      <c r="P1853" s="798"/>
      <c r="Q1853" s="735"/>
      <c r="R1853" s="735"/>
      <c r="S1853" s="735"/>
      <c r="T1853" s="735"/>
      <c r="U1853" s="735"/>
    </row>
    <row r="1854" spans="1:21" s="718" customFormat="1" ht="15" customHeight="1">
      <c r="A1854" s="719"/>
      <c r="B1854" s="1272" t="s">
        <v>1496</v>
      </c>
      <c r="C1854" s="2790" t="s">
        <v>925</v>
      </c>
      <c r="D1854" s="2791"/>
      <c r="E1854" s="1255">
        <v>87.5</v>
      </c>
      <c r="F1854" s="681"/>
      <c r="G1854" s="719"/>
      <c r="H1854" s="683"/>
      <c r="I1854" s="689"/>
      <c r="J1854" s="685"/>
      <c r="K1854" s="685"/>
      <c r="L1854" s="689">
        <f>60+87.5</f>
        <v>147.5</v>
      </c>
      <c r="M1854" s="681">
        <v>60</v>
      </c>
      <c r="N1854" s="706"/>
      <c r="O1854" s="707"/>
      <c r="P1854" s="798"/>
      <c r="Q1854" s="735"/>
      <c r="R1854" s="735"/>
      <c r="S1854" s="735"/>
      <c r="T1854" s="735"/>
      <c r="U1854" s="735"/>
    </row>
    <row r="1855" spans="1:21" s="456" customFormat="1" ht="16" thickBot="1">
      <c r="A1855" s="883"/>
      <c r="B1855" s="1309" t="s">
        <v>648</v>
      </c>
      <c r="C1855" s="1309" t="s">
        <v>161</v>
      </c>
      <c r="D1855" s="1309"/>
      <c r="E1855" s="1310"/>
      <c r="F1855" s="884"/>
      <c r="G1855" s="884"/>
      <c r="H1855" s="885"/>
      <c r="I1855" s="886"/>
      <c r="J1855" s="887"/>
      <c r="K1855" s="887"/>
      <c r="L1855" s="886"/>
      <c r="M1855" s="884"/>
      <c r="N1855" s="888"/>
      <c r="O1855" s="480"/>
      <c r="P1855" s="798"/>
      <c r="Q1855" s="479"/>
      <c r="R1855" s="479"/>
      <c r="S1855" s="479"/>
      <c r="T1855" s="479"/>
      <c r="U1855" s="479"/>
    </row>
    <row r="1856" spans="1:21" s="456" customFormat="1">
      <c r="A1856" s="443"/>
      <c r="B1856" s="1840" t="s">
        <v>1458</v>
      </c>
      <c r="C1856" s="2798" t="s">
        <v>1498</v>
      </c>
      <c r="D1856" s="2799"/>
      <c r="E1856" s="1841"/>
      <c r="F1856" s="303"/>
      <c r="G1856" s="303"/>
      <c r="H1856" s="307"/>
      <c r="I1856" s="304"/>
      <c r="J1856" s="290"/>
      <c r="K1856" s="290"/>
      <c r="L1856" s="304"/>
      <c r="M1856" s="303"/>
      <c r="N1856" s="637"/>
      <c r="O1856" s="480"/>
      <c r="P1856" s="482"/>
      <c r="Q1856" s="479"/>
      <c r="R1856" s="479"/>
      <c r="S1856" s="479"/>
      <c r="T1856" s="479"/>
      <c r="U1856" s="479"/>
    </row>
    <row r="1857" spans="1:21" s="456" customFormat="1">
      <c r="A1857" s="299"/>
      <c r="B1857" s="1842" t="s">
        <v>1458</v>
      </c>
      <c r="C1857" s="1842" t="s">
        <v>1499</v>
      </c>
      <c r="D1857" s="1842"/>
      <c r="E1857" s="1837"/>
      <c r="F1857" s="288"/>
      <c r="G1857" s="288"/>
      <c r="H1857" s="283"/>
      <c r="I1857" s="289"/>
      <c r="J1857" s="292"/>
      <c r="K1857" s="292"/>
      <c r="L1857" s="289"/>
      <c r="M1857" s="288"/>
      <c r="N1857" s="634"/>
      <c r="O1857" s="480"/>
      <c r="P1857" s="479"/>
      <c r="Q1857" s="479"/>
      <c r="R1857" s="479"/>
      <c r="S1857" s="479"/>
      <c r="T1857" s="479"/>
      <c r="U1857" s="479"/>
    </row>
    <row r="1858" spans="1:21" s="456" customFormat="1">
      <c r="A1858" s="299"/>
      <c r="B1858" s="1842" t="s">
        <v>1500</v>
      </c>
      <c r="C1858" s="1842" t="s">
        <v>1501</v>
      </c>
      <c r="D1858" s="1842"/>
      <c r="E1858" s="1837"/>
      <c r="F1858" s="288"/>
      <c r="G1858" s="288"/>
      <c r="H1858" s="283"/>
      <c r="I1858" s="289"/>
      <c r="J1858" s="292"/>
      <c r="K1858" s="292"/>
      <c r="L1858" s="289"/>
      <c r="M1858" s="288"/>
      <c r="N1858" s="634"/>
      <c r="O1858" s="480"/>
      <c r="P1858" s="479"/>
      <c r="Q1858" s="479"/>
      <c r="R1858" s="479"/>
      <c r="S1858" s="479"/>
      <c r="T1858" s="479"/>
      <c r="U1858" s="479"/>
    </row>
    <row r="1859" spans="1:21" s="456" customFormat="1">
      <c r="A1859" s="299"/>
      <c r="B1859" s="1842" t="s">
        <v>1502</v>
      </c>
      <c r="C1859" s="2800" t="s">
        <v>1505</v>
      </c>
      <c r="D1859" s="2801"/>
      <c r="E1859" s="1837"/>
      <c r="F1859" s="288"/>
      <c r="G1859" s="288"/>
      <c r="H1859" s="283"/>
      <c r="I1859" s="289"/>
      <c r="J1859" s="292"/>
      <c r="K1859" s="292"/>
      <c r="L1859" s="289"/>
      <c r="M1859" s="288"/>
      <c r="N1859" s="634"/>
      <c r="O1859" s="480"/>
      <c r="P1859" s="479"/>
      <c r="Q1859" s="479"/>
      <c r="R1859" s="479"/>
      <c r="S1859" s="479"/>
      <c r="T1859" s="479"/>
      <c r="U1859" s="479"/>
    </row>
    <row r="1860" spans="1:21" s="456" customFormat="1">
      <c r="A1860" s="299"/>
      <c r="B1860" s="1842" t="s">
        <v>1506</v>
      </c>
      <c r="C1860" s="2800" t="s">
        <v>1507</v>
      </c>
      <c r="D1860" s="2801"/>
      <c r="E1860" s="1837"/>
      <c r="F1860" s="288"/>
      <c r="G1860" s="288"/>
      <c r="H1860" s="283"/>
      <c r="I1860" s="289"/>
      <c r="J1860" s="292"/>
      <c r="K1860" s="292"/>
      <c r="L1860" s="289"/>
      <c r="M1860" s="288"/>
      <c r="N1860" s="634"/>
      <c r="O1860" s="480"/>
      <c r="P1860" s="479"/>
      <c r="Q1860" s="479"/>
      <c r="R1860" s="479"/>
      <c r="S1860" s="479"/>
      <c r="T1860" s="479"/>
      <c r="U1860" s="479"/>
    </row>
    <row r="1861" spans="1:21" s="456" customFormat="1">
      <c r="A1861" s="299"/>
      <c r="B1861" s="1842" t="s">
        <v>1506</v>
      </c>
      <c r="C1861" s="1843" t="s">
        <v>1508</v>
      </c>
      <c r="D1861" s="1844"/>
      <c r="E1861" s="1837"/>
      <c r="F1861" s="288"/>
      <c r="G1861" s="288"/>
      <c r="H1861" s="283"/>
      <c r="I1861" s="289"/>
      <c r="J1861" s="292"/>
      <c r="K1861" s="292"/>
      <c r="L1861" s="289"/>
      <c r="M1861" s="288"/>
      <c r="N1861" s="634"/>
      <c r="O1861" s="480"/>
      <c r="P1861" s="479"/>
      <c r="Q1861" s="479"/>
      <c r="R1861" s="479"/>
      <c r="S1861" s="479"/>
      <c r="T1861" s="479"/>
      <c r="U1861" s="479"/>
    </row>
    <row r="1862" spans="1:21" s="456" customFormat="1">
      <c r="A1862" s="299"/>
      <c r="B1862" s="1834" t="s">
        <v>1503</v>
      </c>
      <c r="C1862" s="2800" t="s">
        <v>1504</v>
      </c>
      <c r="D1862" s="2801"/>
      <c r="E1862" s="1837"/>
      <c r="F1862" s="288"/>
      <c r="G1862" s="288"/>
      <c r="H1862" s="283"/>
      <c r="I1862" s="289"/>
      <c r="J1862" s="292"/>
      <c r="K1862" s="292"/>
      <c r="L1862" s="289"/>
      <c r="M1862" s="288"/>
      <c r="N1862" s="634"/>
      <c r="O1862" s="480"/>
      <c r="P1862" s="479"/>
      <c r="Q1862" s="479"/>
      <c r="R1862" s="479"/>
      <c r="S1862" s="479"/>
      <c r="T1862" s="479"/>
      <c r="U1862" s="479"/>
    </row>
    <row r="1863" spans="1:21" s="456" customFormat="1">
      <c r="A1863" s="299"/>
      <c r="B1863" s="1834" t="s">
        <v>1450</v>
      </c>
      <c r="C1863" s="1835" t="s">
        <v>1451</v>
      </c>
      <c r="D1863" s="1836"/>
      <c r="E1863" s="1837"/>
      <c r="F1863" s="288"/>
      <c r="G1863" s="288"/>
      <c r="H1863" s="283"/>
      <c r="I1863" s="289"/>
      <c r="J1863" s="292"/>
      <c r="K1863" s="292"/>
      <c r="L1863" s="289"/>
      <c r="M1863" s="288"/>
      <c r="N1863" s="634"/>
      <c r="O1863" s="480"/>
      <c r="P1863" s="479"/>
      <c r="Q1863" s="479"/>
      <c r="R1863" s="479"/>
      <c r="S1863" s="479"/>
      <c r="T1863" s="479"/>
      <c r="U1863" s="479"/>
    </row>
    <row r="1864" spans="1:21" s="456" customFormat="1">
      <c r="A1864" s="299"/>
      <c r="B1864" s="1845" t="s">
        <v>1485</v>
      </c>
      <c r="C1864" s="1846" t="s">
        <v>1497</v>
      </c>
      <c r="D1864" s="1847"/>
      <c r="E1864" s="1837"/>
      <c r="F1864" s="288"/>
      <c r="G1864" s="288"/>
      <c r="H1864" s="283"/>
      <c r="I1864" s="289"/>
      <c r="J1864" s="292"/>
      <c r="K1864" s="292"/>
      <c r="L1864" s="289"/>
      <c r="M1864" s="288"/>
      <c r="N1864" s="634"/>
      <c r="O1864" s="647"/>
      <c r="P1864" s="479"/>
      <c r="Q1864" s="479"/>
      <c r="R1864" s="479"/>
      <c r="S1864" s="479"/>
      <c r="T1864" s="479"/>
      <c r="U1864" s="479"/>
    </row>
    <row r="1865" spans="1:21" s="456" customFormat="1">
      <c r="A1865" s="2477" t="s">
        <v>4463</v>
      </c>
      <c r="B1865" s="1876" t="s">
        <v>4459</v>
      </c>
      <c r="C1865" s="2491" t="s">
        <v>4460</v>
      </c>
      <c r="D1865" s="1847"/>
      <c r="E1865" s="2461">
        <v>56</v>
      </c>
      <c r="F1865" s="288"/>
      <c r="G1865" s="288"/>
      <c r="H1865" s="283"/>
      <c r="I1865" s="289"/>
      <c r="J1865" s="292"/>
      <c r="K1865" s="292"/>
      <c r="L1865" s="277">
        <f>M1865+E1865</f>
        <v>96</v>
      </c>
      <c r="M1865" s="275">
        <v>40</v>
      </c>
      <c r="N1865" s="632">
        <v>1</v>
      </c>
      <c r="O1865" s="646" t="s">
        <v>3880</v>
      </c>
      <c r="P1865" s="479"/>
      <c r="Q1865" s="490" t="s">
        <v>4464</v>
      </c>
      <c r="R1865" s="479"/>
      <c r="S1865" s="479"/>
      <c r="T1865" s="479"/>
      <c r="U1865" s="479"/>
    </row>
    <row r="1866" spans="1:21" s="456" customFormat="1">
      <c r="A1866" s="2477" t="s">
        <v>4461</v>
      </c>
      <c r="B1866" s="1876" t="s">
        <v>4459</v>
      </c>
      <c r="C1866" s="2491" t="s">
        <v>4460</v>
      </c>
      <c r="D1866" s="1847"/>
      <c r="E1866" s="2461">
        <v>64</v>
      </c>
      <c r="F1866" s="288"/>
      <c r="G1866" s="288"/>
      <c r="H1866" s="283"/>
      <c r="I1866" s="289"/>
      <c r="J1866" s="292"/>
      <c r="K1866" s="292"/>
      <c r="L1866" s="277">
        <f t="shared" ref="L1866:L1867" si="87">M1866+E1866</f>
        <v>104</v>
      </c>
      <c r="M1866" s="275">
        <v>40</v>
      </c>
      <c r="N1866" s="632">
        <v>1</v>
      </c>
      <c r="O1866" s="646" t="s">
        <v>4148</v>
      </c>
      <c r="P1866" s="479"/>
      <c r="Q1866" s="490" t="s">
        <v>4464</v>
      </c>
      <c r="R1866" s="479"/>
      <c r="S1866" s="479"/>
      <c r="T1866" s="479"/>
      <c r="U1866" s="479"/>
    </row>
    <row r="1867" spans="1:21" s="456" customFormat="1">
      <c r="A1867" s="2477" t="s">
        <v>4462</v>
      </c>
      <c r="B1867" s="1876" t="s">
        <v>4459</v>
      </c>
      <c r="C1867" s="2491" t="s">
        <v>4460</v>
      </c>
      <c r="D1867" s="1847"/>
      <c r="E1867" s="2461">
        <v>72</v>
      </c>
      <c r="F1867" s="288"/>
      <c r="G1867" s="288"/>
      <c r="H1867" s="283"/>
      <c r="I1867" s="289"/>
      <c r="J1867" s="292"/>
      <c r="K1867" s="292"/>
      <c r="L1867" s="277">
        <f t="shared" si="87"/>
        <v>112</v>
      </c>
      <c r="M1867" s="275">
        <v>40</v>
      </c>
      <c r="N1867" s="632">
        <v>1</v>
      </c>
      <c r="O1867" s="646" t="s">
        <v>4443</v>
      </c>
      <c r="P1867" s="479"/>
      <c r="Q1867" s="490" t="s">
        <v>4464</v>
      </c>
      <c r="R1867" s="479"/>
      <c r="S1867" s="479"/>
      <c r="T1867" s="479"/>
      <c r="U1867" s="479"/>
    </row>
    <row r="1868" spans="1:21" s="456" customFormat="1">
      <c r="A1868" s="1318"/>
      <c r="B1868" s="1894"/>
      <c r="C1868" s="2796"/>
      <c r="D1868" s="2797"/>
      <c r="E1868" s="1319"/>
      <c r="F1868" s="1319"/>
      <c r="G1868" s="1850"/>
      <c r="H1868" s="1319"/>
      <c r="I1868" s="1319"/>
      <c r="J1868" s="1319"/>
      <c r="K1868" s="1319"/>
      <c r="L1868" s="1319"/>
      <c r="M1868" s="1319"/>
      <c r="N1868" s="1895"/>
      <c r="O1868" s="480"/>
      <c r="P1868" s="482"/>
      <c r="Q1868" s="479"/>
      <c r="R1868" s="479"/>
      <c r="S1868" s="479"/>
      <c r="T1868" s="479"/>
      <c r="U1868" s="479"/>
    </row>
    <row r="1869" spans="1:21" s="456" customFormat="1">
      <c r="A1869" s="1318"/>
      <c r="B1869" s="1894"/>
      <c r="C1869" s="2796"/>
      <c r="D1869" s="2797"/>
      <c r="E1869" s="1319"/>
      <c r="F1869" s="1319"/>
      <c r="G1869" s="1319"/>
      <c r="H1869" s="1319"/>
      <c r="I1869" s="1319"/>
      <c r="J1869" s="1319"/>
      <c r="K1869" s="1319"/>
      <c r="L1869" s="1319"/>
      <c r="M1869" s="1319"/>
      <c r="N1869" s="1895"/>
      <c r="O1869" s="480"/>
      <c r="P1869" s="482"/>
      <c r="Q1869" s="479"/>
      <c r="R1869" s="479"/>
      <c r="S1869" s="479"/>
      <c r="T1869" s="479"/>
      <c r="U1869" s="479"/>
    </row>
    <row r="1870" spans="1:21" s="456" customFormat="1">
      <c r="A1870" s="299"/>
      <c r="B1870" s="287"/>
      <c r="C1870" s="287"/>
      <c r="D1870" s="287"/>
      <c r="E1870" s="287"/>
      <c r="F1870" s="287"/>
      <c r="G1870" s="287"/>
      <c r="H1870" s="287"/>
      <c r="I1870" s="287"/>
      <c r="J1870" s="287"/>
      <c r="K1870" s="287"/>
      <c r="L1870" s="287"/>
      <c r="M1870" s="287"/>
      <c r="N1870" s="287"/>
      <c r="O1870" s="480"/>
      <c r="P1870" s="482"/>
      <c r="Q1870" s="479"/>
      <c r="R1870" s="479"/>
      <c r="S1870" s="479"/>
      <c r="T1870" s="479"/>
      <c r="U1870" s="479"/>
    </row>
    <row r="1871" spans="1:21" s="456" customFormat="1">
      <c r="A1871" s="299"/>
      <c r="B1871" s="287"/>
      <c r="C1871" s="287"/>
      <c r="D1871" s="287"/>
      <c r="E1871" s="287"/>
      <c r="F1871" s="287"/>
      <c r="G1871" s="287"/>
      <c r="H1871" s="287"/>
      <c r="I1871" s="287"/>
      <c r="J1871" s="287"/>
      <c r="K1871" s="287"/>
      <c r="L1871" s="287"/>
      <c r="M1871" s="287"/>
      <c r="N1871" s="287"/>
      <c r="O1871" s="480"/>
      <c r="P1871" s="479"/>
      <c r="Q1871" s="479"/>
      <c r="R1871" s="479"/>
      <c r="S1871" s="479"/>
      <c r="T1871" s="479"/>
      <c r="U1871" s="479"/>
    </row>
    <row r="1872" spans="1:21" s="456" customFormat="1">
      <c r="A1872" s="287"/>
      <c r="B1872" s="287"/>
      <c r="C1872" s="287"/>
      <c r="D1872" s="287"/>
      <c r="E1872" s="287"/>
      <c r="F1872" s="287"/>
      <c r="G1872" s="287"/>
      <c r="H1872" s="287"/>
      <c r="I1872" s="287"/>
      <c r="J1872" s="287"/>
      <c r="K1872" s="287"/>
      <c r="L1872" s="287"/>
      <c r="M1872" s="287"/>
      <c r="N1872" s="287"/>
      <c r="O1872" s="480"/>
      <c r="P1872" s="479"/>
      <c r="Q1872" s="479"/>
      <c r="R1872" s="479"/>
      <c r="S1872" s="479"/>
      <c r="T1872" s="479"/>
      <c r="U1872" s="479"/>
    </row>
    <row r="1873" spans="1:21" s="456" customFormat="1">
      <c r="A1873" s="287"/>
      <c r="B1873" s="287"/>
      <c r="C1873" s="287"/>
      <c r="D1873" s="287"/>
      <c r="E1873" s="287"/>
      <c r="F1873" s="287"/>
      <c r="G1873" s="287"/>
      <c r="H1873" s="287"/>
      <c r="I1873" s="287"/>
      <c r="J1873" s="287"/>
      <c r="K1873" s="287"/>
      <c r="L1873" s="287"/>
      <c r="M1873" s="287"/>
      <c r="N1873" s="287"/>
      <c r="O1873" s="480"/>
      <c r="P1873" s="479"/>
      <c r="Q1873" s="479"/>
      <c r="R1873" s="479"/>
      <c r="S1873" s="479"/>
      <c r="T1873" s="479"/>
      <c r="U1873" s="479"/>
    </row>
    <row r="1874" spans="1:21" s="456" customFormat="1">
      <c r="A1874" s="287"/>
      <c r="B1874" s="287"/>
      <c r="C1874" s="287"/>
      <c r="D1874" s="287"/>
      <c r="E1874" s="287"/>
      <c r="F1874" s="287"/>
      <c r="G1874" s="287"/>
      <c r="H1874" s="287"/>
      <c r="I1874" s="287"/>
      <c r="J1874" s="287"/>
      <c r="K1874" s="287"/>
      <c r="L1874" s="287"/>
      <c r="M1874" s="287"/>
      <c r="N1874" s="287"/>
      <c r="O1874" s="480"/>
      <c r="P1874" s="479"/>
      <c r="Q1874" s="479"/>
      <c r="R1874" s="479"/>
      <c r="S1874" s="479"/>
      <c r="T1874" s="479"/>
      <c r="U1874" s="479"/>
    </row>
    <row r="1875" spans="1:21" s="456" customFormat="1">
      <c r="A1875" s="287"/>
      <c r="B1875" s="287"/>
      <c r="C1875" s="287"/>
      <c r="D1875" s="287"/>
      <c r="E1875" s="287"/>
      <c r="F1875" s="287"/>
      <c r="G1875" s="287"/>
      <c r="H1875" s="287"/>
      <c r="I1875" s="287"/>
      <c r="J1875" s="287"/>
      <c r="K1875" s="287"/>
      <c r="L1875" s="287"/>
      <c r="M1875" s="287"/>
      <c r="N1875" s="287"/>
      <c r="O1875" s="480"/>
      <c r="P1875" s="479"/>
      <c r="Q1875" s="479"/>
      <c r="R1875" s="479"/>
      <c r="S1875" s="479"/>
      <c r="T1875" s="479"/>
      <c r="U1875" s="479"/>
    </row>
    <row r="1876" spans="1:21" s="456" customFormat="1">
      <c r="A1876" s="287"/>
      <c r="B1876" s="287"/>
      <c r="C1876" s="287"/>
      <c r="D1876" s="287"/>
      <c r="E1876" s="287"/>
      <c r="F1876" s="287"/>
      <c r="G1876" s="287"/>
      <c r="H1876" s="287"/>
      <c r="I1876" s="287"/>
      <c r="J1876" s="287"/>
      <c r="K1876" s="287"/>
      <c r="L1876" s="287"/>
      <c r="M1876" s="2478"/>
      <c r="N1876" s="287"/>
      <c r="O1876" s="645"/>
      <c r="P1876" s="479"/>
      <c r="Q1876" s="479"/>
      <c r="R1876" s="479"/>
      <c r="S1876" s="479"/>
      <c r="T1876" s="479"/>
      <c r="U1876" s="479"/>
    </row>
    <row r="1877" spans="1:21" s="456" customFormat="1">
      <c r="A1877" s="287"/>
      <c r="B1877" s="287"/>
      <c r="C1877" s="287"/>
      <c r="D1877" s="287"/>
      <c r="E1877" s="287"/>
      <c r="F1877" s="287"/>
      <c r="G1877" s="287"/>
      <c r="H1877" s="287"/>
      <c r="I1877" s="287"/>
      <c r="J1877" s="287"/>
      <c r="K1877" s="287"/>
      <c r="L1877" s="287"/>
      <c r="M1877" s="287"/>
      <c r="N1877" s="287"/>
      <c r="O1877" s="645"/>
      <c r="P1877" s="479"/>
      <c r="Q1877" s="479"/>
      <c r="R1877" s="479"/>
      <c r="S1877" s="479"/>
      <c r="T1877" s="479"/>
      <c r="U1877" s="479"/>
    </row>
    <row r="1878" spans="1:21" s="456" customFormat="1">
      <c r="A1878" s="287"/>
      <c r="B1878" s="287"/>
      <c r="C1878" s="287"/>
      <c r="D1878" s="287"/>
      <c r="E1878" s="287"/>
      <c r="F1878" s="287"/>
      <c r="G1878" s="287"/>
      <c r="H1878" s="287"/>
      <c r="I1878" s="287"/>
      <c r="J1878" s="287"/>
      <c r="K1878" s="287"/>
      <c r="L1878" s="287"/>
      <c r="M1878" s="287"/>
      <c r="N1878" s="287"/>
      <c r="O1878" s="645"/>
      <c r="P1878" s="479"/>
      <c r="Q1878" s="479"/>
      <c r="R1878" s="479"/>
      <c r="S1878" s="479"/>
      <c r="T1878" s="479"/>
      <c r="U1878" s="479"/>
    </row>
    <row r="1879" spans="1:21" s="456" customFormat="1">
      <c r="A1879" s="287"/>
      <c r="B1879" s="287"/>
      <c r="C1879" s="287"/>
      <c r="D1879" s="287"/>
      <c r="E1879" s="287"/>
      <c r="F1879" s="287"/>
      <c r="G1879" s="287"/>
      <c r="H1879" s="287"/>
      <c r="I1879" s="287"/>
      <c r="J1879" s="287"/>
      <c r="K1879" s="287"/>
      <c r="L1879" s="287"/>
      <c r="M1879" s="287"/>
      <c r="N1879" s="287"/>
      <c r="O1879" s="480"/>
      <c r="P1879" s="479"/>
      <c r="Q1879" s="479"/>
      <c r="R1879" s="479"/>
      <c r="S1879" s="479"/>
      <c r="T1879" s="479"/>
      <c r="U1879" s="479"/>
    </row>
    <row r="1880" spans="1:21" s="456" customFormat="1">
      <c r="A1880" s="287"/>
      <c r="B1880" s="287"/>
      <c r="C1880" s="287"/>
      <c r="D1880" s="287"/>
      <c r="E1880" s="287"/>
      <c r="F1880" s="287"/>
      <c r="G1880" s="287"/>
      <c r="H1880" s="287"/>
      <c r="I1880" s="287"/>
      <c r="J1880" s="287"/>
      <c r="K1880" s="287"/>
      <c r="L1880" s="287"/>
      <c r="M1880" s="287"/>
      <c r="N1880" s="287"/>
      <c r="O1880" s="480"/>
      <c r="P1880" s="479"/>
      <c r="Q1880" s="479"/>
      <c r="R1880" s="479"/>
      <c r="S1880" s="479"/>
      <c r="T1880" s="479"/>
      <c r="U1880" s="479"/>
    </row>
    <row r="1881" spans="1:21" s="456" customFormat="1">
      <c r="A1881" s="287"/>
      <c r="B1881" s="287"/>
      <c r="C1881" s="287"/>
      <c r="D1881" s="287"/>
      <c r="E1881" s="287"/>
      <c r="F1881" s="287"/>
      <c r="G1881" s="287"/>
      <c r="H1881" s="287"/>
      <c r="I1881" s="287"/>
      <c r="J1881" s="287"/>
      <c r="K1881" s="287"/>
      <c r="L1881" s="287"/>
      <c r="M1881" s="287"/>
      <c r="N1881" s="287"/>
      <c r="O1881" s="649"/>
      <c r="P1881" s="479"/>
      <c r="Q1881" s="479"/>
      <c r="R1881" s="479"/>
      <c r="S1881" s="479"/>
      <c r="T1881" s="479"/>
      <c r="U1881" s="479"/>
    </row>
    <row r="1882" spans="1:21" s="456" customFormat="1">
      <c r="A1882" s="287"/>
      <c r="B1882" s="287"/>
      <c r="C1882" s="287"/>
      <c r="D1882" s="287"/>
      <c r="E1882" s="287"/>
      <c r="F1882" s="287"/>
      <c r="G1882" s="287"/>
      <c r="H1882" s="287"/>
      <c r="I1882" s="287"/>
      <c r="J1882" s="287"/>
      <c r="K1882" s="287"/>
      <c r="L1882" s="287"/>
      <c r="M1882" s="287"/>
      <c r="N1882" s="287"/>
      <c r="O1882" s="644"/>
      <c r="P1882" s="479"/>
      <c r="Q1882" s="479"/>
      <c r="R1882" s="479"/>
      <c r="S1882" s="479"/>
      <c r="T1882" s="479"/>
      <c r="U1882" s="479"/>
    </row>
    <row r="1883" spans="1:21" s="305" customFormat="1">
      <c r="A1883" s="287"/>
      <c r="B1883" s="287"/>
      <c r="C1883" s="287"/>
      <c r="D1883" s="287"/>
      <c r="E1883" s="287"/>
      <c r="F1883" s="287"/>
      <c r="G1883" s="287"/>
      <c r="H1883" s="287"/>
      <c r="I1883" s="287"/>
      <c r="J1883" s="287"/>
      <c r="K1883" s="287"/>
      <c r="L1883" s="287"/>
      <c r="M1883" s="287"/>
      <c r="N1883" s="287"/>
      <c r="O1883" s="644"/>
      <c r="P1883" s="297"/>
      <c r="Q1883" s="297"/>
      <c r="R1883" s="297"/>
      <c r="S1883" s="297"/>
      <c r="T1883" s="297"/>
      <c r="U1883" s="297"/>
    </row>
    <row r="1884" spans="1:21" s="456" customFormat="1">
      <c r="A1884" s="287"/>
      <c r="B1884" s="287"/>
      <c r="C1884" s="287"/>
      <c r="D1884" s="287"/>
      <c r="E1884" s="287"/>
      <c r="F1884" s="287"/>
      <c r="G1884" s="287"/>
      <c r="H1884" s="287"/>
      <c r="I1884" s="287"/>
      <c r="J1884" s="287"/>
      <c r="K1884" s="287"/>
      <c r="L1884" s="287"/>
      <c r="M1884" s="287"/>
      <c r="N1884" s="287"/>
      <c r="O1884" s="649"/>
      <c r="P1884" s="479"/>
      <c r="Q1884" s="479"/>
      <c r="R1884" s="479"/>
      <c r="S1884" s="479"/>
      <c r="T1884" s="479"/>
      <c r="U1884" s="479"/>
    </row>
    <row r="1885" spans="1:21" s="456" customFormat="1">
      <c r="A1885" s="287"/>
      <c r="B1885" s="287"/>
      <c r="C1885" s="287"/>
      <c r="D1885" s="287"/>
      <c r="E1885" s="287"/>
      <c r="F1885" s="287"/>
      <c r="G1885" s="287"/>
      <c r="H1885" s="287"/>
      <c r="I1885" s="287"/>
      <c r="J1885" s="287"/>
      <c r="K1885" s="287"/>
      <c r="L1885" s="287"/>
      <c r="M1885" s="287"/>
      <c r="N1885" s="287"/>
      <c r="O1885" s="644"/>
      <c r="P1885" s="479"/>
      <c r="Q1885" s="479"/>
      <c r="R1885" s="479"/>
      <c r="S1885" s="479"/>
      <c r="T1885" s="479"/>
      <c r="U1885" s="479"/>
    </row>
    <row r="1886" spans="1:21" s="445" customFormat="1">
      <c r="A1886" s="287"/>
      <c r="B1886" s="287"/>
      <c r="C1886" s="287"/>
      <c r="D1886" s="287"/>
      <c r="E1886" s="287"/>
      <c r="F1886" s="287"/>
      <c r="G1886" s="287"/>
      <c r="H1886" s="287"/>
      <c r="I1886" s="287"/>
      <c r="J1886" s="287"/>
      <c r="K1886" s="287"/>
      <c r="L1886" s="287"/>
      <c r="M1886" s="287"/>
      <c r="N1886" s="287"/>
      <c r="O1886" s="644"/>
      <c r="P1886" s="487"/>
      <c r="Q1886" s="487"/>
      <c r="R1886" s="487"/>
      <c r="S1886" s="487"/>
      <c r="T1886" s="487"/>
      <c r="U1886" s="487"/>
    </row>
    <row r="1887" spans="1:21" s="445" customFormat="1">
      <c r="A1887" s="287"/>
      <c r="B1887" s="287"/>
      <c r="C1887" s="287"/>
      <c r="D1887" s="287"/>
      <c r="E1887" s="287"/>
      <c r="F1887" s="287"/>
      <c r="G1887" s="287"/>
      <c r="H1887" s="287"/>
      <c r="I1887" s="287"/>
      <c r="J1887" s="287"/>
      <c r="K1887" s="287"/>
      <c r="L1887" s="287"/>
      <c r="M1887" s="287"/>
      <c r="N1887" s="287"/>
      <c r="O1887" s="649"/>
      <c r="P1887" s="487"/>
      <c r="Q1887" s="487"/>
      <c r="R1887" s="487"/>
      <c r="S1887" s="487"/>
      <c r="T1887" s="487"/>
      <c r="U1887" s="487"/>
    </row>
    <row r="1888" spans="1:21" s="445" customFormat="1">
      <c r="A1888" s="287"/>
      <c r="B1888" s="287"/>
      <c r="C1888" s="287"/>
      <c r="D1888" s="287"/>
      <c r="E1888" s="287"/>
      <c r="F1888" s="287"/>
      <c r="G1888" s="287"/>
      <c r="H1888" s="287"/>
      <c r="I1888" s="287"/>
      <c r="J1888" s="287"/>
      <c r="K1888" s="287"/>
      <c r="L1888" s="287"/>
      <c r="M1888" s="287"/>
      <c r="N1888" s="287"/>
      <c r="O1888" s="649"/>
      <c r="P1888" s="487"/>
      <c r="Q1888" s="487"/>
      <c r="R1888" s="487"/>
      <c r="S1888" s="487"/>
      <c r="T1888" s="487"/>
      <c r="U1888" s="487"/>
    </row>
    <row r="1889" spans="1:21" s="445" customFormat="1">
      <c r="A1889" s="287"/>
      <c r="B1889" s="287"/>
      <c r="C1889" s="287"/>
      <c r="D1889" s="287"/>
      <c r="E1889" s="287"/>
      <c r="F1889" s="287"/>
      <c r="G1889" s="287"/>
      <c r="H1889" s="287"/>
      <c r="I1889" s="287"/>
      <c r="J1889" s="287"/>
      <c r="K1889" s="287"/>
      <c r="L1889" s="287"/>
      <c r="M1889" s="287"/>
      <c r="N1889" s="287"/>
      <c r="O1889" s="649"/>
      <c r="P1889" s="487"/>
      <c r="Q1889" s="487"/>
      <c r="R1889" s="487"/>
      <c r="S1889" s="487"/>
      <c r="T1889" s="487"/>
      <c r="U1889" s="487"/>
    </row>
    <row r="1890" spans="1:21" s="445" customFormat="1">
      <c r="A1890" s="287"/>
      <c r="B1890" s="287"/>
      <c r="C1890" s="287"/>
      <c r="D1890" s="287"/>
      <c r="E1890" s="287"/>
      <c r="F1890" s="287"/>
      <c r="G1890" s="287"/>
      <c r="H1890" s="287"/>
      <c r="I1890" s="287"/>
      <c r="J1890" s="287"/>
      <c r="K1890" s="287"/>
      <c r="L1890" s="287"/>
      <c r="M1890" s="287"/>
      <c r="N1890" s="295"/>
      <c r="O1890" s="649"/>
      <c r="P1890" s="487"/>
      <c r="Q1890" s="487"/>
      <c r="R1890" s="487"/>
      <c r="S1890" s="487"/>
      <c r="T1890" s="487"/>
      <c r="U1890" s="487"/>
    </row>
    <row r="1891" spans="1:21" s="445" customFormat="1">
      <c r="A1891" s="287"/>
      <c r="B1891" s="287"/>
      <c r="C1891" s="287"/>
      <c r="D1891" s="287"/>
      <c r="E1891" s="287"/>
      <c r="F1891" s="287"/>
      <c r="G1891" s="287"/>
      <c r="H1891" s="287"/>
      <c r="I1891" s="287"/>
      <c r="J1891" s="287"/>
      <c r="K1891" s="287"/>
      <c r="L1891" s="287"/>
      <c r="M1891" s="287"/>
      <c r="N1891" s="295"/>
      <c r="O1891" s="649"/>
      <c r="P1891" s="487"/>
      <c r="Q1891" s="487"/>
      <c r="R1891" s="487"/>
      <c r="S1891" s="487"/>
      <c r="T1891" s="487"/>
      <c r="U1891" s="487"/>
    </row>
    <row r="1892" spans="1:21" s="445" customFormat="1">
      <c r="A1892" s="287"/>
      <c r="B1892" s="287"/>
      <c r="C1892" s="287"/>
      <c r="D1892" s="287"/>
      <c r="E1892" s="287"/>
      <c r="F1892" s="287"/>
      <c r="G1892" s="287"/>
      <c r="H1892" s="287"/>
      <c r="I1892" s="287"/>
      <c r="J1892" s="287"/>
      <c r="K1892" s="287"/>
      <c r="L1892" s="287"/>
      <c r="M1892" s="287"/>
      <c r="N1892" s="295"/>
      <c r="O1892" s="649"/>
      <c r="P1892" s="487"/>
      <c r="Q1892" s="487"/>
      <c r="R1892" s="487"/>
      <c r="S1892" s="487"/>
      <c r="T1892" s="487"/>
      <c r="U1892" s="487"/>
    </row>
    <row r="1893" spans="1:21" s="445" customFormat="1">
      <c r="A1893" s="287"/>
      <c r="B1893" s="287"/>
      <c r="C1893" s="287"/>
      <c r="D1893" s="287"/>
      <c r="E1893" s="287"/>
      <c r="F1893" s="287"/>
      <c r="G1893" s="287"/>
      <c r="H1893" s="287"/>
      <c r="I1893" s="287"/>
      <c r="J1893" s="287"/>
      <c r="K1893" s="287"/>
      <c r="L1893" s="287"/>
      <c r="M1893" s="287"/>
      <c r="N1893" s="295"/>
      <c r="O1893" s="649"/>
      <c r="P1893" s="487"/>
      <c r="Q1893" s="487"/>
      <c r="R1893" s="487"/>
      <c r="S1893" s="487"/>
      <c r="T1893" s="487"/>
      <c r="U1893" s="487"/>
    </row>
    <row r="1894" spans="1:21" s="445" customFormat="1">
      <c r="A1894" s="287"/>
      <c r="B1894" s="287"/>
      <c r="C1894" s="287"/>
      <c r="D1894" s="287"/>
      <c r="E1894" s="287"/>
      <c r="F1894" s="287"/>
      <c r="G1894" s="287"/>
      <c r="H1894" s="287"/>
      <c r="I1894" s="287"/>
      <c r="J1894" s="287"/>
      <c r="K1894" s="287"/>
      <c r="L1894" s="287"/>
      <c r="M1894" s="287"/>
      <c r="N1894" s="295"/>
      <c r="O1894" s="645"/>
      <c r="P1894" s="487"/>
      <c r="Q1894" s="487"/>
      <c r="R1894" s="487"/>
      <c r="S1894" s="487"/>
      <c r="T1894" s="487"/>
      <c r="U1894" s="487"/>
    </row>
    <row r="1895" spans="1:21" s="445" customFormat="1">
      <c r="A1895" s="287"/>
      <c r="B1895" s="287"/>
      <c r="C1895" s="287"/>
      <c r="D1895" s="287"/>
      <c r="E1895" s="287"/>
      <c r="F1895" s="287"/>
      <c r="G1895" s="287"/>
      <c r="H1895" s="287"/>
      <c r="I1895" s="287"/>
      <c r="J1895" s="287"/>
      <c r="K1895" s="287"/>
      <c r="L1895" s="287"/>
      <c r="M1895" s="287"/>
      <c r="N1895" s="295"/>
      <c r="O1895" s="645"/>
      <c r="P1895" s="487"/>
      <c r="Q1895" s="487"/>
      <c r="R1895" s="487"/>
      <c r="S1895" s="487"/>
      <c r="T1895" s="487"/>
      <c r="U1895" s="487"/>
    </row>
    <row r="1896" spans="1:21" s="445" customFormat="1">
      <c r="A1896" s="287"/>
      <c r="B1896" s="287"/>
      <c r="C1896" s="287"/>
      <c r="D1896" s="287"/>
      <c r="E1896" s="287"/>
      <c r="F1896" s="287"/>
      <c r="G1896" s="287"/>
      <c r="H1896" s="287"/>
      <c r="I1896" s="287"/>
      <c r="J1896" s="287"/>
      <c r="K1896" s="287"/>
      <c r="L1896" s="287"/>
      <c r="M1896" s="287"/>
      <c r="N1896" s="295"/>
      <c r="O1896" s="645"/>
      <c r="P1896" s="487"/>
      <c r="Q1896" s="487"/>
      <c r="R1896" s="487"/>
      <c r="S1896" s="487"/>
      <c r="T1896" s="487"/>
      <c r="U1896" s="487"/>
    </row>
    <row r="1897" spans="1:21" s="445" customFormat="1">
      <c r="A1897" s="287"/>
      <c r="B1897" s="287"/>
      <c r="C1897" s="287"/>
      <c r="D1897" s="287"/>
      <c r="E1897" s="287"/>
      <c r="F1897" s="287"/>
      <c r="G1897" s="287"/>
      <c r="H1897" s="287"/>
      <c r="I1897" s="287"/>
      <c r="J1897" s="287"/>
      <c r="K1897" s="287"/>
      <c r="L1897" s="287"/>
      <c r="M1897" s="287"/>
      <c r="N1897" s="295"/>
      <c r="O1897" s="645"/>
      <c r="P1897" s="487"/>
      <c r="Q1897" s="487"/>
      <c r="R1897" s="487"/>
      <c r="S1897" s="487"/>
      <c r="T1897" s="487"/>
      <c r="U1897" s="487"/>
    </row>
    <row r="1898" spans="1:21" s="445" customFormat="1">
      <c r="A1898" s="287"/>
      <c r="B1898" s="287"/>
      <c r="C1898" s="287"/>
      <c r="D1898" s="287"/>
      <c r="E1898" s="287"/>
      <c r="F1898" s="287"/>
      <c r="G1898" s="287"/>
      <c r="H1898" s="287"/>
      <c r="I1898" s="287"/>
      <c r="J1898" s="287"/>
      <c r="K1898" s="287"/>
      <c r="L1898" s="287"/>
      <c r="M1898" s="287"/>
      <c r="N1898" s="295"/>
      <c r="O1898" s="645"/>
      <c r="P1898" s="487"/>
      <c r="Q1898" s="487"/>
      <c r="R1898" s="487"/>
      <c r="S1898" s="487"/>
      <c r="T1898" s="487"/>
      <c r="U1898" s="487"/>
    </row>
    <row r="1899" spans="1:21" s="305" customFormat="1">
      <c r="A1899" s="287"/>
      <c r="B1899" s="287"/>
      <c r="C1899" s="287"/>
      <c r="D1899" s="287"/>
      <c r="E1899" s="287"/>
      <c r="F1899" s="287"/>
      <c r="G1899" s="287"/>
      <c r="H1899" s="287"/>
      <c r="I1899" s="287"/>
      <c r="J1899" s="287"/>
      <c r="K1899" s="287"/>
      <c r="L1899" s="287"/>
      <c r="M1899" s="287"/>
      <c r="N1899" s="295"/>
      <c r="O1899" s="645"/>
      <c r="P1899" s="297"/>
      <c r="Q1899" s="297"/>
      <c r="R1899" s="297"/>
      <c r="S1899" s="297"/>
      <c r="T1899" s="297"/>
      <c r="U1899" s="297"/>
    </row>
    <row r="1900" spans="1:21" s="305" customFormat="1">
      <c r="A1900" s="287"/>
      <c r="B1900" s="287"/>
      <c r="C1900" s="287"/>
      <c r="D1900" s="287"/>
      <c r="E1900" s="287"/>
      <c r="F1900" s="287"/>
      <c r="G1900" s="287"/>
      <c r="H1900" s="287"/>
      <c r="I1900" s="287"/>
      <c r="J1900" s="287"/>
      <c r="K1900" s="287"/>
      <c r="L1900" s="287"/>
      <c r="M1900" s="287"/>
      <c r="N1900" s="295"/>
      <c r="O1900" s="645"/>
      <c r="P1900" s="297"/>
      <c r="Q1900" s="297"/>
      <c r="R1900" s="297"/>
      <c r="S1900" s="297"/>
      <c r="T1900" s="297"/>
      <c r="U1900" s="297"/>
    </row>
    <row r="1901" spans="1:21" s="305" customFormat="1">
      <c r="A1901" s="287"/>
      <c r="B1901" s="287"/>
      <c r="C1901" s="287"/>
      <c r="D1901" s="287"/>
      <c r="E1901" s="287"/>
      <c r="F1901" s="287"/>
      <c r="G1901" s="287"/>
      <c r="H1901" s="287"/>
      <c r="I1901" s="287"/>
      <c r="J1901" s="287"/>
      <c r="K1901" s="287"/>
      <c r="L1901" s="287"/>
      <c r="M1901" s="287"/>
      <c r="N1901" s="295"/>
      <c r="O1901" s="645"/>
      <c r="P1901" s="297"/>
      <c r="Q1901" s="297"/>
      <c r="R1901" s="297"/>
      <c r="S1901" s="297"/>
      <c r="T1901" s="297"/>
      <c r="U1901" s="297"/>
    </row>
    <row r="1902" spans="1:21" s="305" customFormat="1">
      <c r="A1902" s="287"/>
      <c r="B1902" s="287"/>
      <c r="C1902" s="287"/>
      <c r="D1902" s="287"/>
      <c r="E1902" s="287"/>
      <c r="F1902" s="287"/>
      <c r="G1902" s="287"/>
      <c r="H1902" s="287"/>
      <c r="I1902" s="287"/>
      <c r="J1902" s="287"/>
      <c r="K1902" s="287"/>
      <c r="L1902" s="287"/>
      <c r="M1902" s="287"/>
      <c r="N1902" s="295"/>
      <c r="O1902" s="645"/>
      <c r="P1902" s="297"/>
      <c r="Q1902" s="297"/>
      <c r="R1902" s="297"/>
      <c r="S1902" s="297"/>
      <c r="T1902" s="297"/>
      <c r="U1902" s="297"/>
    </row>
    <row r="1903" spans="1:21" s="305" customFormat="1">
      <c r="A1903" s="287"/>
      <c r="B1903" s="287"/>
      <c r="C1903" s="287"/>
      <c r="D1903" s="287"/>
      <c r="E1903" s="287"/>
      <c r="F1903" s="287"/>
      <c r="G1903" s="287"/>
      <c r="H1903" s="287"/>
      <c r="I1903" s="287"/>
      <c r="J1903" s="287"/>
      <c r="K1903" s="287"/>
      <c r="L1903" s="287"/>
      <c r="M1903" s="287"/>
      <c r="N1903" s="295"/>
      <c r="O1903" s="645"/>
      <c r="P1903" s="297"/>
      <c r="Q1903" s="297"/>
      <c r="R1903" s="297"/>
      <c r="S1903" s="297"/>
      <c r="T1903" s="297"/>
      <c r="U1903" s="297"/>
    </row>
    <row r="1904" spans="1:21" s="305" customFormat="1">
      <c r="A1904" s="287"/>
      <c r="B1904" s="287"/>
      <c r="C1904" s="287"/>
      <c r="D1904" s="287"/>
      <c r="E1904" s="287"/>
      <c r="F1904" s="287"/>
      <c r="G1904" s="287"/>
      <c r="H1904" s="287"/>
      <c r="I1904" s="287"/>
      <c r="J1904" s="287"/>
      <c r="K1904" s="287"/>
      <c r="L1904" s="287"/>
      <c r="M1904" s="287"/>
      <c r="N1904" s="295"/>
      <c r="O1904" s="645"/>
      <c r="P1904" s="297"/>
      <c r="Q1904" s="297"/>
      <c r="R1904" s="297"/>
      <c r="S1904" s="297"/>
      <c r="T1904" s="297"/>
      <c r="U1904" s="297"/>
    </row>
    <row r="1905" spans="1:21" s="305" customFormat="1">
      <c r="A1905" s="287"/>
      <c r="B1905" s="287"/>
      <c r="C1905" s="287"/>
      <c r="D1905" s="287"/>
      <c r="E1905" s="287"/>
      <c r="F1905" s="287"/>
      <c r="G1905" s="287"/>
      <c r="H1905" s="287"/>
      <c r="I1905" s="287"/>
      <c r="J1905" s="287"/>
      <c r="K1905" s="287"/>
      <c r="L1905" s="287"/>
      <c r="M1905" s="287"/>
      <c r="N1905" s="295"/>
      <c r="O1905" s="645"/>
      <c r="P1905" s="297"/>
      <c r="Q1905" s="297"/>
      <c r="R1905" s="297"/>
      <c r="S1905" s="297"/>
      <c r="T1905" s="297"/>
      <c r="U1905" s="297"/>
    </row>
    <row r="1906" spans="1:21" s="305" customFormat="1">
      <c r="A1906" s="287"/>
      <c r="B1906" s="287"/>
      <c r="C1906" s="287"/>
      <c r="D1906" s="287"/>
      <c r="E1906" s="287"/>
      <c r="F1906" s="287"/>
      <c r="G1906" s="287"/>
      <c r="H1906" s="287"/>
      <c r="I1906" s="287"/>
      <c r="J1906" s="287"/>
      <c r="K1906" s="287"/>
      <c r="L1906" s="287"/>
      <c r="M1906" s="287"/>
      <c r="N1906" s="295"/>
      <c r="O1906" s="645"/>
      <c r="P1906" s="297"/>
      <c r="Q1906" s="297"/>
      <c r="R1906" s="297"/>
      <c r="S1906" s="297"/>
      <c r="T1906" s="297"/>
      <c r="U1906" s="297"/>
    </row>
    <row r="1907" spans="1:21" s="305" customFormat="1">
      <c r="A1907" s="287"/>
      <c r="B1907" s="287"/>
      <c r="C1907" s="287"/>
      <c r="D1907" s="287"/>
      <c r="E1907" s="287"/>
      <c r="F1907" s="287"/>
      <c r="G1907" s="287"/>
      <c r="H1907" s="287"/>
      <c r="I1907" s="287"/>
      <c r="J1907" s="287"/>
      <c r="K1907" s="287"/>
      <c r="L1907" s="287"/>
      <c r="M1907" s="287"/>
      <c r="N1907" s="295"/>
      <c r="O1907" s="645"/>
      <c r="P1907" s="297"/>
      <c r="Q1907" s="297"/>
      <c r="R1907" s="297"/>
      <c r="S1907" s="297"/>
      <c r="T1907" s="297"/>
      <c r="U1907" s="297"/>
    </row>
    <row r="1908" spans="1:21" s="305" customFormat="1">
      <c r="A1908" s="287"/>
      <c r="B1908" s="287"/>
      <c r="C1908" s="287"/>
      <c r="D1908" s="287"/>
      <c r="E1908" s="287"/>
      <c r="F1908" s="287"/>
      <c r="G1908" s="287"/>
      <c r="H1908" s="287"/>
      <c r="I1908" s="287"/>
      <c r="J1908" s="287"/>
      <c r="K1908" s="287"/>
      <c r="L1908" s="287"/>
      <c r="M1908" s="287"/>
      <c r="N1908" s="295"/>
      <c r="O1908" s="645"/>
      <c r="P1908" s="297"/>
      <c r="Q1908" s="297"/>
      <c r="R1908" s="297"/>
      <c r="S1908" s="297"/>
      <c r="T1908" s="297"/>
      <c r="U1908" s="297"/>
    </row>
    <row r="1909" spans="1:21" s="305" customFormat="1">
      <c r="A1909" s="287"/>
      <c r="B1909" s="287"/>
      <c r="C1909" s="287"/>
      <c r="D1909" s="287"/>
      <c r="E1909" s="287"/>
      <c r="F1909" s="287"/>
      <c r="G1909" s="287"/>
      <c r="H1909" s="287"/>
      <c r="I1909" s="287"/>
      <c r="J1909" s="287"/>
      <c r="K1909" s="287"/>
      <c r="L1909" s="287"/>
      <c r="M1909" s="287"/>
      <c r="N1909" s="295"/>
      <c r="O1909" s="645"/>
      <c r="P1909" s="297"/>
      <c r="Q1909" s="297"/>
      <c r="R1909" s="297"/>
      <c r="S1909" s="297"/>
      <c r="T1909" s="297"/>
      <c r="U1909" s="297"/>
    </row>
    <row r="1910" spans="1:21" s="305" customFormat="1">
      <c r="A1910" s="287"/>
      <c r="B1910" s="287"/>
      <c r="C1910" s="287"/>
      <c r="D1910" s="287"/>
      <c r="E1910" s="287"/>
      <c r="F1910" s="287"/>
      <c r="G1910" s="287"/>
      <c r="H1910" s="287"/>
      <c r="I1910" s="287"/>
      <c r="J1910" s="287"/>
      <c r="K1910" s="287"/>
      <c r="L1910" s="287"/>
      <c r="M1910" s="287"/>
      <c r="N1910" s="295"/>
      <c r="O1910" s="645"/>
      <c r="P1910" s="297"/>
      <c r="Q1910" s="297"/>
      <c r="R1910" s="297"/>
      <c r="S1910" s="297"/>
      <c r="T1910" s="297"/>
      <c r="U1910" s="297"/>
    </row>
    <row r="1911" spans="1:21" s="305" customFormat="1">
      <c r="A1911" s="287"/>
      <c r="B1911" s="287"/>
      <c r="C1911" s="287"/>
      <c r="D1911" s="287"/>
      <c r="E1911" s="287"/>
      <c r="F1911" s="287"/>
      <c r="G1911" s="287"/>
      <c r="H1911" s="287"/>
      <c r="I1911" s="287"/>
      <c r="J1911" s="287"/>
      <c r="K1911" s="287"/>
      <c r="L1911" s="287"/>
      <c r="M1911" s="287"/>
      <c r="N1911" s="295"/>
      <c r="O1911" s="295"/>
      <c r="P1911" s="297"/>
      <c r="Q1911" s="297"/>
      <c r="R1911" s="297"/>
      <c r="S1911" s="297"/>
      <c r="T1911" s="297"/>
      <c r="U1911" s="297"/>
    </row>
    <row r="1912" spans="1:21" s="305" customFormat="1" ht="17.25" customHeight="1">
      <c r="A1912" s="287"/>
      <c r="B1912" s="287"/>
      <c r="C1912" s="287"/>
      <c r="D1912" s="287"/>
      <c r="E1912" s="287"/>
      <c r="F1912" s="287"/>
      <c r="G1912" s="287"/>
      <c r="H1912" s="287"/>
      <c r="I1912" s="287"/>
      <c r="J1912" s="287"/>
      <c r="K1912" s="287"/>
      <c r="L1912" s="287"/>
      <c r="M1912" s="287"/>
      <c r="N1912" s="295"/>
      <c r="O1912" s="295"/>
      <c r="P1912" s="297"/>
      <c r="Q1912" s="297"/>
      <c r="R1912" s="297"/>
      <c r="S1912" s="297"/>
      <c r="T1912" s="297"/>
      <c r="U1912" s="297"/>
    </row>
    <row r="1913" spans="1:21" s="305" customFormat="1">
      <c r="A1913" s="287"/>
      <c r="B1913" s="287"/>
      <c r="C1913" s="287"/>
      <c r="D1913" s="287"/>
      <c r="E1913" s="287"/>
      <c r="F1913" s="287"/>
      <c r="G1913" s="287"/>
      <c r="H1913" s="287"/>
      <c r="I1913" s="287"/>
      <c r="J1913" s="287"/>
      <c r="K1913" s="287"/>
      <c r="L1913" s="287"/>
      <c r="M1913" s="287"/>
      <c r="N1913" s="295"/>
      <c r="O1913" s="295"/>
      <c r="P1913" s="297"/>
      <c r="Q1913" s="297"/>
      <c r="R1913" s="297"/>
      <c r="S1913" s="297"/>
      <c r="T1913" s="297"/>
      <c r="U1913" s="297"/>
    </row>
    <row r="1914" spans="1:21" s="305" customFormat="1">
      <c r="A1914" s="287"/>
      <c r="B1914" s="287"/>
      <c r="C1914" s="287"/>
      <c r="D1914" s="287"/>
      <c r="E1914" s="287"/>
      <c r="F1914" s="287"/>
      <c r="G1914" s="287"/>
      <c r="H1914" s="287"/>
      <c r="I1914" s="287"/>
      <c r="J1914" s="287"/>
      <c r="K1914" s="287"/>
      <c r="L1914" s="287"/>
      <c r="M1914" s="287"/>
      <c r="N1914" s="295"/>
      <c r="O1914" s="295"/>
      <c r="P1914" s="297"/>
      <c r="Q1914" s="297"/>
      <c r="R1914" s="297"/>
      <c r="S1914" s="297"/>
      <c r="T1914" s="297"/>
      <c r="U1914" s="297"/>
    </row>
    <row r="1915" spans="1:21" s="305" customFormat="1">
      <c r="A1915" s="287"/>
      <c r="B1915" s="287"/>
      <c r="C1915" s="287"/>
      <c r="D1915" s="287"/>
      <c r="E1915" s="287"/>
      <c r="F1915" s="287"/>
      <c r="G1915" s="287"/>
      <c r="H1915" s="287"/>
      <c r="I1915" s="287"/>
      <c r="J1915" s="287"/>
      <c r="K1915" s="287"/>
      <c r="L1915" s="287"/>
      <c r="M1915" s="287"/>
      <c r="N1915" s="295"/>
      <c r="O1915" s="295"/>
      <c r="P1915" s="297"/>
      <c r="Q1915" s="297"/>
      <c r="R1915" s="297"/>
      <c r="S1915" s="297"/>
      <c r="T1915" s="297"/>
      <c r="U1915" s="297"/>
    </row>
    <row r="1916" spans="1:21" s="287" customFormat="1">
      <c r="N1916" s="295"/>
      <c r="O1916" s="295"/>
      <c r="P1916" s="295"/>
      <c r="Q1916" s="295"/>
      <c r="R1916" s="295"/>
      <c r="S1916" s="295"/>
      <c r="T1916" s="295"/>
      <c r="U1916" s="295"/>
    </row>
    <row r="1917" spans="1:21" s="287" customFormat="1">
      <c r="N1917" s="295"/>
      <c r="O1917" s="295"/>
      <c r="P1917" s="295"/>
      <c r="Q1917" s="295"/>
      <c r="R1917" s="295"/>
      <c r="S1917" s="295"/>
      <c r="T1917" s="295"/>
      <c r="U1917" s="295"/>
    </row>
    <row r="1918" spans="1:21" s="287" customFormat="1">
      <c r="N1918" s="295"/>
      <c r="O1918" s="295"/>
      <c r="P1918" s="295"/>
      <c r="Q1918" s="295"/>
      <c r="R1918" s="295"/>
      <c r="S1918" s="295"/>
      <c r="T1918" s="295"/>
      <c r="U1918" s="295"/>
    </row>
    <row r="1919" spans="1:21" s="287" customFormat="1">
      <c r="N1919" s="295"/>
      <c r="O1919" s="295"/>
      <c r="P1919" s="295"/>
      <c r="Q1919" s="295"/>
      <c r="R1919" s="295"/>
      <c r="S1919" s="295"/>
      <c r="T1919" s="295"/>
      <c r="U1919" s="295"/>
    </row>
    <row r="1920" spans="1:21" s="287" customFormat="1">
      <c r="N1920" s="295"/>
      <c r="O1920" s="295"/>
      <c r="P1920" s="295"/>
      <c r="Q1920" s="295"/>
      <c r="R1920" s="295"/>
      <c r="S1920" s="295"/>
      <c r="T1920" s="295"/>
      <c r="U1920" s="295"/>
    </row>
    <row r="1921" spans="14:21" s="287" customFormat="1">
      <c r="N1921" s="295"/>
      <c r="O1921" s="295"/>
      <c r="P1921" s="295"/>
      <c r="Q1921" s="295"/>
      <c r="R1921" s="295"/>
      <c r="S1921" s="295"/>
      <c r="T1921" s="295"/>
      <c r="U1921" s="295"/>
    </row>
    <row r="1922" spans="14:21" s="287" customFormat="1">
      <c r="N1922" s="295"/>
      <c r="O1922" s="295"/>
      <c r="P1922" s="295"/>
      <c r="Q1922" s="295"/>
      <c r="R1922" s="295"/>
      <c r="S1922" s="295"/>
      <c r="T1922" s="295"/>
      <c r="U1922" s="295"/>
    </row>
    <row r="1923" spans="14:21" s="287" customFormat="1">
      <c r="N1923" s="295"/>
      <c r="O1923" s="295"/>
      <c r="P1923" s="295"/>
      <c r="Q1923" s="295"/>
      <c r="R1923" s="295"/>
      <c r="S1923" s="295"/>
      <c r="T1923" s="295"/>
      <c r="U1923" s="295"/>
    </row>
    <row r="1924" spans="14:21" s="287" customFormat="1">
      <c r="N1924" s="295"/>
      <c r="O1924" s="295"/>
      <c r="P1924" s="295"/>
      <c r="Q1924" s="295"/>
      <c r="R1924" s="295"/>
      <c r="S1924" s="295"/>
      <c r="T1924" s="295"/>
      <c r="U1924" s="295"/>
    </row>
    <row r="1925" spans="14:21" s="287" customFormat="1">
      <c r="N1925" s="295"/>
      <c r="O1925" s="295"/>
      <c r="P1925" s="295"/>
      <c r="Q1925" s="295"/>
      <c r="R1925" s="295"/>
      <c r="S1925" s="295"/>
      <c r="T1925" s="295"/>
      <c r="U1925" s="295"/>
    </row>
    <row r="1926" spans="14:21" s="287" customFormat="1">
      <c r="N1926" s="295"/>
      <c r="O1926" s="295"/>
      <c r="P1926" s="295"/>
      <c r="Q1926" s="295"/>
      <c r="R1926" s="295"/>
      <c r="S1926" s="295"/>
      <c r="T1926" s="295"/>
      <c r="U1926" s="295"/>
    </row>
    <row r="1927" spans="14:21" s="287" customFormat="1">
      <c r="N1927" s="295"/>
      <c r="O1927" s="295"/>
      <c r="P1927" s="295"/>
      <c r="Q1927" s="295"/>
      <c r="R1927" s="295"/>
      <c r="S1927" s="295"/>
      <c r="T1927" s="295"/>
      <c r="U1927" s="295"/>
    </row>
    <row r="1928" spans="14:21" s="287" customFormat="1">
      <c r="N1928" s="295"/>
      <c r="O1928" s="295"/>
      <c r="P1928" s="295"/>
      <c r="Q1928" s="295"/>
      <c r="R1928" s="295"/>
      <c r="S1928" s="295"/>
      <c r="T1928" s="295"/>
      <c r="U1928" s="295"/>
    </row>
    <row r="1929" spans="14:21" s="287" customFormat="1">
      <c r="N1929" s="295"/>
      <c r="O1929" s="295"/>
      <c r="P1929" s="295"/>
      <c r="Q1929" s="295"/>
      <c r="R1929" s="295"/>
      <c r="S1929" s="295"/>
      <c r="T1929" s="295"/>
      <c r="U1929" s="295"/>
    </row>
    <row r="1930" spans="14:21" s="287" customFormat="1">
      <c r="N1930" s="295"/>
      <c r="O1930" s="295"/>
      <c r="P1930" s="295"/>
      <c r="Q1930" s="295"/>
      <c r="R1930" s="295"/>
      <c r="S1930" s="295"/>
      <c r="T1930" s="295"/>
      <c r="U1930" s="295"/>
    </row>
    <row r="1931" spans="14:21" s="287" customFormat="1">
      <c r="N1931" s="295"/>
      <c r="O1931" s="295"/>
      <c r="P1931" s="295"/>
      <c r="Q1931" s="295"/>
      <c r="R1931" s="295"/>
      <c r="S1931" s="295"/>
      <c r="T1931" s="295"/>
      <c r="U1931" s="295"/>
    </row>
    <row r="1932" spans="14:21" s="287" customFormat="1">
      <c r="N1932" s="295"/>
      <c r="O1932" s="295"/>
      <c r="P1932" s="295"/>
      <c r="Q1932" s="295"/>
      <c r="R1932" s="295"/>
      <c r="S1932" s="295"/>
      <c r="T1932" s="295"/>
      <c r="U1932" s="295"/>
    </row>
    <row r="1933" spans="14:21" s="287" customFormat="1">
      <c r="N1933" s="295"/>
      <c r="O1933" s="295"/>
      <c r="P1933" s="295"/>
      <c r="Q1933" s="295"/>
      <c r="R1933" s="295"/>
      <c r="S1933" s="295"/>
      <c r="T1933" s="295"/>
      <c r="U1933" s="295"/>
    </row>
    <row r="1934" spans="14:21" s="287" customFormat="1">
      <c r="N1934" s="295"/>
      <c r="O1934" s="295"/>
      <c r="P1934" s="295"/>
      <c r="Q1934" s="295"/>
      <c r="R1934" s="295"/>
      <c r="S1934" s="295"/>
      <c r="T1934" s="295"/>
      <c r="U1934" s="295"/>
    </row>
    <row r="1935" spans="14:21" s="287" customFormat="1">
      <c r="N1935" s="295"/>
      <c r="O1935" s="295"/>
      <c r="P1935" s="295"/>
      <c r="Q1935" s="295"/>
      <c r="R1935" s="295"/>
      <c r="S1935" s="295"/>
      <c r="T1935" s="295"/>
      <c r="U1935" s="295"/>
    </row>
    <row r="1936" spans="14:21" s="287" customFormat="1">
      <c r="N1936" s="295"/>
      <c r="O1936" s="295"/>
      <c r="P1936" s="295"/>
      <c r="Q1936" s="295"/>
      <c r="R1936" s="295"/>
      <c r="S1936" s="295"/>
      <c r="T1936" s="295"/>
      <c r="U1936" s="295"/>
    </row>
    <row r="1937" spans="1:21" s="287" customFormat="1">
      <c r="N1937" s="295"/>
      <c r="O1937" s="295"/>
      <c r="P1937" s="295"/>
      <c r="Q1937" s="295"/>
      <c r="R1937" s="295"/>
      <c r="S1937" s="295"/>
      <c r="T1937" s="295"/>
      <c r="U1937" s="295"/>
    </row>
    <row r="1938" spans="1:21" s="287" customFormat="1">
      <c r="N1938" s="295"/>
      <c r="O1938" s="295"/>
      <c r="P1938" s="295"/>
      <c r="Q1938" s="295"/>
      <c r="R1938" s="295"/>
      <c r="S1938" s="295"/>
      <c r="T1938" s="295"/>
      <c r="U1938" s="295"/>
    </row>
    <row r="1939" spans="1:21" s="287" customFormat="1">
      <c r="N1939" s="295"/>
      <c r="O1939" s="295"/>
      <c r="P1939" s="295"/>
      <c r="Q1939" s="295"/>
      <c r="R1939" s="295"/>
      <c r="S1939" s="295"/>
      <c r="T1939" s="295"/>
      <c r="U1939" s="295"/>
    </row>
    <row r="1940" spans="1:21" s="287" customFormat="1">
      <c r="N1940" s="295"/>
      <c r="O1940" s="295"/>
      <c r="P1940" s="295"/>
      <c r="Q1940" s="295"/>
      <c r="R1940" s="295"/>
      <c r="S1940" s="295"/>
      <c r="T1940" s="295"/>
      <c r="U1940" s="295"/>
    </row>
    <row r="1941" spans="1:21" s="287" customFormat="1">
      <c r="N1941" s="295"/>
      <c r="O1941" s="295"/>
      <c r="P1941" s="295"/>
      <c r="Q1941" s="295"/>
      <c r="R1941" s="295"/>
      <c r="S1941" s="295"/>
      <c r="T1941" s="295"/>
      <c r="U1941" s="295"/>
    </row>
    <row r="1942" spans="1:21" s="287" customFormat="1">
      <c r="N1942" s="295"/>
      <c r="O1942" s="295"/>
      <c r="P1942" s="295"/>
      <c r="Q1942" s="295"/>
      <c r="R1942" s="295"/>
      <c r="S1942" s="295"/>
      <c r="T1942" s="295"/>
      <c r="U1942" s="295"/>
    </row>
    <row r="1943" spans="1:21" s="287" customFormat="1">
      <c r="N1943" s="295"/>
      <c r="O1943" s="295"/>
      <c r="P1943" s="295"/>
      <c r="Q1943" s="295"/>
      <c r="R1943" s="295"/>
      <c r="S1943" s="295"/>
      <c r="T1943" s="295"/>
      <c r="U1943" s="295"/>
    </row>
    <row r="1944" spans="1:21" s="287" customFormat="1">
      <c r="N1944" s="295"/>
      <c r="O1944" s="295"/>
      <c r="P1944" s="295"/>
      <c r="Q1944" s="295"/>
      <c r="R1944" s="295"/>
      <c r="S1944" s="295"/>
      <c r="T1944" s="295"/>
      <c r="U1944" s="295"/>
    </row>
    <row r="1945" spans="1:21" s="287" customFormat="1">
      <c r="N1945" s="295"/>
      <c r="O1945" s="295"/>
      <c r="P1945" s="295"/>
      <c r="Q1945" s="295"/>
      <c r="R1945" s="295"/>
      <c r="S1945" s="295"/>
      <c r="T1945" s="295"/>
      <c r="U1945" s="295"/>
    </row>
    <row r="1946" spans="1:21" s="287" customFormat="1">
      <c r="N1946" s="295"/>
      <c r="O1946" s="295"/>
      <c r="P1946" s="295"/>
      <c r="Q1946" s="295"/>
      <c r="R1946" s="295"/>
      <c r="S1946" s="295"/>
      <c r="T1946" s="295"/>
      <c r="U1946" s="295"/>
    </row>
    <row r="1947" spans="1:21" s="287" customFormat="1">
      <c r="N1947" s="295"/>
      <c r="O1947" s="295"/>
      <c r="P1947" s="295"/>
      <c r="Q1947" s="295"/>
      <c r="R1947" s="295"/>
      <c r="S1947" s="295"/>
      <c r="T1947" s="295"/>
      <c r="U1947" s="295"/>
    </row>
    <row r="1948" spans="1:21" s="287" customFormat="1">
      <c r="H1948" s="286"/>
      <c r="I1948" s="286"/>
      <c r="J1948" s="286"/>
      <c r="K1948" s="286"/>
      <c r="L1948" s="286"/>
      <c r="M1948" s="286"/>
      <c r="N1948" s="657"/>
      <c r="O1948" s="295"/>
      <c r="P1948" s="295"/>
      <c r="Q1948" s="295"/>
      <c r="R1948" s="295"/>
      <c r="S1948" s="295"/>
      <c r="T1948" s="295"/>
      <c r="U1948" s="295"/>
    </row>
    <row r="1949" spans="1:21" s="287" customFormat="1">
      <c r="H1949" s="286"/>
      <c r="I1949" s="286"/>
      <c r="J1949" s="286"/>
      <c r="K1949" s="286"/>
      <c r="L1949" s="286"/>
      <c r="M1949" s="286"/>
      <c r="N1949" s="657"/>
      <c r="O1949" s="295"/>
      <c r="P1949" s="295"/>
      <c r="Q1949" s="295"/>
      <c r="R1949" s="295"/>
      <c r="S1949" s="295"/>
      <c r="T1949" s="295"/>
      <c r="U1949" s="295"/>
    </row>
    <row r="1950" spans="1:21" s="287" customFormat="1">
      <c r="B1950" s="286"/>
      <c r="C1950" s="286"/>
      <c r="D1950" s="286"/>
      <c r="E1950" s="286"/>
      <c r="F1950" s="286"/>
      <c r="G1950" s="286"/>
      <c r="H1950" s="286"/>
      <c r="I1950" s="286"/>
      <c r="J1950" s="286"/>
      <c r="K1950" s="286"/>
      <c r="L1950" s="286"/>
      <c r="M1950" s="286"/>
      <c r="N1950" s="657"/>
      <c r="O1950" s="295"/>
      <c r="P1950" s="295"/>
      <c r="Q1950" s="295"/>
      <c r="R1950" s="295"/>
      <c r="S1950" s="295"/>
      <c r="T1950" s="295"/>
      <c r="U1950" s="295"/>
    </row>
    <row r="1951" spans="1:21" s="287" customFormat="1">
      <c r="B1951" s="286"/>
      <c r="C1951" s="286"/>
      <c r="D1951" s="286"/>
      <c r="E1951" s="286"/>
      <c r="F1951" s="286"/>
      <c r="G1951" s="286"/>
      <c r="H1951" s="286"/>
      <c r="I1951" s="286"/>
      <c r="J1951" s="286"/>
      <c r="K1951" s="286"/>
      <c r="L1951" s="286"/>
      <c r="M1951" s="286"/>
      <c r="N1951" s="657"/>
      <c r="O1951" s="295"/>
      <c r="P1951" s="295"/>
      <c r="Q1951" s="295"/>
      <c r="R1951" s="295"/>
      <c r="S1951" s="295"/>
      <c r="T1951" s="295"/>
      <c r="U1951" s="295"/>
    </row>
    <row r="1952" spans="1:21" s="287" customFormat="1">
      <c r="A1952" s="286"/>
      <c r="B1952" s="286"/>
      <c r="C1952" s="286"/>
      <c r="D1952" s="286"/>
      <c r="E1952" s="286"/>
      <c r="F1952" s="286"/>
      <c r="G1952" s="286"/>
      <c r="H1952" s="286"/>
      <c r="I1952" s="286"/>
      <c r="J1952" s="286"/>
      <c r="K1952" s="286"/>
      <c r="L1952" s="286"/>
      <c r="M1952" s="286"/>
      <c r="N1952" s="657"/>
      <c r="O1952" s="295"/>
      <c r="P1952" s="295"/>
      <c r="Q1952" s="295"/>
      <c r="R1952" s="295"/>
      <c r="S1952" s="295"/>
      <c r="T1952" s="295"/>
      <c r="U1952" s="295"/>
    </row>
    <row r="1953" spans="1:21" s="287" customFormat="1">
      <c r="A1953" s="286"/>
      <c r="B1953" s="286"/>
      <c r="C1953" s="286"/>
      <c r="D1953" s="286"/>
      <c r="E1953" s="286"/>
      <c r="F1953" s="286"/>
      <c r="G1953" s="286"/>
      <c r="H1953" s="286"/>
      <c r="I1953" s="286"/>
      <c r="J1953" s="286"/>
      <c r="K1953" s="286"/>
      <c r="L1953" s="286"/>
      <c r="M1953" s="286"/>
      <c r="N1953" s="657"/>
      <c r="O1953" s="295"/>
      <c r="P1953" s="295"/>
      <c r="Q1953" s="295"/>
      <c r="R1953" s="295"/>
      <c r="S1953" s="295"/>
      <c r="T1953" s="295"/>
      <c r="U1953" s="295"/>
    </row>
    <row r="1954" spans="1:21" s="287" customFormat="1">
      <c r="A1954" s="286"/>
      <c r="B1954" s="286"/>
      <c r="C1954" s="286"/>
      <c r="D1954" s="286"/>
      <c r="E1954" s="286"/>
      <c r="F1954" s="286"/>
      <c r="G1954" s="286"/>
      <c r="H1954" s="286"/>
      <c r="I1954" s="286"/>
      <c r="J1954" s="286"/>
      <c r="K1954" s="286"/>
      <c r="L1954" s="286"/>
      <c r="M1954" s="286"/>
      <c r="N1954" s="657"/>
      <c r="O1954" s="295"/>
      <c r="P1954" s="295"/>
      <c r="Q1954" s="295"/>
      <c r="R1954" s="295"/>
      <c r="S1954" s="295"/>
      <c r="T1954" s="295"/>
      <c r="U1954" s="295"/>
    </row>
    <row r="1955" spans="1:21" s="287" customFormat="1">
      <c r="A1955" s="286"/>
      <c r="B1955" s="286"/>
      <c r="C1955" s="286"/>
      <c r="D1955" s="286"/>
      <c r="E1955" s="286"/>
      <c r="F1955" s="286"/>
      <c r="G1955" s="286"/>
      <c r="H1955" s="286"/>
      <c r="I1955" s="286"/>
      <c r="J1955" s="286"/>
      <c r="K1955" s="286"/>
      <c r="L1955" s="286"/>
      <c r="M1955" s="286"/>
      <c r="N1955" s="657"/>
      <c r="O1955" s="295"/>
      <c r="P1955" s="295"/>
      <c r="Q1955" s="295"/>
      <c r="R1955" s="295"/>
      <c r="S1955" s="295"/>
      <c r="T1955" s="295"/>
      <c r="U1955" s="295"/>
    </row>
    <row r="1956" spans="1:21" s="287" customFormat="1">
      <c r="A1956" s="286"/>
      <c r="B1956" s="286"/>
      <c r="C1956" s="286"/>
      <c r="D1956" s="286"/>
      <c r="E1956" s="286"/>
      <c r="F1956" s="286"/>
      <c r="G1956" s="286"/>
      <c r="H1956" s="286"/>
      <c r="I1956" s="286"/>
      <c r="J1956" s="286"/>
      <c r="K1956" s="286"/>
      <c r="L1956" s="286"/>
      <c r="M1956" s="286"/>
      <c r="N1956" s="657"/>
      <c r="O1956" s="295"/>
      <c r="P1956" s="295"/>
      <c r="Q1956" s="295"/>
      <c r="R1956" s="295"/>
      <c r="S1956" s="295"/>
      <c r="T1956" s="295"/>
      <c r="U1956" s="295"/>
    </row>
    <row r="1957" spans="1:21" s="287" customFormat="1">
      <c r="A1957" s="286"/>
      <c r="B1957" s="286"/>
      <c r="C1957" s="286"/>
      <c r="D1957" s="286"/>
      <c r="E1957" s="286"/>
      <c r="F1957" s="286"/>
      <c r="G1957" s="286"/>
      <c r="H1957" s="286"/>
      <c r="I1957" s="286"/>
      <c r="J1957" s="286"/>
      <c r="K1957" s="286"/>
      <c r="L1957" s="286"/>
      <c r="M1957" s="286"/>
      <c r="N1957" s="657"/>
      <c r="O1957" s="295"/>
      <c r="P1957" s="295"/>
      <c r="Q1957" s="295"/>
      <c r="R1957" s="295"/>
      <c r="S1957" s="295"/>
      <c r="T1957" s="295"/>
      <c r="U1957" s="295"/>
    </row>
    <row r="1958" spans="1:21" s="287" customFormat="1">
      <c r="A1958" s="286"/>
      <c r="B1958" s="286"/>
      <c r="C1958" s="286"/>
      <c r="D1958" s="286"/>
      <c r="E1958" s="286"/>
      <c r="F1958" s="286"/>
      <c r="G1958" s="286"/>
      <c r="H1958" s="286"/>
      <c r="I1958" s="286"/>
      <c r="J1958" s="286"/>
      <c r="K1958" s="286"/>
      <c r="L1958" s="286"/>
      <c r="M1958" s="286"/>
      <c r="N1958" s="657"/>
      <c r="O1958" s="295"/>
      <c r="P1958" s="295"/>
      <c r="Q1958" s="295"/>
      <c r="R1958" s="295"/>
      <c r="S1958" s="295"/>
      <c r="T1958" s="295"/>
      <c r="U1958" s="295"/>
    </row>
    <row r="1959" spans="1:21" s="287" customFormat="1">
      <c r="A1959" s="286"/>
      <c r="B1959" s="286"/>
      <c r="C1959" s="286"/>
      <c r="D1959" s="286"/>
      <c r="E1959" s="286"/>
      <c r="F1959" s="286"/>
      <c r="G1959" s="286"/>
      <c r="H1959" s="286"/>
      <c r="I1959" s="286"/>
      <c r="J1959" s="286"/>
      <c r="K1959" s="286"/>
      <c r="L1959" s="286"/>
      <c r="M1959" s="286"/>
      <c r="N1959" s="657"/>
      <c r="O1959" s="295"/>
      <c r="P1959" s="295"/>
      <c r="Q1959" s="295"/>
      <c r="R1959" s="295"/>
      <c r="S1959" s="295"/>
      <c r="T1959" s="295"/>
      <c r="U1959" s="295"/>
    </row>
    <row r="1960" spans="1:21" s="287" customFormat="1">
      <c r="A1960" s="286"/>
      <c r="B1960" s="286"/>
      <c r="C1960" s="286"/>
      <c r="D1960" s="286"/>
      <c r="E1960" s="286"/>
      <c r="F1960" s="286"/>
      <c r="G1960" s="286"/>
      <c r="H1960" s="286"/>
      <c r="I1960" s="286"/>
      <c r="J1960" s="286"/>
      <c r="K1960" s="286"/>
      <c r="L1960" s="286"/>
      <c r="M1960" s="286"/>
      <c r="N1960" s="657"/>
      <c r="O1960" s="295"/>
      <c r="P1960" s="295"/>
      <c r="Q1960" s="295"/>
      <c r="R1960" s="295"/>
      <c r="S1960" s="295"/>
      <c r="T1960" s="295"/>
      <c r="U1960" s="295"/>
    </row>
    <row r="1961" spans="1:21" s="287" customFormat="1">
      <c r="A1961" s="286"/>
      <c r="B1961" s="286"/>
      <c r="C1961" s="286"/>
      <c r="D1961" s="286"/>
      <c r="E1961" s="286"/>
      <c r="F1961" s="286"/>
      <c r="G1961" s="286"/>
      <c r="H1961" s="286"/>
      <c r="I1961" s="286"/>
      <c r="J1961" s="286"/>
      <c r="K1961" s="286"/>
      <c r="L1961" s="286"/>
      <c r="M1961" s="286"/>
      <c r="N1961" s="657"/>
      <c r="O1961" s="295"/>
      <c r="P1961" s="295"/>
      <c r="Q1961" s="295"/>
      <c r="R1961" s="295"/>
      <c r="S1961" s="295"/>
      <c r="T1961" s="295"/>
      <c r="U1961" s="295"/>
    </row>
    <row r="1962" spans="1:21" s="287" customFormat="1">
      <c r="A1962" s="286"/>
      <c r="B1962" s="286"/>
      <c r="C1962" s="286"/>
      <c r="D1962" s="286"/>
      <c r="E1962" s="286"/>
      <c r="F1962" s="286"/>
      <c r="G1962" s="286"/>
      <c r="H1962" s="286"/>
      <c r="I1962" s="286"/>
      <c r="J1962" s="286"/>
      <c r="K1962" s="286"/>
      <c r="L1962" s="286"/>
      <c r="M1962" s="286"/>
      <c r="N1962" s="286"/>
      <c r="O1962" s="295"/>
      <c r="P1962" s="295"/>
      <c r="Q1962" s="295"/>
      <c r="R1962" s="295"/>
      <c r="S1962" s="295"/>
      <c r="T1962" s="295"/>
      <c r="U1962" s="295"/>
    </row>
    <row r="1963" spans="1:21" s="287" customFormat="1">
      <c r="A1963" s="286"/>
      <c r="B1963" s="286"/>
      <c r="C1963" s="286"/>
      <c r="D1963" s="286"/>
      <c r="E1963" s="286"/>
      <c r="F1963" s="286"/>
      <c r="G1963" s="286"/>
      <c r="H1963" s="286"/>
      <c r="I1963" s="286"/>
      <c r="J1963" s="286"/>
      <c r="K1963" s="286"/>
      <c r="L1963" s="286"/>
      <c r="M1963" s="286"/>
      <c r="N1963" s="286"/>
      <c r="O1963" s="295"/>
      <c r="P1963" s="295"/>
      <c r="Q1963" s="295"/>
      <c r="R1963" s="295"/>
      <c r="S1963" s="295"/>
      <c r="T1963" s="295"/>
      <c r="U1963" s="295"/>
    </row>
    <row r="1964" spans="1:21" s="287" customFormat="1">
      <c r="A1964" s="286"/>
      <c r="B1964" s="286"/>
      <c r="C1964" s="286"/>
      <c r="D1964" s="286"/>
      <c r="E1964" s="286"/>
      <c r="F1964" s="286"/>
      <c r="G1964" s="286"/>
      <c r="H1964" s="286"/>
      <c r="I1964" s="286"/>
      <c r="J1964" s="286"/>
      <c r="K1964" s="286"/>
      <c r="L1964" s="286"/>
      <c r="M1964" s="286"/>
      <c r="N1964" s="286"/>
      <c r="O1964" s="295"/>
      <c r="P1964" s="295"/>
      <c r="Q1964" s="295"/>
      <c r="R1964" s="295"/>
      <c r="S1964" s="295"/>
      <c r="T1964" s="295"/>
      <c r="U1964" s="295"/>
    </row>
    <row r="1965" spans="1:21" s="287" customFormat="1">
      <c r="A1965" s="286"/>
      <c r="B1965" s="286"/>
      <c r="C1965" s="286"/>
      <c r="D1965" s="286"/>
      <c r="E1965" s="286"/>
      <c r="F1965" s="286"/>
      <c r="G1965" s="286"/>
      <c r="H1965" s="286"/>
      <c r="I1965" s="286"/>
      <c r="J1965" s="286"/>
      <c r="K1965" s="286"/>
      <c r="L1965" s="286"/>
      <c r="M1965" s="286"/>
      <c r="N1965" s="286"/>
      <c r="O1965" s="295"/>
      <c r="P1965" s="295"/>
      <c r="Q1965" s="295"/>
      <c r="R1965" s="295"/>
      <c r="S1965" s="295"/>
      <c r="T1965" s="295"/>
      <c r="U1965" s="295"/>
    </row>
    <row r="1966" spans="1:21" s="287" customFormat="1">
      <c r="A1966" s="286"/>
      <c r="B1966" s="286"/>
      <c r="C1966" s="286"/>
      <c r="D1966" s="286"/>
      <c r="E1966" s="286"/>
      <c r="F1966" s="286"/>
      <c r="G1966" s="286"/>
      <c r="H1966" s="286"/>
      <c r="I1966" s="286"/>
      <c r="J1966" s="286"/>
      <c r="K1966" s="286"/>
      <c r="L1966" s="286"/>
      <c r="M1966" s="286"/>
      <c r="N1966" s="286"/>
      <c r="O1966" s="295"/>
      <c r="P1966" s="295"/>
      <c r="Q1966" s="295"/>
      <c r="R1966" s="295"/>
      <c r="S1966" s="295"/>
      <c r="T1966" s="295"/>
      <c r="U1966" s="295"/>
    </row>
    <row r="1967" spans="1:21" s="287" customFormat="1">
      <c r="A1967" s="286"/>
      <c r="B1967" s="286"/>
      <c r="C1967" s="286"/>
      <c r="D1967" s="286"/>
      <c r="E1967" s="286"/>
      <c r="F1967" s="286"/>
      <c r="G1967" s="286"/>
      <c r="H1967" s="286"/>
      <c r="I1967" s="286"/>
      <c r="J1967" s="286"/>
      <c r="K1967" s="286"/>
      <c r="L1967" s="286"/>
      <c r="M1967" s="286"/>
      <c r="N1967" s="286"/>
      <c r="O1967" s="295"/>
    </row>
    <row r="1968" spans="1:21" s="287" customFormat="1">
      <c r="A1968" s="286"/>
      <c r="B1968" s="286"/>
      <c r="C1968" s="286"/>
      <c r="D1968" s="286"/>
      <c r="E1968" s="286"/>
      <c r="F1968" s="286"/>
      <c r="G1968" s="286"/>
      <c r="H1968" s="286"/>
      <c r="I1968" s="286"/>
      <c r="J1968" s="286"/>
      <c r="K1968" s="286"/>
      <c r="L1968" s="286"/>
      <c r="M1968" s="286"/>
      <c r="N1968" s="286"/>
      <c r="O1968" s="295"/>
    </row>
    <row r="1969" spans="1:15" s="287" customFormat="1">
      <c r="A1969" s="286"/>
      <c r="B1969" s="286"/>
      <c r="C1969" s="286"/>
      <c r="D1969" s="286"/>
      <c r="E1969" s="286"/>
      <c r="F1969" s="286"/>
      <c r="G1969" s="286"/>
      <c r="H1969" s="286"/>
      <c r="I1969" s="286"/>
      <c r="J1969" s="286"/>
      <c r="K1969" s="286"/>
      <c r="L1969" s="286"/>
      <c r="M1969" s="286"/>
      <c r="N1969" s="286"/>
      <c r="O1969" s="295"/>
    </row>
    <row r="1970" spans="1:15" s="287" customFormat="1">
      <c r="A1970" s="286"/>
      <c r="B1970" s="286"/>
      <c r="C1970" s="286"/>
      <c r="D1970" s="286"/>
      <c r="E1970" s="286"/>
      <c r="F1970" s="286"/>
      <c r="G1970" s="286"/>
      <c r="H1970" s="286"/>
      <c r="I1970" s="286"/>
      <c r="J1970" s="286"/>
      <c r="K1970" s="286"/>
      <c r="L1970" s="286"/>
      <c r="M1970" s="286"/>
      <c r="N1970" s="286"/>
      <c r="O1970" s="295"/>
    </row>
    <row r="1971" spans="1:15" s="287" customFormat="1">
      <c r="A1971" s="286"/>
      <c r="B1971" s="286"/>
      <c r="C1971" s="286"/>
      <c r="D1971" s="286"/>
      <c r="E1971" s="286"/>
      <c r="F1971" s="286"/>
      <c r="G1971" s="286"/>
      <c r="H1971" s="286"/>
      <c r="I1971" s="286"/>
      <c r="J1971" s="286"/>
      <c r="K1971" s="286"/>
      <c r="L1971" s="286"/>
      <c r="M1971" s="286"/>
      <c r="N1971" s="286"/>
      <c r="O1971" s="295"/>
    </row>
    <row r="1972" spans="1:15" s="287" customFormat="1">
      <c r="A1972" s="286"/>
      <c r="B1972" s="286"/>
      <c r="C1972" s="286"/>
      <c r="D1972" s="286"/>
      <c r="E1972" s="286"/>
      <c r="F1972" s="286"/>
      <c r="G1972" s="286"/>
      <c r="H1972" s="286"/>
      <c r="I1972" s="286"/>
      <c r="J1972" s="286"/>
      <c r="K1972" s="286"/>
      <c r="L1972" s="286"/>
      <c r="M1972" s="286"/>
      <c r="N1972" s="286"/>
      <c r="O1972" s="295"/>
    </row>
    <row r="1973" spans="1:15" s="287" customFormat="1">
      <c r="A1973" s="286"/>
      <c r="B1973" s="286"/>
      <c r="C1973" s="286"/>
      <c r="D1973" s="286"/>
      <c r="E1973" s="286"/>
      <c r="F1973" s="286"/>
      <c r="G1973" s="286"/>
      <c r="H1973" s="286"/>
      <c r="I1973" s="286"/>
      <c r="J1973" s="286"/>
      <c r="K1973" s="286"/>
      <c r="L1973" s="286"/>
      <c r="M1973" s="286"/>
      <c r="N1973" s="286"/>
      <c r="O1973" s="295"/>
    </row>
    <row r="1974" spans="1:15" s="287" customFormat="1">
      <c r="A1974" s="286"/>
      <c r="B1974" s="286"/>
      <c r="C1974" s="286"/>
      <c r="D1974" s="286"/>
      <c r="E1974" s="286"/>
      <c r="F1974" s="286"/>
      <c r="G1974" s="286"/>
      <c r="H1974" s="286"/>
      <c r="I1974" s="286"/>
      <c r="J1974" s="286"/>
      <c r="K1974" s="286"/>
      <c r="L1974" s="286"/>
      <c r="M1974" s="286"/>
      <c r="N1974" s="286"/>
      <c r="O1974" s="295"/>
    </row>
    <row r="1975" spans="1:15" s="287" customFormat="1">
      <c r="A1975" s="286"/>
      <c r="B1975" s="286"/>
      <c r="C1975" s="286"/>
      <c r="D1975" s="286"/>
      <c r="E1975" s="286"/>
      <c r="F1975" s="286"/>
      <c r="G1975" s="286"/>
      <c r="H1975" s="286"/>
      <c r="I1975" s="286"/>
      <c r="J1975" s="286"/>
      <c r="K1975" s="286"/>
      <c r="L1975" s="286"/>
      <c r="M1975" s="286"/>
      <c r="N1975" s="286"/>
      <c r="O1975" s="295"/>
    </row>
    <row r="1976" spans="1:15" s="287" customFormat="1">
      <c r="A1976" s="286"/>
      <c r="B1976" s="286"/>
      <c r="C1976" s="286"/>
      <c r="D1976" s="286"/>
      <c r="E1976" s="286"/>
      <c r="F1976" s="286"/>
      <c r="G1976" s="286"/>
      <c r="H1976" s="286"/>
      <c r="I1976" s="286"/>
      <c r="J1976" s="286"/>
      <c r="K1976" s="286"/>
      <c r="L1976" s="286"/>
      <c r="M1976" s="286"/>
      <c r="N1976" s="286"/>
      <c r="O1976" s="295"/>
    </row>
    <row r="1977" spans="1:15" s="287" customFormat="1">
      <c r="A1977" s="286"/>
      <c r="B1977" s="286"/>
      <c r="C1977" s="286"/>
      <c r="D1977" s="286"/>
      <c r="E1977" s="286"/>
      <c r="F1977" s="286"/>
      <c r="G1977" s="286"/>
      <c r="H1977" s="286"/>
      <c r="I1977" s="286"/>
      <c r="J1977" s="286"/>
      <c r="K1977" s="286"/>
      <c r="L1977" s="286"/>
      <c r="M1977" s="286"/>
      <c r="N1977" s="286"/>
      <c r="O1977" s="295"/>
    </row>
    <row r="1978" spans="1:15" s="287" customFormat="1">
      <c r="A1978" s="286"/>
      <c r="B1978" s="286"/>
      <c r="C1978" s="286"/>
      <c r="D1978" s="286"/>
      <c r="E1978" s="286"/>
      <c r="F1978" s="286"/>
      <c r="G1978" s="286"/>
      <c r="H1978" s="286"/>
      <c r="I1978" s="286"/>
      <c r="J1978" s="286"/>
      <c r="K1978" s="286"/>
      <c r="L1978" s="286"/>
      <c r="M1978" s="286"/>
      <c r="N1978" s="286"/>
      <c r="O1978" s="295"/>
    </row>
    <row r="1979" spans="1:15" s="287" customFormat="1">
      <c r="A1979" s="286"/>
      <c r="B1979" s="286"/>
      <c r="C1979" s="286"/>
      <c r="D1979" s="286"/>
      <c r="E1979" s="286"/>
      <c r="F1979" s="286"/>
      <c r="G1979" s="286"/>
      <c r="H1979" s="286"/>
      <c r="I1979" s="286"/>
      <c r="J1979" s="286"/>
      <c r="K1979" s="286"/>
      <c r="L1979" s="286"/>
      <c r="M1979" s="286"/>
      <c r="N1979" s="286"/>
      <c r="O1979" s="295"/>
    </row>
    <row r="1980" spans="1:15" s="287" customFormat="1">
      <c r="A1980" s="286"/>
      <c r="B1980" s="286"/>
      <c r="C1980" s="286"/>
      <c r="D1980" s="286"/>
      <c r="E1980" s="286"/>
      <c r="F1980" s="286"/>
      <c r="G1980" s="286"/>
      <c r="H1980" s="286"/>
      <c r="I1980" s="286"/>
      <c r="J1980" s="286"/>
      <c r="K1980" s="286"/>
      <c r="L1980" s="286"/>
      <c r="M1980" s="286"/>
      <c r="N1980" s="286"/>
      <c r="O1980" s="295"/>
    </row>
    <row r="1981" spans="1:15" s="287" customFormat="1">
      <c r="A1981" s="286"/>
      <c r="B1981" s="286"/>
      <c r="C1981" s="286"/>
      <c r="D1981" s="286"/>
      <c r="E1981" s="286"/>
      <c r="F1981" s="286"/>
      <c r="G1981" s="286"/>
      <c r="H1981" s="286"/>
      <c r="I1981" s="286"/>
      <c r="J1981" s="286"/>
      <c r="K1981" s="286"/>
      <c r="L1981" s="286"/>
      <c r="M1981" s="286"/>
      <c r="N1981" s="286"/>
      <c r="O1981" s="295"/>
    </row>
    <row r="1982" spans="1:15" s="287" customFormat="1">
      <c r="A1982" s="286"/>
      <c r="B1982" s="286"/>
      <c r="C1982" s="286"/>
      <c r="D1982" s="286"/>
      <c r="E1982" s="286"/>
      <c r="F1982" s="286"/>
      <c r="G1982" s="286"/>
      <c r="H1982" s="286"/>
      <c r="I1982" s="286"/>
      <c r="J1982" s="286"/>
      <c r="K1982" s="286"/>
      <c r="L1982" s="286"/>
      <c r="M1982" s="286"/>
      <c r="N1982" s="286"/>
      <c r="O1982" s="657"/>
    </row>
    <row r="1983" spans="1:15" s="287" customFormat="1">
      <c r="A1983" s="286"/>
      <c r="B1983" s="286"/>
      <c r="C1983" s="286"/>
      <c r="D1983" s="286"/>
      <c r="E1983" s="286"/>
      <c r="F1983" s="286"/>
      <c r="G1983" s="286"/>
      <c r="H1983" s="286"/>
      <c r="I1983" s="286"/>
      <c r="J1983" s="286"/>
      <c r="K1983" s="286"/>
      <c r="L1983" s="286"/>
      <c r="M1983" s="286"/>
      <c r="N1983" s="286"/>
      <c r="O1983" s="657"/>
    </row>
    <row r="1984" spans="1:15" s="287" customFormat="1">
      <c r="A1984" s="286"/>
      <c r="B1984" s="286"/>
      <c r="C1984" s="286"/>
      <c r="D1984" s="286"/>
      <c r="E1984" s="286"/>
      <c r="F1984" s="286"/>
      <c r="G1984" s="286"/>
      <c r="H1984" s="286"/>
      <c r="I1984" s="286"/>
      <c r="J1984" s="286"/>
      <c r="K1984" s="286"/>
      <c r="L1984" s="286"/>
      <c r="M1984" s="286"/>
      <c r="N1984" s="286"/>
      <c r="O1984" s="657"/>
    </row>
    <row r="1985" spans="1:15" s="287" customFormat="1">
      <c r="A1985" s="286"/>
      <c r="B1985" s="286"/>
      <c r="C1985" s="286"/>
      <c r="D1985" s="286"/>
      <c r="E1985" s="286"/>
      <c r="F1985" s="286"/>
      <c r="G1985" s="286"/>
      <c r="H1985" s="286"/>
      <c r="I1985" s="286"/>
      <c r="J1985" s="286"/>
      <c r="K1985" s="286"/>
      <c r="L1985" s="286"/>
      <c r="M1985" s="286"/>
      <c r="N1985" s="286"/>
      <c r="O1985" s="657"/>
    </row>
    <row r="1986" spans="1:15" s="287" customFormat="1">
      <c r="A1986" s="286"/>
      <c r="B1986" s="286"/>
      <c r="C1986" s="286"/>
      <c r="D1986" s="286"/>
      <c r="E1986" s="286"/>
      <c r="F1986" s="286"/>
      <c r="G1986" s="286"/>
      <c r="H1986" s="286"/>
      <c r="I1986" s="286"/>
      <c r="J1986" s="286"/>
      <c r="K1986" s="286"/>
      <c r="L1986" s="286"/>
      <c r="M1986" s="286"/>
      <c r="N1986" s="286"/>
      <c r="O1986" s="657"/>
    </row>
    <row r="1987" spans="1:15">
      <c r="O1987" s="657"/>
    </row>
    <row r="1988" spans="1:15">
      <c r="O1988" s="657"/>
    </row>
    <row r="1989" spans="1:15">
      <c r="O1989" s="657"/>
    </row>
    <row r="1990" spans="1:15">
      <c r="O1990" s="657"/>
    </row>
    <row r="1991" spans="1:15">
      <c r="O1991" s="657"/>
    </row>
    <row r="1992" spans="1:15">
      <c r="O1992" s="657"/>
    </row>
    <row r="1993" spans="1:15">
      <c r="O1993" s="657"/>
    </row>
    <row r="1994" spans="1:15">
      <c r="O1994" s="657"/>
    </row>
    <row r="1995" spans="1:15">
      <c r="O1995" s="657"/>
    </row>
    <row r="1996" spans="1:15">
      <c r="O1996" s="657"/>
    </row>
    <row r="1997" spans="1:15">
      <c r="O1997" s="657"/>
    </row>
    <row r="1998" spans="1:15">
      <c r="O1998" s="657"/>
    </row>
    <row r="1999" spans="1:15">
      <c r="O1999" s="657"/>
    </row>
    <row r="2000" spans="1:15">
      <c r="O2000" s="657"/>
    </row>
    <row r="2001" spans="15:15">
      <c r="O2001" s="657"/>
    </row>
    <row r="2002" spans="15:15">
      <c r="O2002" s="657"/>
    </row>
  </sheetData>
  <sheetProtection formatCells="0" formatColumns="0" formatRows="0" insertColumns="0" insertRows="0" insertHyperlinks="0" deleteColumns="0" deleteRows="0" sort="0" autoFilter="0" pivotTables="0"/>
  <autoFilter ref="A51:N1867"/>
  <sortState ref="A1475:HM1507">
    <sortCondition ref="B1475:B1507"/>
    <sortCondition ref="C1475:C1507"/>
  </sortState>
  <mergeCells count="65">
    <mergeCell ref="C1772:D1772"/>
    <mergeCell ref="W603:X612"/>
    <mergeCell ref="C304:D304"/>
    <mergeCell ref="C1776:D1776"/>
    <mergeCell ref="O751:O758"/>
    <mergeCell ref="C1768:D1768"/>
    <mergeCell ref="C1770:D1770"/>
    <mergeCell ref="C1763:D1763"/>
    <mergeCell ref="C1764:D1764"/>
    <mergeCell ref="C1771:D1771"/>
    <mergeCell ref="C1824:D1824"/>
    <mergeCell ref="C1819:D1819"/>
    <mergeCell ref="C1773:D1773"/>
    <mergeCell ref="C1775:D1775"/>
    <mergeCell ref="C1815:D1815"/>
    <mergeCell ref="C1820:D1820"/>
    <mergeCell ref="C1822:D1822"/>
    <mergeCell ref="C1823:D1823"/>
    <mergeCell ref="C1821:D1821"/>
    <mergeCell ref="C1817:D1817"/>
    <mergeCell ref="C1777:D1777"/>
    <mergeCell ref="A301:N301"/>
    <mergeCell ref="A1435:N1435"/>
    <mergeCell ref="A914:N914"/>
    <mergeCell ref="A1738:N1738"/>
    <mergeCell ref="C1762:D1762"/>
    <mergeCell ref="C327:D327"/>
    <mergeCell ref="A397:N397"/>
    <mergeCell ref="A521:N521"/>
    <mergeCell ref="C326:D326"/>
    <mergeCell ref="C325:D325"/>
    <mergeCell ref="C303:D303"/>
    <mergeCell ref="A685:N685"/>
    <mergeCell ref="C1839:D1839"/>
    <mergeCell ref="C1837:D1837"/>
    <mergeCell ref="C1869:D1869"/>
    <mergeCell ref="C1846:D1846"/>
    <mergeCell ref="C1847:D1847"/>
    <mergeCell ref="C1856:D1856"/>
    <mergeCell ref="C1848:D1848"/>
    <mergeCell ref="C1868:D1868"/>
    <mergeCell ref="C1859:D1859"/>
    <mergeCell ref="C1860:D1860"/>
    <mergeCell ref="C1862:D1862"/>
    <mergeCell ref="C1849:D1849"/>
    <mergeCell ref="C1850:D1850"/>
    <mergeCell ref="C1851:D1851"/>
    <mergeCell ref="C1854:D1854"/>
    <mergeCell ref="C1853:D1853"/>
    <mergeCell ref="C1843:D1843"/>
    <mergeCell ref="C1844:D1844"/>
    <mergeCell ref="C1845:D1845"/>
    <mergeCell ref="C1852:D1852"/>
    <mergeCell ref="C1769:D1769"/>
    <mergeCell ref="C1835:D1835"/>
    <mergeCell ref="C1825:D1825"/>
    <mergeCell ref="C1830:D1830"/>
    <mergeCell ref="C1831:D1831"/>
    <mergeCell ref="C1832:D1832"/>
    <mergeCell ref="C1833:D1833"/>
    <mergeCell ref="C1834:D1834"/>
    <mergeCell ref="C1842:D1842"/>
    <mergeCell ref="C1841:D1841"/>
    <mergeCell ref="C1840:D1840"/>
    <mergeCell ref="C1838:D1838"/>
  </mergeCells>
  <phoneticPr fontId="111" type="noConversion"/>
  <printOptions horizontalCentered="1" verticalCentered="1"/>
  <pageMargins left="0" right="0" top="0" bottom="0" header="0" footer="0"/>
  <pageSetup paperSize="9" orientation="landscape" blackAndWhite="1" horizontalDpi="4294967292" verticalDpi="36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0"/>
  <sheetViews>
    <sheetView view="pageBreakPreview" zoomScale="60" workbookViewId="0">
      <selection activeCell="P3" sqref="P3"/>
    </sheetView>
  </sheetViews>
  <sheetFormatPr defaultColWidth="9" defaultRowHeight="15.5"/>
  <cols>
    <col min="1" max="3" width="59" style="557" customWidth="1"/>
    <col min="4" max="15" width="0" style="557" hidden="1" customWidth="1"/>
    <col min="16" max="16" width="9" style="557"/>
    <col min="17" max="17" width="31.25" style="557" customWidth="1"/>
    <col min="18" max="16384" width="9" style="557"/>
  </cols>
  <sheetData>
    <row r="1" spans="1:17" ht="16" thickBot="1">
      <c r="A1" s="414" t="s">
        <v>360</v>
      </c>
    </row>
    <row r="2" spans="1:17" ht="16" thickBot="1">
      <c r="A2" s="497" t="s">
        <v>1368</v>
      </c>
      <c r="B2" s="272" t="s">
        <v>1113</v>
      </c>
      <c r="C2" s="272" t="s">
        <v>361</v>
      </c>
    </row>
    <row r="3" spans="1:17">
      <c r="B3" s="409"/>
      <c r="C3" s="563" t="s">
        <v>1372</v>
      </c>
    </row>
    <row r="4" spans="1:17" s="494" customFormat="1">
      <c r="A4" s="473"/>
      <c r="B4" s="473"/>
      <c r="C4" s="473"/>
      <c r="Q4" s="552" t="s">
        <v>1307</v>
      </c>
    </row>
    <row r="5" spans="1:17" s="494" customFormat="1">
      <c r="A5" s="473"/>
      <c r="B5" s="473"/>
      <c r="C5" s="473"/>
    </row>
    <row r="6" spans="1:17" s="494" customFormat="1">
      <c r="A6" s="473"/>
      <c r="B6" s="473"/>
      <c r="C6" s="473"/>
    </row>
    <row r="7" spans="1:17" s="494" customFormat="1">
      <c r="A7" s="473"/>
      <c r="B7" s="473"/>
      <c r="C7" s="473"/>
    </row>
    <row r="8" spans="1:17" s="494" customFormat="1">
      <c r="A8" s="473"/>
      <c r="B8" s="473"/>
      <c r="C8" s="473"/>
    </row>
    <row r="9" spans="1:17" s="494" customFormat="1">
      <c r="A9" s="473"/>
      <c r="B9" s="473"/>
      <c r="C9" s="473"/>
    </row>
    <row r="10" spans="1:17" s="494" customFormat="1">
      <c r="A10" s="473"/>
      <c r="B10" s="473"/>
      <c r="C10" s="473"/>
    </row>
    <row r="11" spans="1:17" s="494" customFormat="1">
      <c r="A11" s="473"/>
      <c r="B11" s="473"/>
      <c r="C11" s="473"/>
    </row>
    <row r="12" spans="1:17" s="494" customFormat="1">
      <c r="A12" s="473"/>
      <c r="B12" s="473"/>
      <c r="C12" s="409"/>
    </row>
    <row r="13" spans="1:17" s="494" customFormat="1">
      <c r="A13" s="473"/>
      <c r="B13" s="473"/>
      <c r="C13" s="495"/>
    </row>
    <row r="14" spans="1:17" s="494" customFormat="1">
      <c r="A14" s="473"/>
      <c r="B14" s="473"/>
      <c r="C14" s="493"/>
    </row>
    <row r="15" spans="1:17" s="494" customFormat="1">
      <c r="A15" s="473"/>
      <c r="B15" s="473"/>
      <c r="C15" s="495"/>
    </row>
    <row r="16" spans="1:17" s="494" customFormat="1">
      <c r="A16" s="473"/>
      <c r="B16" s="496"/>
      <c r="C16" s="493"/>
    </row>
    <row r="17" spans="1:3" ht="16" thickBot="1">
      <c r="A17" s="409"/>
      <c r="B17" s="409"/>
      <c r="C17" s="417"/>
    </row>
    <row r="18" spans="1:3" ht="16" thickBot="1">
      <c r="A18" s="497" t="s">
        <v>1367</v>
      </c>
      <c r="B18" s="272" t="s">
        <v>1113</v>
      </c>
      <c r="C18" s="272" t="s">
        <v>361</v>
      </c>
    </row>
    <row r="19" spans="1:3">
      <c r="A19" s="405"/>
      <c r="B19" s="561" t="s">
        <v>1369</v>
      </c>
      <c r="C19" s="498"/>
    </row>
    <row r="20" spans="1:3">
      <c r="A20" s="415"/>
      <c r="B20" s="415"/>
      <c r="C20" s="416"/>
    </row>
    <row r="21" spans="1:3">
      <c r="A21" s="415"/>
      <c r="B21" s="415"/>
      <c r="C21" s="416"/>
    </row>
    <row r="22" spans="1:3" ht="16" thickBot="1">
      <c r="A22" s="467"/>
      <c r="B22" s="467"/>
      <c r="C22" s="471"/>
    </row>
    <row r="23" spans="1:3" ht="16" thickBot="1">
      <c r="A23" s="497" t="s">
        <v>1370</v>
      </c>
      <c r="B23" s="272" t="s">
        <v>1113</v>
      </c>
      <c r="C23" s="272" t="s">
        <v>361</v>
      </c>
    </row>
    <row r="24" spans="1:3">
      <c r="A24" s="405"/>
      <c r="B24" s="405"/>
      <c r="C24" s="562" t="s">
        <v>1371</v>
      </c>
    </row>
    <row r="25" spans="1:3">
      <c r="A25" s="415"/>
      <c r="B25" s="415"/>
      <c r="C25" s="469"/>
    </row>
    <row r="26" spans="1:3" ht="16" thickBot="1">
      <c r="A26" s="409"/>
      <c r="B26" s="409"/>
      <c r="C26" s="411"/>
    </row>
    <row r="27" spans="1:3" ht="16" thickBot="1">
      <c r="A27" s="497"/>
      <c r="B27" s="272" t="s">
        <v>1113</v>
      </c>
      <c r="C27" s="272" t="s">
        <v>361</v>
      </c>
    </row>
    <row r="28" spans="1:3">
      <c r="A28" s="405"/>
      <c r="B28" s="405"/>
      <c r="C28" s="406"/>
    </row>
    <row r="29" spans="1:3">
      <c r="A29" s="415"/>
      <c r="B29" s="415"/>
      <c r="C29" s="469"/>
    </row>
    <row r="30" spans="1:3">
      <c r="A30" s="409"/>
      <c r="B30" s="409"/>
      <c r="C30" s="417"/>
    </row>
    <row r="31" spans="1:3" ht="16" thickBot="1">
      <c r="A31" s="409"/>
      <c r="B31" s="409"/>
      <c r="C31" s="417"/>
    </row>
    <row r="32" spans="1:3" ht="16" thickBot="1">
      <c r="A32" s="497"/>
      <c r="B32" s="272" t="s">
        <v>1113</v>
      </c>
      <c r="C32" s="272" t="s">
        <v>361</v>
      </c>
    </row>
    <row r="33" spans="1:3">
      <c r="A33" s="405"/>
      <c r="B33" s="405"/>
      <c r="C33" s="405"/>
    </row>
    <row r="34" spans="1:3">
      <c r="A34" s="467"/>
      <c r="B34" s="467"/>
      <c r="C34" s="470"/>
    </row>
    <row r="35" spans="1:3" ht="16" thickBot="1">
      <c r="A35" s="409"/>
      <c r="B35" s="409"/>
      <c r="C35" s="411"/>
    </row>
    <row r="36" spans="1:3" ht="16" thickBot="1">
      <c r="A36" s="497"/>
      <c r="B36" s="272" t="s">
        <v>1113</v>
      </c>
      <c r="C36" s="272" t="s">
        <v>361</v>
      </c>
    </row>
    <row r="37" spans="1:3">
      <c r="A37" s="405"/>
      <c r="B37" s="405"/>
      <c r="C37" s="405"/>
    </row>
    <row r="38" spans="1:3">
      <c r="A38" s="415"/>
      <c r="B38" s="415"/>
      <c r="C38" s="416"/>
    </row>
    <row r="39" spans="1:3">
      <c r="A39" s="415"/>
      <c r="B39" s="415"/>
      <c r="C39" s="469"/>
    </row>
    <row r="40" spans="1:3">
      <c r="A40" s="467"/>
      <c r="B40" s="467"/>
      <c r="C40" s="470"/>
    </row>
  </sheetData>
  <phoneticPr fontId="26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workbookViewId="0"/>
  </sheetViews>
  <sheetFormatPr defaultRowHeight="12.5"/>
  <cols>
    <col min="1" max="1" width="12.83203125" style="2535" customWidth="1"/>
    <col min="2" max="2" width="34.08203125" style="2535" customWidth="1"/>
    <col min="3" max="3" width="16.5" style="2535" customWidth="1"/>
    <col min="4" max="5" width="8.5" style="2535" customWidth="1"/>
    <col min="6" max="6" width="19.5" style="2733" customWidth="1"/>
    <col min="7" max="7" width="23.33203125" style="2733" customWidth="1"/>
    <col min="8" max="8" width="11.58203125" style="2535" customWidth="1"/>
    <col min="9" max="256" width="10" style="2535" customWidth="1"/>
    <col min="257" max="257" width="12.83203125" style="2535" customWidth="1"/>
    <col min="258" max="258" width="34.08203125" style="2535" customWidth="1"/>
    <col min="259" max="259" width="16.5" style="2535" customWidth="1"/>
    <col min="260" max="261" width="8.5" style="2535" customWidth="1"/>
    <col min="262" max="262" width="19.5" style="2535" customWidth="1"/>
    <col min="263" max="263" width="23.33203125" style="2535" customWidth="1"/>
    <col min="264" max="264" width="11.58203125" style="2535" customWidth="1"/>
    <col min="265" max="512" width="10" style="2535" customWidth="1"/>
    <col min="513" max="513" width="12.83203125" style="2535" customWidth="1"/>
    <col min="514" max="514" width="34.08203125" style="2535" customWidth="1"/>
    <col min="515" max="515" width="16.5" style="2535" customWidth="1"/>
    <col min="516" max="517" width="8.5" style="2535" customWidth="1"/>
    <col min="518" max="518" width="19.5" style="2535" customWidth="1"/>
    <col min="519" max="519" width="23.33203125" style="2535" customWidth="1"/>
    <col min="520" max="520" width="11.58203125" style="2535" customWidth="1"/>
    <col min="521" max="768" width="10" style="2535" customWidth="1"/>
    <col min="769" max="769" width="12.83203125" style="2535" customWidth="1"/>
    <col min="770" max="770" width="34.08203125" style="2535" customWidth="1"/>
    <col min="771" max="771" width="16.5" style="2535" customWidth="1"/>
    <col min="772" max="773" width="8.5" style="2535" customWidth="1"/>
    <col min="774" max="774" width="19.5" style="2535" customWidth="1"/>
    <col min="775" max="775" width="23.33203125" style="2535" customWidth="1"/>
    <col min="776" max="776" width="11.58203125" style="2535" customWidth="1"/>
    <col min="777" max="1024" width="10" style="2535" customWidth="1"/>
    <col min="1025" max="1025" width="12.83203125" style="2535" customWidth="1"/>
    <col min="1026" max="1026" width="34.08203125" style="2535" customWidth="1"/>
    <col min="1027" max="1027" width="16.5" style="2535" customWidth="1"/>
    <col min="1028" max="1029" width="8.5" style="2535" customWidth="1"/>
    <col min="1030" max="1030" width="19.5" style="2535" customWidth="1"/>
    <col min="1031" max="1031" width="23.33203125" style="2535" customWidth="1"/>
    <col min="1032" max="1032" width="11.58203125" style="2535" customWidth="1"/>
    <col min="1033" max="1280" width="10" style="2535" customWidth="1"/>
    <col min="1281" max="1281" width="12.83203125" style="2535" customWidth="1"/>
    <col min="1282" max="1282" width="34.08203125" style="2535" customWidth="1"/>
    <col min="1283" max="1283" width="16.5" style="2535" customWidth="1"/>
    <col min="1284" max="1285" width="8.5" style="2535" customWidth="1"/>
    <col min="1286" max="1286" width="19.5" style="2535" customWidth="1"/>
    <col min="1287" max="1287" width="23.33203125" style="2535" customWidth="1"/>
    <col min="1288" max="1288" width="11.58203125" style="2535" customWidth="1"/>
    <col min="1289" max="1536" width="10" style="2535" customWidth="1"/>
    <col min="1537" max="1537" width="12.83203125" style="2535" customWidth="1"/>
    <col min="1538" max="1538" width="34.08203125" style="2535" customWidth="1"/>
    <col min="1539" max="1539" width="16.5" style="2535" customWidth="1"/>
    <col min="1540" max="1541" width="8.5" style="2535" customWidth="1"/>
    <col min="1542" max="1542" width="19.5" style="2535" customWidth="1"/>
    <col min="1543" max="1543" width="23.33203125" style="2535" customWidth="1"/>
    <col min="1544" max="1544" width="11.58203125" style="2535" customWidth="1"/>
    <col min="1545" max="1792" width="10" style="2535" customWidth="1"/>
    <col min="1793" max="1793" width="12.83203125" style="2535" customWidth="1"/>
    <col min="1794" max="1794" width="34.08203125" style="2535" customWidth="1"/>
    <col min="1795" max="1795" width="16.5" style="2535" customWidth="1"/>
    <col min="1796" max="1797" width="8.5" style="2535" customWidth="1"/>
    <col min="1798" max="1798" width="19.5" style="2535" customWidth="1"/>
    <col min="1799" max="1799" width="23.33203125" style="2535" customWidth="1"/>
    <col min="1800" max="1800" width="11.58203125" style="2535" customWidth="1"/>
    <col min="1801" max="2048" width="10" style="2535" customWidth="1"/>
    <col min="2049" max="2049" width="12.83203125" style="2535" customWidth="1"/>
    <col min="2050" max="2050" width="34.08203125" style="2535" customWidth="1"/>
    <col min="2051" max="2051" width="16.5" style="2535" customWidth="1"/>
    <col min="2052" max="2053" width="8.5" style="2535" customWidth="1"/>
    <col min="2054" max="2054" width="19.5" style="2535" customWidth="1"/>
    <col min="2055" max="2055" width="23.33203125" style="2535" customWidth="1"/>
    <col min="2056" max="2056" width="11.58203125" style="2535" customWidth="1"/>
    <col min="2057" max="2304" width="10" style="2535" customWidth="1"/>
    <col min="2305" max="2305" width="12.83203125" style="2535" customWidth="1"/>
    <col min="2306" max="2306" width="34.08203125" style="2535" customWidth="1"/>
    <col min="2307" max="2307" width="16.5" style="2535" customWidth="1"/>
    <col min="2308" max="2309" width="8.5" style="2535" customWidth="1"/>
    <col min="2310" max="2310" width="19.5" style="2535" customWidth="1"/>
    <col min="2311" max="2311" width="23.33203125" style="2535" customWidth="1"/>
    <col min="2312" max="2312" width="11.58203125" style="2535" customWidth="1"/>
    <col min="2313" max="2560" width="10" style="2535" customWidth="1"/>
    <col min="2561" max="2561" width="12.83203125" style="2535" customWidth="1"/>
    <col min="2562" max="2562" width="34.08203125" style="2535" customWidth="1"/>
    <col min="2563" max="2563" width="16.5" style="2535" customWidth="1"/>
    <col min="2564" max="2565" width="8.5" style="2535" customWidth="1"/>
    <col min="2566" max="2566" width="19.5" style="2535" customWidth="1"/>
    <col min="2567" max="2567" width="23.33203125" style="2535" customWidth="1"/>
    <col min="2568" max="2568" width="11.58203125" style="2535" customWidth="1"/>
    <col min="2569" max="2816" width="10" style="2535" customWidth="1"/>
    <col min="2817" max="2817" width="12.83203125" style="2535" customWidth="1"/>
    <col min="2818" max="2818" width="34.08203125" style="2535" customWidth="1"/>
    <col min="2819" max="2819" width="16.5" style="2535" customWidth="1"/>
    <col min="2820" max="2821" width="8.5" style="2535" customWidth="1"/>
    <col min="2822" max="2822" width="19.5" style="2535" customWidth="1"/>
    <col min="2823" max="2823" width="23.33203125" style="2535" customWidth="1"/>
    <col min="2824" max="2824" width="11.58203125" style="2535" customWidth="1"/>
    <col min="2825" max="3072" width="10" style="2535" customWidth="1"/>
    <col min="3073" max="3073" width="12.83203125" style="2535" customWidth="1"/>
    <col min="3074" max="3074" width="34.08203125" style="2535" customWidth="1"/>
    <col min="3075" max="3075" width="16.5" style="2535" customWidth="1"/>
    <col min="3076" max="3077" width="8.5" style="2535" customWidth="1"/>
    <col min="3078" max="3078" width="19.5" style="2535" customWidth="1"/>
    <col min="3079" max="3079" width="23.33203125" style="2535" customWidth="1"/>
    <col min="3080" max="3080" width="11.58203125" style="2535" customWidth="1"/>
    <col min="3081" max="3328" width="10" style="2535" customWidth="1"/>
    <col min="3329" max="3329" width="12.83203125" style="2535" customWidth="1"/>
    <col min="3330" max="3330" width="34.08203125" style="2535" customWidth="1"/>
    <col min="3331" max="3331" width="16.5" style="2535" customWidth="1"/>
    <col min="3332" max="3333" width="8.5" style="2535" customWidth="1"/>
    <col min="3334" max="3334" width="19.5" style="2535" customWidth="1"/>
    <col min="3335" max="3335" width="23.33203125" style="2535" customWidth="1"/>
    <col min="3336" max="3336" width="11.58203125" style="2535" customWidth="1"/>
    <col min="3337" max="3584" width="10" style="2535" customWidth="1"/>
    <col min="3585" max="3585" width="12.83203125" style="2535" customWidth="1"/>
    <col min="3586" max="3586" width="34.08203125" style="2535" customWidth="1"/>
    <col min="3587" max="3587" width="16.5" style="2535" customWidth="1"/>
    <col min="3588" max="3589" width="8.5" style="2535" customWidth="1"/>
    <col min="3590" max="3590" width="19.5" style="2535" customWidth="1"/>
    <col min="3591" max="3591" width="23.33203125" style="2535" customWidth="1"/>
    <col min="3592" max="3592" width="11.58203125" style="2535" customWidth="1"/>
    <col min="3593" max="3840" width="10" style="2535" customWidth="1"/>
    <col min="3841" max="3841" width="12.83203125" style="2535" customWidth="1"/>
    <col min="3842" max="3842" width="34.08203125" style="2535" customWidth="1"/>
    <col min="3843" max="3843" width="16.5" style="2535" customWidth="1"/>
    <col min="3844" max="3845" width="8.5" style="2535" customWidth="1"/>
    <col min="3846" max="3846" width="19.5" style="2535" customWidth="1"/>
    <col min="3847" max="3847" width="23.33203125" style="2535" customWidth="1"/>
    <col min="3848" max="3848" width="11.58203125" style="2535" customWidth="1"/>
    <col min="3849" max="4096" width="10" style="2535" customWidth="1"/>
    <col min="4097" max="4097" width="12.83203125" style="2535" customWidth="1"/>
    <col min="4098" max="4098" width="34.08203125" style="2535" customWidth="1"/>
    <col min="4099" max="4099" width="16.5" style="2535" customWidth="1"/>
    <col min="4100" max="4101" width="8.5" style="2535" customWidth="1"/>
    <col min="4102" max="4102" width="19.5" style="2535" customWidth="1"/>
    <col min="4103" max="4103" width="23.33203125" style="2535" customWidth="1"/>
    <col min="4104" max="4104" width="11.58203125" style="2535" customWidth="1"/>
    <col min="4105" max="4352" width="10" style="2535" customWidth="1"/>
    <col min="4353" max="4353" width="12.83203125" style="2535" customWidth="1"/>
    <col min="4354" max="4354" width="34.08203125" style="2535" customWidth="1"/>
    <col min="4355" max="4355" width="16.5" style="2535" customWidth="1"/>
    <col min="4356" max="4357" width="8.5" style="2535" customWidth="1"/>
    <col min="4358" max="4358" width="19.5" style="2535" customWidth="1"/>
    <col min="4359" max="4359" width="23.33203125" style="2535" customWidth="1"/>
    <col min="4360" max="4360" width="11.58203125" style="2535" customWidth="1"/>
    <col min="4361" max="4608" width="10" style="2535" customWidth="1"/>
    <col min="4609" max="4609" width="12.83203125" style="2535" customWidth="1"/>
    <col min="4610" max="4610" width="34.08203125" style="2535" customWidth="1"/>
    <col min="4611" max="4611" width="16.5" style="2535" customWidth="1"/>
    <col min="4612" max="4613" width="8.5" style="2535" customWidth="1"/>
    <col min="4614" max="4614" width="19.5" style="2535" customWidth="1"/>
    <col min="4615" max="4615" width="23.33203125" style="2535" customWidth="1"/>
    <col min="4616" max="4616" width="11.58203125" style="2535" customWidth="1"/>
    <col min="4617" max="4864" width="10" style="2535" customWidth="1"/>
    <col min="4865" max="4865" width="12.83203125" style="2535" customWidth="1"/>
    <col min="4866" max="4866" width="34.08203125" style="2535" customWidth="1"/>
    <col min="4867" max="4867" width="16.5" style="2535" customWidth="1"/>
    <col min="4868" max="4869" width="8.5" style="2535" customWidth="1"/>
    <col min="4870" max="4870" width="19.5" style="2535" customWidth="1"/>
    <col min="4871" max="4871" width="23.33203125" style="2535" customWidth="1"/>
    <col min="4872" max="4872" width="11.58203125" style="2535" customWidth="1"/>
    <col min="4873" max="5120" width="10" style="2535" customWidth="1"/>
    <col min="5121" max="5121" width="12.83203125" style="2535" customWidth="1"/>
    <col min="5122" max="5122" width="34.08203125" style="2535" customWidth="1"/>
    <col min="5123" max="5123" width="16.5" style="2535" customWidth="1"/>
    <col min="5124" max="5125" width="8.5" style="2535" customWidth="1"/>
    <col min="5126" max="5126" width="19.5" style="2535" customWidth="1"/>
    <col min="5127" max="5127" width="23.33203125" style="2535" customWidth="1"/>
    <col min="5128" max="5128" width="11.58203125" style="2535" customWidth="1"/>
    <col min="5129" max="5376" width="10" style="2535" customWidth="1"/>
    <col min="5377" max="5377" width="12.83203125" style="2535" customWidth="1"/>
    <col min="5378" max="5378" width="34.08203125" style="2535" customWidth="1"/>
    <col min="5379" max="5379" width="16.5" style="2535" customWidth="1"/>
    <col min="5380" max="5381" width="8.5" style="2535" customWidth="1"/>
    <col min="5382" max="5382" width="19.5" style="2535" customWidth="1"/>
    <col min="5383" max="5383" width="23.33203125" style="2535" customWidth="1"/>
    <col min="5384" max="5384" width="11.58203125" style="2535" customWidth="1"/>
    <col min="5385" max="5632" width="10" style="2535" customWidth="1"/>
    <col min="5633" max="5633" width="12.83203125" style="2535" customWidth="1"/>
    <col min="5634" max="5634" width="34.08203125" style="2535" customWidth="1"/>
    <col min="5635" max="5635" width="16.5" style="2535" customWidth="1"/>
    <col min="5636" max="5637" width="8.5" style="2535" customWidth="1"/>
    <col min="5638" max="5638" width="19.5" style="2535" customWidth="1"/>
    <col min="5639" max="5639" width="23.33203125" style="2535" customWidth="1"/>
    <col min="5640" max="5640" width="11.58203125" style="2535" customWidth="1"/>
    <col min="5641" max="5888" width="10" style="2535" customWidth="1"/>
    <col min="5889" max="5889" width="12.83203125" style="2535" customWidth="1"/>
    <col min="5890" max="5890" width="34.08203125" style="2535" customWidth="1"/>
    <col min="5891" max="5891" width="16.5" style="2535" customWidth="1"/>
    <col min="5892" max="5893" width="8.5" style="2535" customWidth="1"/>
    <col min="5894" max="5894" width="19.5" style="2535" customWidth="1"/>
    <col min="5895" max="5895" width="23.33203125" style="2535" customWidth="1"/>
    <col min="5896" max="5896" width="11.58203125" style="2535" customWidth="1"/>
    <col min="5897" max="6144" width="10" style="2535" customWidth="1"/>
    <col min="6145" max="6145" width="12.83203125" style="2535" customWidth="1"/>
    <col min="6146" max="6146" width="34.08203125" style="2535" customWidth="1"/>
    <col min="6147" max="6147" width="16.5" style="2535" customWidth="1"/>
    <col min="6148" max="6149" width="8.5" style="2535" customWidth="1"/>
    <col min="6150" max="6150" width="19.5" style="2535" customWidth="1"/>
    <col min="6151" max="6151" width="23.33203125" style="2535" customWidth="1"/>
    <col min="6152" max="6152" width="11.58203125" style="2535" customWidth="1"/>
    <col min="6153" max="6400" width="10" style="2535" customWidth="1"/>
    <col min="6401" max="6401" width="12.83203125" style="2535" customWidth="1"/>
    <col min="6402" max="6402" width="34.08203125" style="2535" customWidth="1"/>
    <col min="6403" max="6403" width="16.5" style="2535" customWidth="1"/>
    <col min="6404" max="6405" width="8.5" style="2535" customWidth="1"/>
    <col min="6406" max="6406" width="19.5" style="2535" customWidth="1"/>
    <col min="6407" max="6407" width="23.33203125" style="2535" customWidth="1"/>
    <col min="6408" max="6408" width="11.58203125" style="2535" customWidth="1"/>
    <col min="6409" max="6656" width="10" style="2535" customWidth="1"/>
    <col min="6657" max="6657" width="12.83203125" style="2535" customWidth="1"/>
    <col min="6658" max="6658" width="34.08203125" style="2535" customWidth="1"/>
    <col min="6659" max="6659" width="16.5" style="2535" customWidth="1"/>
    <col min="6660" max="6661" width="8.5" style="2535" customWidth="1"/>
    <col min="6662" max="6662" width="19.5" style="2535" customWidth="1"/>
    <col min="6663" max="6663" width="23.33203125" style="2535" customWidth="1"/>
    <col min="6664" max="6664" width="11.58203125" style="2535" customWidth="1"/>
    <col min="6665" max="6912" width="10" style="2535" customWidth="1"/>
    <col min="6913" max="6913" width="12.83203125" style="2535" customWidth="1"/>
    <col min="6914" max="6914" width="34.08203125" style="2535" customWidth="1"/>
    <col min="6915" max="6915" width="16.5" style="2535" customWidth="1"/>
    <col min="6916" max="6917" width="8.5" style="2535" customWidth="1"/>
    <col min="6918" max="6918" width="19.5" style="2535" customWidth="1"/>
    <col min="6919" max="6919" width="23.33203125" style="2535" customWidth="1"/>
    <col min="6920" max="6920" width="11.58203125" style="2535" customWidth="1"/>
    <col min="6921" max="7168" width="10" style="2535" customWidth="1"/>
    <col min="7169" max="7169" width="12.83203125" style="2535" customWidth="1"/>
    <col min="7170" max="7170" width="34.08203125" style="2535" customWidth="1"/>
    <col min="7171" max="7171" width="16.5" style="2535" customWidth="1"/>
    <col min="7172" max="7173" width="8.5" style="2535" customWidth="1"/>
    <col min="7174" max="7174" width="19.5" style="2535" customWidth="1"/>
    <col min="7175" max="7175" width="23.33203125" style="2535" customWidth="1"/>
    <col min="7176" max="7176" width="11.58203125" style="2535" customWidth="1"/>
    <col min="7177" max="7424" width="10" style="2535" customWidth="1"/>
    <col min="7425" max="7425" width="12.83203125" style="2535" customWidth="1"/>
    <col min="7426" max="7426" width="34.08203125" style="2535" customWidth="1"/>
    <col min="7427" max="7427" width="16.5" style="2535" customWidth="1"/>
    <col min="7428" max="7429" width="8.5" style="2535" customWidth="1"/>
    <col min="7430" max="7430" width="19.5" style="2535" customWidth="1"/>
    <col min="7431" max="7431" width="23.33203125" style="2535" customWidth="1"/>
    <col min="7432" max="7432" width="11.58203125" style="2535" customWidth="1"/>
    <col min="7433" max="7680" width="10" style="2535" customWidth="1"/>
    <col min="7681" max="7681" width="12.83203125" style="2535" customWidth="1"/>
    <col min="7682" max="7682" width="34.08203125" style="2535" customWidth="1"/>
    <col min="7683" max="7683" width="16.5" style="2535" customWidth="1"/>
    <col min="7684" max="7685" width="8.5" style="2535" customWidth="1"/>
    <col min="7686" max="7686" width="19.5" style="2535" customWidth="1"/>
    <col min="7687" max="7687" width="23.33203125" style="2535" customWidth="1"/>
    <col min="7688" max="7688" width="11.58203125" style="2535" customWidth="1"/>
    <col min="7689" max="7936" width="10" style="2535" customWidth="1"/>
    <col min="7937" max="7937" width="12.83203125" style="2535" customWidth="1"/>
    <col min="7938" max="7938" width="34.08203125" style="2535" customWidth="1"/>
    <col min="7939" max="7939" width="16.5" style="2535" customWidth="1"/>
    <col min="7940" max="7941" width="8.5" style="2535" customWidth="1"/>
    <col min="7942" max="7942" width="19.5" style="2535" customWidth="1"/>
    <col min="7943" max="7943" width="23.33203125" style="2535" customWidth="1"/>
    <col min="7944" max="7944" width="11.58203125" style="2535" customWidth="1"/>
    <col min="7945" max="8192" width="10" style="2535" customWidth="1"/>
    <col min="8193" max="8193" width="12.83203125" style="2535" customWidth="1"/>
    <col min="8194" max="8194" width="34.08203125" style="2535" customWidth="1"/>
    <col min="8195" max="8195" width="16.5" style="2535" customWidth="1"/>
    <col min="8196" max="8197" width="8.5" style="2535" customWidth="1"/>
    <col min="8198" max="8198" width="19.5" style="2535" customWidth="1"/>
    <col min="8199" max="8199" width="23.33203125" style="2535" customWidth="1"/>
    <col min="8200" max="8200" width="11.58203125" style="2535" customWidth="1"/>
    <col min="8201" max="8448" width="10" style="2535" customWidth="1"/>
    <col min="8449" max="8449" width="12.83203125" style="2535" customWidth="1"/>
    <col min="8450" max="8450" width="34.08203125" style="2535" customWidth="1"/>
    <col min="8451" max="8451" width="16.5" style="2535" customWidth="1"/>
    <col min="8452" max="8453" width="8.5" style="2535" customWidth="1"/>
    <col min="8454" max="8454" width="19.5" style="2535" customWidth="1"/>
    <col min="8455" max="8455" width="23.33203125" style="2535" customWidth="1"/>
    <col min="8456" max="8456" width="11.58203125" style="2535" customWidth="1"/>
    <col min="8457" max="8704" width="10" style="2535" customWidth="1"/>
    <col min="8705" max="8705" width="12.83203125" style="2535" customWidth="1"/>
    <col min="8706" max="8706" width="34.08203125" style="2535" customWidth="1"/>
    <col min="8707" max="8707" width="16.5" style="2535" customWidth="1"/>
    <col min="8708" max="8709" width="8.5" style="2535" customWidth="1"/>
    <col min="8710" max="8710" width="19.5" style="2535" customWidth="1"/>
    <col min="8711" max="8711" width="23.33203125" style="2535" customWidth="1"/>
    <col min="8712" max="8712" width="11.58203125" style="2535" customWidth="1"/>
    <col min="8713" max="8960" width="10" style="2535" customWidth="1"/>
    <col min="8961" max="8961" width="12.83203125" style="2535" customWidth="1"/>
    <col min="8962" max="8962" width="34.08203125" style="2535" customWidth="1"/>
    <col min="8963" max="8963" width="16.5" style="2535" customWidth="1"/>
    <col min="8964" max="8965" width="8.5" style="2535" customWidth="1"/>
    <col min="8966" max="8966" width="19.5" style="2535" customWidth="1"/>
    <col min="8967" max="8967" width="23.33203125" style="2535" customWidth="1"/>
    <col min="8968" max="8968" width="11.58203125" style="2535" customWidth="1"/>
    <col min="8969" max="9216" width="10" style="2535" customWidth="1"/>
    <col min="9217" max="9217" width="12.83203125" style="2535" customWidth="1"/>
    <col min="9218" max="9218" width="34.08203125" style="2535" customWidth="1"/>
    <col min="9219" max="9219" width="16.5" style="2535" customWidth="1"/>
    <col min="9220" max="9221" width="8.5" style="2535" customWidth="1"/>
    <col min="9222" max="9222" width="19.5" style="2535" customWidth="1"/>
    <col min="9223" max="9223" width="23.33203125" style="2535" customWidth="1"/>
    <col min="9224" max="9224" width="11.58203125" style="2535" customWidth="1"/>
    <col min="9225" max="9472" width="10" style="2535" customWidth="1"/>
    <col min="9473" max="9473" width="12.83203125" style="2535" customWidth="1"/>
    <col min="9474" max="9474" width="34.08203125" style="2535" customWidth="1"/>
    <col min="9475" max="9475" width="16.5" style="2535" customWidth="1"/>
    <col min="9476" max="9477" width="8.5" style="2535" customWidth="1"/>
    <col min="9478" max="9478" width="19.5" style="2535" customWidth="1"/>
    <col min="9479" max="9479" width="23.33203125" style="2535" customWidth="1"/>
    <col min="9480" max="9480" width="11.58203125" style="2535" customWidth="1"/>
    <col min="9481" max="9728" width="10" style="2535" customWidth="1"/>
    <col min="9729" max="9729" width="12.83203125" style="2535" customWidth="1"/>
    <col min="9730" max="9730" width="34.08203125" style="2535" customWidth="1"/>
    <col min="9731" max="9731" width="16.5" style="2535" customWidth="1"/>
    <col min="9732" max="9733" width="8.5" style="2535" customWidth="1"/>
    <col min="9734" max="9734" width="19.5" style="2535" customWidth="1"/>
    <col min="9735" max="9735" width="23.33203125" style="2535" customWidth="1"/>
    <col min="9736" max="9736" width="11.58203125" style="2535" customWidth="1"/>
    <col min="9737" max="9984" width="10" style="2535" customWidth="1"/>
    <col min="9985" max="9985" width="12.83203125" style="2535" customWidth="1"/>
    <col min="9986" max="9986" width="34.08203125" style="2535" customWidth="1"/>
    <col min="9987" max="9987" width="16.5" style="2535" customWidth="1"/>
    <col min="9988" max="9989" width="8.5" style="2535" customWidth="1"/>
    <col min="9990" max="9990" width="19.5" style="2535" customWidth="1"/>
    <col min="9991" max="9991" width="23.33203125" style="2535" customWidth="1"/>
    <col min="9992" max="9992" width="11.58203125" style="2535" customWidth="1"/>
    <col min="9993" max="10240" width="10" style="2535" customWidth="1"/>
    <col min="10241" max="10241" width="12.83203125" style="2535" customWidth="1"/>
    <col min="10242" max="10242" width="34.08203125" style="2535" customWidth="1"/>
    <col min="10243" max="10243" width="16.5" style="2535" customWidth="1"/>
    <col min="10244" max="10245" width="8.5" style="2535" customWidth="1"/>
    <col min="10246" max="10246" width="19.5" style="2535" customWidth="1"/>
    <col min="10247" max="10247" width="23.33203125" style="2535" customWidth="1"/>
    <col min="10248" max="10248" width="11.58203125" style="2535" customWidth="1"/>
    <col min="10249" max="10496" width="10" style="2535" customWidth="1"/>
    <col min="10497" max="10497" width="12.83203125" style="2535" customWidth="1"/>
    <col min="10498" max="10498" width="34.08203125" style="2535" customWidth="1"/>
    <col min="10499" max="10499" width="16.5" style="2535" customWidth="1"/>
    <col min="10500" max="10501" width="8.5" style="2535" customWidth="1"/>
    <col min="10502" max="10502" width="19.5" style="2535" customWidth="1"/>
    <col min="10503" max="10503" width="23.33203125" style="2535" customWidth="1"/>
    <col min="10504" max="10504" width="11.58203125" style="2535" customWidth="1"/>
    <col min="10505" max="10752" width="10" style="2535" customWidth="1"/>
    <col min="10753" max="10753" width="12.83203125" style="2535" customWidth="1"/>
    <col min="10754" max="10754" width="34.08203125" style="2535" customWidth="1"/>
    <col min="10755" max="10755" width="16.5" style="2535" customWidth="1"/>
    <col min="10756" max="10757" width="8.5" style="2535" customWidth="1"/>
    <col min="10758" max="10758" width="19.5" style="2535" customWidth="1"/>
    <col min="10759" max="10759" width="23.33203125" style="2535" customWidth="1"/>
    <col min="10760" max="10760" width="11.58203125" style="2535" customWidth="1"/>
    <col min="10761" max="11008" width="10" style="2535" customWidth="1"/>
    <col min="11009" max="11009" width="12.83203125" style="2535" customWidth="1"/>
    <col min="11010" max="11010" width="34.08203125" style="2535" customWidth="1"/>
    <col min="11011" max="11011" width="16.5" style="2535" customWidth="1"/>
    <col min="11012" max="11013" width="8.5" style="2535" customWidth="1"/>
    <col min="11014" max="11014" width="19.5" style="2535" customWidth="1"/>
    <col min="11015" max="11015" width="23.33203125" style="2535" customWidth="1"/>
    <col min="11016" max="11016" width="11.58203125" style="2535" customWidth="1"/>
    <col min="11017" max="11264" width="10" style="2535" customWidth="1"/>
    <col min="11265" max="11265" width="12.83203125" style="2535" customWidth="1"/>
    <col min="11266" max="11266" width="34.08203125" style="2535" customWidth="1"/>
    <col min="11267" max="11267" width="16.5" style="2535" customWidth="1"/>
    <col min="11268" max="11269" width="8.5" style="2535" customWidth="1"/>
    <col min="11270" max="11270" width="19.5" style="2535" customWidth="1"/>
    <col min="11271" max="11271" width="23.33203125" style="2535" customWidth="1"/>
    <col min="11272" max="11272" width="11.58203125" style="2535" customWidth="1"/>
    <col min="11273" max="11520" width="10" style="2535" customWidth="1"/>
    <col min="11521" max="11521" width="12.83203125" style="2535" customWidth="1"/>
    <col min="11522" max="11522" width="34.08203125" style="2535" customWidth="1"/>
    <col min="11523" max="11523" width="16.5" style="2535" customWidth="1"/>
    <col min="11524" max="11525" width="8.5" style="2535" customWidth="1"/>
    <col min="11526" max="11526" width="19.5" style="2535" customWidth="1"/>
    <col min="11527" max="11527" width="23.33203125" style="2535" customWidth="1"/>
    <col min="11528" max="11528" width="11.58203125" style="2535" customWidth="1"/>
    <col min="11529" max="11776" width="10" style="2535" customWidth="1"/>
    <col min="11777" max="11777" width="12.83203125" style="2535" customWidth="1"/>
    <col min="11778" max="11778" width="34.08203125" style="2535" customWidth="1"/>
    <col min="11779" max="11779" width="16.5" style="2535" customWidth="1"/>
    <col min="11780" max="11781" width="8.5" style="2535" customWidth="1"/>
    <col min="11782" max="11782" width="19.5" style="2535" customWidth="1"/>
    <col min="11783" max="11783" width="23.33203125" style="2535" customWidth="1"/>
    <col min="11784" max="11784" width="11.58203125" style="2535" customWidth="1"/>
    <col min="11785" max="12032" width="10" style="2535" customWidth="1"/>
    <col min="12033" max="12033" width="12.83203125" style="2535" customWidth="1"/>
    <col min="12034" max="12034" width="34.08203125" style="2535" customWidth="1"/>
    <col min="12035" max="12035" width="16.5" style="2535" customWidth="1"/>
    <col min="12036" max="12037" width="8.5" style="2535" customWidth="1"/>
    <col min="12038" max="12038" width="19.5" style="2535" customWidth="1"/>
    <col min="12039" max="12039" width="23.33203125" style="2535" customWidth="1"/>
    <col min="12040" max="12040" width="11.58203125" style="2535" customWidth="1"/>
    <col min="12041" max="12288" width="10" style="2535" customWidth="1"/>
    <col min="12289" max="12289" width="12.83203125" style="2535" customWidth="1"/>
    <col min="12290" max="12290" width="34.08203125" style="2535" customWidth="1"/>
    <col min="12291" max="12291" width="16.5" style="2535" customWidth="1"/>
    <col min="12292" max="12293" width="8.5" style="2535" customWidth="1"/>
    <col min="12294" max="12294" width="19.5" style="2535" customWidth="1"/>
    <col min="12295" max="12295" width="23.33203125" style="2535" customWidth="1"/>
    <col min="12296" max="12296" width="11.58203125" style="2535" customWidth="1"/>
    <col min="12297" max="12544" width="10" style="2535" customWidth="1"/>
    <col min="12545" max="12545" width="12.83203125" style="2535" customWidth="1"/>
    <col min="12546" max="12546" width="34.08203125" style="2535" customWidth="1"/>
    <col min="12547" max="12547" width="16.5" style="2535" customWidth="1"/>
    <col min="12548" max="12549" width="8.5" style="2535" customWidth="1"/>
    <col min="12550" max="12550" width="19.5" style="2535" customWidth="1"/>
    <col min="12551" max="12551" width="23.33203125" style="2535" customWidth="1"/>
    <col min="12552" max="12552" width="11.58203125" style="2535" customWidth="1"/>
    <col min="12553" max="12800" width="10" style="2535" customWidth="1"/>
    <col min="12801" max="12801" width="12.83203125" style="2535" customWidth="1"/>
    <col min="12802" max="12802" width="34.08203125" style="2535" customWidth="1"/>
    <col min="12803" max="12803" width="16.5" style="2535" customWidth="1"/>
    <col min="12804" max="12805" width="8.5" style="2535" customWidth="1"/>
    <col min="12806" max="12806" width="19.5" style="2535" customWidth="1"/>
    <col min="12807" max="12807" width="23.33203125" style="2535" customWidth="1"/>
    <col min="12808" max="12808" width="11.58203125" style="2535" customWidth="1"/>
    <col min="12809" max="13056" width="10" style="2535" customWidth="1"/>
    <col min="13057" max="13057" width="12.83203125" style="2535" customWidth="1"/>
    <col min="13058" max="13058" width="34.08203125" style="2535" customWidth="1"/>
    <col min="13059" max="13059" width="16.5" style="2535" customWidth="1"/>
    <col min="13060" max="13061" width="8.5" style="2535" customWidth="1"/>
    <col min="13062" max="13062" width="19.5" style="2535" customWidth="1"/>
    <col min="13063" max="13063" width="23.33203125" style="2535" customWidth="1"/>
    <col min="13064" max="13064" width="11.58203125" style="2535" customWidth="1"/>
    <col min="13065" max="13312" width="10" style="2535" customWidth="1"/>
    <col min="13313" max="13313" width="12.83203125" style="2535" customWidth="1"/>
    <col min="13314" max="13314" width="34.08203125" style="2535" customWidth="1"/>
    <col min="13315" max="13315" width="16.5" style="2535" customWidth="1"/>
    <col min="13316" max="13317" width="8.5" style="2535" customWidth="1"/>
    <col min="13318" max="13318" width="19.5" style="2535" customWidth="1"/>
    <col min="13319" max="13319" width="23.33203125" style="2535" customWidth="1"/>
    <col min="13320" max="13320" width="11.58203125" style="2535" customWidth="1"/>
    <col min="13321" max="13568" width="10" style="2535" customWidth="1"/>
    <col min="13569" max="13569" width="12.83203125" style="2535" customWidth="1"/>
    <col min="13570" max="13570" width="34.08203125" style="2535" customWidth="1"/>
    <col min="13571" max="13571" width="16.5" style="2535" customWidth="1"/>
    <col min="13572" max="13573" width="8.5" style="2535" customWidth="1"/>
    <col min="13574" max="13574" width="19.5" style="2535" customWidth="1"/>
    <col min="13575" max="13575" width="23.33203125" style="2535" customWidth="1"/>
    <col min="13576" max="13576" width="11.58203125" style="2535" customWidth="1"/>
    <col min="13577" max="13824" width="10" style="2535" customWidth="1"/>
    <col min="13825" max="13825" width="12.83203125" style="2535" customWidth="1"/>
    <col min="13826" max="13826" width="34.08203125" style="2535" customWidth="1"/>
    <col min="13827" max="13827" width="16.5" style="2535" customWidth="1"/>
    <col min="13828" max="13829" width="8.5" style="2535" customWidth="1"/>
    <col min="13830" max="13830" width="19.5" style="2535" customWidth="1"/>
    <col min="13831" max="13831" width="23.33203125" style="2535" customWidth="1"/>
    <col min="13832" max="13832" width="11.58203125" style="2535" customWidth="1"/>
    <col min="13833" max="14080" width="10" style="2535" customWidth="1"/>
    <col min="14081" max="14081" width="12.83203125" style="2535" customWidth="1"/>
    <col min="14082" max="14082" width="34.08203125" style="2535" customWidth="1"/>
    <col min="14083" max="14083" width="16.5" style="2535" customWidth="1"/>
    <col min="14084" max="14085" width="8.5" style="2535" customWidth="1"/>
    <col min="14086" max="14086" width="19.5" style="2535" customWidth="1"/>
    <col min="14087" max="14087" width="23.33203125" style="2535" customWidth="1"/>
    <col min="14088" max="14088" width="11.58203125" style="2535" customWidth="1"/>
    <col min="14089" max="14336" width="10" style="2535" customWidth="1"/>
    <col min="14337" max="14337" width="12.83203125" style="2535" customWidth="1"/>
    <col min="14338" max="14338" width="34.08203125" style="2535" customWidth="1"/>
    <col min="14339" max="14339" width="16.5" style="2535" customWidth="1"/>
    <col min="14340" max="14341" width="8.5" style="2535" customWidth="1"/>
    <col min="14342" max="14342" width="19.5" style="2535" customWidth="1"/>
    <col min="14343" max="14343" width="23.33203125" style="2535" customWidth="1"/>
    <col min="14344" max="14344" width="11.58203125" style="2535" customWidth="1"/>
    <col min="14345" max="14592" width="10" style="2535" customWidth="1"/>
    <col min="14593" max="14593" width="12.83203125" style="2535" customWidth="1"/>
    <col min="14594" max="14594" width="34.08203125" style="2535" customWidth="1"/>
    <col min="14595" max="14595" width="16.5" style="2535" customWidth="1"/>
    <col min="14596" max="14597" width="8.5" style="2535" customWidth="1"/>
    <col min="14598" max="14598" width="19.5" style="2535" customWidth="1"/>
    <col min="14599" max="14599" width="23.33203125" style="2535" customWidth="1"/>
    <col min="14600" max="14600" width="11.58203125" style="2535" customWidth="1"/>
    <col min="14601" max="14848" width="10" style="2535" customWidth="1"/>
    <col min="14849" max="14849" width="12.83203125" style="2535" customWidth="1"/>
    <col min="14850" max="14850" width="34.08203125" style="2535" customWidth="1"/>
    <col min="14851" max="14851" width="16.5" style="2535" customWidth="1"/>
    <col min="14852" max="14853" width="8.5" style="2535" customWidth="1"/>
    <col min="14854" max="14854" width="19.5" style="2535" customWidth="1"/>
    <col min="14855" max="14855" width="23.33203125" style="2535" customWidth="1"/>
    <col min="14856" max="14856" width="11.58203125" style="2535" customWidth="1"/>
    <col min="14857" max="15104" width="10" style="2535" customWidth="1"/>
    <col min="15105" max="15105" width="12.83203125" style="2535" customWidth="1"/>
    <col min="15106" max="15106" width="34.08203125" style="2535" customWidth="1"/>
    <col min="15107" max="15107" width="16.5" style="2535" customWidth="1"/>
    <col min="15108" max="15109" width="8.5" style="2535" customWidth="1"/>
    <col min="15110" max="15110" width="19.5" style="2535" customWidth="1"/>
    <col min="15111" max="15111" width="23.33203125" style="2535" customWidth="1"/>
    <col min="15112" max="15112" width="11.58203125" style="2535" customWidth="1"/>
    <col min="15113" max="15360" width="10" style="2535" customWidth="1"/>
    <col min="15361" max="15361" width="12.83203125" style="2535" customWidth="1"/>
    <col min="15362" max="15362" width="34.08203125" style="2535" customWidth="1"/>
    <col min="15363" max="15363" width="16.5" style="2535" customWidth="1"/>
    <col min="15364" max="15365" width="8.5" style="2535" customWidth="1"/>
    <col min="15366" max="15366" width="19.5" style="2535" customWidth="1"/>
    <col min="15367" max="15367" width="23.33203125" style="2535" customWidth="1"/>
    <col min="15368" max="15368" width="11.58203125" style="2535" customWidth="1"/>
    <col min="15369" max="15616" width="10" style="2535" customWidth="1"/>
    <col min="15617" max="15617" width="12.83203125" style="2535" customWidth="1"/>
    <col min="15618" max="15618" width="34.08203125" style="2535" customWidth="1"/>
    <col min="15619" max="15619" width="16.5" style="2535" customWidth="1"/>
    <col min="15620" max="15621" width="8.5" style="2535" customWidth="1"/>
    <col min="15622" max="15622" width="19.5" style="2535" customWidth="1"/>
    <col min="15623" max="15623" width="23.33203125" style="2535" customWidth="1"/>
    <col min="15624" max="15624" width="11.58203125" style="2535" customWidth="1"/>
    <col min="15625" max="15872" width="10" style="2535" customWidth="1"/>
    <col min="15873" max="15873" width="12.83203125" style="2535" customWidth="1"/>
    <col min="15874" max="15874" width="34.08203125" style="2535" customWidth="1"/>
    <col min="15875" max="15875" width="16.5" style="2535" customWidth="1"/>
    <col min="15876" max="15877" width="8.5" style="2535" customWidth="1"/>
    <col min="15878" max="15878" width="19.5" style="2535" customWidth="1"/>
    <col min="15879" max="15879" width="23.33203125" style="2535" customWidth="1"/>
    <col min="15880" max="15880" width="11.58203125" style="2535" customWidth="1"/>
    <col min="15881" max="16128" width="10" style="2535" customWidth="1"/>
    <col min="16129" max="16129" width="12.83203125" style="2535" customWidth="1"/>
    <col min="16130" max="16130" width="34.08203125" style="2535" customWidth="1"/>
    <col min="16131" max="16131" width="16.5" style="2535" customWidth="1"/>
    <col min="16132" max="16133" width="8.5" style="2535" customWidth="1"/>
    <col min="16134" max="16134" width="19.5" style="2535" customWidth="1"/>
    <col min="16135" max="16135" width="23.33203125" style="2535" customWidth="1"/>
    <col min="16136" max="16136" width="11.58203125" style="2535" customWidth="1"/>
    <col min="16137" max="16384" width="10" style="2535" customWidth="1"/>
  </cols>
  <sheetData>
    <row r="1" spans="1:7" ht="23.5" customHeight="1" thickBot="1">
      <c r="A1" s="2531" t="s">
        <v>4748</v>
      </c>
      <c r="B1" s="2532"/>
      <c r="C1" s="2533"/>
      <c r="D1" s="2533"/>
      <c r="E1" s="2533"/>
      <c r="F1" s="2534"/>
      <c r="G1" s="2534"/>
    </row>
    <row r="2" spans="1:7" ht="21" customHeight="1" thickBot="1">
      <c r="A2" s="2536" t="s">
        <v>979</v>
      </c>
      <c r="B2" s="2536" t="s">
        <v>980</v>
      </c>
      <c r="C2" s="2537" t="s">
        <v>362</v>
      </c>
      <c r="D2" s="2538" t="s">
        <v>981</v>
      </c>
      <c r="E2" s="2539" t="s">
        <v>1373</v>
      </c>
      <c r="F2" s="2540" t="s">
        <v>2117</v>
      </c>
      <c r="G2" s="2541" t="s">
        <v>2118</v>
      </c>
    </row>
    <row r="3" spans="1:7" s="2549" customFormat="1" ht="19.899999999999999" customHeight="1">
      <c r="A3" s="2542" t="s">
        <v>982</v>
      </c>
      <c r="B3" s="2543" t="s">
        <v>983</v>
      </c>
      <c r="C3" s="2544" t="s">
        <v>4692</v>
      </c>
      <c r="D3" s="2545" t="s">
        <v>4693</v>
      </c>
      <c r="E3" s="2546" t="s">
        <v>4694</v>
      </c>
      <c r="F3" s="2547" t="s">
        <v>1374</v>
      </c>
      <c r="G3" s="2548" t="s">
        <v>1375</v>
      </c>
    </row>
    <row r="4" spans="1:7" s="2549" customFormat="1" ht="19.899999999999999" customHeight="1">
      <c r="A4" s="2550" t="s">
        <v>984</v>
      </c>
      <c r="B4" s="2551" t="s">
        <v>1636</v>
      </c>
      <c r="C4" s="2552" t="s">
        <v>3338</v>
      </c>
      <c r="D4" s="2553" t="s">
        <v>4695</v>
      </c>
      <c r="E4" s="2554" t="s">
        <v>4696</v>
      </c>
      <c r="F4" s="2555" t="s">
        <v>1377</v>
      </c>
      <c r="G4" s="2556" t="s">
        <v>1378</v>
      </c>
    </row>
    <row r="5" spans="1:7" s="2549" customFormat="1" ht="19.899999999999999" customHeight="1">
      <c r="A5" s="2557"/>
      <c r="B5" s="2558" t="s">
        <v>2121</v>
      </c>
      <c r="C5" s="2552" t="s">
        <v>4697</v>
      </c>
      <c r="D5" s="2559"/>
      <c r="E5" s="2560"/>
      <c r="F5" s="2555" t="s">
        <v>1379</v>
      </c>
      <c r="G5" s="2561" t="s">
        <v>4698</v>
      </c>
    </row>
    <row r="6" spans="1:7" s="2566" customFormat="1" ht="19.899999999999999" customHeight="1">
      <c r="A6" s="2542" t="s">
        <v>987</v>
      </c>
      <c r="B6" s="2562" t="s">
        <v>2124</v>
      </c>
      <c r="C6" s="2563" t="s">
        <v>988</v>
      </c>
      <c r="D6" s="2564" t="s">
        <v>988</v>
      </c>
      <c r="E6" s="2565" t="s">
        <v>998</v>
      </c>
      <c r="F6" s="2555" t="s">
        <v>1381</v>
      </c>
      <c r="G6" s="2556" t="s">
        <v>1381</v>
      </c>
    </row>
    <row r="7" spans="1:7" s="2566" customFormat="1" ht="19.899999999999999" customHeight="1">
      <c r="A7" s="2542"/>
      <c r="B7" s="2562" t="s">
        <v>4699</v>
      </c>
      <c r="C7" s="2567" t="s">
        <v>1401</v>
      </c>
      <c r="D7" s="2568" t="s">
        <v>2534</v>
      </c>
      <c r="E7" s="2569" t="s">
        <v>998</v>
      </c>
      <c r="F7" s="2570" t="s">
        <v>2126</v>
      </c>
      <c r="G7" s="2571" t="s">
        <v>2127</v>
      </c>
    </row>
    <row r="8" spans="1:7" s="2566" customFormat="1" ht="19.899999999999999" customHeight="1">
      <c r="A8" s="2542"/>
      <c r="B8" s="2572"/>
      <c r="C8" s="2573"/>
      <c r="D8" s="2574"/>
      <c r="E8" s="2575"/>
      <c r="F8" s="2547" t="s">
        <v>2128</v>
      </c>
      <c r="G8" s="2548" t="s">
        <v>2129</v>
      </c>
    </row>
    <row r="9" spans="1:7" s="2566" customFormat="1" ht="19.899999999999999" customHeight="1">
      <c r="A9" s="2542"/>
      <c r="B9" s="2572" t="s">
        <v>2130</v>
      </c>
      <c r="C9" s="2576" t="s">
        <v>1662</v>
      </c>
      <c r="D9" s="2577" t="s">
        <v>1662</v>
      </c>
      <c r="E9" s="2578" t="s">
        <v>998</v>
      </c>
      <c r="F9" s="2547" t="s">
        <v>2131</v>
      </c>
      <c r="G9" s="2548" t="s">
        <v>1383</v>
      </c>
    </row>
    <row r="10" spans="1:7" s="2566" customFormat="1" ht="19.899999999999999" customHeight="1">
      <c r="A10" s="2542"/>
      <c r="B10" s="2579" t="s">
        <v>4700</v>
      </c>
      <c r="C10" s="2580" t="s">
        <v>1662</v>
      </c>
      <c r="D10" s="2581" t="s">
        <v>1662</v>
      </c>
      <c r="E10" s="2578" t="s">
        <v>998</v>
      </c>
      <c r="F10" s="2582" t="s">
        <v>1382</v>
      </c>
      <c r="G10" s="2556" t="s">
        <v>1383</v>
      </c>
    </row>
    <row r="11" spans="1:7" s="2566" customFormat="1" ht="19.899999999999999" customHeight="1">
      <c r="A11" s="2542"/>
      <c r="B11" s="2558" t="s">
        <v>4701</v>
      </c>
      <c r="C11" s="2583" t="s">
        <v>1020</v>
      </c>
      <c r="D11" s="2583" t="s">
        <v>1020</v>
      </c>
      <c r="E11" s="2554" t="s">
        <v>998</v>
      </c>
      <c r="F11" s="2582" t="s">
        <v>1382</v>
      </c>
      <c r="G11" s="2556" t="s">
        <v>1383</v>
      </c>
    </row>
    <row r="12" spans="1:7" s="2566" customFormat="1" ht="19.899999999999999" customHeight="1">
      <c r="A12" s="2542"/>
      <c r="B12" s="2558" t="s">
        <v>4702</v>
      </c>
      <c r="C12" s="2583" t="s">
        <v>999</v>
      </c>
      <c r="D12" s="2577"/>
      <c r="E12" s="2554" t="s">
        <v>998</v>
      </c>
      <c r="F12" s="2582" t="s">
        <v>1382</v>
      </c>
      <c r="G12" s="2556" t="s">
        <v>1383</v>
      </c>
    </row>
    <row r="13" spans="1:7" ht="19.899999999999999" customHeight="1">
      <c r="A13" s="2542"/>
      <c r="B13" s="2558" t="s">
        <v>4703</v>
      </c>
      <c r="C13" s="2583" t="s">
        <v>1662</v>
      </c>
      <c r="D13" s="2577"/>
      <c r="E13" s="2554" t="s">
        <v>998</v>
      </c>
      <c r="F13" s="2582" t="s">
        <v>1382</v>
      </c>
      <c r="G13" s="2556" t="s">
        <v>1383</v>
      </c>
    </row>
    <row r="14" spans="1:7" s="2549" customFormat="1" ht="19.899999999999999" customHeight="1">
      <c r="A14" s="2550" t="s">
        <v>991</v>
      </c>
      <c r="B14" s="2558" t="s">
        <v>992</v>
      </c>
      <c r="C14" s="2584" t="s">
        <v>3317</v>
      </c>
      <c r="D14" s="2581" t="s">
        <v>994</v>
      </c>
      <c r="E14" s="2585" t="s">
        <v>3318</v>
      </c>
      <c r="F14" s="2555" t="s">
        <v>1384</v>
      </c>
      <c r="G14" s="2586"/>
    </row>
    <row r="15" spans="1:7" s="2549" customFormat="1" ht="19.899999999999999" customHeight="1">
      <c r="A15" s="2587"/>
      <c r="B15" s="2551" t="s">
        <v>993</v>
      </c>
      <c r="C15" s="2552" t="s">
        <v>4704</v>
      </c>
      <c r="D15" s="2588" t="s">
        <v>4705</v>
      </c>
      <c r="E15" s="2589" t="s">
        <v>4706</v>
      </c>
      <c r="F15" s="2590" t="s">
        <v>1642</v>
      </c>
      <c r="G15" s="2586"/>
    </row>
    <row r="16" spans="1:7" s="2549" customFormat="1" ht="19.899999999999999" customHeight="1">
      <c r="A16" s="2542" t="s">
        <v>995</v>
      </c>
      <c r="B16" s="2558" t="s">
        <v>996</v>
      </c>
      <c r="C16" s="2552" t="s">
        <v>4707</v>
      </c>
      <c r="D16" s="2588" t="s">
        <v>3321</v>
      </c>
      <c r="E16" s="2591" t="s">
        <v>998</v>
      </c>
      <c r="F16" s="2592" t="s">
        <v>1382</v>
      </c>
      <c r="G16" s="2556" t="s">
        <v>1381</v>
      </c>
    </row>
    <row r="17" spans="1:7" s="2549" customFormat="1" ht="19.899999999999999" customHeight="1">
      <c r="A17" s="2593"/>
      <c r="B17" s="2558" t="s">
        <v>2142</v>
      </c>
      <c r="C17" s="2594" t="s">
        <v>1386</v>
      </c>
      <c r="D17" s="2588" t="s">
        <v>999</v>
      </c>
      <c r="E17" s="2577" t="s">
        <v>998</v>
      </c>
      <c r="F17" s="2592" t="s">
        <v>2143</v>
      </c>
      <c r="G17" s="2556" t="s">
        <v>1387</v>
      </c>
    </row>
    <row r="18" spans="1:7" s="2549" customFormat="1" ht="19.899999999999999" customHeight="1">
      <c r="A18" s="2593"/>
      <c r="B18" s="2558" t="s">
        <v>2144</v>
      </c>
      <c r="C18" s="2552" t="s">
        <v>4707</v>
      </c>
      <c r="D18" s="2595" t="s">
        <v>3321</v>
      </c>
      <c r="E18" s="2577"/>
      <c r="F18" s="2592"/>
      <c r="G18" s="2556"/>
    </row>
    <row r="19" spans="1:7" s="2549" customFormat="1" ht="19.899999999999999" customHeight="1">
      <c r="A19" s="2593"/>
      <c r="B19" s="2558" t="s">
        <v>4708</v>
      </c>
      <c r="C19" s="2594" t="s">
        <v>4709</v>
      </c>
      <c r="D19" s="2588" t="s">
        <v>4710</v>
      </c>
      <c r="E19" s="2577" t="s">
        <v>998</v>
      </c>
      <c r="F19" s="2592" t="s">
        <v>1382</v>
      </c>
      <c r="G19" s="2556" t="s">
        <v>1387</v>
      </c>
    </row>
    <row r="20" spans="1:7" s="2549" customFormat="1" ht="19.899999999999999" customHeight="1">
      <c r="A20" s="2596" t="s">
        <v>1000</v>
      </c>
      <c r="B20" s="2579" t="s">
        <v>1001</v>
      </c>
      <c r="C20" s="2583" t="s">
        <v>4711</v>
      </c>
      <c r="D20" s="2594" t="s">
        <v>4712</v>
      </c>
      <c r="E20" s="2578" t="s">
        <v>998</v>
      </c>
      <c r="F20" s="2597" t="s">
        <v>2146</v>
      </c>
      <c r="G20" s="2598" t="s">
        <v>1643</v>
      </c>
    </row>
    <row r="21" spans="1:7" s="2549" customFormat="1" ht="19.899999999999999" customHeight="1">
      <c r="A21" s="2599" t="s">
        <v>1003</v>
      </c>
      <c r="B21" s="2551" t="s">
        <v>1004</v>
      </c>
      <c r="C21" s="2583" t="s">
        <v>3319</v>
      </c>
      <c r="D21" s="2594" t="s">
        <v>4713</v>
      </c>
      <c r="E21" s="2589" t="s">
        <v>1031</v>
      </c>
      <c r="F21" s="2600" t="s">
        <v>1644</v>
      </c>
      <c r="G21" s="2601" t="s">
        <v>1390</v>
      </c>
    </row>
    <row r="22" spans="1:7" s="2549" customFormat="1" ht="19.899999999999999" customHeight="1">
      <c r="A22" s="2596" t="s">
        <v>1007</v>
      </c>
      <c r="B22" s="2558" t="s">
        <v>1008</v>
      </c>
      <c r="C22" s="2602" t="s">
        <v>4714</v>
      </c>
      <c r="D22" s="2553" t="s">
        <v>4715</v>
      </c>
      <c r="E22" s="2603" t="s">
        <v>4716</v>
      </c>
      <c r="F22" s="2600" t="s">
        <v>1384</v>
      </c>
      <c r="G22" s="2601" t="s">
        <v>1388</v>
      </c>
    </row>
    <row r="23" spans="1:7" s="2609" customFormat="1" ht="19.899999999999999" customHeight="1">
      <c r="A23" s="2604" t="s">
        <v>1010</v>
      </c>
      <c r="B23" s="2562" t="s">
        <v>4717</v>
      </c>
      <c r="C23" s="2605" t="s">
        <v>1005</v>
      </c>
      <c r="D23" s="2568" t="s">
        <v>1005</v>
      </c>
      <c r="E23" s="2606" t="s">
        <v>1019</v>
      </c>
      <c r="F23" s="2607" t="s">
        <v>1393</v>
      </c>
      <c r="G23" s="2608" t="s">
        <v>1393</v>
      </c>
    </row>
    <row r="24" spans="1:7" s="2609" customFormat="1" ht="19.899999999999999" customHeight="1">
      <c r="A24" s="2587"/>
      <c r="B24" s="2572" t="s">
        <v>2148</v>
      </c>
      <c r="C24" s="2610"/>
      <c r="D24" s="2611"/>
      <c r="E24" s="2612"/>
      <c r="F24" s="2547"/>
      <c r="G24" s="2548"/>
    </row>
    <row r="25" spans="1:7" s="2549" customFormat="1" ht="19.899999999999999" customHeight="1">
      <c r="A25" s="2550" t="s">
        <v>1012</v>
      </c>
      <c r="B25" s="2558" t="s">
        <v>1013</v>
      </c>
      <c r="C25" s="2613" t="s">
        <v>2184</v>
      </c>
      <c r="D25" s="2594" t="s">
        <v>2186</v>
      </c>
      <c r="E25" s="2614" t="s">
        <v>998</v>
      </c>
      <c r="F25" s="2582" t="s">
        <v>1384</v>
      </c>
      <c r="G25" s="2586" t="s">
        <v>1647</v>
      </c>
    </row>
    <row r="26" spans="1:7" s="2549" customFormat="1" ht="19.899999999999999" customHeight="1">
      <c r="A26" s="2615" t="s">
        <v>1394</v>
      </c>
      <c r="B26" s="2616" t="s">
        <v>2149</v>
      </c>
      <c r="C26" s="2602" t="s">
        <v>4718</v>
      </c>
      <c r="D26" s="2617" t="s">
        <v>4719</v>
      </c>
      <c r="E26" s="2618" t="s">
        <v>998</v>
      </c>
      <c r="F26" s="2582" t="s">
        <v>1642</v>
      </c>
      <c r="G26" s="2586" t="s">
        <v>1643</v>
      </c>
    </row>
    <row r="27" spans="1:7" s="2549" customFormat="1" ht="19.899999999999999" customHeight="1">
      <c r="A27" s="2619"/>
      <c r="B27" s="2551" t="s">
        <v>2151</v>
      </c>
      <c r="C27" s="2552" t="s">
        <v>4718</v>
      </c>
      <c r="D27" s="2617" t="s">
        <v>4719</v>
      </c>
      <c r="E27" s="2569" t="s">
        <v>998</v>
      </c>
      <c r="F27" s="2590" t="s">
        <v>1642</v>
      </c>
      <c r="G27" s="2586" t="s">
        <v>1649</v>
      </c>
    </row>
    <row r="28" spans="1:7" s="2549" customFormat="1" ht="19.899999999999999" customHeight="1">
      <c r="A28" s="2619"/>
      <c r="B28" s="2620" t="s">
        <v>1396</v>
      </c>
      <c r="C28" s="2621" t="s">
        <v>4720</v>
      </c>
      <c r="D28" s="2622"/>
      <c r="E28" s="2623"/>
      <c r="F28" s="2622"/>
      <c r="G28" s="2561" t="s">
        <v>4721</v>
      </c>
    </row>
    <row r="29" spans="1:7" s="2549" customFormat="1" ht="19.899999999999999" customHeight="1">
      <c r="A29" s="2619"/>
      <c r="B29" s="2551" t="s">
        <v>1397</v>
      </c>
      <c r="C29" s="2621" t="s">
        <v>2152</v>
      </c>
      <c r="D29" s="2624"/>
      <c r="E29" s="2534"/>
      <c r="F29" s="2624"/>
      <c r="G29" s="2561" t="s">
        <v>4721</v>
      </c>
    </row>
    <row r="30" spans="1:7" s="2549" customFormat="1" ht="19.899999999999999" customHeight="1">
      <c r="A30" s="2619"/>
      <c r="B30" s="2616" t="s">
        <v>1398</v>
      </c>
      <c r="C30" s="2621">
        <v>8</v>
      </c>
      <c r="D30" s="2624"/>
      <c r="E30" s="2534"/>
      <c r="F30" s="2624"/>
      <c r="G30" s="2601"/>
    </row>
    <row r="31" spans="1:7" s="2549" customFormat="1" ht="19.899999999999999" customHeight="1" thickBot="1">
      <c r="A31" s="2625"/>
      <c r="B31" s="2626" t="s">
        <v>1399</v>
      </c>
      <c r="C31" s="2627" t="s">
        <v>4722</v>
      </c>
      <c r="D31" s="2628"/>
      <c r="E31" s="2629"/>
      <c r="F31" s="2628"/>
      <c r="G31" s="2630"/>
    </row>
    <row r="32" spans="1:7" s="2636" customFormat="1" ht="13.9" customHeight="1" thickBot="1">
      <c r="A32" s="2631" t="s">
        <v>4723</v>
      </c>
      <c r="B32" s="2632"/>
      <c r="C32" s="2633"/>
      <c r="D32" s="2634"/>
      <c r="E32" s="2634"/>
      <c r="F32" s="2635"/>
      <c r="G32" s="2635"/>
    </row>
    <row r="33" spans="1:7" s="2549" customFormat="1" ht="16.899999999999999" customHeight="1" thickBot="1">
      <c r="A33" s="2637" t="s">
        <v>979</v>
      </c>
      <c r="B33" s="2638" t="s">
        <v>980</v>
      </c>
      <c r="C33" s="2639" t="s">
        <v>362</v>
      </c>
      <c r="D33" s="2640" t="s">
        <v>981</v>
      </c>
      <c r="E33" s="2641" t="s">
        <v>1373</v>
      </c>
      <c r="F33" s="2540" t="s">
        <v>1634</v>
      </c>
      <c r="G33" s="2541" t="s">
        <v>1635</v>
      </c>
    </row>
    <row r="34" spans="1:7" s="2549" customFormat="1" ht="16.149999999999999" customHeight="1">
      <c r="A34" s="2642" t="s">
        <v>1015</v>
      </c>
      <c r="B34" s="2533" t="s">
        <v>1650</v>
      </c>
      <c r="C34" s="2643" t="s">
        <v>4724</v>
      </c>
      <c r="D34" s="2644" t="s">
        <v>4725</v>
      </c>
      <c r="E34" s="2554" t="s">
        <v>4726</v>
      </c>
      <c r="F34" s="2570"/>
      <c r="G34" s="2571"/>
    </row>
    <row r="35" spans="1:7" s="2549" customFormat="1" ht="16.149999999999999" customHeight="1">
      <c r="A35" s="2645" t="s">
        <v>1016</v>
      </c>
      <c r="B35" s="2646" t="s">
        <v>2157</v>
      </c>
      <c r="C35" s="2647" t="s">
        <v>2184</v>
      </c>
      <c r="D35" s="2617" t="s">
        <v>988</v>
      </c>
      <c r="E35" s="2648" t="s">
        <v>998</v>
      </c>
      <c r="F35" s="2555" t="s">
        <v>1406</v>
      </c>
      <c r="G35" s="2556" t="s">
        <v>1653</v>
      </c>
    </row>
    <row r="36" spans="1:7" s="2549" customFormat="1" ht="16.149999999999999" customHeight="1">
      <c r="A36" s="2649" t="s">
        <v>1018</v>
      </c>
      <c r="B36" s="2650" t="s">
        <v>4727</v>
      </c>
      <c r="C36" s="2651" t="s">
        <v>4728</v>
      </c>
      <c r="D36" s="2617" t="s">
        <v>4729</v>
      </c>
      <c r="E36" s="2606" t="s">
        <v>998</v>
      </c>
      <c r="F36" s="2590" t="s">
        <v>1654</v>
      </c>
      <c r="G36" s="2652" t="s">
        <v>1655</v>
      </c>
    </row>
    <row r="37" spans="1:7" ht="16.149999999999999" customHeight="1">
      <c r="A37" s="2593"/>
      <c r="B37" s="2653" t="s">
        <v>4730</v>
      </c>
      <c r="C37" s="2654" t="s">
        <v>4731</v>
      </c>
      <c r="D37" s="2655" t="s">
        <v>4732</v>
      </c>
      <c r="E37" s="2614" t="s">
        <v>998</v>
      </c>
      <c r="F37" s="2570"/>
      <c r="G37" s="2571"/>
    </row>
    <row r="38" spans="1:7" ht="16.149999999999999" customHeight="1">
      <c r="A38" s="2656" t="s">
        <v>1022</v>
      </c>
      <c r="B38" s="2657" t="s">
        <v>1023</v>
      </c>
      <c r="C38" s="2658" t="s">
        <v>4733</v>
      </c>
      <c r="D38" s="2659" t="s">
        <v>4734</v>
      </c>
      <c r="E38" s="2660" t="s">
        <v>998</v>
      </c>
      <c r="F38" s="2607" t="s">
        <v>1384</v>
      </c>
      <c r="G38" s="2608" t="s">
        <v>1388</v>
      </c>
    </row>
    <row r="39" spans="1:7" s="2549" customFormat="1" ht="16.149999999999999" customHeight="1">
      <c r="A39" s="2642" t="s">
        <v>1025</v>
      </c>
      <c r="B39" s="2533" t="s">
        <v>1026</v>
      </c>
      <c r="C39" s="2661" t="s">
        <v>2533</v>
      </c>
      <c r="D39" s="2662" t="s">
        <v>2160</v>
      </c>
      <c r="E39" s="2565" t="s">
        <v>2534</v>
      </c>
      <c r="F39" s="2570" t="s">
        <v>1382</v>
      </c>
      <c r="G39" s="2571" t="s">
        <v>1382</v>
      </c>
    </row>
    <row r="40" spans="1:7" s="2549" customFormat="1" ht="16.149999999999999" customHeight="1">
      <c r="A40" s="2642"/>
      <c r="B40" s="2663"/>
      <c r="C40" s="2664"/>
      <c r="D40" s="2574"/>
      <c r="E40" s="2614"/>
      <c r="F40" s="2547" t="s">
        <v>1381</v>
      </c>
      <c r="G40" s="2548" t="s">
        <v>1381</v>
      </c>
    </row>
    <row r="41" spans="1:7" s="2549" customFormat="1" ht="16.149999999999999" customHeight="1">
      <c r="A41" s="2642"/>
      <c r="B41" s="2665" t="s">
        <v>1402</v>
      </c>
      <c r="C41" s="2664" t="s">
        <v>998</v>
      </c>
      <c r="D41" s="2666" t="s">
        <v>998</v>
      </c>
      <c r="E41" s="2667" t="s">
        <v>998</v>
      </c>
      <c r="F41" s="2555" t="s">
        <v>1384</v>
      </c>
      <c r="G41" s="2556" t="s">
        <v>1384</v>
      </c>
    </row>
    <row r="42" spans="1:7" ht="16.149999999999999" customHeight="1" thickBot="1">
      <c r="A42" s="2668"/>
      <c r="B42" s="2533" t="s">
        <v>1027</v>
      </c>
      <c r="C42" s="2654" t="s">
        <v>4735</v>
      </c>
      <c r="D42" s="2659" t="s">
        <v>3321</v>
      </c>
      <c r="E42" s="2648" t="s">
        <v>1019</v>
      </c>
      <c r="F42" s="2570" t="s">
        <v>1388</v>
      </c>
      <c r="G42" s="2571" t="s">
        <v>1388</v>
      </c>
    </row>
    <row r="43" spans="1:7" ht="16.149999999999999" customHeight="1">
      <c r="A43" s="2593"/>
      <c r="B43" s="2650" t="s">
        <v>1656</v>
      </c>
      <c r="C43" s="2669" t="s">
        <v>2165</v>
      </c>
      <c r="D43" s="2670" t="s">
        <v>1657</v>
      </c>
      <c r="E43" s="2564" t="s">
        <v>998</v>
      </c>
      <c r="F43" s="2671" t="s">
        <v>1406</v>
      </c>
      <c r="G43" s="2672"/>
    </row>
    <row r="44" spans="1:7" ht="16.149999999999999" customHeight="1" thickBot="1">
      <c r="A44" s="2593"/>
      <c r="B44" s="2673" t="s">
        <v>1658</v>
      </c>
      <c r="C44" s="2674" t="s">
        <v>2166</v>
      </c>
      <c r="D44" s="2675" t="s">
        <v>994</v>
      </c>
      <c r="E44" s="2591" t="s">
        <v>998</v>
      </c>
      <c r="F44" s="2676"/>
      <c r="G44" s="2677" t="s">
        <v>1653</v>
      </c>
    </row>
    <row r="45" spans="1:7" ht="16.149999999999999" customHeight="1">
      <c r="A45" s="2678" t="s">
        <v>1028</v>
      </c>
      <c r="B45" s="2533" t="s">
        <v>4736</v>
      </c>
      <c r="C45" s="2679" t="s">
        <v>4737</v>
      </c>
      <c r="D45" s="2659" t="s">
        <v>4738</v>
      </c>
      <c r="E45" s="2603" t="s">
        <v>4716</v>
      </c>
      <c r="F45" s="2680" t="s">
        <v>1382</v>
      </c>
      <c r="G45" s="2681" t="s">
        <v>1400</v>
      </c>
    </row>
    <row r="46" spans="1:7" ht="16.149999999999999" customHeight="1">
      <c r="A46" s="2682"/>
      <c r="B46" s="2663" t="s">
        <v>4739</v>
      </c>
      <c r="C46" s="2683" t="s">
        <v>4740</v>
      </c>
      <c r="D46" s="2655"/>
      <c r="E46" s="2554"/>
      <c r="F46" s="2684" t="s">
        <v>1381</v>
      </c>
      <c r="G46" s="2685" t="s">
        <v>1381</v>
      </c>
    </row>
    <row r="47" spans="1:7" ht="16.149999999999999" customHeight="1">
      <c r="A47" s="2686"/>
      <c r="B47" s="2533" t="s">
        <v>2169</v>
      </c>
      <c r="C47" s="2687" t="s">
        <v>1030</v>
      </c>
      <c r="D47" s="2688" t="s">
        <v>1005</v>
      </c>
      <c r="E47" s="2565" t="s">
        <v>1031</v>
      </c>
      <c r="F47" s="2658" t="s">
        <v>3335</v>
      </c>
      <c r="G47" s="2689" t="s">
        <v>1390</v>
      </c>
    </row>
    <row r="48" spans="1:7" ht="16.149999999999999" customHeight="1">
      <c r="A48" s="2686"/>
      <c r="B48" s="2533" t="s">
        <v>2169</v>
      </c>
      <c r="C48" s="2687"/>
      <c r="D48" s="2688"/>
      <c r="E48" s="2565"/>
      <c r="F48" s="2547" t="s">
        <v>1387</v>
      </c>
      <c r="G48" s="2685" t="s">
        <v>2170</v>
      </c>
    </row>
    <row r="49" spans="1:7" ht="16.149999999999999" customHeight="1">
      <c r="A49" s="2682"/>
      <c r="B49" s="2690" t="s">
        <v>2171</v>
      </c>
      <c r="C49" s="2691" t="s">
        <v>1437</v>
      </c>
      <c r="D49" s="2568" t="s">
        <v>999</v>
      </c>
      <c r="E49" s="2606" t="s">
        <v>1009</v>
      </c>
      <c r="F49" s="2607" t="s">
        <v>1382</v>
      </c>
      <c r="G49" s="2692" t="s">
        <v>1400</v>
      </c>
    </row>
    <row r="50" spans="1:7" ht="16.149999999999999" customHeight="1">
      <c r="A50" s="2693"/>
      <c r="B50" s="2663" t="s">
        <v>2171</v>
      </c>
      <c r="C50" s="2694" t="s">
        <v>2172</v>
      </c>
      <c r="D50" s="2574"/>
      <c r="E50" s="2614"/>
      <c r="F50" s="2547" t="s">
        <v>1381</v>
      </c>
      <c r="G50" s="2685" t="s">
        <v>1381</v>
      </c>
    </row>
    <row r="51" spans="1:7" s="2549" customFormat="1" ht="16.149999999999999" customHeight="1">
      <c r="A51" s="2695" t="s">
        <v>2173</v>
      </c>
      <c r="B51" s="2673" t="s">
        <v>1659</v>
      </c>
      <c r="C51" s="2696" t="s">
        <v>4724</v>
      </c>
      <c r="D51" s="2655" t="s">
        <v>986</v>
      </c>
      <c r="E51" s="2554" t="s">
        <v>1009</v>
      </c>
      <c r="F51" s="2680" t="s">
        <v>3337</v>
      </c>
      <c r="G51" s="2697"/>
    </row>
    <row r="52" spans="1:7" s="2549" customFormat="1" ht="16.149999999999999" customHeight="1">
      <c r="A52" s="2695" t="s">
        <v>2175</v>
      </c>
      <c r="B52" s="2698" t="s">
        <v>1032</v>
      </c>
      <c r="C52" s="2654" t="s">
        <v>4741</v>
      </c>
      <c r="D52" s="2553" t="s">
        <v>1020</v>
      </c>
      <c r="E52" s="2589" t="s">
        <v>4716</v>
      </c>
      <c r="F52" s="2680" t="s">
        <v>3339</v>
      </c>
      <c r="G52" s="2697"/>
    </row>
    <row r="53" spans="1:7" ht="16.149999999999999" customHeight="1">
      <c r="A53" s="2699"/>
      <c r="B53" s="2700" t="s">
        <v>2176</v>
      </c>
      <c r="C53" s="2701" t="s">
        <v>4742</v>
      </c>
      <c r="D53" s="2553" t="s">
        <v>1002</v>
      </c>
      <c r="E53" s="2603" t="s">
        <v>1019</v>
      </c>
      <c r="F53" s="2684" t="s">
        <v>1380</v>
      </c>
      <c r="G53" s="2598" t="s">
        <v>1137</v>
      </c>
    </row>
    <row r="54" spans="1:7" s="2566" customFormat="1" ht="16.149999999999999" customHeight="1">
      <c r="A54" s="2678" t="s">
        <v>2177</v>
      </c>
      <c r="B54" s="2698" t="s">
        <v>2178</v>
      </c>
      <c r="C54" s="2702" t="s">
        <v>4743</v>
      </c>
      <c r="D54" s="2703"/>
      <c r="E54" s="2704"/>
      <c r="F54" s="2570"/>
      <c r="G54" s="2571" t="s">
        <v>1137</v>
      </c>
    </row>
    <row r="55" spans="1:7" s="2566" customFormat="1" ht="16.149999999999999" customHeight="1">
      <c r="A55" s="2682" t="s">
        <v>2179</v>
      </c>
      <c r="B55" s="2698" t="s">
        <v>2180</v>
      </c>
      <c r="C55" s="2702" t="s">
        <v>4744</v>
      </c>
      <c r="D55" s="2703"/>
      <c r="E55" s="2705"/>
      <c r="F55" s="2570"/>
      <c r="G55" s="2571"/>
    </row>
    <row r="56" spans="1:7" s="2566" customFormat="1" ht="16.149999999999999" customHeight="1">
      <c r="A56" s="2682"/>
      <c r="B56" s="2698" t="s">
        <v>2181</v>
      </c>
      <c r="C56" s="2702" t="s">
        <v>4745</v>
      </c>
      <c r="D56" s="2703"/>
      <c r="E56" s="2705"/>
      <c r="F56" s="2570"/>
      <c r="G56" s="2571"/>
    </row>
    <row r="57" spans="1:7" ht="16.149999999999999" customHeight="1">
      <c r="A57" s="2682"/>
      <c r="B57" s="2706" t="s">
        <v>2182</v>
      </c>
      <c r="C57" s="2707" t="s">
        <v>4746</v>
      </c>
      <c r="D57" s="2673"/>
      <c r="E57" s="2708"/>
      <c r="F57" s="2547"/>
      <c r="G57" s="2548"/>
    </row>
    <row r="58" spans="1:7" ht="16.149999999999999" customHeight="1">
      <c r="A58" s="2656" t="s">
        <v>1404</v>
      </c>
      <c r="B58" s="2709" t="s">
        <v>2183</v>
      </c>
      <c r="C58" s="2710" t="s">
        <v>3344</v>
      </c>
      <c r="D58" s="2711" t="s">
        <v>3345</v>
      </c>
      <c r="E58" s="2565" t="s">
        <v>1019</v>
      </c>
      <c r="F58" s="2570"/>
      <c r="G58" s="2571" t="s">
        <v>1137</v>
      </c>
    </row>
    <row r="59" spans="1:7" ht="16.149999999999999" customHeight="1">
      <c r="A59" s="2712"/>
      <c r="B59" s="2709" t="s">
        <v>2185</v>
      </c>
      <c r="C59" s="2713"/>
      <c r="D59" s="2711"/>
      <c r="E59" s="2612"/>
      <c r="F59" s="2570"/>
      <c r="G59" s="2571"/>
    </row>
    <row r="60" spans="1:7" s="2549" customFormat="1" ht="16.149999999999999" customHeight="1">
      <c r="A60" s="2649" t="s">
        <v>1034</v>
      </c>
      <c r="B60" s="2650" t="s">
        <v>1035</v>
      </c>
      <c r="C60" s="2669" t="s">
        <v>997</v>
      </c>
      <c r="D60" s="2714" t="s">
        <v>2186</v>
      </c>
      <c r="E60" s="2715" t="s">
        <v>1019</v>
      </c>
      <c r="F60" s="2607" t="s">
        <v>1406</v>
      </c>
      <c r="G60" s="2608" t="s">
        <v>1406</v>
      </c>
    </row>
    <row r="61" spans="1:7" s="2549" customFormat="1" ht="16.149999999999999" customHeight="1">
      <c r="A61" s="2593"/>
      <c r="B61" s="2673"/>
      <c r="C61" s="2674" t="s">
        <v>2187</v>
      </c>
      <c r="D61" s="2716"/>
      <c r="E61" s="2717"/>
      <c r="F61" s="2547" t="s">
        <v>1381</v>
      </c>
      <c r="G61" s="2548" t="s">
        <v>1381</v>
      </c>
    </row>
    <row r="62" spans="1:7" ht="16.149999999999999" customHeight="1">
      <c r="A62" s="2668"/>
      <c r="B62" s="2718" t="s">
        <v>1036</v>
      </c>
      <c r="C62" s="2719" t="s">
        <v>1389</v>
      </c>
      <c r="D62" s="2720" t="s">
        <v>2186</v>
      </c>
      <c r="E62" s="2648" t="s">
        <v>1019</v>
      </c>
      <c r="F62" s="2570" t="s">
        <v>1406</v>
      </c>
      <c r="G62" s="2571" t="s">
        <v>1406</v>
      </c>
    </row>
    <row r="63" spans="1:7" ht="16.149999999999999" customHeight="1">
      <c r="A63" s="2668"/>
      <c r="B63" s="2718"/>
      <c r="C63" s="2721"/>
      <c r="D63" s="2722"/>
      <c r="E63" s="2715"/>
      <c r="F63" s="2547" t="s">
        <v>1381</v>
      </c>
      <c r="G63" s="2548" t="s">
        <v>1381</v>
      </c>
    </row>
    <row r="64" spans="1:7" ht="16.149999999999999" customHeight="1">
      <c r="A64" s="2604" t="s">
        <v>1038</v>
      </c>
      <c r="B64" s="2657" t="s">
        <v>1666</v>
      </c>
      <c r="C64" s="2651" t="s">
        <v>1405</v>
      </c>
      <c r="D64" s="2617" t="s">
        <v>4693</v>
      </c>
      <c r="E64" s="2603" t="s">
        <v>998</v>
      </c>
      <c r="F64" s="2570" t="s">
        <v>1384</v>
      </c>
      <c r="G64" s="2608"/>
    </row>
    <row r="65" spans="1:7" ht="16.149999999999999" customHeight="1">
      <c r="A65" s="2723"/>
      <c r="B65" s="2724" t="s">
        <v>1667</v>
      </c>
      <c r="C65" s="2674"/>
      <c r="D65" s="2722"/>
      <c r="E65" s="2715"/>
      <c r="F65" s="2570"/>
      <c r="G65" s="2548" t="s">
        <v>1390</v>
      </c>
    </row>
    <row r="66" spans="1:7" s="2549" customFormat="1" ht="16.149999999999999" customHeight="1">
      <c r="A66" s="2725" t="s">
        <v>3346</v>
      </c>
      <c r="B66" s="2718" t="s">
        <v>1409</v>
      </c>
      <c r="C66" s="2726" t="s">
        <v>2188</v>
      </c>
      <c r="D66" s="2726" t="s">
        <v>4747</v>
      </c>
      <c r="E66" s="2727"/>
      <c r="F66" s="2567"/>
      <c r="G66" s="2571"/>
    </row>
    <row r="67" spans="1:7" ht="16.149999999999999" customHeight="1" thickBot="1">
      <c r="A67" s="2728"/>
      <c r="B67" s="2729" t="s">
        <v>1415</v>
      </c>
      <c r="C67" s="2730" t="s">
        <v>2188</v>
      </c>
      <c r="D67" s="2730" t="s">
        <v>4747</v>
      </c>
      <c r="E67" s="2731"/>
      <c r="F67" s="2732"/>
      <c r="G67" s="2677"/>
    </row>
    <row r="68" spans="1:7" ht="19.5" customHeight="1"/>
    <row r="69" spans="1:7" ht="19.5" customHeight="1"/>
    <row r="70" spans="1:7">
      <c r="D70" s="2734"/>
    </row>
    <row r="74" spans="1:7">
      <c r="C74" s="2734"/>
    </row>
  </sheetData>
  <phoneticPr fontId="26" type="noConversion"/>
  <pageMargins left="0.39370078740157483" right="0.19685039370078741" top="0.19685039370078741" bottom="0" header="0.51181102362204722" footer="0.51181102362204722"/>
  <pageSetup paperSize="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80"/>
  <sheetViews>
    <sheetView workbookViewId="0">
      <selection activeCell="E10" sqref="E10"/>
    </sheetView>
  </sheetViews>
  <sheetFormatPr defaultRowHeight="15.5"/>
  <cols>
    <col min="1" max="1" width="21.83203125" style="557" customWidth="1"/>
    <col min="2" max="2" width="46.08203125" style="557" customWidth="1"/>
    <col min="3" max="3" width="17" style="557" customWidth="1"/>
    <col min="4" max="4" width="9.83203125" style="557" customWidth="1"/>
    <col min="5" max="5" width="9.5" style="557" customWidth="1"/>
    <col min="6" max="7" width="23" style="564" customWidth="1"/>
    <col min="8" max="8" width="9" style="557" customWidth="1"/>
    <col min="9" max="256" width="10" style="557"/>
    <col min="257" max="257" width="21.83203125" style="557" customWidth="1"/>
    <col min="258" max="258" width="46.08203125" style="557" customWidth="1"/>
    <col min="259" max="259" width="14.33203125" style="557" customWidth="1"/>
    <col min="260" max="260" width="9.83203125" style="557" customWidth="1"/>
    <col min="261" max="261" width="9.5" style="557" customWidth="1"/>
    <col min="262" max="263" width="23" style="557" customWidth="1"/>
    <col min="264" max="264" width="9" style="557" customWidth="1"/>
    <col min="265" max="512" width="10" style="557"/>
    <col min="513" max="513" width="21.83203125" style="557" customWidth="1"/>
    <col min="514" max="514" width="46.08203125" style="557" customWidth="1"/>
    <col min="515" max="515" width="14.33203125" style="557" customWidth="1"/>
    <col min="516" max="516" width="9.83203125" style="557" customWidth="1"/>
    <col min="517" max="517" width="9.5" style="557" customWidth="1"/>
    <col min="518" max="519" width="23" style="557" customWidth="1"/>
    <col min="520" max="520" width="9" style="557" customWidth="1"/>
    <col min="521" max="768" width="10" style="557"/>
    <col min="769" max="769" width="21.83203125" style="557" customWidth="1"/>
    <col min="770" max="770" width="46.08203125" style="557" customWidth="1"/>
    <col min="771" max="771" width="14.33203125" style="557" customWidth="1"/>
    <col min="772" max="772" width="9.83203125" style="557" customWidth="1"/>
    <col min="773" max="773" width="9.5" style="557" customWidth="1"/>
    <col min="774" max="775" width="23" style="557" customWidth="1"/>
    <col min="776" max="776" width="9" style="557" customWidth="1"/>
    <col min="777" max="1024" width="9" style="557"/>
    <col min="1025" max="1025" width="21.83203125" style="557" customWidth="1"/>
    <col min="1026" max="1026" width="46.08203125" style="557" customWidth="1"/>
    <col min="1027" max="1027" width="14.33203125" style="557" customWidth="1"/>
    <col min="1028" max="1028" width="9.83203125" style="557" customWidth="1"/>
    <col min="1029" max="1029" width="9.5" style="557" customWidth="1"/>
    <col min="1030" max="1031" width="23" style="557" customWidth="1"/>
    <col min="1032" max="1032" width="9" style="557" customWidth="1"/>
    <col min="1033" max="1280" width="10" style="557"/>
    <col min="1281" max="1281" width="21.83203125" style="557" customWidth="1"/>
    <col min="1282" max="1282" width="46.08203125" style="557" customWidth="1"/>
    <col min="1283" max="1283" width="14.33203125" style="557" customWidth="1"/>
    <col min="1284" max="1284" width="9.83203125" style="557" customWidth="1"/>
    <col min="1285" max="1285" width="9.5" style="557" customWidth="1"/>
    <col min="1286" max="1287" width="23" style="557" customWidth="1"/>
    <col min="1288" max="1288" width="9" style="557" customWidth="1"/>
    <col min="1289" max="1536" width="10" style="557"/>
    <col min="1537" max="1537" width="21.83203125" style="557" customWidth="1"/>
    <col min="1538" max="1538" width="46.08203125" style="557" customWidth="1"/>
    <col min="1539" max="1539" width="14.33203125" style="557" customWidth="1"/>
    <col min="1540" max="1540" width="9.83203125" style="557" customWidth="1"/>
    <col min="1541" max="1541" width="9.5" style="557" customWidth="1"/>
    <col min="1542" max="1543" width="23" style="557" customWidth="1"/>
    <col min="1544" max="1544" width="9" style="557" customWidth="1"/>
    <col min="1545" max="1792" width="10" style="557"/>
    <col min="1793" max="1793" width="21.83203125" style="557" customWidth="1"/>
    <col min="1794" max="1794" width="46.08203125" style="557" customWidth="1"/>
    <col min="1795" max="1795" width="14.33203125" style="557" customWidth="1"/>
    <col min="1796" max="1796" width="9.83203125" style="557" customWidth="1"/>
    <col min="1797" max="1797" width="9.5" style="557" customWidth="1"/>
    <col min="1798" max="1799" width="23" style="557" customWidth="1"/>
    <col min="1800" max="1800" width="9" style="557" customWidth="1"/>
    <col min="1801" max="2048" width="9" style="557"/>
    <col min="2049" max="2049" width="21.83203125" style="557" customWidth="1"/>
    <col min="2050" max="2050" width="46.08203125" style="557" customWidth="1"/>
    <col min="2051" max="2051" width="14.33203125" style="557" customWidth="1"/>
    <col min="2052" max="2052" width="9.83203125" style="557" customWidth="1"/>
    <col min="2053" max="2053" width="9.5" style="557" customWidth="1"/>
    <col min="2054" max="2055" width="23" style="557" customWidth="1"/>
    <col min="2056" max="2056" width="9" style="557" customWidth="1"/>
    <col min="2057" max="2304" width="10" style="557"/>
    <col min="2305" max="2305" width="21.83203125" style="557" customWidth="1"/>
    <col min="2306" max="2306" width="46.08203125" style="557" customWidth="1"/>
    <col min="2307" max="2307" width="14.33203125" style="557" customWidth="1"/>
    <col min="2308" max="2308" width="9.83203125" style="557" customWidth="1"/>
    <col min="2309" max="2309" width="9.5" style="557" customWidth="1"/>
    <col min="2310" max="2311" width="23" style="557" customWidth="1"/>
    <col min="2312" max="2312" width="9" style="557" customWidth="1"/>
    <col min="2313" max="2560" width="10" style="557"/>
    <col min="2561" max="2561" width="21.83203125" style="557" customWidth="1"/>
    <col min="2562" max="2562" width="46.08203125" style="557" customWidth="1"/>
    <col min="2563" max="2563" width="14.33203125" style="557" customWidth="1"/>
    <col min="2564" max="2564" width="9.83203125" style="557" customWidth="1"/>
    <col min="2565" max="2565" width="9.5" style="557" customWidth="1"/>
    <col min="2566" max="2567" width="23" style="557" customWidth="1"/>
    <col min="2568" max="2568" width="9" style="557" customWidth="1"/>
    <col min="2569" max="2816" width="10" style="557"/>
    <col min="2817" max="2817" width="21.83203125" style="557" customWidth="1"/>
    <col min="2818" max="2818" width="46.08203125" style="557" customWidth="1"/>
    <col min="2819" max="2819" width="14.33203125" style="557" customWidth="1"/>
    <col min="2820" max="2820" width="9.83203125" style="557" customWidth="1"/>
    <col min="2821" max="2821" width="9.5" style="557" customWidth="1"/>
    <col min="2822" max="2823" width="23" style="557" customWidth="1"/>
    <col min="2824" max="2824" width="9" style="557" customWidth="1"/>
    <col min="2825" max="3072" width="9" style="557"/>
    <col min="3073" max="3073" width="21.83203125" style="557" customWidth="1"/>
    <col min="3074" max="3074" width="46.08203125" style="557" customWidth="1"/>
    <col min="3075" max="3075" width="14.33203125" style="557" customWidth="1"/>
    <col min="3076" max="3076" width="9.83203125" style="557" customWidth="1"/>
    <col min="3077" max="3077" width="9.5" style="557" customWidth="1"/>
    <col min="3078" max="3079" width="23" style="557" customWidth="1"/>
    <col min="3080" max="3080" width="9" style="557" customWidth="1"/>
    <col min="3081" max="3328" width="10" style="557"/>
    <col min="3329" max="3329" width="21.83203125" style="557" customWidth="1"/>
    <col min="3330" max="3330" width="46.08203125" style="557" customWidth="1"/>
    <col min="3331" max="3331" width="14.33203125" style="557" customWidth="1"/>
    <col min="3332" max="3332" width="9.83203125" style="557" customWidth="1"/>
    <col min="3333" max="3333" width="9.5" style="557" customWidth="1"/>
    <col min="3334" max="3335" width="23" style="557" customWidth="1"/>
    <col min="3336" max="3336" width="9" style="557" customWidth="1"/>
    <col min="3337" max="3584" width="10" style="557"/>
    <col min="3585" max="3585" width="21.83203125" style="557" customWidth="1"/>
    <col min="3586" max="3586" width="46.08203125" style="557" customWidth="1"/>
    <col min="3587" max="3587" width="14.33203125" style="557" customWidth="1"/>
    <col min="3588" max="3588" width="9.83203125" style="557" customWidth="1"/>
    <col min="3589" max="3589" width="9.5" style="557" customWidth="1"/>
    <col min="3590" max="3591" width="23" style="557" customWidth="1"/>
    <col min="3592" max="3592" width="9" style="557" customWidth="1"/>
    <col min="3593" max="3840" width="10" style="557"/>
    <col min="3841" max="3841" width="21.83203125" style="557" customWidth="1"/>
    <col min="3842" max="3842" width="46.08203125" style="557" customWidth="1"/>
    <col min="3843" max="3843" width="14.33203125" style="557" customWidth="1"/>
    <col min="3844" max="3844" width="9.83203125" style="557" customWidth="1"/>
    <col min="3845" max="3845" width="9.5" style="557" customWidth="1"/>
    <col min="3846" max="3847" width="23" style="557" customWidth="1"/>
    <col min="3848" max="3848" width="9" style="557" customWidth="1"/>
    <col min="3849" max="4096" width="9" style="557"/>
    <col min="4097" max="4097" width="21.83203125" style="557" customWidth="1"/>
    <col min="4098" max="4098" width="46.08203125" style="557" customWidth="1"/>
    <col min="4099" max="4099" width="14.33203125" style="557" customWidth="1"/>
    <col min="4100" max="4100" width="9.83203125" style="557" customWidth="1"/>
    <col min="4101" max="4101" width="9.5" style="557" customWidth="1"/>
    <col min="4102" max="4103" width="23" style="557" customWidth="1"/>
    <col min="4104" max="4104" width="9" style="557" customWidth="1"/>
    <col min="4105" max="4352" width="10" style="557"/>
    <col min="4353" max="4353" width="21.83203125" style="557" customWidth="1"/>
    <col min="4354" max="4354" width="46.08203125" style="557" customWidth="1"/>
    <col min="4355" max="4355" width="14.33203125" style="557" customWidth="1"/>
    <col min="4356" max="4356" width="9.83203125" style="557" customWidth="1"/>
    <col min="4357" max="4357" width="9.5" style="557" customWidth="1"/>
    <col min="4358" max="4359" width="23" style="557" customWidth="1"/>
    <col min="4360" max="4360" width="9" style="557" customWidth="1"/>
    <col min="4361" max="4608" width="10" style="557"/>
    <col min="4609" max="4609" width="21.83203125" style="557" customWidth="1"/>
    <col min="4610" max="4610" width="46.08203125" style="557" customWidth="1"/>
    <col min="4611" max="4611" width="14.33203125" style="557" customWidth="1"/>
    <col min="4612" max="4612" width="9.83203125" style="557" customWidth="1"/>
    <col min="4613" max="4613" width="9.5" style="557" customWidth="1"/>
    <col min="4614" max="4615" width="23" style="557" customWidth="1"/>
    <col min="4616" max="4616" width="9" style="557" customWidth="1"/>
    <col min="4617" max="4864" width="10" style="557"/>
    <col min="4865" max="4865" width="21.83203125" style="557" customWidth="1"/>
    <col min="4866" max="4866" width="46.08203125" style="557" customWidth="1"/>
    <col min="4867" max="4867" width="14.33203125" style="557" customWidth="1"/>
    <col min="4868" max="4868" width="9.83203125" style="557" customWidth="1"/>
    <col min="4869" max="4869" width="9.5" style="557" customWidth="1"/>
    <col min="4870" max="4871" width="23" style="557" customWidth="1"/>
    <col min="4872" max="4872" width="9" style="557" customWidth="1"/>
    <col min="4873" max="5120" width="9" style="557"/>
    <col min="5121" max="5121" width="21.83203125" style="557" customWidth="1"/>
    <col min="5122" max="5122" width="46.08203125" style="557" customWidth="1"/>
    <col min="5123" max="5123" width="14.33203125" style="557" customWidth="1"/>
    <col min="5124" max="5124" width="9.83203125" style="557" customWidth="1"/>
    <col min="5125" max="5125" width="9.5" style="557" customWidth="1"/>
    <col min="5126" max="5127" width="23" style="557" customWidth="1"/>
    <col min="5128" max="5128" width="9" style="557" customWidth="1"/>
    <col min="5129" max="5376" width="10" style="557"/>
    <col min="5377" max="5377" width="21.83203125" style="557" customWidth="1"/>
    <col min="5378" max="5378" width="46.08203125" style="557" customWidth="1"/>
    <col min="5379" max="5379" width="14.33203125" style="557" customWidth="1"/>
    <col min="5380" max="5380" width="9.83203125" style="557" customWidth="1"/>
    <col min="5381" max="5381" width="9.5" style="557" customWidth="1"/>
    <col min="5382" max="5383" width="23" style="557" customWidth="1"/>
    <col min="5384" max="5384" width="9" style="557" customWidth="1"/>
    <col min="5385" max="5632" width="10" style="557"/>
    <col min="5633" max="5633" width="21.83203125" style="557" customWidth="1"/>
    <col min="5634" max="5634" width="46.08203125" style="557" customWidth="1"/>
    <col min="5635" max="5635" width="14.33203125" style="557" customWidth="1"/>
    <col min="5636" max="5636" width="9.83203125" style="557" customWidth="1"/>
    <col min="5637" max="5637" width="9.5" style="557" customWidth="1"/>
    <col min="5638" max="5639" width="23" style="557" customWidth="1"/>
    <col min="5640" max="5640" width="9" style="557" customWidth="1"/>
    <col min="5641" max="5888" width="10" style="557"/>
    <col min="5889" max="5889" width="21.83203125" style="557" customWidth="1"/>
    <col min="5890" max="5890" width="46.08203125" style="557" customWidth="1"/>
    <col min="5891" max="5891" width="14.33203125" style="557" customWidth="1"/>
    <col min="5892" max="5892" width="9.83203125" style="557" customWidth="1"/>
    <col min="5893" max="5893" width="9.5" style="557" customWidth="1"/>
    <col min="5894" max="5895" width="23" style="557" customWidth="1"/>
    <col min="5896" max="5896" width="9" style="557" customWidth="1"/>
    <col min="5897" max="6144" width="9" style="557"/>
    <col min="6145" max="6145" width="21.83203125" style="557" customWidth="1"/>
    <col min="6146" max="6146" width="46.08203125" style="557" customWidth="1"/>
    <col min="6147" max="6147" width="14.33203125" style="557" customWidth="1"/>
    <col min="6148" max="6148" width="9.83203125" style="557" customWidth="1"/>
    <col min="6149" max="6149" width="9.5" style="557" customWidth="1"/>
    <col min="6150" max="6151" width="23" style="557" customWidth="1"/>
    <col min="6152" max="6152" width="9" style="557" customWidth="1"/>
    <col min="6153" max="6400" width="10" style="557"/>
    <col min="6401" max="6401" width="21.83203125" style="557" customWidth="1"/>
    <col min="6402" max="6402" width="46.08203125" style="557" customWidth="1"/>
    <col min="6403" max="6403" width="14.33203125" style="557" customWidth="1"/>
    <col min="6404" max="6404" width="9.83203125" style="557" customWidth="1"/>
    <col min="6405" max="6405" width="9.5" style="557" customWidth="1"/>
    <col min="6406" max="6407" width="23" style="557" customWidth="1"/>
    <col min="6408" max="6408" width="9" style="557" customWidth="1"/>
    <col min="6409" max="6656" width="10" style="557"/>
    <col min="6657" max="6657" width="21.83203125" style="557" customWidth="1"/>
    <col min="6658" max="6658" width="46.08203125" style="557" customWidth="1"/>
    <col min="6659" max="6659" width="14.33203125" style="557" customWidth="1"/>
    <col min="6660" max="6660" width="9.83203125" style="557" customWidth="1"/>
    <col min="6661" max="6661" width="9.5" style="557" customWidth="1"/>
    <col min="6662" max="6663" width="23" style="557" customWidth="1"/>
    <col min="6664" max="6664" width="9" style="557" customWidth="1"/>
    <col min="6665" max="6912" width="10" style="557"/>
    <col min="6913" max="6913" width="21.83203125" style="557" customWidth="1"/>
    <col min="6914" max="6914" width="46.08203125" style="557" customWidth="1"/>
    <col min="6915" max="6915" width="14.33203125" style="557" customWidth="1"/>
    <col min="6916" max="6916" width="9.83203125" style="557" customWidth="1"/>
    <col min="6917" max="6917" width="9.5" style="557" customWidth="1"/>
    <col min="6918" max="6919" width="23" style="557" customWidth="1"/>
    <col min="6920" max="6920" width="9" style="557" customWidth="1"/>
    <col min="6921" max="7168" width="9" style="557"/>
    <col min="7169" max="7169" width="21.83203125" style="557" customWidth="1"/>
    <col min="7170" max="7170" width="46.08203125" style="557" customWidth="1"/>
    <col min="7171" max="7171" width="14.33203125" style="557" customWidth="1"/>
    <col min="7172" max="7172" width="9.83203125" style="557" customWidth="1"/>
    <col min="7173" max="7173" width="9.5" style="557" customWidth="1"/>
    <col min="7174" max="7175" width="23" style="557" customWidth="1"/>
    <col min="7176" max="7176" width="9" style="557" customWidth="1"/>
    <col min="7177" max="7424" width="10" style="557"/>
    <col min="7425" max="7425" width="21.83203125" style="557" customWidth="1"/>
    <col min="7426" max="7426" width="46.08203125" style="557" customWidth="1"/>
    <col min="7427" max="7427" width="14.33203125" style="557" customWidth="1"/>
    <col min="7428" max="7428" width="9.83203125" style="557" customWidth="1"/>
    <col min="7429" max="7429" width="9.5" style="557" customWidth="1"/>
    <col min="7430" max="7431" width="23" style="557" customWidth="1"/>
    <col min="7432" max="7432" width="9" style="557" customWidth="1"/>
    <col min="7433" max="7680" width="10" style="557"/>
    <col min="7681" max="7681" width="21.83203125" style="557" customWidth="1"/>
    <col min="7682" max="7682" width="46.08203125" style="557" customWidth="1"/>
    <col min="7683" max="7683" width="14.33203125" style="557" customWidth="1"/>
    <col min="7684" max="7684" width="9.83203125" style="557" customWidth="1"/>
    <col min="7685" max="7685" width="9.5" style="557" customWidth="1"/>
    <col min="7686" max="7687" width="23" style="557" customWidth="1"/>
    <col min="7688" max="7688" width="9" style="557" customWidth="1"/>
    <col min="7689" max="7936" width="10" style="557"/>
    <col min="7937" max="7937" width="21.83203125" style="557" customWidth="1"/>
    <col min="7938" max="7938" width="46.08203125" style="557" customWidth="1"/>
    <col min="7939" max="7939" width="14.33203125" style="557" customWidth="1"/>
    <col min="7940" max="7940" width="9.83203125" style="557" customWidth="1"/>
    <col min="7941" max="7941" width="9.5" style="557" customWidth="1"/>
    <col min="7942" max="7943" width="23" style="557" customWidth="1"/>
    <col min="7944" max="7944" width="9" style="557" customWidth="1"/>
    <col min="7945" max="8192" width="9" style="557"/>
    <col min="8193" max="8193" width="21.83203125" style="557" customWidth="1"/>
    <col min="8194" max="8194" width="46.08203125" style="557" customWidth="1"/>
    <col min="8195" max="8195" width="14.33203125" style="557" customWidth="1"/>
    <col min="8196" max="8196" width="9.83203125" style="557" customWidth="1"/>
    <col min="8197" max="8197" width="9.5" style="557" customWidth="1"/>
    <col min="8198" max="8199" width="23" style="557" customWidth="1"/>
    <col min="8200" max="8200" width="9" style="557" customWidth="1"/>
    <col min="8201" max="8448" width="10" style="557"/>
    <col min="8449" max="8449" width="21.83203125" style="557" customWidth="1"/>
    <col min="8450" max="8450" width="46.08203125" style="557" customWidth="1"/>
    <col min="8451" max="8451" width="14.33203125" style="557" customWidth="1"/>
    <col min="8452" max="8452" width="9.83203125" style="557" customWidth="1"/>
    <col min="8453" max="8453" width="9.5" style="557" customWidth="1"/>
    <col min="8454" max="8455" width="23" style="557" customWidth="1"/>
    <col min="8456" max="8456" width="9" style="557" customWidth="1"/>
    <col min="8457" max="8704" width="10" style="557"/>
    <col min="8705" max="8705" width="21.83203125" style="557" customWidth="1"/>
    <col min="8706" max="8706" width="46.08203125" style="557" customWidth="1"/>
    <col min="8707" max="8707" width="14.33203125" style="557" customWidth="1"/>
    <col min="8708" max="8708" width="9.83203125" style="557" customWidth="1"/>
    <col min="8709" max="8709" width="9.5" style="557" customWidth="1"/>
    <col min="8710" max="8711" width="23" style="557" customWidth="1"/>
    <col min="8712" max="8712" width="9" style="557" customWidth="1"/>
    <col min="8713" max="8960" width="10" style="557"/>
    <col min="8961" max="8961" width="21.83203125" style="557" customWidth="1"/>
    <col min="8962" max="8962" width="46.08203125" style="557" customWidth="1"/>
    <col min="8963" max="8963" width="14.33203125" style="557" customWidth="1"/>
    <col min="8964" max="8964" width="9.83203125" style="557" customWidth="1"/>
    <col min="8965" max="8965" width="9.5" style="557" customWidth="1"/>
    <col min="8966" max="8967" width="23" style="557" customWidth="1"/>
    <col min="8968" max="8968" width="9" style="557" customWidth="1"/>
    <col min="8969" max="9216" width="9" style="557"/>
    <col min="9217" max="9217" width="21.83203125" style="557" customWidth="1"/>
    <col min="9218" max="9218" width="46.08203125" style="557" customWidth="1"/>
    <col min="9219" max="9219" width="14.33203125" style="557" customWidth="1"/>
    <col min="9220" max="9220" width="9.83203125" style="557" customWidth="1"/>
    <col min="9221" max="9221" width="9.5" style="557" customWidth="1"/>
    <col min="9222" max="9223" width="23" style="557" customWidth="1"/>
    <col min="9224" max="9224" width="9" style="557" customWidth="1"/>
    <col min="9225" max="9472" width="10" style="557"/>
    <col min="9473" max="9473" width="21.83203125" style="557" customWidth="1"/>
    <col min="9474" max="9474" width="46.08203125" style="557" customWidth="1"/>
    <col min="9475" max="9475" width="14.33203125" style="557" customWidth="1"/>
    <col min="9476" max="9476" width="9.83203125" style="557" customWidth="1"/>
    <col min="9477" max="9477" width="9.5" style="557" customWidth="1"/>
    <col min="9478" max="9479" width="23" style="557" customWidth="1"/>
    <col min="9480" max="9480" width="9" style="557" customWidth="1"/>
    <col min="9481" max="9728" width="10" style="557"/>
    <col min="9729" max="9729" width="21.83203125" style="557" customWidth="1"/>
    <col min="9730" max="9730" width="46.08203125" style="557" customWidth="1"/>
    <col min="9731" max="9731" width="14.33203125" style="557" customWidth="1"/>
    <col min="9732" max="9732" width="9.83203125" style="557" customWidth="1"/>
    <col min="9733" max="9733" width="9.5" style="557" customWidth="1"/>
    <col min="9734" max="9735" width="23" style="557" customWidth="1"/>
    <col min="9736" max="9736" width="9" style="557" customWidth="1"/>
    <col min="9737" max="9984" width="10" style="557"/>
    <col min="9985" max="9985" width="21.83203125" style="557" customWidth="1"/>
    <col min="9986" max="9986" width="46.08203125" style="557" customWidth="1"/>
    <col min="9987" max="9987" width="14.33203125" style="557" customWidth="1"/>
    <col min="9988" max="9988" width="9.83203125" style="557" customWidth="1"/>
    <col min="9989" max="9989" width="9.5" style="557" customWidth="1"/>
    <col min="9990" max="9991" width="23" style="557" customWidth="1"/>
    <col min="9992" max="9992" width="9" style="557" customWidth="1"/>
    <col min="9993" max="10240" width="9" style="557"/>
    <col min="10241" max="10241" width="21.83203125" style="557" customWidth="1"/>
    <col min="10242" max="10242" width="46.08203125" style="557" customWidth="1"/>
    <col min="10243" max="10243" width="14.33203125" style="557" customWidth="1"/>
    <col min="10244" max="10244" width="9.83203125" style="557" customWidth="1"/>
    <col min="10245" max="10245" width="9.5" style="557" customWidth="1"/>
    <col min="10246" max="10247" width="23" style="557" customWidth="1"/>
    <col min="10248" max="10248" width="9" style="557" customWidth="1"/>
    <col min="10249" max="10496" width="10" style="557"/>
    <col min="10497" max="10497" width="21.83203125" style="557" customWidth="1"/>
    <col min="10498" max="10498" width="46.08203125" style="557" customWidth="1"/>
    <col min="10499" max="10499" width="14.33203125" style="557" customWidth="1"/>
    <col min="10500" max="10500" width="9.83203125" style="557" customWidth="1"/>
    <col min="10501" max="10501" width="9.5" style="557" customWidth="1"/>
    <col min="10502" max="10503" width="23" style="557" customWidth="1"/>
    <col min="10504" max="10504" width="9" style="557" customWidth="1"/>
    <col min="10505" max="10752" width="10" style="557"/>
    <col min="10753" max="10753" width="21.83203125" style="557" customWidth="1"/>
    <col min="10754" max="10754" width="46.08203125" style="557" customWidth="1"/>
    <col min="10755" max="10755" width="14.33203125" style="557" customWidth="1"/>
    <col min="10756" max="10756" width="9.83203125" style="557" customWidth="1"/>
    <col min="10757" max="10757" width="9.5" style="557" customWidth="1"/>
    <col min="10758" max="10759" width="23" style="557" customWidth="1"/>
    <col min="10760" max="10760" width="9" style="557" customWidth="1"/>
    <col min="10761" max="11008" width="10" style="557"/>
    <col min="11009" max="11009" width="21.83203125" style="557" customWidth="1"/>
    <col min="11010" max="11010" width="46.08203125" style="557" customWidth="1"/>
    <col min="11011" max="11011" width="14.33203125" style="557" customWidth="1"/>
    <col min="11012" max="11012" width="9.83203125" style="557" customWidth="1"/>
    <col min="11013" max="11013" width="9.5" style="557" customWidth="1"/>
    <col min="11014" max="11015" width="23" style="557" customWidth="1"/>
    <col min="11016" max="11016" width="9" style="557" customWidth="1"/>
    <col min="11017" max="11264" width="9" style="557"/>
    <col min="11265" max="11265" width="21.83203125" style="557" customWidth="1"/>
    <col min="11266" max="11266" width="46.08203125" style="557" customWidth="1"/>
    <col min="11267" max="11267" width="14.33203125" style="557" customWidth="1"/>
    <col min="11268" max="11268" width="9.83203125" style="557" customWidth="1"/>
    <col min="11269" max="11269" width="9.5" style="557" customWidth="1"/>
    <col min="11270" max="11271" width="23" style="557" customWidth="1"/>
    <col min="11272" max="11272" width="9" style="557" customWidth="1"/>
    <col min="11273" max="11520" width="10" style="557"/>
    <col min="11521" max="11521" width="21.83203125" style="557" customWidth="1"/>
    <col min="11522" max="11522" width="46.08203125" style="557" customWidth="1"/>
    <col min="11523" max="11523" width="14.33203125" style="557" customWidth="1"/>
    <col min="11524" max="11524" width="9.83203125" style="557" customWidth="1"/>
    <col min="11525" max="11525" width="9.5" style="557" customWidth="1"/>
    <col min="11526" max="11527" width="23" style="557" customWidth="1"/>
    <col min="11528" max="11528" width="9" style="557" customWidth="1"/>
    <col min="11529" max="11776" width="10" style="557"/>
    <col min="11777" max="11777" width="21.83203125" style="557" customWidth="1"/>
    <col min="11778" max="11778" width="46.08203125" style="557" customWidth="1"/>
    <col min="11779" max="11779" width="14.33203125" style="557" customWidth="1"/>
    <col min="11780" max="11780" width="9.83203125" style="557" customWidth="1"/>
    <col min="11781" max="11781" width="9.5" style="557" customWidth="1"/>
    <col min="11782" max="11783" width="23" style="557" customWidth="1"/>
    <col min="11784" max="11784" width="9" style="557" customWidth="1"/>
    <col min="11785" max="12032" width="10" style="557"/>
    <col min="12033" max="12033" width="21.83203125" style="557" customWidth="1"/>
    <col min="12034" max="12034" width="46.08203125" style="557" customWidth="1"/>
    <col min="12035" max="12035" width="14.33203125" style="557" customWidth="1"/>
    <col min="12036" max="12036" width="9.83203125" style="557" customWidth="1"/>
    <col min="12037" max="12037" width="9.5" style="557" customWidth="1"/>
    <col min="12038" max="12039" width="23" style="557" customWidth="1"/>
    <col min="12040" max="12040" width="9" style="557" customWidth="1"/>
    <col min="12041" max="12288" width="9" style="557"/>
    <col min="12289" max="12289" width="21.83203125" style="557" customWidth="1"/>
    <col min="12290" max="12290" width="46.08203125" style="557" customWidth="1"/>
    <col min="12291" max="12291" width="14.33203125" style="557" customWidth="1"/>
    <col min="12292" max="12292" width="9.83203125" style="557" customWidth="1"/>
    <col min="12293" max="12293" width="9.5" style="557" customWidth="1"/>
    <col min="12294" max="12295" width="23" style="557" customWidth="1"/>
    <col min="12296" max="12296" width="9" style="557" customWidth="1"/>
    <col min="12297" max="12544" width="10" style="557"/>
    <col min="12545" max="12545" width="21.83203125" style="557" customWidth="1"/>
    <col min="12546" max="12546" width="46.08203125" style="557" customWidth="1"/>
    <col min="12547" max="12547" width="14.33203125" style="557" customWidth="1"/>
    <col min="12548" max="12548" width="9.83203125" style="557" customWidth="1"/>
    <col min="12549" max="12549" width="9.5" style="557" customWidth="1"/>
    <col min="12550" max="12551" width="23" style="557" customWidth="1"/>
    <col min="12552" max="12552" width="9" style="557" customWidth="1"/>
    <col min="12553" max="12800" width="10" style="557"/>
    <col min="12801" max="12801" width="21.83203125" style="557" customWidth="1"/>
    <col min="12802" max="12802" width="46.08203125" style="557" customWidth="1"/>
    <col min="12803" max="12803" width="14.33203125" style="557" customWidth="1"/>
    <col min="12804" max="12804" width="9.83203125" style="557" customWidth="1"/>
    <col min="12805" max="12805" width="9.5" style="557" customWidth="1"/>
    <col min="12806" max="12807" width="23" style="557" customWidth="1"/>
    <col min="12808" max="12808" width="9" style="557" customWidth="1"/>
    <col min="12809" max="13056" width="10" style="557"/>
    <col min="13057" max="13057" width="21.83203125" style="557" customWidth="1"/>
    <col min="13058" max="13058" width="46.08203125" style="557" customWidth="1"/>
    <col min="13059" max="13059" width="14.33203125" style="557" customWidth="1"/>
    <col min="13060" max="13060" width="9.83203125" style="557" customWidth="1"/>
    <col min="13061" max="13061" width="9.5" style="557" customWidth="1"/>
    <col min="13062" max="13063" width="23" style="557" customWidth="1"/>
    <col min="13064" max="13064" width="9" style="557" customWidth="1"/>
    <col min="13065" max="13312" width="9" style="557"/>
    <col min="13313" max="13313" width="21.83203125" style="557" customWidth="1"/>
    <col min="13314" max="13314" width="46.08203125" style="557" customWidth="1"/>
    <col min="13315" max="13315" width="14.33203125" style="557" customWidth="1"/>
    <col min="13316" max="13316" width="9.83203125" style="557" customWidth="1"/>
    <col min="13317" max="13317" width="9.5" style="557" customWidth="1"/>
    <col min="13318" max="13319" width="23" style="557" customWidth="1"/>
    <col min="13320" max="13320" width="9" style="557" customWidth="1"/>
    <col min="13321" max="13568" width="10" style="557"/>
    <col min="13569" max="13569" width="21.83203125" style="557" customWidth="1"/>
    <col min="13570" max="13570" width="46.08203125" style="557" customWidth="1"/>
    <col min="13571" max="13571" width="14.33203125" style="557" customWidth="1"/>
    <col min="13572" max="13572" width="9.83203125" style="557" customWidth="1"/>
    <col min="13573" max="13573" width="9.5" style="557" customWidth="1"/>
    <col min="13574" max="13575" width="23" style="557" customWidth="1"/>
    <col min="13576" max="13576" width="9" style="557" customWidth="1"/>
    <col min="13577" max="13824" width="10" style="557"/>
    <col min="13825" max="13825" width="21.83203125" style="557" customWidth="1"/>
    <col min="13826" max="13826" width="46.08203125" style="557" customWidth="1"/>
    <col min="13827" max="13827" width="14.33203125" style="557" customWidth="1"/>
    <col min="13828" max="13828" width="9.83203125" style="557" customWidth="1"/>
    <col min="13829" max="13829" width="9.5" style="557" customWidth="1"/>
    <col min="13830" max="13831" width="23" style="557" customWidth="1"/>
    <col min="13832" max="13832" width="9" style="557" customWidth="1"/>
    <col min="13833" max="14080" width="10" style="557"/>
    <col min="14081" max="14081" width="21.83203125" style="557" customWidth="1"/>
    <col min="14082" max="14082" width="46.08203125" style="557" customWidth="1"/>
    <col min="14083" max="14083" width="14.33203125" style="557" customWidth="1"/>
    <col min="14084" max="14084" width="9.83203125" style="557" customWidth="1"/>
    <col min="14085" max="14085" width="9.5" style="557" customWidth="1"/>
    <col min="14086" max="14087" width="23" style="557" customWidth="1"/>
    <col min="14088" max="14088" width="9" style="557" customWidth="1"/>
    <col min="14089" max="14336" width="9" style="557"/>
    <col min="14337" max="14337" width="21.83203125" style="557" customWidth="1"/>
    <col min="14338" max="14338" width="46.08203125" style="557" customWidth="1"/>
    <col min="14339" max="14339" width="14.33203125" style="557" customWidth="1"/>
    <col min="14340" max="14340" width="9.83203125" style="557" customWidth="1"/>
    <col min="14341" max="14341" width="9.5" style="557" customWidth="1"/>
    <col min="14342" max="14343" width="23" style="557" customWidth="1"/>
    <col min="14344" max="14344" width="9" style="557" customWidth="1"/>
    <col min="14345" max="14592" width="10" style="557"/>
    <col min="14593" max="14593" width="21.83203125" style="557" customWidth="1"/>
    <col min="14594" max="14594" width="46.08203125" style="557" customWidth="1"/>
    <col min="14595" max="14595" width="14.33203125" style="557" customWidth="1"/>
    <col min="14596" max="14596" width="9.83203125" style="557" customWidth="1"/>
    <col min="14597" max="14597" width="9.5" style="557" customWidth="1"/>
    <col min="14598" max="14599" width="23" style="557" customWidth="1"/>
    <col min="14600" max="14600" width="9" style="557" customWidth="1"/>
    <col min="14601" max="14848" width="10" style="557"/>
    <col min="14849" max="14849" width="21.83203125" style="557" customWidth="1"/>
    <col min="14850" max="14850" width="46.08203125" style="557" customWidth="1"/>
    <col min="14851" max="14851" width="14.33203125" style="557" customWidth="1"/>
    <col min="14852" max="14852" width="9.83203125" style="557" customWidth="1"/>
    <col min="14853" max="14853" width="9.5" style="557" customWidth="1"/>
    <col min="14854" max="14855" width="23" style="557" customWidth="1"/>
    <col min="14856" max="14856" width="9" style="557" customWidth="1"/>
    <col min="14857" max="15104" width="10" style="557"/>
    <col min="15105" max="15105" width="21.83203125" style="557" customWidth="1"/>
    <col min="15106" max="15106" width="46.08203125" style="557" customWidth="1"/>
    <col min="15107" max="15107" width="14.33203125" style="557" customWidth="1"/>
    <col min="15108" max="15108" width="9.83203125" style="557" customWidth="1"/>
    <col min="15109" max="15109" width="9.5" style="557" customWidth="1"/>
    <col min="15110" max="15111" width="23" style="557" customWidth="1"/>
    <col min="15112" max="15112" width="9" style="557" customWidth="1"/>
    <col min="15113" max="15360" width="9" style="557"/>
    <col min="15361" max="15361" width="21.83203125" style="557" customWidth="1"/>
    <col min="15362" max="15362" width="46.08203125" style="557" customWidth="1"/>
    <col min="15363" max="15363" width="14.33203125" style="557" customWidth="1"/>
    <col min="15364" max="15364" width="9.83203125" style="557" customWidth="1"/>
    <col min="15365" max="15365" width="9.5" style="557" customWidth="1"/>
    <col min="15366" max="15367" width="23" style="557" customWidth="1"/>
    <col min="15368" max="15368" width="9" style="557" customWidth="1"/>
    <col min="15369" max="15616" width="10" style="557"/>
    <col min="15617" max="15617" width="21.83203125" style="557" customWidth="1"/>
    <col min="15618" max="15618" width="46.08203125" style="557" customWidth="1"/>
    <col min="15619" max="15619" width="14.33203125" style="557" customWidth="1"/>
    <col min="15620" max="15620" width="9.83203125" style="557" customWidth="1"/>
    <col min="15621" max="15621" width="9.5" style="557" customWidth="1"/>
    <col min="15622" max="15623" width="23" style="557" customWidth="1"/>
    <col min="15624" max="15624" width="9" style="557" customWidth="1"/>
    <col min="15625" max="15872" width="10" style="557"/>
    <col min="15873" max="15873" width="21.83203125" style="557" customWidth="1"/>
    <col min="15874" max="15874" width="46.08203125" style="557" customWidth="1"/>
    <col min="15875" max="15875" width="14.33203125" style="557" customWidth="1"/>
    <col min="15876" max="15876" width="9.83203125" style="557" customWidth="1"/>
    <col min="15877" max="15877" width="9.5" style="557" customWidth="1"/>
    <col min="15878" max="15879" width="23" style="557" customWidth="1"/>
    <col min="15880" max="15880" width="9" style="557" customWidth="1"/>
    <col min="15881" max="16128" width="10" style="557"/>
    <col min="16129" max="16129" width="21.83203125" style="557" customWidth="1"/>
    <col min="16130" max="16130" width="46.08203125" style="557" customWidth="1"/>
    <col min="16131" max="16131" width="14.33203125" style="557" customWidth="1"/>
    <col min="16132" max="16132" width="9.83203125" style="557" customWidth="1"/>
    <col min="16133" max="16133" width="9.5" style="557" customWidth="1"/>
    <col min="16134" max="16135" width="23" style="557" customWidth="1"/>
    <col min="16136" max="16136" width="9" style="557" customWidth="1"/>
    <col min="16137" max="16384" width="9" style="557"/>
  </cols>
  <sheetData>
    <row r="1" spans="1:7" ht="23.25" customHeight="1" thickBot="1">
      <c r="A1" s="898" t="s">
        <v>2116</v>
      </c>
      <c r="B1" s="899"/>
      <c r="C1" s="900"/>
      <c r="D1" s="900"/>
      <c r="E1" s="900"/>
      <c r="F1" s="901"/>
      <c r="G1" s="901"/>
    </row>
    <row r="2" spans="1:7" ht="18.75" customHeight="1" thickBot="1">
      <c r="A2" s="902" t="s">
        <v>979</v>
      </c>
      <c r="B2" s="902" t="s">
        <v>980</v>
      </c>
      <c r="C2" s="903" t="s">
        <v>362</v>
      </c>
      <c r="D2" s="904" t="s">
        <v>981</v>
      </c>
      <c r="E2" s="905" t="s">
        <v>1373</v>
      </c>
      <c r="F2" s="906" t="s">
        <v>2117</v>
      </c>
      <c r="G2" s="907" t="s">
        <v>2118</v>
      </c>
    </row>
    <row r="3" spans="1:7" s="407" customFormat="1" ht="18.75" customHeight="1">
      <c r="A3" s="908" t="s">
        <v>982</v>
      </c>
      <c r="B3" s="909" t="s">
        <v>983</v>
      </c>
      <c r="C3" s="910" t="s">
        <v>1385</v>
      </c>
      <c r="D3" s="911" t="s">
        <v>1002</v>
      </c>
      <c r="E3" s="912" t="s">
        <v>989</v>
      </c>
      <c r="F3" s="913" t="s">
        <v>1374</v>
      </c>
      <c r="G3" s="914" t="s">
        <v>1375</v>
      </c>
    </row>
    <row r="4" spans="1:7" s="407" customFormat="1" ht="18.75" customHeight="1">
      <c r="A4" s="915" t="s">
        <v>984</v>
      </c>
      <c r="B4" s="916" t="s">
        <v>1636</v>
      </c>
      <c r="C4" s="917" t="s">
        <v>2119</v>
      </c>
      <c r="D4" s="918" t="s">
        <v>2120</v>
      </c>
      <c r="E4" s="919" t="s">
        <v>1376</v>
      </c>
      <c r="F4" s="920" t="s">
        <v>1377</v>
      </c>
      <c r="G4" s="921" t="s">
        <v>1378</v>
      </c>
    </row>
    <row r="5" spans="1:7" s="407" customFormat="1" ht="18.75" customHeight="1">
      <c r="A5" s="909"/>
      <c r="B5" s="922" t="s">
        <v>2121</v>
      </c>
      <c r="C5" s="917" t="s">
        <v>2122</v>
      </c>
      <c r="D5" s="918">
        <v>29.5</v>
      </c>
      <c r="E5" s="923">
        <v>23.5</v>
      </c>
      <c r="F5" s="920" t="s">
        <v>1379</v>
      </c>
      <c r="G5" s="924" t="s">
        <v>2123</v>
      </c>
    </row>
    <row r="6" spans="1:7" s="398" customFormat="1" ht="18.75" customHeight="1">
      <c r="A6" s="908" t="s">
        <v>987</v>
      </c>
      <c r="B6" s="915" t="s">
        <v>2124</v>
      </c>
      <c r="C6" s="925" t="s">
        <v>988</v>
      </c>
      <c r="D6" s="926" t="s">
        <v>988</v>
      </c>
      <c r="E6" s="927" t="s">
        <v>998</v>
      </c>
      <c r="F6" s="920" t="s">
        <v>1381</v>
      </c>
      <c r="G6" s="921" t="s">
        <v>1381</v>
      </c>
    </row>
    <row r="7" spans="1:7" s="398" customFormat="1" ht="18.75" customHeight="1">
      <c r="A7" s="908"/>
      <c r="B7" s="915" t="s">
        <v>2125</v>
      </c>
      <c r="C7" s="928" t="s">
        <v>1401</v>
      </c>
      <c r="D7" s="929"/>
      <c r="E7" s="930"/>
      <c r="F7" s="931" t="s">
        <v>2126</v>
      </c>
      <c r="G7" s="932" t="s">
        <v>2127</v>
      </c>
    </row>
    <row r="8" spans="1:7" s="398" customFormat="1" ht="18.75" customHeight="1">
      <c r="A8" s="908"/>
      <c r="B8" s="909"/>
      <c r="C8" s="933"/>
      <c r="D8" s="934"/>
      <c r="E8" s="935"/>
      <c r="F8" s="913" t="s">
        <v>2128</v>
      </c>
      <c r="G8" s="914" t="s">
        <v>2129</v>
      </c>
    </row>
    <row r="9" spans="1:7" s="398" customFormat="1" ht="18.75" customHeight="1">
      <c r="A9" s="908"/>
      <c r="B9" s="909" t="s">
        <v>2130</v>
      </c>
      <c r="C9" s="1402" t="s">
        <v>1020</v>
      </c>
      <c r="D9" s="1402" t="s">
        <v>1020</v>
      </c>
      <c r="E9" s="919" t="s">
        <v>998</v>
      </c>
      <c r="F9" s="913" t="s">
        <v>2131</v>
      </c>
      <c r="G9" s="914" t="s">
        <v>1383</v>
      </c>
    </row>
    <row r="10" spans="1:7" ht="18.75" customHeight="1">
      <c r="A10" s="908"/>
      <c r="B10" s="937" t="s">
        <v>2132</v>
      </c>
      <c r="C10" s="1403">
        <v>19</v>
      </c>
      <c r="D10" s="1404">
        <v>19</v>
      </c>
      <c r="E10" s="940" t="s">
        <v>998</v>
      </c>
      <c r="F10" s="917" t="s">
        <v>1382</v>
      </c>
      <c r="G10" s="921" t="s">
        <v>1383</v>
      </c>
    </row>
    <row r="11" spans="1:7" s="407" customFormat="1" ht="18.75" customHeight="1">
      <c r="A11" s="908"/>
      <c r="B11" s="922" t="s">
        <v>990</v>
      </c>
      <c r="C11" s="941" t="s">
        <v>2133</v>
      </c>
      <c r="D11" s="942" t="s">
        <v>2134</v>
      </c>
      <c r="E11" s="943" t="s">
        <v>2135</v>
      </c>
      <c r="F11" s="931" t="s">
        <v>1381</v>
      </c>
      <c r="G11" s="932" t="s">
        <v>1381</v>
      </c>
    </row>
    <row r="12" spans="1:7" s="407" customFormat="1" ht="18.75" customHeight="1">
      <c r="A12" s="908"/>
      <c r="B12" s="916" t="s">
        <v>1637</v>
      </c>
      <c r="C12" s="944" t="s">
        <v>1638</v>
      </c>
      <c r="D12" s="945" t="s">
        <v>1639</v>
      </c>
      <c r="E12" s="946"/>
      <c r="F12" s="947" t="s">
        <v>2000</v>
      </c>
      <c r="G12" s="946" t="s">
        <v>2000</v>
      </c>
    </row>
    <row r="13" spans="1:7" s="407" customFormat="1" ht="18.75" customHeight="1">
      <c r="A13" s="908"/>
      <c r="B13" s="922" t="s">
        <v>1640</v>
      </c>
      <c r="C13" s="948" t="s">
        <v>2136</v>
      </c>
      <c r="D13" s="911">
        <v>147.9</v>
      </c>
      <c r="E13" s="919"/>
      <c r="F13" s="913" t="s">
        <v>1381</v>
      </c>
      <c r="G13" s="914" t="s">
        <v>1381</v>
      </c>
    </row>
    <row r="14" spans="1:7" s="407" customFormat="1" ht="18.75" customHeight="1">
      <c r="A14" s="915" t="s">
        <v>991</v>
      </c>
      <c r="B14" s="922" t="s">
        <v>992</v>
      </c>
      <c r="C14" s="917" t="s">
        <v>2137</v>
      </c>
      <c r="D14" s="939" t="s">
        <v>2138</v>
      </c>
      <c r="E14" s="923" t="s">
        <v>2139</v>
      </c>
      <c r="F14" s="920" t="s">
        <v>1384</v>
      </c>
      <c r="G14" s="924" t="s">
        <v>1380</v>
      </c>
    </row>
    <row r="15" spans="1:7" s="407" customFormat="1" ht="18.75" customHeight="1">
      <c r="A15" s="949"/>
      <c r="B15" s="916" t="s">
        <v>993</v>
      </c>
      <c r="C15" s="917" t="s">
        <v>1641</v>
      </c>
      <c r="D15" s="939" t="s">
        <v>2140</v>
      </c>
      <c r="E15" s="923" t="s">
        <v>2141</v>
      </c>
      <c r="F15" s="950" t="s">
        <v>1642</v>
      </c>
      <c r="G15" s="951" t="s">
        <v>1380</v>
      </c>
    </row>
    <row r="16" spans="1:7" s="407" customFormat="1" ht="18.75" customHeight="1">
      <c r="A16" s="908" t="s">
        <v>995</v>
      </c>
      <c r="B16" s="922" t="s">
        <v>996</v>
      </c>
      <c r="C16" s="952" t="s">
        <v>997</v>
      </c>
      <c r="D16" s="953" t="s">
        <v>988</v>
      </c>
      <c r="E16" s="919" t="s">
        <v>998</v>
      </c>
      <c r="F16" s="954" t="s">
        <v>1382</v>
      </c>
      <c r="G16" s="921" t="s">
        <v>1381</v>
      </c>
    </row>
    <row r="17" spans="1:7" s="407" customFormat="1" ht="18.75" customHeight="1">
      <c r="A17" s="955"/>
      <c r="B17" s="922" t="s">
        <v>2142</v>
      </c>
      <c r="C17" s="956" t="s">
        <v>1386</v>
      </c>
      <c r="D17" s="953" t="s">
        <v>999</v>
      </c>
      <c r="E17" s="919" t="s">
        <v>998</v>
      </c>
      <c r="F17" s="954" t="s">
        <v>2143</v>
      </c>
      <c r="G17" s="921" t="s">
        <v>1387</v>
      </c>
    </row>
    <row r="18" spans="1:7" s="407" customFormat="1" ht="18.75" customHeight="1">
      <c r="A18" s="955"/>
      <c r="B18" s="922" t="s">
        <v>2144</v>
      </c>
      <c r="C18" s="957" t="s">
        <v>1386</v>
      </c>
      <c r="D18" s="953" t="s">
        <v>999</v>
      </c>
      <c r="E18" s="919" t="s">
        <v>998</v>
      </c>
      <c r="F18" s="954" t="s">
        <v>1382</v>
      </c>
      <c r="G18" s="921" t="s">
        <v>1387</v>
      </c>
    </row>
    <row r="19" spans="1:7" s="462" customFormat="1" ht="18.75" customHeight="1">
      <c r="A19" s="958" t="s">
        <v>1000</v>
      </c>
      <c r="B19" s="922" t="s">
        <v>1001</v>
      </c>
      <c r="C19" s="938" t="s">
        <v>2145</v>
      </c>
      <c r="D19" s="959" t="s">
        <v>1033</v>
      </c>
      <c r="E19" s="919" t="s">
        <v>998</v>
      </c>
      <c r="F19" s="910" t="s">
        <v>2146</v>
      </c>
      <c r="G19" s="960" t="s">
        <v>1643</v>
      </c>
    </row>
    <row r="20" spans="1:7" s="462" customFormat="1" ht="18.75" customHeight="1">
      <c r="A20" s="922" t="s">
        <v>1003</v>
      </c>
      <c r="B20" s="916" t="s">
        <v>1004</v>
      </c>
      <c r="C20" s="947" t="s">
        <v>1389</v>
      </c>
      <c r="D20" s="961" t="s">
        <v>1002</v>
      </c>
      <c r="E20" s="923" t="s">
        <v>1006</v>
      </c>
      <c r="F20" s="952" t="s">
        <v>1644</v>
      </c>
      <c r="G20" s="962" t="s">
        <v>1390</v>
      </c>
    </row>
    <row r="21" spans="1:7" s="407" customFormat="1" ht="18.75" customHeight="1">
      <c r="A21" s="958" t="s">
        <v>1007</v>
      </c>
      <c r="B21" s="922" t="s">
        <v>1008</v>
      </c>
      <c r="C21" s="963" t="s">
        <v>1648</v>
      </c>
      <c r="D21" s="918" t="s">
        <v>986</v>
      </c>
      <c r="E21" s="964" t="s">
        <v>1645</v>
      </c>
      <c r="F21" s="917" t="s">
        <v>1384</v>
      </c>
      <c r="G21" s="924" t="s">
        <v>1388</v>
      </c>
    </row>
    <row r="22" spans="1:7" s="407" customFormat="1" ht="18.75" customHeight="1">
      <c r="A22" s="965" t="s">
        <v>1010</v>
      </c>
      <c r="B22" s="915" t="s">
        <v>1646</v>
      </c>
      <c r="C22" s="963" t="s">
        <v>2147</v>
      </c>
      <c r="D22" s="929" t="s">
        <v>1033</v>
      </c>
      <c r="E22" s="966" t="s">
        <v>1006</v>
      </c>
      <c r="F22" s="967" t="s">
        <v>1393</v>
      </c>
      <c r="G22" s="968" t="s">
        <v>1393</v>
      </c>
    </row>
    <row r="23" spans="1:7" s="407" customFormat="1" ht="18.75" customHeight="1">
      <c r="A23" s="949"/>
      <c r="B23" s="909" t="s">
        <v>2148</v>
      </c>
      <c r="C23" s="969"/>
      <c r="D23" s="970"/>
      <c r="E23" s="971"/>
      <c r="F23" s="913"/>
      <c r="G23" s="914"/>
    </row>
    <row r="24" spans="1:7" s="407" customFormat="1" ht="18.75" customHeight="1">
      <c r="A24" s="915" t="s">
        <v>1012</v>
      </c>
      <c r="B24" s="922" t="s">
        <v>1013</v>
      </c>
      <c r="C24" s="936" t="s">
        <v>1014</v>
      </c>
      <c r="D24" s="961" t="s">
        <v>1005</v>
      </c>
      <c r="E24" s="919" t="s">
        <v>998</v>
      </c>
      <c r="F24" s="952" t="s">
        <v>1384</v>
      </c>
      <c r="G24" s="962" t="s">
        <v>1647</v>
      </c>
    </row>
    <row r="25" spans="1:7" s="407" customFormat="1" ht="18.75" customHeight="1">
      <c r="A25" s="972" t="s">
        <v>1394</v>
      </c>
      <c r="B25" s="973" t="s">
        <v>2149</v>
      </c>
      <c r="C25" s="963" t="s">
        <v>1391</v>
      </c>
      <c r="D25" s="974" t="s">
        <v>2150</v>
      </c>
      <c r="E25" s="975" t="s">
        <v>998</v>
      </c>
      <c r="F25" s="952" t="s">
        <v>1642</v>
      </c>
      <c r="G25" s="962" t="s">
        <v>1643</v>
      </c>
    </row>
    <row r="26" spans="1:7" s="407" customFormat="1" ht="18.75" customHeight="1">
      <c r="A26" s="976"/>
      <c r="B26" s="916" t="s">
        <v>2151</v>
      </c>
      <c r="C26" s="917" t="s">
        <v>1391</v>
      </c>
      <c r="D26" s="918" t="s">
        <v>2150</v>
      </c>
      <c r="E26" s="975" t="s">
        <v>998</v>
      </c>
      <c r="F26" s="952" t="s">
        <v>1642</v>
      </c>
      <c r="G26" s="962" t="s">
        <v>1649</v>
      </c>
    </row>
    <row r="27" spans="1:7" s="407" customFormat="1" ht="18.75" customHeight="1">
      <c r="A27" s="976"/>
      <c r="B27" s="977" t="s">
        <v>1396</v>
      </c>
      <c r="C27" s="941" t="s">
        <v>2152</v>
      </c>
      <c r="D27" s="978"/>
      <c r="E27" s="979"/>
      <c r="F27" s="980" t="s">
        <v>2153</v>
      </c>
      <c r="G27" s="981"/>
    </row>
    <row r="28" spans="1:7" s="407" customFormat="1" ht="18.75" customHeight="1">
      <c r="A28" s="976"/>
      <c r="B28" s="916" t="s">
        <v>1397</v>
      </c>
      <c r="C28" s="941" t="s">
        <v>2152</v>
      </c>
      <c r="D28" s="978"/>
      <c r="E28" s="979"/>
      <c r="F28" s="980" t="s">
        <v>2154</v>
      </c>
      <c r="G28" s="981"/>
    </row>
    <row r="29" spans="1:7" s="463" customFormat="1" ht="10.5" customHeight="1">
      <c r="A29" s="976"/>
      <c r="B29" s="973" t="s">
        <v>1398</v>
      </c>
      <c r="C29" s="941">
        <v>7</v>
      </c>
      <c r="D29" s="978"/>
      <c r="E29" s="979"/>
      <c r="F29" s="740"/>
      <c r="G29" s="932"/>
    </row>
    <row r="30" spans="1:7" s="463" customFormat="1" ht="23.25" customHeight="1" thickBot="1">
      <c r="A30" s="982"/>
      <c r="B30" s="983" t="s">
        <v>1399</v>
      </c>
      <c r="C30" s="984">
        <v>4</v>
      </c>
      <c r="D30" s="739"/>
      <c r="E30" s="985"/>
      <c r="F30" s="986"/>
      <c r="G30" s="987"/>
    </row>
    <row r="31" spans="1:7" s="407" customFormat="1" ht="18.75" customHeight="1" thickBot="1">
      <c r="A31" s="988" t="s">
        <v>2155</v>
      </c>
      <c r="B31" s="989"/>
      <c r="C31" s="990"/>
      <c r="D31" s="991"/>
      <c r="E31" s="991"/>
      <c r="F31" s="992"/>
      <c r="G31" s="992"/>
    </row>
    <row r="32" spans="1:7" s="407" customFormat="1" ht="18.75" customHeight="1" thickBot="1">
      <c r="A32" s="993" t="s">
        <v>979</v>
      </c>
      <c r="B32" s="994" t="s">
        <v>980</v>
      </c>
      <c r="C32" s="995" t="s">
        <v>362</v>
      </c>
      <c r="D32" s="996" t="s">
        <v>981</v>
      </c>
      <c r="E32" s="905" t="s">
        <v>1373</v>
      </c>
      <c r="F32" s="906" t="s">
        <v>1634</v>
      </c>
      <c r="G32" s="907" t="s">
        <v>1635</v>
      </c>
    </row>
    <row r="33" spans="1:7" s="407" customFormat="1" ht="18.75" customHeight="1">
      <c r="A33" s="997" t="s">
        <v>1015</v>
      </c>
      <c r="B33" s="900" t="s">
        <v>1650</v>
      </c>
      <c r="C33" s="998" t="s">
        <v>1651</v>
      </c>
      <c r="D33" s="934" t="s">
        <v>2156</v>
      </c>
      <c r="E33" s="919" t="s">
        <v>1652</v>
      </c>
      <c r="F33" s="931"/>
      <c r="G33" s="932"/>
    </row>
    <row r="34" spans="1:7" s="407" customFormat="1" ht="18.75" customHeight="1">
      <c r="A34" s="999" t="s">
        <v>1016</v>
      </c>
      <c r="B34" s="1000" t="s">
        <v>2157</v>
      </c>
      <c r="C34" s="1001" t="s">
        <v>1405</v>
      </c>
      <c r="D34" s="974" t="s">
        <v>2158</v>
      </c>
      <c r="E34" s="927" t="s">
        <v>998</v>
      </c>
      <c r="F34" s="920" t="s">
        <v>1406</v>
      </c>
      <c r="G34" s="921" t="s">
        <v>1653</v>
      </c>
    </row>
    <row r="35" spans="1:7" s="407" customFormat="1" ht="18.75" customHeight="1">
      <c r="A35" s="1002" t="s">
        <v>1018</v>
      </c>
      <c r="B35" s="1003" t="s">
        <v>2159</v>
      </c>
      <c r="C35" s="941" t="s">
        <v>1389</v>
      </c>
      <c r="D35" s="974" t="s">
        <v>2160</v>
      </c>
      <c r="E35" s="966" t="s">
        <v>998</v>
      </c>
      <c r="F35" s="950" t="s">
        <v>1654</v>
      </c>
      <c r="G35" s="1004" t="s">
        <v>1655</v>
      </c>
    </row>
    <row r="36" spans="1:7" ht="18.75" customHeight="1">
      <c r="A36" s="955"/>
      <c r="B36" s="1005" t="s">
        <v>2161</v>
      </c>
      <c r="C36" s="1006" t="s">
        <v>2162</v>
      </c>
      <c r="D36" s="1007" t="s">
        <v>2163</v>
      </c>
      <c r="E36" s="919" t="s">
        <v>998</v>
      </c>
      <c r="F36" s="931"/>
      <c r="G36" s="932"/>
    </row>
    <row r="37" spans="1:7" ht="18.75" customHeight="1">
      <c r="A37" s="1008" t="s">
        <v>1022</v>
      </c>
      <c r="B37" s="1009" t="s">
        <v>1023</v>
      </c>
      <c r="C37" s="950" t="s">
        <v>1024</v>
      </c>
      <c r="D37" s="1010" t="s">
        <v>2160</v>
      </c>
      <c r="E37" s="1011" t="s">
        <v>998</v>
      </c>
      <c r="F37" s="967" t="s">
        <v>1384</v>
      </c>
      <c r="G37" s="968" t="s">
        <v>1388</v>
      </c>
    </row>
    <row r="38" spans="1:7" ht="18.75" customHeight="1">
      <c r="A38" s="1012"/>
      <c r="B38" s="1013"/>
      <c r="C38" s="910" t="s">
        <v>2164</v>
      </c>
      <c r="D38" s="1014"/>
      <c r="E38" s="935"/>
      <c r="F38" s="913"/>
      <c r="G38" s="914"/>
    </row>
    <row r="39" spans="1:7" s="407" customFormat="1" ht="18.75" customHeight="1">
      <c r="A39" s="997" t="s">
        <v>1025</v>
      </c>
      <c r="B39" s="900" t="s">
        <v>1026</v>
      </c>
      <c r="C39" s="1257" t="s">
        <v>2533</v>
      </c>
      <c r="D39" s="1258" t="s">
        <v>2160</v>
      </c>
      <c r="E39" s="1259" t="s">
        <v>2534</v>
      </c>
      <c r="F39" s="931" t="s">
        <v>1382</v>
      </c>
      <c r="G39" s="932" t="s">
        <v>1382</v>
      </c>
    </row>
    <row r="40" spans="1:7" s="407" customFormat="1" ht="18.75" customHeight="1">
      <c r="A40" s="997"/>
      <c r="B40" s="1016"/>
      <c r="C40" s="998"/>
      <c r="D40" s="1017"/>
      <c r="E40" s="919"/>
      <c r="F40" s="913" t="s">
        <v>1381</v>
      </c>
      <c r="G40" s="914" t="s">
        <v>1381</v>
      </c>
    </row>
    <row r="41" spans="1:7" s="407" customFormat="1" ht="18.75" customHeight="1">
      <c r="A41" s="997"/>
      <c r="B41" s="1018" t="s">
        <v>1402</v>
      </c>
      <c r="C41" s="998" t="s">
        <v>998</v>
      </c>
      <c r="D41" s="1019" t="s">
        <v>998</v>
      </c>
      <c r="E41" s="912" t="s">
        <v>998</v>
      </c>
      <c r="F41" s="920" t="s">
        <v>1384</v>
      </c>
      <c r="G41" s="921" t="s">
        <v>1384</v>
      </c>
    </row>
    <row r="42" spans="1:7" ht="18.75" customHeight="1">
      <c r="A42" s="1020"/>
      <c r="B42" s="900" t="s">
        <v>1027</v>
      </c>
      <c r="C42" s="1021" t="s">
        <v>1024</v>
      </c>
      <c r="D42" s="1022" t="s">
        <v>1021</v>
      </c>
      <c r="E42" s="927" t="s">
        <v>1006</v>
      </c>
      <c r="F42" s="931" t="s">
        <v>1388</v>
      </c>
      <c r="G42" s="932" t="s">
        <v>1388</v>
      </c>
    </row>
    <row r="43" spans="1:7" ht="18.75" customHeight="1">
      <c r="A43" s="955"/>
      <c r="B43" s="1003" t="s">
        <v>1656</v>
      </c>
      <c r="C43" s="925" t="s">
        <v>2165</v>
      </c>
      <c r="D43" s="1023" t="s">
        <v>1657</v>
      </c>
      <c r="E43" s="930" t="s">
        <v>998</v>
      </c>
      <c r="F43" s="1024" t="s">
        <v>1406</v>
      </c>
      <c r="G43" s="1025"/>
    </row>
    <row r="44" spans="1:7" ht="18.75" customHeight="1">
      <c r="A44" s="955"/>
      <c r="B44" s="1026" t="s">
        <v>1658</v>
      </c>
      <c r="C44" s="936" t="s">
        <v>2166</v>
      </c>
      <c r="D44" s="1017" t="s">
        <v>994</v>
      </c>
      <c r="E44" s="1027" t="s">
        <v>998</v>
      </c>
      <c r="F44" s="1028"/>
      <c r="G44" s="1029" t="s">
        <v>1653</v>
      </c>
    </row>
    <row r="45" spans="1:7" ht="18.75" customHeight="1">
      <c r="A45" s="1030" t="s">
        <v>1028</v>
      </c>
      <c r="B45" s="900" t="s">
        <v>2167</v>
      </c>
      <c r="C45" s="1031" t="s">
        <v>1029</v>
      </c>
      <c r="D45" s="1022" t="s">
        <v>1011</v>
      </c>
      <c r="E45" s="966" t="s">
        <v>1019</v>
      </c>
      <c r="F45" s="1024" t="s">
        <v>1382</v>
      </c>
      <c r="G45" s="1025" t="s">
        <v>1400</v>
      </c>
    </row>
    <row r="46" spans="1:7" ht="18.75" customHeight="1">
      <c r="A46" s="1032"/>
      <c r="B46" s="1016" t="s">
        <v>2167</v>
      </c>
      <c r="C46" s="936" t="s">
        <v>2168</v>
      </c>
      <c r="D46" s="1017"/>
      <c r="E46" s="919"/>
      <c r="F46" s="1028" t="s">
        <v>1381</v>
      </c>
      <c r="G46" s="1033" t="s">
        <v>1381</v>
      </c>
    </row>
    <row r="47" spans="1:7" ht="18.75" customHeight="1">
      <c r="A47" s="1034"/>
      <c r="B47" s="900" t="s">
        <v>2169</v>
      </c>
      <c r="C47" s="1031" t="s">
        <v>1030</v>
      </c>
      <c r="D47" s="1035" t="s">
        <v>1005</v>
      </c>
      <c r="E47" s="927" t="s">
        <v>1031</v>
      </c>
      <c r="F47" s="967" t="s">
        <v>1382</v>
      </c>
      <c r="G47" s="1025" t="s">
        <v>1400</v>
      </c>
    </row>
    <row r="48" spans="1:7" s="407" customFormat="1" ht="18.75" customHeight="1">
      <c r="A48" s="1034"/>
      <c r="B48" s="900" t="s">
        <v>2169</v>
      </c>
      <c r="C48" s="1031"/>
      <c r="D48" s="1035"/>
      <c r="E48" s="927"/>
      <c r="F48" s="913" t="s">
        <v>1387</v>
      </c>
      <c r="G48" s="1033" t="s">
        <v>2170</v>
      </c>
    </row>
    <row r="49" spans="1:7" s="407" customFormat="1" ht="18.75" customHeight="1">
      <c r="A49" s="1032"/>
      <c r="B49" s="1036" t="s">
        <v>2171</v>
      </c>
      <c r="C49" s="925" t="s">
        <v>1437</v>
      </c>
      <c r="D49" s="1023" t="s">
        <v>999</v>
      </c>
      <c r="E49" s="966" t="s">
        <v>1009</v>
      </c>
      <c r="F49" s="967" t="s">
        <v>1382</v>
      </c>
      <c r="G49" s="1025" t="s">
        <v>1400</v>
      </c>
    </row>
    <row r="50" spans="1:7" ht="18.75" customHeight="1">
      <c r="A50" s="1037"/>
      <c r="B50" s="1016" t="s">
        <v>2171</v>
      </c>
      <c r="C50" s="936" t="s">
        <v>2172</v>
      </c>
      <c r="D50" s="1017"/>
      <c r="E50" s="919"/>
      <c r="F50" s="913" t="s">
        <v>1381</v>
      </c>
      <c r="G50" s="1033" t="s">
        <v>1381</v>
      </c>
    </row>
    <row r="51" spans="1:7" s="398" customFormat="1" ht="18.75" customHeight="1">
      <c r="A51" s="1038" t="s">
        <v>2173</v>
      </c>
      <c r="B51" s="1026" t="s">
        <v>1659</v>
      </c>
      <c r="C51" s="910" t="s">
        <v>985</v>
      </c>
      <c r="D51" s="1007" t="s">
        <v>2174</v>
      </c>
      <c r="E51" s="940" t="s">
        <v>1009</v>
      </c>
      <c r="F51" s="931"/>
      <c r="G51" s="932" t="s">
        <v>1137</v>
      </c>
    </row>
    <row r="52" spans="1:7" s="398" customFormat="1" ht="18.75" customHeight="1">
      <c r="A52" s="1038" t="s">
        <v>2175</v>
      </c>
      <c r="B52" s="1039" t="s">
        <v>1032</v>
      </c>
      <c r="C52" s="917" t="s">
        <v>1661</v>
      </c>
      <c r="D52" s="918" t="s">
        <v>1662</v>
      </c>
      <c r="E52" s="923" t="s">
        <v>1645</v>
      </c>
      <c r="F52" s="931"/>
      <c r="G52" s="932"/>
    </row>
    <row r="53" spans="1:7" s="398" customFormat="1" ht="18.75" customHeight="1">
      <c r="A53" s="1040"/>
      <c r="B53" s="1041" t="s">
        <v>2176</v>
      </c>
      <c r="C53" s="938" t="s">
        <v>1017</v>
      </c>
      <c r="D53" s="918" t="s">
        <v>994</v>
      </c>
      <c r="E53" s="943" t="s">
        <v>2139</v>
      </c>
      <c r="F53" s="913"/>
      <c r="G53" s="914"/>
    </row>
    <row r="54" spans="1:7" ht="18.75" customHeight="1">
      <c r="A54" s="1030" t="s">
        <v>2177</v>
      </c>
      <c r="B54" s="1039" t="s">
        <v>2178</v>
      </c>
      <c r="C54" s="1042" t="s">
        <v>1663</v>
      </c>
      <c r="D54" s="1043"/>
      <c r="E54" s="1044"/>
      <c r="F54" s="931"/>
      <c r="G54" s="932" t="s">
        <v>1137</v>
      </c>
    </row>
    <row r="55" spans="1:7" ht="18.75" customHeight="1">
      <c r="A55" s="1032" t="s">
        <v>2179</v>
      </c>
      <c r="B55" s="1039" t="s">
        <v>2180</v>
      </c>
      <c r="C55" s="1042" t="s">
        <v>1664</v>
      </c>
      <c r="D55" s="1043"/>
      <c r="E55" s="1045"/>
      <c r="F55" s="931"/>
      <c r="G55" s="932"/>
    </row>
    <row r="56" spans="1:7" s="407" customFormat="1" ht="18.75" customHeight="1">
      <c r="A56" s="1032"/>
      <c r="B56" s="1039" t="s">
        <v>2181</v>
      </c>
      <c r="C56" s="1042" t="s">
        <v>1403</v>
      </c>
      <c r="D56" s="1043"/>
      <c r="E56" s="1045"/>
      <c r="F56" s="931"/>
      <c r="G56" s="932"/>
    </row>
    <row r="57" spans="1:7" s="407" customFormat="1" ht="18.75" customHeight="1">
      <c r="A57" s="1032"/>
      <c r="B57" s="1046" t="s">
        <v>2182</v>
      </c>
      <c r="C57" s="1047" t="s">
        <v>1665</v>
      </c>
      <c r="D57" s="1026"/>
      <c r="E57" s="1048"/>
      <c r="F57" s="913"/>
      <c r="G57" s="914"/>
    </row>
    <row r="58" spans="1:7" ht="18.75" customHeight="1">
      <c r="A58" s="1008" t="s">
        <v>1404</v>
      </c>
      <c r="B58" s="1049" t="s">
        <v>2183</v>
      </c>
      <c r="C58" s="1001" t="s">
        <v>2184</v>
      </c>
      <c r="D58" s="1035" t="s">
        <v>988</v>
      </c>
      <c r="E58" s="1015" t="s">
        <v>1019</v>
      </c>
      <c r="F58" s="931"/>
      <c r="G58" s="932" t="s">
        <v>1137</v>
      </c>
    </row>
    <row r="59" spans="1:7" ht="18.75" customHeight="1">
      <c r="A59" s="1012"/>
      <c r="B59" s="1049" t="s">
        <v>2185</v>
      </c>
      <c r="C59" s="1050"/>
      <c r="D59" s="1035"/>
      <c r="E59" s="1051"/>
      <c r="F59" s="931"/>
      <c r="G59" s="932"/>
    </row>
    <row r="60" spans="1:7" ht="18.75" customHeight="1">
      <c r="A60" s="1002" t="s">
        <v>1034</v>
      </c>
      <c r="B60" s="1003" t="s">
        <v>1035</v>
      </c>
      <c r="C60" s="941" t="s">
        <v>997</v>
      </c>
      <c r="D60" s="1052" t="s">
        <v>2186</v>
      </c>
      <c r="E60" s="966" t="s">
        <v>998</v>
      </c>
      <c r="F60" s="967" t="s">
        <v>1406</v>
      </c>
      <c r="G60" s="968" t="s">
        <v>1406</v>
      </c>
    </row>
    <row r="61" spans="1:7" ht="18.75" customHeight="1">
      <c r="A61" s="955"/>
      <c r="B61" s="1026"/>
      <c r="C61" s="948" t="s">
        <v>2187</v>
      </c>
      <c r="D61" s="1053"/>
      <c r="E61" s="971"/>
      <c r="F61" s="913" t="s">
        <v>1381</v>
      </c>
      <c r="G61" s="914" t="s">
        <v>1381</v>
      </c>
    </row>
    <row r="62" spans="1:7" s="407" customFormat="1" ht="18.75" customHeight="1">
      <c r="A62" s="1020"/>
      <c r="B62" s="1054" t="s">
        <v>1036</v>
      </c>
      <c r="C62" s="1031" t="s">
        <v>1037</v>
      </c>
      <c r="D62" s="1022" t="s">
        <v>1005</v>
      </c>
      <c r="E62" s="943" t="s">
        <v>998</v>
      </c>
      <c r="F62" s="931" t="s">
        <v>1406</v>
      </c>
      <c r="G62" s="932" t="s">
        <v>1406</v>
      </c>
    </row>
    <row r="63" spans="1:7" s="407" customFormat="1" ht="18.75" customHeight="1">
      <c r="A63" s="1020"/>
      <c r="B63" s="1054"/>
      <c r="C63" s="1031"/>
      <c r="D63" s="1022"/>
      <c r="E63" s="927"/>
      <c r="F63" s="913" t="s">
        <v>1381</v>
      </c>
      <c r="G63" s="914" t="s">
        <v>1381</v>
      </c>
    </row>
    <row r="64" spans="1:7" ht="18.75" customHeight="1">
      <c r="A64" s="965" t="s">
        <v>1038</v>
      </c>
      <c r="B64" s="1009" t="s">
        <v>1666</v>
      </c>
      <c r="C64" s="925" t="s">
        <v>1040</v>
      </c>
      <c r="D64" s="1023" t="s">
        <v>1041</v>
      </c>
      <c r="E64" s="966" t="s">
        <v>998</v>
      </c>
      <c r="F64" s="931" t="s">
        <v>1384</v>
      </c>
      <c r="G64" s="968"/>
    </row>
    <row r="65" spans="1:7" ht="19.5" customHeight="1">
      <c r="A65" s="1055"/>
      <c r="B65" s="1013" t="s">
        <v>1667</v>
      </c>
      <c r="C65" s="936"/>
      <c r="D65" s="1017"/>
      <c r="E65" s="919"/>
      <c r="F65" s="931"/>
      <c r="G65" s="914" t="s">
        <v>1390</v>
      </c>
    </row>
    <row r="66" spans="1:7" ht="19.5" customHeight="1">
      <c r="A66" s="1056" t="s">
        <v>1408</v>
      </c>
      <c r="B66" s="1054" t="s">
        <v>1409</v>
      </c>
      <c r="C66" s="1057" t="s">
        <v>2188</v>
      </c>
      <c r="D66" s="974" t="s">
        <v>2189</v>
      </c>
      <c r="E66" s="1011">
        <v>31</v>
      </c>
      <c r="F66" s="950"/>
      <c r="G66" s="932"/>
    </row>
    <row r="67" spans="1:7" ht="16" thickBot="1">
      <c r="A67" s="1058"/>
      <c r="B67" s="1059" t="s">
        <v>1415</v>
      </c>
      <c r="C67" s="1060" t="s">
        <v>2188</v>
      </c>
      <c r="D67" s="1061"/>
      <c r="E67" s="1062"/>
      <c r="F67" s="1063"/>
      <c r="G67" s="987"/>
    </row>
    <row r="69" spans="1:7">
      <c r="A69" s="605" t="s">
        <v>1038</v>
      </c>
      <c r="B69" s="611" t="s">
        <v>1039</v>
      </c>
      <c r="C69" s="602" t="s">
        <v>1040</v>
      </c>
      <c r="D69" s="599" t="s">
        <v>1041</v>
      </c>
      <c r="E69" s="604" t="s">
        <v>998</v>
      </c>
      <c r="F69" s="615" t="s">
        <v>1395</v>
      </c>
      <c r="G69" s="598"/>
    </row>
    <row r="70" spans="1:7">
      <c r="A70" s="608"/>
      <c r="B70" s="614"/>
      <c r="C70" s="617"/>
      <c r="D70" s="612"/>
      <c r="E70" s="606"/>
      <c r="F70" s="613" t="s">
        <v>1407</v>
      </c>
      <c r="G70" s="598"/>
    </row>
    <row r="71" spans="1:7">
      <c r="A71" s="616" t="s">
        <v>1408</v>
      </c>
      <c r="B71" s="622" t="s">
        <v>1409</v>
      </c>
      <c r="C71" s="623"/>
      <c r="D71" s="618" t="s">
        <v>1410</v>
      </c>
      <c r="E71" s="621" t="s">
        <v>1411</v>
      </c>
      <c r="F71" s="627" t="s">
        <v>1412</v>
      </c>
      <c r="G71" s="609"/>
    </row>
    <row r="72" spans="1:7">
      <c r="A72" s="616"/>
      <c r="B72" s="624"/>
      <c r="C72" s="625"/>
      <c r="D72" s="619" t="s">
        <v>1410</v>
      </c>
      <c r="E72" s="610" t="s">
        <v>1411</v>
      </c>
      <c r="F72" s="628" t="s">
        <v>1413</v>
      </c>
      <c r="G72" s="609"/>
    </row>
    <row r="73" spans="1:7" ht="16" thickBot="1">
      <c r="A73" s="601" t="s">
        <v>1414</v>
      </c>
      <c r="B73" s="626" t="s">
        <v>1415</v>
      </c>
      <c r="C73" s="620"/>
      <c r="D73" s="607"/>
      <c r="E73" s="600"/>
      <c r="F73" s="613"/>
      <c r="G73" s="598"/>
    </row>
    <row r="74" spans="1:7">
      <c r="A74" s="598"/>
      <c r="B74" s="598"/>
      <c r="C74" s="598"/>
      <c r="D74" s="598"/>
      <c r="E74" s="598"/>
      <c r="F74" s="598"/>
      <c r="G74" s="598"/>
    </row>
    <row r="75" spans="1:7">
      <c r="A75" s="598"/>
      <c r="B75" s="598"/>
      <c r="C75" s="598"/>
      <c r="D75" s="598"/>
      <c r="E75" s="598"/>
      <c r="F75" s="598"/>
      <c r="G75" s="598"/>
    </row>
    <row r="76" spans="1:7">
      <c r="A76" s="598"/>
      <c r="B76" s="598"/>
      <c r="C76" s="598"/>
      <c r="D76" s="603"/>
      <c r="E76" s="598"/>
      <c r="F76" s="598"/>
      <c r="G76" s="598"/>
    </row>
    <row r="80" spans="1:7">
      <c r="A80" s="598"/>
      <c r="B80" s="598"/>
      <c r="C80" s="603"/>
      <c r="D80" s="598"/>
      <c r="E80" s="598"/>
      <c r="F80" s="598"/>
      <c r="G80" s="598"/>
    </row>
  </sheetData>
  <phoneticPr fontId="26" type="noConversion"/>
  <hyperlinks>
    <hyperlink ref="B20" r:id="rId1" display="http://www.staedelmuseum.de/en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workbookViewId="0">
      <selection activeCell="L26" sqref="L26"/>
    </sheetView>
  </sheetViews>
  <sheetFormatPr defaultColWidth="10" defaultRowHeight="15.5"/>
  <cols>
    <col min="1" max="1" width="12.83203125" style="557" customWidth="1"/>
    <col min="2" max="2" width="34.08203125" style="557" customWidth="1"/>
    <col min="3" max="3" width="16.5" style="557" customWidth="1"/>
    <col min="4" max="5" width="8.5" style="557" customWidth="1"/>
    <col min="6" max="6" width="19.5" style="564" customWidth="1"/>
    <col min="7" max="7" width="23.33203125" style="564" customWidth="1"/>
    <col min="8" max="8" width="30" style="446" customWidth="1"/>
  </cols>
  <sheetData>
    <row r="1" spans="1:8" ht="16" thickBot="1">
      <c r="A1" s="898" t="s">
        <v>2116</v>
      </c>
      <c r="B1" s="899"/>
      <c r="C1" s="900"/>
      <c r="D1" s="900"/>
      <c r="E1" s="900"/>
      <c r="F1" s="901"/>
      <c r="G1" s="901"/>
      <c r="H1" s="420" t="s">
        <v>155</v>
      </c>
    </row>
    <row r="2" spans="1:8" ht="16" thickBot="1">
      <c r="A2" s="902" t="s">
        <v>979</v>
      </c>
      <c r="B2" s="902" t="s">
        <v>980</v>
      </c>
      <c r="C2" s="903" t="s">
        <v>362</v>
      </c>
      <c r="D2" s="904" t="s">
        <v>981</v>
      </c>
      <c r="E2" s="905" t="s">
        <v>1373</v>
      </c>
      <c r="F2" s="906" t="s">
        <v>2117</v>
      </c>
      <c r="G2" s="907" t="s">
        <v>2118</v>
      </c>
      <c r="H2" s="422"/>
    </row>
    <row r="3" spans="1:8" s="397" customFormat="1" ht="13" thickBot="1">
      <c r="A3" s="908" t="s">
        <v>982</v>
      </c>
      <c r="B3" s="1689" t="s">
        <v>983</v>
      </c>
      <c r="C3" s="1690" t="s">
        <v>1385</v>
      </c>
      <c r="D3" s="1691" t="s">
        <v>1002</v>
      </c>
      <c r="E3" s="1692" t="s">
        <v>989</v>
      </c>
      <c r="F3" s="913" t="s">
        <v>1374</v>
      </c>
      <c r="G3" s="914" t="s">
        <v>1375</v>
      </c>
      <c r="H3" s="423" t="s">
        <v>1668</v>
      </c>
    </row>
    <row r="4" spans="1:8" s="397" customFormat="1" ht="13" thickBot="1">
      <c r="A4" s="915" t="s">
        <v>984</v>
      </c>
      <c r="B4" s="1693" t="s">
        <v>1636</v>
      </c>
      <c r="C4" s="1694" t="s">
        <v>2119</v>
      </c>
      <c r="D4" s="1695" t="s">
        <v>2120</v>
      </c>
      <c r="E4" s="919" t="s">
        <v>1376</v>
      </c>
      <c r="F4" s="920" t="s">
        <v>1377</v>
      </c>
      <c r="G4" s="921" t="s">
        <v>1378</v>
      </c>
      <c r="H4" s="423" t="s">
        <v>1669</v>
      </c>
    </row>
    <row r="5" spans="1:8" ht="16" thickBot="1">
      <c r="A5" s="909"/>
      <c r="B5" s="1696" t="s">
        <v>2121</v>
      </c>
      <c r="C5" s="1697" t="s">
        <v>3313</v>
      </c>
      <c r="D5" s="1695"/>
      <c r="E5" s="1698"/>
      <c r="F5" s="920" t="s">
        <v>1379</v>
      </c>
      <c r="G5" s="1699" t="s">
        <v>3314</v>
      </c>
      <c r="H5" s="420"/>
    </row>
    <row r="6" spans="1:8" s="397" customFormat="1" ht="12.5">
      <c r="A6" s="908" t="s">
        <v>987</v>
      </c>
      <c r="B6" s="1700" t="s">
        <v>2124</v>
      </c>
      <c r="C6" s="1701" t="s">
        <v>988</v>
      </c>
      <c r="D6" s="926" t="s">
        <v>988</v>
      </c>
      <c r="E6" s="927" t="s">
        <v>998</v>
      </c>
      <c r="F6" s="920" t="s">
        <v>1381</v>
      </c>
      <c r="G6" s="921" t="s">
        <v>1381</v>
      </c>
      <c r="H6" s="425"/>
    </row>
    <row r="7" spans="1:8" s="397" customFormat="1" ht="13" thickBot="1">
      <c r="A7" s="908"/>
      <c r="B7" s="1700" t="s">
        <v>2125</v>
      </c>
      <c r="C7" s="1702" t="s">
        <v>1401</v>
      </c>
      <c r="D7" s="1023" t="s">
        <v>2534</v>
      </c>
      <c r="E7" s="930" t="s">
        <v>998</v>
      </c>
      <c r="F7" s="931" t="s">
        <v>2126</v>
      </c>
      <c r="G7" s="932" t="s">
        <v>2127</v>
      </c>
      <c r="H7" s="423"/>
    </row>
    <row r="8" spans="1:8" ht="16" thickBot="1">
      <c r="A8" s="908"/>
      <c r="B8" s="1703"/>
      <c r="C8" s="1704"/>
      <c r="D8" s="1017"/>
      <c r="E8" s="935"/>
      <c r="F8" s="913" t="s">
        <v>2128</v>
      </c>
      <c r="G8" s="914" t="s">
        <v>2129</v>
      </c>
      <c r="H8" s="427"/>
    </row>
    <row r="9" spans="1:8" s="398" customFormat="1" ht="13">
      <c r="A9" s="908"/>
      <c r="B9" s="1703" t="s">
        <v>2130</v>
      </c>
      <c r="C9" s="1705" t="s">
        <v>1662</v>
      </c>
      <c r="D9" s="1706" t="s">
        <v>1662</v>
      </c>
      <c r="E9" s="1707" t="s">
        <v>998</v>
      </c>
      <c r="F9" s="913" t="s">
        <v>2131</v>
      </c>
      <c r="G9" s="914" t="s">
        <v>1383</v>
      </c>
      <c r="H9" s="428"/>
    </row>
    <row r="10" spans="1:8" s="398" customFormat="1" ht="13">
      <c r="A10" s="908"/>
      <c r="B10" s="1708" t="s">
        <v>2132</v>
      </c>
      <c r="C10" s="1709" t="s">
        <v>1662</v>
      </c>
      <c r="D10" s="1710" t="s">
        <v>1662</v>
      </c>
      <c r="E10" s="1707" t="s">
        <v>998</v>
      </c>
      <c r="F10" s="952" t="s">
        <v>1382</v>
      </c>
      <c r="G10" s="921" t="s">
        <v>1383</v>
      </c>
      <c r="H10" s="429"/>
    </row>
    <row r="11" spans="1:8" s="398" customFormat="1" ht="13">
      <c r="A11" s="908"/>
      <c r="B11" s="1696" t="s">
        <v>990</v>
      </c>
      <c r="C11" s="1711" t="s">
        <v>2133</v>
      </c>
      <c r="D11" s="1712" t="s">
        <v>3315</v>
      </c>
      <c r="E11" s="1713" t="s">
        <v>3316</v>
      </c>
      <c r="F11" s="931" t="s">
        <v>1381</v>
      </c>
      <c r="G11" s="932" t="s">
        <v>1381</v>
      </c>
      <c r="H11" s="429"/>
    </row>
    <row r="12" spans="1:8" s="398" customFormat="1" ht="12.5">
      <c r="A12" s="908"/>
      <c r="B12" s="1693" t="s">
        <v>1637</v>
      </c>
      <c r="C12" s="1714" t="s">
        <v>1638</v>
      </c>
      <c r="D12" s="1715" t="s">
        <v>1639</v>
      </c>
      <c r="E12" s="975"/>
      <c r="F12" s="947" t="s">
        <v>2000</v>
      </c>
      <c r="G12" s="946" t="s">
        <v>2000</v>
      </c>
      <c r="H12" s="421"/>
    </row>
    <row r="13" spans="1:8" s="398" customFormat="1" ht="13" thickBot="1">
      <c r="A13" s="908"/>
      <c r="B13" s="1696" t="s">
        <v>1640</v>
      </c>
      <c r="C13" s="1716" t="s">
        <v>2136</v>
      </c>
      <c r="D13" s="1706">
        <v>151.91</v>
      </c>
      <c r="E13" s="1707"/>
      <c r="F13" s="913" t="s">
        <v>1381</v>
      </c>
      <c r="G13" s="914" t="s">
        <v>1381</v>
      </c>
      <c r="H13" s="499"/>
    </row>
    <row r="14" spans="1:8" s="491" customFormat="1" ht="16" thickBot="1">
      <c r="A14" s="915" t="s">
        <v>991</v>
      </c>
      <c r="B14" s="1696" t="s">
        <v>992</v>
      </c>
      <c r="C14" s="1697" t="s">
        <v>3317</v>
      </c>
      <c r="D14" s="1710" t="s">
        <v>994</v>
      </c>
      <c r="E14" s="1717" t="s">
        <v>3318</v>
      </c>
      <c r="F14" s="920" t="s">
        <v>1384</v>
      </c>
      <c r="G14" s="962"/>
      <c r="H14" s="420"/>
    </row>
    <row r="15" spans="1:8" s="491" customFormat="1" ht="16" thickBot="1">
      <c r="A15" s="949"/>
      <c r="B15" s="1693" t="s">
        <v>993</v>
      </c>
      <c r="C15" s="1694" t="s">
        <v>1641</v>
      </c>
      <c r="D15" s="953" t="s">
        <v>2140</v>
      </c>
      <c r="E15" s="1698" t="s">
        <v>2141</v>
      </c>
      <c r="F15" s="950" t="s">
        <v>1642</v>
      </c>
      <c r="G15" s="962"/>
      <c r="H15" s="435"/>
    </row>
    <row r="16" spans="1:8" s="398" customFormat="1" ht="13.5" thickBot="1">
      <c r="A16" s="908" t="s">
        <v>995</v>
      </c>
      <c r="B16" s="1696" t="s">
        <v>996</v>
      </c>
      <c r="C16" s="1697" t="s">
        <v>3319</v>
      </c>
      <c r="D16" s="1710" t="s">
        <v>999</v>
      </c>
      <c r="E16" s="919" t="s">
        <v>998</v>
      </c>
      <c r="F16" s="954" t="s">
        <v>1382</v>
      </c>
      <c r="G16" s="921" t="s">
        <v>1381</v>
      </c>
      <c r="H16" s="430"/>
    </row>
    <row r="17" spans="1:8" s="398" customFormat="1" ht="12.5">
      <c r="A17" s="955"/>
      <c r="B17" s="1696" t="s">
        <v>2142</v>
      </c>
      <c r="C17" s="1718" t="s">
        <v>3320</v>
      </c>
      <c r="D17" s="1710" t="s">
        <v>3321</v>
      </c>
      <c r="E17" s="1707" t="s">
        <v>998</v>
      </c>
      <c r="F17" s="954" t="s">
        <v>2143</v>
      </c>
      <c r="G17" s="921" t="s">
        <v>1387</v>
      </c>
      <c r="H17" s="431"/>
    </row>
    <row r="18" spans="1:8" s="398" customFormat="1" ht="12.5">
      <c r="A18" s="955"/>
      <c r="B18" s="1696" t="s">
        <v>2144</v>
      </c>
      <c r="C18" s="1718" t="s">
        <v>3320</v>
      </c>
      <c r="D18" s="1710" t="s">
        <v>3321</v>
      </c>
      <c r="E18" s="1707" t="s">
        <v>998</v>
      </c>
      <c r="F18" s="954" t="s">
        <v>1382</v>
      </c>
      <c r="G18" s="921" t="s">
        <v>1387</v>
      </c>
      <c r="H18" s="432"/>
    </row>
    <row r="19" spans="1:8" s="398" customFormat="1" ht="12.5">
      <c r="A19" s="958" t="s">
        <v>1000</v>
      </c>
      <c r="B19" s="1708" t="s">
        <v>1001</v>
      </c>
      <c r="C19" s="1709" t="s">
        <v>3322</v>
      </c>
      <c r="D19" s="1718" t="s">
        <v>2186</v>
      </c>
      <c r="E19" s="1707" t="s">
        <v>998</v>
      </c>
      <c r="F19" s="1719" t="s">
        <v>2146</v>
      </c>
      <c r="G19" s="1720" t="s">
        <v>1643</v>
      </c>
      <c r="H19" s="432"/>
    </row>
    <row r="20" spans="1:8" s="398" customFormat="1" ht="12.5">
      <c r="A20" s="922" t="s">
        <v>1003</v>
      </c>
      <c r="B20" s="1693" t="s">
        <v>1004</v>
      </c>
      <c r="C20" s="1721" t="s">
        <v>1389</v>
      </c>
      <c r="D20" s="961" t="s">
        <v>1002</v>
      </c>
      <c r="E20" s="1698" t="s">
        <v>1006</v>
      </c>
      <c r="F20" s="1722" t="s">
        <v>1644</v>
      </c>
      <c r="G20" s="1723" t="s">
        <v>1390</v>
      </c>
      <c r="H20" s="432"/>
    </row>
    <row r="21" spans="1:8" s="398" customFormat="1" ht="12.5">
      <c r="A21" s="958" t="s">
        <v>1007</v>
      </c>
      <c r="B21" s="1696" t="s">
        <v>1008</v>
      </c>
      <c r="C21" s="1702" t="s">
        <v>1648</v>
      </c>
      <c r="D21" s="1695" t="s">
        <v>986</v>
      </c>
      <c r="E21" s="966" t="s">
        <v>1645</v>
      </c>
      <c r="F21" s="1722" t="s">
        <v>1384</v>
      </c>
      <c r="G21" s="1723" t="s">
        <v>1388</v>
      </c>
      <c r="H21" s="436" t="s">
        <v>1670</v>
      </c>
    </row>
    <row r="22" spans="1:8" ht="16" thickBot="1">
      <c r="A22" s="965" t="s">
        <v>1010</v>
      </c>
      <c r="B22" s="1700" t="s">
        <v>1646</v>
      </c>
      <c r="C22" s="1724" t="s">
        <v>1005</v>
      </c>
      <c r="D22" s="1725" t="s">
        <v>1005</v>
      </c>
      <c r="E22" s="1713" t="s">
        <v>1019</v>
      </c>
      <c r="F22" s="967" t="s">
        <v>1393</v>
      </c>
      <c r="G22" s="968" t="s">
        <v>1393</v>
      </c>
      <c r="H22" s="436" t="s">
        <v>1671</v>
      </c>
    </row>
    <row r="23" spans="1:8" ht="16" thickBot="1">
      <c r="A23" s="949"/>
      <c r="B23" s="1703" t="s">
        <v>2148</v>
      </c>
      <c r="C23" s="1726"/>
      <c r="D23" s="1727"/>
      <c r="E23" s="1728"/>
      <c r="F23" s="913"/>
      <c r="G23" s="914"/>
      <c r="H23" s="741" t="s">
        <v>1677</v>
      </c>
    </row>
    <row r="24" spans="1:8" s="399" customFormat="1" ht="12.5">
      <c r="A24" s="915" t="s">
        <v>1012</v>
      </c>
      <c r="B24" s="1696" t="s">
        <v>1013</v>
      </c>
      <c r="C24" s="1705" t="s">
        <v>1405</v>
      </c>
      <c r="D24" s="1718" t="s">
        <v>1002</v>
      </c>
      <c r="E24" s="919" t="s">
        <v>998</v>
      </c>
      <c r="F24" s="952" t="s">
        <v>1384</v>
      </c>
      <c r="G24" s="962" t="s">
        <v>1647</v>
      </c>
      <c r="H24" s="433"/>
    </row>
    <row r="25" spans="1:8" s="399" customFormat="1" ht="13" thickBot="1">
      <c r="A25" s="972" t="s">
        <v>1394</v>
      </c>
      <c r="B25" s="1729" t="s">
        <v>2149</v>
      </c>
      <c r="C25" s="1730" t="s">
        <v>3323</v>
      </c>
      <c r="D25" s="1725" t="s">
        <v>2174</v>
      </c>
      <c r="E25" s="946" t="s">
        <v>998</v>
      </c>
      <c r="F25" s="952" t="s">
        <v>1642</v>
      </c>
      <c r="G25" s="962" t="s">
        <v>1643</v>
      </c>
      <c r="H25" s="423"/>
    </row>
    <row r="26" spans="1:8" s="399" customFormat="1" ht="13" thickBot="1">
      <c r="A26" s="976"/>
      <c r="B26" s="1693" t="s">
        <v>2151</v>
      </c>
      <c r="C26" s="1697" t="s">
        <v>3323</v>
      </c>
      <c r="D26" s="1725" t="s">
        <v>2174</v>
      </c>
      <c r="E26" s="930" t="s">
        <v>998</v>
      </c>
      <c r="F26" s="950" t="s">
        <v>1642</v>
      </c>
      <c r="G26" s="962" t="s">
        <v>1649</v>
      </c>
      <c r="H26" s="435"/>
    </row>
    <row r="27" spans="1:8" s="399" customFormat="1" ht="13.5" thickBot="1">
      <c r="A27" s="976"/>
      <c r="B27" s="1731" t="s">
        <v>1396</v>
      </c>
      <c r="C27" s="1724" t="s">
        <v>3324</v>
      </c>
      <c r="D27" s="1732"/>
      <c r="E27" s="1733"/>
      <c r="F27" s="1732"/>
      <c r="G27" s="1699" t="s">
        <v>3325</v>
      </c>
      <c r="H27" s="420"/>
    </row>
    <row r="28" spans="1:8" ht="16" thickBot="1">
      <c r="A28" s="976"/>
      <c r="B28" s="1693" t="s">
        <v>1397</v>
      </c>
      <c r="C28" s="1724" t="s">
        <v>3326</v>
      </c>
      <c r="D28" s="1734"/>
      <c r="E28" s="901"/>
      <c r="F28" s="1734"/>
      <c r="G28" s="1699" t="s">
        <v>3325</v>
      </c>
      <c r="H28" s="435"/>
    </row>
    <row r="29" spans="1:8" s="399" customFormat="1" ht="13.5" thickBot="1">
      <c r="A29" s="976"/>
      <c r="B29" s="1729" t="s">
        <v>1398</v>
      </c>
      <c r="C29" s="1735">
        <v>7</v>
      </c>
      <c r="D29" s="1734"/>
      <c r="E29" s="901"/>
      <c r="F29" s="1734"/>
      <c r="G29" s="1723"/>
      <c r="H29" s="420"/>
    </row>
    <row r="30" spans="1:8" s="399" customFormat="1" ht="13" thickBot="1">
      <c r="A30" s="982"/>
      <c r="B30" s="1736" t="s">
        <v>1399</v>
      </c>
      <c r="C30" s="1724" t="s">
        <v>3327</v>
      </c>
      <c r="D30" s="1737"/>
      <c r="E30" s="1738"/>
      <c r="F30" s="1737"/>
      <c r="G30" s="1723"/>
      <c r="H30" s="433"/>
    </row>
    <row r="31" spans="1:8" s="399" customFormat="1" ht="13.5" thickBot="1">
      <c r="A31" s="988" t="s">
        <v>2155</v>
      </c>
      <c r="B31" s="989"/>
      <c r="C31" s="990"/>
      <c r="D31" s="991"/>
      <c r="E31" s="991"/>
      <c r="F31" s="992"/>
      <c r="G31" s="992"/>
      <c r="H31" s="436"/>
    </row>
    <row r="32" spans="1:8" ht="16" thickBot="1">
      <c r="A32" s="993" t="s">
        <v>979</v>
      </c>
      <c r="B32" s="994" t="s">
        <v>980</v>
      </c>
      <c r="C32" s="995" t="s">
        <v>362</v>
      </c>
      <c r="D32" s="996" t="s">
        <v>981</v>
      </c>
      <c r="E32" s="1739" t="s">
        <v>1373</v>
      </c>
      <c r="F32" s="906" t="s">
        <v>1634</v>
      </c>
      <c r="G32" s="907" t="s">
        <v>1635</v>
      </c>
      <c r="H32" s="436" t="s">
        <v>1672</v>
      </c>
    </row>
    <row r="33" spans="1:9" s="399" customFormat="1" ht="13.5" thickBot="1">
      <c r="A33" s="997" t="s">
        <v>1015</v>
      </c>
      <c r="B33" s="900" t="s">
        <v>1650</v>
      </c>
      <c r="C33" s="1740" t="s">
        <v>1660</v>
      </c>
      <c r="D33" s="1741" t="s">
        <v>3328</v>
      </c>
      <c r="E33" s="1742" t="s">
        <v>3329</v>
      </c>
      <c r="F33" s="931"/>
      <c r="G33" s="932"/>
      <c r="H33" s="420"/>
    </row>
    <row r="34" spans="1:9" s="399" customFormat="1" ht="12.5">
      <c r="A34" s="999" t="s">
        <v>1016</v>
      </c>
      <c r="B34" s="1000" t="s">
        <v>2157</v>
      </c>
      <c r="C34" s="1743" t="s">
        <v>1405</v>
      </c>
      <c r="D34" s="1023" t="s">
        <v>2158</v>
      </c>
      <c r="E34" s="927" t="s">
        <v>998</v>
      </c>
      <c r="F34" s="920" t="s">
        <v>1406</v>
      </c>
      <c r="G34" s="921" t="s">
        <v>1653</v>
      </c>
    </row>
    <row r="35" spans="1:9" s="492" customFormat="1">
      <c r="A35" s="1002" t="s">
        <v>1018</v>
      </c>
      <c r="B35" s="1003" t="s">
        <v>3330</v>
      </c>
      <c r="C35" s="925" t="s">
        <v>1389</v>
      </c>
      <c r="D35" s="1023" t="s">
        <v>2160</v>
      </c>
      <c r="E35" s="966" t="s">
        <v>998</v>
      </c>
      <c r="F35" s="950" t="s">
        <v>1654</v>
      </c>
      <c r="G35" s="1004" t="s">
        <v>1655</v>
      </c>
    </row>
    <row r="36" spans="1:9" s="399" customFormat="1" ht="12.5">
      <c r="A36" s="955"/>
      <c r="B36" s="1005" t="s">
        <v>3331</v>
      </c>
      <c r="C36" s="1744" t="s">
        <v>3332</v>
      </c>
      <c r="D36" s="1745" t="s">
        <v>3333</v>
      </c>
      <c r="E36" s="919" t="s">
        <v>998</v>
      </c>
      <c r="F36" s="931"/>
      <c r="G36" s="932"/>
      <c r="H36" s="436" t="s">
        <v>1673</v>
      </c>
    </row>
    <row r="37" spans="1:9" s="399" customFormat="1" ht="12.5">
      <c r="A37" s="1008" t="s">
        <v>1022</v>
      </c>
      <c r="B37" s="1009" t="s">
        <v>1023</v>
      </c>
      <c r="C37" s="1746" t="s">
        <v>1385</v>
      </c>
      <c r="D37" s="1022" t="s">
        <v>2160</v>
      </c>
      <c r="E37" s="1027" t="s">
        <v>998</v>
      </c>
      <c r="F37" s="967" t="s">
        <v>1384</v>
      </c>
      <c r="G37" s="968" t="s">
        <v>1388</v>
      </c>
      <c r="H37" s="439" t="s">
        <v>1674</v>
      </c>
    </row>
    <row r="38" spans="1:9" ht="16" thickBot="1">
      <c r="A38" s="997" t="s">
        <v>1025</v>
      </c>
      <c r="B38" s="900" t="s">
        <v>1026</v>
      </c>
      <c r="C38" s="1021" t="s">
        <v>2533</v>
      </c>
      <c r="D38" s="1022" t="s">
        <v>2160</v>
      </c>
      <c r="E38" s="927" t="s">
        <v>2534</v>
      </c>
      <c r="F38" s="931" t="s">
        <v>1382</v>
      </c>
      <c r="G38" s="932" t="s">
        <v>1382</v>
      </c>
      <c r="H38" s="437" t="s">
        <v>1675</v>
      </c>
    </row>
    <row r="39" spans="1:9" s="397" customFormat="1" ht="13" thickBot="1">
      <c r="A39" s="997"/>
      <c r="B39" s="1016"/>
      <c r="C39" s="998"/>
      <c r="D39" s="1017"/>
      <c r="E39" s="919"/>
      <c r="F39" s="913" t="s">
        <v>1381</v>
      </c>
      <c r="G39" s="914" t="s">
        <v>1381</v>
      </c>
      <c r="H39" s="741" t="s">
        <v>1676</v>
      </c>
    </row>
    <row r="40" spans="1:9" s="400" customFormat="1" ht="12.5">
      <c r="A40" s="997"/>
      <c r="B40" s="1018" t="s">
        <v>1402</v>
      </c>
      <c r="C40" s="998" t="s">
        <v>998</v>
      </c>
      <c r="D40" s="1019" t="s">
        <v>998</v>
      </c>
      <c r="E40" s="912" t="s">
        <v>998</v>
      </c>
      <c r="F40" s="920" t="s">
        <v>1384</v>
      </c>
      <c r="G40" s="921" t="s">
        <v>1384</v>
      </c>
      <c r="H40" s="425"/>
    </row>
    <row r="41" spans="1:9" s="400" customFormat="1" ht="12.5">
      <c r="A41" s="1020"/>
      <c r="B41" s="900" t="s">
        <v>1027</v>
      </c>
      <c r="C41" s="1744" t="s">
        <v>3334</v>
      </c>
      <c r="D41" s="1022" t="s">
        <v>999</v>
      </c>
      <c r="E41" s="927" t="s">
        <v>1006</v>
      </c>
      <c r="F41" s="931" t="s">
        <v>1388</v>
      </c>
      <c r="G41" s="932" t="s">
        <v>1388</v>
      </c>
      <c r="H41" s="438"/>
    </row>
    <row r="42" spans="1:9" ht="16" thickBot="1">
      <c r="A42" s="955"/>
      <c r="B42" s="1003" t="s">
        <v>1656</v>
      </c>
      <c r="C42" s="1747" t="s">
        <v>2165</v>
      </c>
      <c r="D42" s="1748" t="s">
        <v>1657</v>
      </c>
      <c r="E42" s="1023" t="s">
        <v>998</v>
      </c>
      <c r="F42" s="1749" t="s">
        <v>1406</v>
      </c>
      <c r="G42" s="1723"/>
      <c r="H42" s="434"/>
    </row>
    <row r="43" spans="1:9" s="399" customFormat="1" ht="13.5" thickBot="1">
      <c r="A43" s="955"/>
      <c r="B43" s="1026" t="s">
        <v>1658</v>
      </c>
      <c r="C43" s="1750" t="s">
        <v>2166</v>
      </c>
      <c r="D43" s="1751" t="s">
        <v>994</v>
      </c>
      <c r="E43" s="1017" t="s">
        <v>998</v>
      </c>
      <c r="F43" s="1752"/>
      <c r="G43" s="932" t="s">
        <v>1653</v>
      </c>
      <c r="H43" s="420"/>
    </row>
    <row r="44" spans="1:9" s="399" customFormat="1" ht="13" thickBot="1">
      <c r="A44" s="1030" t="s">
        <v>1028</v>
      </c>
      <c r="B44" s="900" t="s">
        <v>2167</v>
      </c>
      <c r="C44" s="1031" t="s">
        <v>1029</v>
      </c>
      <c r="D44" s="1753" t="s">
        <v>1005</v>
      </c>
      <c r="E44" s="1713" t="s">
        <v>1031</v>
      </c>
      <c r="F44" s="1754" t="s">
        <v>1382</v>
      </c>
      <c r="G44" s="1025" t="s">
        <v>1400</v>
      </c>
      <c r="H44" s="433"/>
    </row>
    <row r="45" spans="1:9" s="200" customFormat="1" ht="16" thickBot="1">
      <c r="A45" s="1032"/>
      <c r="B45" s="1016" t="s">
        <v>2167</v>
      </c>
      <c r="C45" s="936" t="s">
        <v>2168</v>
      </c>
      <c r="D45" s="1745"/>
      <c r="E45" s="1742"/>
      <c r="F45" s="1028" t="s">
        <v>1381</v>
      </c>
      <c r="G45" s="1033" t="s">
        <v>1381</v>
      </c>
      <c r="H45" s="436"/>
    </row>
    <row r="46" spans="1:9" s="397" customFormat="1" ht="13.5" thickBot="1">
      <c r="A46" s="1034"/>
      <c r="B46" s="900" t="s">
        <v>2169</v>
      </c>
      <c r="C46" s="1031" t="s">
        <v>1030</v>
      </c>
      <c r="D46" s="1035" t="s">
        <v>1005</v>
      </c>
      <c r="E46" s="927" t="s">
        <v>1031</v>
      </c>
      <c r="F46" s="1746" t="s">
        <v>3335</v>
      </c>
      <c r="G46" s="1755" t="s">
        <v>1390</v>
      </c>
      <c r="H46" s="420"/>
    </row>
    <row r="47" spans="1:9" s="397" customFormat="1" ht="12.5">
      <c r="A47" s="1034"/>
      <c r="B47" s="900" t="s">
        <v>2169</v>
      </c>
      <c r="C47" s="1031"/>
      <c r="D47" s="1035"/>
      <c r="E47" s="927"/>
      <c r="F47" s="913" t="s">
        <v>1387</v>
      </c>
      <c r="G47" s="1033" t="s">
        <v>2170</v>
      </c>
      <c r="H47" s="425"/>
    </row>
    <row r="48" spans="1:9" s="397" customFormat="1" ht="12.5">
      <c r="A48" s="1032"/>
      <c r="B48" s="1036" t="s">
        <v>2171</v>
      </c>
      <c r="C48" s="925" t="s">
        <v>1437</v>
      </c>
      <c r="D48" s="1023" t="s">
        <v>999</v>
      </c>
      <c r="E48" s="966" t="s">
        <v>1009</v>
      </c>
      <c r="F48" s="967" t="s">
        <v>1382</v>
      </c>
      <c r="G48" s="1025" t="s">
        <v>1400</v>
      </c>
      <c r="H48" s="742" t="s">
        <v>1678</v>
      </c>
      <c r="I48" s="426"/>
    </row>
    <row r="49" spans="1:9" s="397" customFormat="1" ht="12.5">
      <c r="A49" s="1037"/>
      <c r="B49" s="1016" t="s">
        <v>2171</v>
      </c>
      <c r="C49" s="936" t="s">
        <v>2172</v>
      </c>
      <c r="D49" s="1017"/>
      <c r="E49" s="919"/>
      <c r="F49" s="913" t="s">
        <v>1381</v>
      </c>
      <c r="G49" s="1033" t="s">
        <v>1381</v>
      </c>
      <c r="I49" s="426"/>
    </row>
    <row r="50" spans="1:9" s="397" customFormat="1" ht="12.5">
      <c r="A50" s="1038" t="s">
        <v>2173</v>
      </c>
      <c r="B50" s="1026" t="s">
        <v>1659</v>
      </c>
      <c r="C50" s="1756" t="s">
        <v>1660</v>
      </c>
      <c r="D50" s="1745" t="s">
        <v>1392</v>
      </c>
      <c r="E50" s="1742" t="s">
        <v>3336</v>
      </c>
      <c r="F50" s="931" t="s">
        <v>3337</v>
      </c>
      <c r="G50" s="1723"/>
      <c r="I50" s="436"/>
    </row>
    <row r="51" spans="1:9" s="397" customFormat="1" ht="12.5">
      <c r="A51" s="1038" t="s">
        <v>2175</v>
      </c>
      <c r="B51" s="1039" t="s">
        <v>1032</v>
      </c>
      <c r="C51" s="1757" t="s">
        <v>3338</v>
      </c>
      <c r="D51" s="1758" t="s">
        <v>1662</v>
      </c>
      <c r="E51" s="1759" t="s">
        <v>1645</v>
      </c>
      <c r="F51" s="931" t="s">
        <v>3339</v>
      </c>
      <c r="G51" s="1723"/>
      <c r="H51" s="436"/>
    </row>
    <row r="52" spans="1:9" s="397" customFormat="1" ht="12.5">
      <c r="A52" s="1040"/>
      <c r="B52" s="1041" t="s">
        <v>2176</v>
      </c>
      <c r="C52" s="1760" t="s">
        <v>3340</v>
      </c>
      <c r="D52" s="1761" t="s">
        <v>1005</v>
      </c>
      <c r="E52" s="1713" t="s">
        <v>1006</v>
      </c>
      <c r="F52" s="913" t="s">
        <v>1380</v>
      </c>
      <c r="G52" s="1723"/>
      <c r="H52" s="436"/>
    </row>
    <row r="53" spans="1:9" ht="16" thickBot="1">
      <c r="A53" s="1030" t="s">
        <v>2177</v>
      </c>
      <c r="B53" s="1039" t="s">
        <v>2178</v>
      </c>
      <c r="C53" s="1762" t="s">
        <v>3341</v>
      </c>
      <c r="D53" s="1043"/>
      <c r="E53" s="1044"/>
      <c r="F53" s="931"/>
      <c r="G53" s="932" t="s">
        <v>1137</v>
      </c>
      <c r="H53" s="436"/>
    </row>
    <row r="54" spans="1:9" s="397" customFormat="1" ht="13.5" thickBot="1">
      <c r="A54" s="1032" t="s">
        <v>2179</v>
      </c>
      <c r="B54" s="1039" t="s">
        <v>2180</v>
      </c>
      <c r="C54" s="1762" t="s">
        <v>1403</v>
      </c>
      <c r="D54" s="1043"/>
      <c r="E54" s="1045"/>
      <c r="F54" s="931"/>
      <c r="G54" s="932"/>
      <c r="H54" s="420"/>
    </row>
    <row r="55" spans="1:9" s="397" customFormat="1" ht="12.5">
      <c r="A55" s="1032"/>
      <c r="B55" s="1039" t="s">
        <v>2181</v>
      </c>
      <c r="C55" s="1762" t="s">
        <v>3342</v>
      </c>
      <c r="D55" s="1043"/>
      <c r="E55" s="1045"/>
      <c r="F55" s="931"/>
      <c r="G55" s="932"/>
      <c r="H55" s="439" t="s">
        <v>1679</v>
      </c>
    </row>
    <row r="56" spans="1:9" ht="16" thickBot="1">
      <c r="A56" s="1032"/>
      <c r="B56" s="1046" t="s">
        <v>2182</v>
      </c>
      <c r="C56" s="1763" t="s">
        <v>3343</v>
      </c>
      <c r="D56" s="1026"/>
      <c r="E56" s="1048"/>
      <c r="F56" s="913"/>
      <c r="G56" s="914"/>
      <c r="H56" s="423"/>
    </row>
    <row r="57" spans="1:9" s="399" customFormat="1" ht="13.5" thickBot="1">
      <c r="A57" s="1008" t="s">
        <v>1404</v>
      </c>
      <c r="B57" s="1049" t="s">
        <v>2183</v>
      </c>
      <c r="C57" s="1764" t="s">
        <v>3344</v>
      </c>
      <c r="D57" s="1765" t="s">
        <v>3345</v>
      </c>
      <c r="E57" s="927" t="s">
        <v>1019</v>
      </c>
      <c r="F57" s="931"/>
      <c r="G57" s="932" t="s">
        <v>1137</v>
      </c>
      <c r="H57" s="420"/>
    </row>
    <row r="58" spans="1:9" s="399" customFormat="1" ht="12.5">
      <c r="A58" s="1012"/>
      <c r="B58" s="1049" t="s">
        <v>2185</v>
      </c>
      <c r="C58" s="1766"/>
      <c r="D58" s="1765"/>
      <c r="E58" s="1051"/>
      <c r="F58" s="931"/>
      <c r="G58" s="932"/>
      <c r="H58" s="433"/>
    </row>
    <row r="59" spans="1:9" ht="16" thickBot="1">
      <c r="A59" s="1002" t="s">
        <v>1034</v>
      </c>
      <c r="B59" s="1003" t="s">
        <v>1035</v>
      </c>
      <c r="C59" s="1747" t="s">
        <v>997</v>
      </c>
      <c r="D59" s="1711" t="s">
        <v>2186</v>
      </c>
      <c r="E59" s="1767" t="s">
        <v>1019</v>
      </c>
      <c r="F59" s="967" t="s">
        <v>1406</v>
      </c>
      <c r="G59" s="968" t="s">
        <v>1406</v>
      </c>
      <c r="H59" s="436"/>
    </row>
    <row r="60" spans="1:9" s="399" customFormat="1" ht="13.5" thickBot="1">
      <c r="A60" s="955"/>
      <c r="B60" s="1026"/>
      <c r="C60" s="1750" t="s">
        <v>2187</v>
      </c>
      <c r="D60" s="1768"/>
      <c r="E60" s="1769"/>
      <c r="F60" s="913" t="s">
        <v>1381</v>
      </c>
      <c r="G60" s="914" t="s">
        <v>1381</v>
      </c>
      <c r="H60" s="420"/>
    </row>
    <row r="61" spans="1:9" s="399" customFormat="1" ht="12.5">
      <c r="A61" s="1020"/>
      <c r="B61" s="1054" t="s">
        <v>1036</v>
      </c>
      <c r="C61" s="1770" t="s">
        <v>1037</v>
      </c>
      <c r="D61" s="1771" t="s">
        <v>1005</v>
      </c>
      <c r="E61" s="1767" t="s">
        <v>1006</v>
      </c>
      <c r="F61" s="931" t="s">
        <v>1406</v>
      </c>
      <c r="G61" s="932" t="s">
        <v>1406</v>
      </c>
      <c r="H61" s="439" t="s">
        <v>1680</v>
      </c>
    </row>
    <row r="62" spans="1:9" s="399" customFormat="1" ht="13" thickBot="1">
      <c r="A62" s="1020"/>
      <c r="B62" s="1054"/>
      <c r="C62" s="1770"/>
      <c r="D62" s="1771"/>
      <c r="E62" s="1772"/>
      <c r="F62" s="913" t="s">
        <v>1381</v>
      </c>
      <c r="G62" s="914" t="s">
        <v>1381</v>
      </c>
      <c r="H62" s="423" t="s">
        <v>1681</v>
      </c>
    </row>
    <row r="63" spans="1:9" s="399" customFormat="1" ht="13.5" thickBot="1">
      <c r="A63" s="965" t="s">
        <v>1038</v>
      </c>
      <c r="B63" s="1009" t="s">
        <v>1666</v>
      </c>
      <c r="C63" s="1747" t="s">
        <v>1040</v>
      </c>
      <c r="D63" s="1748" t="s">
        <v>1041</v>
      </c>
      <c r="E63" s="964" t="s">
        <v>998</v>
      </c>
      <c r="F63" s="931" t="s">
        <v>1384</v>
      </c>
      <c r="G63" s="968"/>
      <c r="H63" s="420"/>
    </row>
    <row r="64" spans="1:9">
      <c r="A64" s="1055"/>
      <c r="B64" s="1013" t="s">
        <v>1667</v>
      </c>
      <c r="C64" s="1750"/>
      <c r="D64" s="1751"/>
      <c r="E64" s="1707"/>
      <c r="F64" s="931"/>
      <c r="G64" s="914" t="s">
        <v>1390</v>
      </c>
      <c r="H64" s="425"/>
    </row>
    <row r="65" spans="1:8" s="397" customFormat="1" ht="13" thickBot="1">
      <c r="A65" s="1056" t="s">
        <v>3346</v>
      </c>
      <c r="B65" s="1054" t="s">
        <v>1409</v>
      </c>
      <c r="C65" s="1773" t="s">
        <v>2188</v>
      </c>
      <c r="D65" s="1725" t="s">
        <v>3347</v>
      </c>
      <c r="E65" s="1774">
        <v>32</v>
      </c>
      <c r="F65" s="950"/>
      <c r="G65" s="932"/>
      <c r="H65" s="435" t="s">
        <v>1130</v>
      </c>
    </row>
    <row r="66" spans="1:8" s="397" customFormat="1" ht="13" thickBot="1">
      <c r="A66" s="1058"/>
      <c r="B66" s="1059" t="s">
        <v>1415</v>
      </c>
      <c r="C66" s="1775" t="s">
        <v>2188</v>
      </c>
      <c r="D66" s="1776"/>
      <c r="E66" s="1777"/>
      <c r="F66" s="1063"/>
      <c r="G66" s="987"/>
      <c r="H66" s="435" t="s">
        <v>1682</v>
      </c>
    </row>
    <row r="67" spans="1:8">
      <c r="H67" s="424"/>
    </row>
    <row r="69" spans="1:8">
      <c r="D69" s="464"/>
    </row>
    <row r="73" spans="1:8">
      <c r="C73" s="464"/>
    </row>
  </sheetData>
  <phoneticPr fontId="37" type="noConversion"/>
  <pageMargins left="0.75" right="0.75" top="1" bottom="1" header="0.5" footer="0.5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>
      <selection activeCell="A2" sqref="A2"/>
    </sheetView>
  </sheetViews>
  <sheetFormatPr defaultRowHeight="15.5"/>
  <sheetData>
    <row r="1" spans="1:8">
      <c r="A1" s="404" t="s">
        <v>756</v>
      </c>
    </row>
    <row r="2" spans="1:8">
      <c r="A2" s="447" t="s">
        <v>863</v>
      </c>
    </row>
    <row r="4" spans="1:8">
      <c r="A4" t="s">
        <v>864</v>
      </c>
    </row>
    <row r="5" spans="1:8">
      <c r="A5" s="557" t="s">
        <v>4675</v>
      </c>
    </row>
    <row r="6" spans="1:8">
      <c r="A6" s="557" t="s">
        <v>3109</v>
      </c>
      <c r="G6" s="557" t="s">
        <v>2194</v>
      </c>
    </row>
    <row r="7" spans="1:8">
      <c r="A7" s="557" t="s">
        <v>3110</v>
      </c>
      <c r="G7" s="557" t="s">
        <v>2194</v>
      </c>
    </row>
    <row r="9" spans="1:8">
      <c r="A9" t="s">
        <v>865</v>
      </c>
    </row>
    <row r="10" spans="1:8">
      <c r="A10" s="557" t="s">
        <v>3111</v>
      </c>
    </row>
    <row r="11" spans="1:8">
      <c r="A11" s="557" t="s">
        <v>3112</v>
      </c>
      <c r="G11" s="557" t="s">
        <v>2194</v>
      </c>
    </row>
    <row r="12" spans="1:8">
      <c r="A12" s="557" t="s">
        <v>3113</v>
      </c>
      <c r="G12" s="557" t="s">
        <v>2194</v>
      </c>
    </row>
    <row r="14" spans="1:8">
      <c r="A14" s="557" t="s">
        <v>3123</v>
      </c>
    </row>
    <row r="15" spans="1:8">
      <c r="A15" s="557" t="s">
        <v>3120</v>
      </c>
    </row>
    <row r="16" spans="1:8">
      <c r="A16" s="557" t="s">
        <v>3121</v>
      </c>
      <c r="H16" s="557" t="s">
        <v>2194</v>
      </c>
    </row>
    <row r="17" spans="1:8">
      <c r="A17" s="557" t="s">
        <v>3122</v>
      </c>
      <c r="H17" s="557" t="s">
        <v>2194</v>
      </c>
    </row>
    <row r="19" spans="1:8">
      <c r="A19" t="s">
        <v>866</v>
      </c>
    </row>
    <row r="20" spans="1:8">
      <c r="A20" s="557" t="s">
        <v>3114</v>
      </c>
    </row>
    <row r="21" spans="1:8">
      <c r="A21" s="557" t="s">
        <v>3115</v>
      </c>
    </row>
    <row r="22" spans="1:8">
      <c r="A22" s="557" t="s">
        <v>3116</v>
      </c>
    </row>
    <row r="23" spans="1:8">
      <c r="A23" s="557" t="s">
        <v>3117</v>
      </c>
    </row>
    <row r="24" spans="1:8" s="557" customFormat="1"/>
    <row r="25" spans="1:8">
      <c r="A25" s="447" t="s">
        <v>867</v>
      </c>
    </row>
    <row r="26" spans="1:8" s="489" customFormat="1"/>
    <row r="27" spans="1:8">
      <c r="A27" s="404" t="s">
        <v>730</v>
      </c>
    </row>
    <row r="28" spans="1:8">
      <c r="A28" s="271" t="s">
        <v>731</v>
      </c>
    </row>
    <row r="29" spans="1:8">
      <c r="A29" s="271" t="s">
        <v>732</v>
      </c>
    </row>
    <row r="30" spans="1:8">
      <c r="A30" s="271" t="s">
        <v>733</v>
      </c>
    </row>
    <row r="31" spans="1:8">
      <c r="A31" s="271" t="s">
        <v>734</v>
      </c>
    </row>
    <row r="32" spans="1:8">
      <c r="A32" s="758" t="s">
        <v>3311</v>
      </c>
    </row>
    <row r="33" spans="1:1">
      <c r="A33" s="271" t="s">
        <v>735</v>
      </c>
    </row>
    <row r="34" spans="1:1">
      <c r="A34" s="271" t="s">
        <v>736</v>
      </c>
    </row>
    <row r="35" spans="1:1">
      <c r="A35" s="271" t="s">
        <v>737</v>
      </c>
    </row>
    <row r="36" spans="1:1">
      <c r="A36" s="271" t="s">
        <v>738</v>
      </c>
    </row>
    <row r="37" spans="1:1">
      <c r="A37" s="271" t="s">
        <v>739</v>
      </c>
    </row>
    <row r="38" spans="1:1" s="557" customFormat="1">
      <c r="A38" s="758" t="s">
        <v>3312</v>
      </c>
    </row>
    <row r="40" spans="1:1">
      <c r="A40" s="404" t="s">
        <v>740</v>
      </c>
    </row>
    <row r="41" spans="1:1">
      <c r="A41" s="758" t="s">
        <v>4677</v>
      </c>
    </row>
    <row r="42" spans="1:1">
      <c r="A42" s="758" t="s">
        <v>3118</v>
      </c>
    </row>
    <row r="43" spans="1:1" s="557" customFormat="1">
      <c r="A43" s="758" t="s">
        <v>4676</v>
      </c>
    </row>
    <row r="44" spans="1:1" s="557" customFormat="1">
      <c r="A44" s="758" t="s">
        <v>3183</v>
      </c>
    </row>
    <row r="45" spans="1:1">
      <c r="A45" s="271" t="s">
        <v>741</v>
      </c>
    </row>
    <row r="46" spans="1:1">
      <c r="A46" s="271" t="s">
        <v>742</v>
      </c>
    </row>
    <row r="47" spans="1:1">
      <c r="A47" s="271" t="s">
        <v>743</v>
      </c>
    </row>
    <row r="49" spans="1:1">
      <c r="A49" s="404" t="s">
        <v>744</v>
      </c>
    </row>
    <row r="50" spans="1:1">
      <c r="A50" s="271" t="s">
        <v>745</v>
      </c>
    </row>
    <row r="51" spans="1:1">
      <c r="A51" s="271" t="s">
        <v>746</v>
      </c>
    </row>
    <row r="52" spans="1:1">
      <c r="A52" s="271" t="s">
        <v>747</v>
      </c>
    </row>
    <row r="53" spans="1:1">
      <c r="A53" s="271" t="s">
        <v>748</v>
      </c>
    </row>
    <row r="54" spans="1:1">
      <c r="A54" s="271" t="s">
        <v>749</v>
      </c>
    </row>
    <row r="56" spans="1:1">
      <c r="A56" s="404" t="s">
        <v>750</v>
      </c>
    </row>
    <row r="57" spans="1:1">
      <c r="A57" s="271" t="s">
        <v>751</v>
      </c>
    </row>
    <row r="58" spans="1:1">
      <c r="A58" s="271" t="s">
        <v>752</v>
      </c>
    </row>
    <row r="59" spans="1:1">
      <c r="A59" s="271" t="s">
        <v>753</v>
      </c>
    </row>
    <row r="60" spans="1:1">
      <c r="A60" s="271" t="s">
        <v>754</v>
      </c>
    </row>
    <row r="61" spans="1:1">
      <c r="A61" s="271" t="s">
        <v>755</v>
      </c>
    </row>
    <row r="62" spans="1:1">
      <c r="A62" s="271" t="s">
        <v>3119</v>
      </c>
    </row>
    <row r="63" spans="1:1">
      <c r="A63" s="271"/>
    </row>
    <row r="64" spans="1:1">
      <c r="A64" s="448"/>
    </row>
  </sheetData>
  <phoneticPr fontId="26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N76"/>
  <sheetViews>
    <sheetView topLeftCell="B1" zoomScale="90" zoomScaleNormal="90" workbookViewId="0">
      <selection activeCell="M18" sqref="M18"/>
    </sheetView>
  </sheetViews>
  <sheetFormatPr defaultRowHeight="15.5"/>
  <cols>
    <col min="4" max="4" width="13.25" customWidth="1"/>
    <col min="5" max="5" width="27.83203125" customWidth="1"/>
    <col min="6" max="6" width="13.25" customWidth="1"/>
    <col min="7" max="7" width="14.5" customWidth="1"/>
    <col min="9" max="9" width="27.08203125" customWidth="1"/>
    <col min="10" max="10" width="52.33203125" customWidth="1"/>
    <col min="11" max="11" width="23.33203125" bestFit="1" customWidth="1"/>
    <col min="12" max="12" width="16.33203125" customWidth="1"/>
    <col min="13" max="13" width="12" customWidth="1"/>
  </cols>
  <sheetData>
    <row r="1" spans="2:13">
      <c r="B1" s="559" t="s">
        <v>1308</v>
      </c>
      <c r="C1" s="559"/>
      <c r="D1" s="830" t="s">
        <v>1309</v>
      </c>
      <c r="E1" s="831"/>
      <c r="F1" s="830" t="s">
        <v>1858</v>
      </c>
      <c r="G1" s="832">
        <v>2017</v>
      </c>
      <c r="H1" s="833" t="s">
        <v>1859</v>
      </c>
      <c r="I1" s="559"/>
      <c r="J1" s="1778" t="s">
        <v>3348</v>
      </c>
      <c r="K1" s="823" t="s">
        <v>1806</v>
      </c>
      <c r="L1" s="823" t="s">
        <v>648</v>
      </c>
    </row>
    <row r="2" spans="2:13" s="557" customFormat="1">
      <c r="B2" s="559"/>
      <c r="C2" s="559"/>
      <c r="D2" s="830" t="s">
        <v>1310</v>
      </c>
      <c r="E2" s="831"/>
      <c r="F2" s="830" t="s">
        <v>1847</v>
      </c>
      <c r="G2" s="832" t="s">
        <v>1311</v>
      </c>
      <c r="H2" s="833">
        <v>2017</v>
      </c>
      <c r="I2" s="559"/>
      <c r="J2" s="1779" t="s">
        <v>1807</v>
      </c>
      <c r="K2"/>
      <c r="L2"/>
      <c r="M2"/>
    </row>
    <row r="3" spans="2:13">
      <c r="B3" s="738"/>
      <c r="C3" s="738"/>
      <c r="D3" s="830" t="s">
        <v>2604</v>
      </c>
      <c r="E3" s="831"/>
      <c r="F3" s="830" t="s">
        <v>2605</v>
      </c>
      <c r="H3" s="833">
        <v>2018</v>
      </c>
      <c r="J3" s="1779" t="s">
        <v>1808</v>
      </c>
    </row>
    <row r="4" spans="2:13">
      <c r="D4" s="830" t="s">
        <v>2606</v>
      </c>
      <c r="E4" s="831"/>
      <c r="F4" s="830" t="s">
        <v>1623</v>
      </c>
      <c r="H4" s="833">
        <v>2018</v>
      </c>
      <c r="J4" s="824" t="s">
        <v>1809</v>
      </c>
      <c r="K4" s="1779" t="s">
        <v>1810</v>
      </c>
      <c r="L4" s="1779" t="s">
        <v>1811</v>
      </c>
    </row>
    <row r="5" spans="2:13" ht="24.75" customHeight="1">
      <c r="D5" s="830" t="s">
        <v>2607</v>
      </c>
      <c r="E5" s="831"/>
      <c r="F5" s="830" t="s">
        <v>2608</v>
      </c>
      <c r="H5" s="833">
        <v>2018</v>
      </c>
      <c r="J5" s="825" t="s">
        <v>1812</v>
      </c>
      <c r="K5" s="825" t="s">
        <v>3349</v>
      </c>
      <c r="L5" s="825">
        <v>177</v>
      </c>
      <c r="M5" s="825">
        <v>269</v>
      </c>
    </row>
    <row r="6" spans="2:13" s="557" customFormat="1" ht="24.75" customHeight="1">
      <c r="B6" s="559" t="s">
        <v>1312</v>
      </c>
      <c r="C6" s="559"/>
      <c r="D6" s="559" t="s">
        <v>1313</v>
      </c>
      <c r="E6" s="559"/>
      <c r="F6" s="559" t="s">
        <v>1314</v>
      </c>
      <c r="G6" s="559"/>
      <c r="H6" s="737"/>
      <c r="I6"/>
      <c r="J6" s="825" t="s">
        <v>2873</v>
      </c>
      <c r="K6" s="825">
        <v>152</v>
      </c>
      <c r="L6" s="825">
        <v>245</v>
      </c>
      <c r="M6"/>
    </row>
    <row r="7" spans="2:13" s="557" customFormat="1" ht="24.75" customHeight="1">
      <c r="B7" s="737"/>
      <c r="C7" s="737"/>
      <c r="D7" s="830" t="s">
        <v>1315</v>
      </c>
      <c r="E7" s="831"/>
      <c r="F7" s="830" t="s">
        <v>1850</v>
      </c>
      <c r="G7" s="833">
        <v>2017</v>
      </c>
      <c r="H7" s="833" t="s">
        <v>1354</v>
      </c>
      <c r="I7"/>
      <c r="J7" s="825" t="s">
        <v>1813</v>
      </c>
      <c r="K7" s="825">
        <v>164</v>
      </c>
      <c r="L7" s="825">
        <v>257</v>
      </c>
      <c r="M7"/>
    </row>
    <row r="8" spans="2:13" s="557" customFormat="1" ht="24.75" customHeight="1">
      <c r="B8" s="737"/>
      <c r="C8" s="737"/>
      <c r="D8" s="830" t="s">
        <v>1316</v>
      </c>
      <c r="E8" s="831"/>
      <c r="F8" s="830" t="s">
        <v>1851</v>
      </c>
      <c r="G8" s="833">
        <v>2017</v>
      </c>
      <c r="H8" s="833"/>
      <c r="J8" s="826" t="s">
        <v>1814</v>
      </c>
      <c r="K8" s="826" t="s">
        <v>3349</v>
      </c>
      <c r="L8" s="826">
        <v>122</v>
      </c>
      <c r="M8" s="826">
        <v>173</v>
      </c>
    </row>
    <row r="9" spans="2:13">
      <c r="B9" s="737"/>
      <c r="C9" s="737"/>
      <c r="D9" s="830" t="s">
        <v>1317</v>
      </c>
      <c r="E9" s="831"/>
      <c r="F9" s="830" t="s">
        <v>1852</v>
      </c>
      <c r="G9" s="833"/>
      <c r="H9" s="833"/>
      <c r="I9" s="557"/>
      <c r="J9" s="826" t="s">
        <v>2873</v>
      </c>
      <c r="K9" s="826">
        <v>98</v>
      </c>
      <c r="L9" s="826">
        <v>149</v>
      </c>
    </row>
    <row r="10" spans="2:13" ht="25.5" customHeight="1">
      <c r="B10" s="737"/>
      <c r="C10" s="737"/>
      <c r="D10" s="830" t="s">
        <v>1318</v>
      </c>
      <c r="E10" s="831"/>
      <c r="F10" s="830" t="s">
        <v>1319</v>
      </c>
      <c r="G10" s="833"/>
      <c r="H10" s="833">
        <v>2017</v>
      </c>
      <c r="I10" s="557"/>
      <c r="J10" s="826" t="s">
        <v>1813</v>
      </c>
      <c r="K10" s="826">
        <v>110</v>
      </c>
      <c r="L10" s="826">
        <v>161</v>
      </c>
    </row>
    <row r="11" spans="2:13" ht="25.5" customHeight="1">
      <c r="B11" s="559"/>
      <c r="C11" s="559"/>
      <c r="D11" s="830" t="s">
        <v>2601</v>
      </c>
      <c r="E11" s="830"/>
      <c r="F11" s="830" t="s">
        <v>1623</v>
      </c>
      <c r="G11" s="833"/>
      <c r="H11" s="833">
        <v>2018</v>
      </c>
      <c r="J11" s="827" t="s">
        <v>1815</v>
      </c>
      <c r="K11" s="827" t="s">
        <v>3349</v>
      </c>
      <c r="L11" s="827">
        <v>113</v>
      </c>
      <c r="M11" s="827">
        <v>158</v>
      </c>
    </row>
    <row r="12" spans="2:13">
      <c r="B12" s="559"/>
      <c r="C12" s="559"/>
      <c r="D12" s="830" t="s">
        <v>2602</v>
      </c>
      <c r="E12" s="830"/>
      <c r="F12" s="830" t="s">
        <v>2603</v>
      </c>
      <c r="G12" s="833"/>
      <c r="H12" s="833">
        <v>2018</v>
      </c>
      <c r="J12" s="827" t="s">
        <v>2873</v>
      </c>
      <c r="K12" s="827">
        <v>89</v>
      </c>
      <c r="L12" s="827">
        <v>134</v>
      </c>
    </row>
    <row r="13" spans="2:13">
      <c r="B13" s="737"/>
      <c r="C13" s="737"/>
      <c r="D13" s="830" t="s">
        <v>2598</v>
      </c>
      <c r="E13" s="830"/>
      <c r="F13" s="830" t="s">
        <v>2599</v>
      </c>
      <c r="G13" s="830" t="s">
        <v>2600</v>
      </c>
      <c r="H13" s="830">
        <v>2018</v>
      </c>
      <c r="J13" s="827" t="s">
        <v>1813</v>
      </c>
      <c r="K13" s="827">
        <v>101</v>
      </c>
      <c r="L13" s="827">
        <v>146</v>
      </c>
    </row>
    <row r="14" spans="2:13">
      <c r="B14" s="559" t="s">
        <v>1320</v>
      </c>
      <c r="C14" s="559"/>
      <c r="D14" s="559" t="s">
        <v>1321</v>
      </c>
      <c r="E14" s="559"/>
      <c r="F14" s="559" t="s">
        <v>1322</v>
      </c>
      <c r="G14" s="559"/>
      <c r="H14" s="737"/>
      <c r="J14" s="828" t="s">
        <v>1816</v>
      </c>
      <c r="K14" s="828">
        <v>54</v>
      </c>
      <c r="L14" s="828">
        <v>54</v>
      </c>
    </row>
    <row r="15" spans="2:13" s="557" customFormat="1">
      <c r="B15" s="559"/>
      <c r="C15" s="559"/>
      <c r="D15" s="830" t="s">
        <v>2622</v>
      </c>
      <c r="E15" s="831"/>
      <c r="F15" s="830" t="s">
        <v>2623</v>
      </c>
      <c r="G15" s="830"/>
      <c r="H15" s="830">
        <v>2018</v>
      </c>
      <c r="J15" s="824" t="s">
        <v>1817</v>
      </c>
      <c r="K15"/>
      <c r="L15"/>
      <c r="M15"/>
    </row>
    <row r="16" spans="2:13" ht="24">
      <c r="B16" s="403" t="s">
        <v>2597</v>
      </c>
      <c r="C16" s="737"/>
      <c r="D16" s="830" t="s">
        <v>1323</v>
      </c>
      <c r="E16" s="831"/>
      <c r="F16" s="830" t="s">
        <v>2587</v>
      </c>
      <c r="G16" s="830"/>
      <c r="H16" s="830">
        <v>2018</v>
      </c>
      <c r="J16" s="828" t="s">
        <v>1818</v>
      </c>
      <c r="K16" s="828" t="s">
        <v>3350</v>
      </c>
      <c r="L16" s="828">
        <v>48</v>
      </c>
      <c r="M16" s="828">
        <v>67</v>
      </c>
    </row>
    <row r="17" spans="2:14">
      <c r="B17" s="737"/>
      <c r="C17" s="737"/>
      <c r="D17" s="559" t="s">
        <v>1324</v>
      </c>
      <c r="E17" s="559"/>
      <c r="F17" s="559" t="s">
        <v>1631</v>
      </c>
      <c r="G17" s="559"/>
      <c r="H17" s="737"/>
      <c r="J17" s="828" t="s">
        <v>3351</v>
      </c>
      <c r="K17" s="828">
        <v>40</v>
      </c>
      <c r="L17" s="828">
        <v>60</v>
      </c>
    </row>
    <row r="18" spans="2:14">
      <c r="D18" s="559" t="s">
        <v>1628</v>
      </c>
      <c r="E18" s="559"/>
      <c r="F18" s="559" t="s">
        <v>1629</v>
      </c>
      <c r="G18" s="559"/>
      <c r="H18" s="737"/>
      <c r="J18" s="828" t="s">
        <v>1813</v>
      </c>
      <c r="K18" s="828">
        <v>45</v>
      </c>
      <c r="L18" s="828">
        <v>64</v>
      </c>
    </row>
    <row r="19" spans="2:14" s="557" customFormat="1">
      <c r="B19"/>
      <c r="C19"/>
      <c r="D19" s="830" t="s">
        <v>1856</v>
      </c>
      <c r="E19" s="831"/>
      <c r="F19" s="830" t="s">
        <v>1857</v>
      </c>
      <c r="G19" s="830">
        <v>2017</v>
      </c>
      <c r="H19" s="737"/>
      <c r="I19"/>
      <c r="J19" s="824" t="s">
        <v>3352</v>
      </c>
      <c r="K19" s="828" t="s">
        <v>1819</v>
      </c>
      <c r="L19"/>
      <c r="M19"/>
      <c r="N19" s="464"/>
    </row>
    <row r="20" spans="2:14" s="557" customFormat="1">
      <c r="B20"/>
      <c r="C20"/>
      <c r="D20" s="830" t="s">
        <v>1845</v>
      </c>
      <c r="E20" s="831"/>
      <c r="F20" s="830" t="s">
        <v>1846</v>
      </c>
      <c r="G20" s="830">
        <v>2017</v>
      </c>
      <c r="H20" s="737"/>
      <c r="I20"/>
      <c r="J20" s="824" t="s">
        <v>3353</v>
      </c>
      <c r="K20" s="828" t="s">
        <v>1819</v>
      </c>
      <c r="L20"/>
      <c r="M20"/>
      <c r="N20" s="464"/>
    </row>
    <row r="21" spans="2:14" s="557" customFormat="1">
      <c r="D21" s="830" t="s">
        <v>2588</v>
      </c>
      <c r="E21" s="831"/>
      <c r="F21" s="830" t="s">
        <v>2589</v>
      </c>
      <c r="G21" s="830">
        <v>2018</v>
      </c>
      <c r="H21" s="737"/>
      <c r="J21" s="824" t="s">
        <v>1820</v>
      </c>
      <c r="K21"/>
      <c r="L21"/>
      <c r="M21"/>
      <c r="N21" s="464"/>
    </row>
    <row r="22" spans="2:14" s="557" customFormat="1">
      <c r="D22" s="830" t="s">
        <v>2583</v>
      </c>
      <c r="E22" s="831"/>
      <c r="F22" s="830" t="s">
        <v>2584</v>
      </c>
      <c r="G22" s="830">
        <v>2018</v>
      </c>
      <c r="H22" s="737"/>
      <c r="J22" s="828" t="s">
        <v>1821</v>
      </c>
      <c r="K22" s="828">
        <v>39</v>
      </c>
      <c r="L22" s="828">
        <v>58</v>
      </c>
      <c r="M22"/>
      <c r="N22" s="464"/>
    </row>
    <row r="23" spans="2:14" ht="24">
      <c r="B23" s="557"/>
      <c r="C23" s="557"/>
      <c r="D23" s="830" t="s">
        <v>2585</v>
      </c>
      <c r="E23" s="831"/>
      <c r="F23" s="830" t="s">
        <v>2586</v>
      </c>
      <c r="G23" s="830">
        <v>2018</v>
      </c>
      <c r="H23" s="737"/>
      <c r="I23" s="557"/>
      <c r="J23" s="828" t="s">
        <v>3354</v>
      </c>
      <c r="K23" s="828" t="s">
        <v>3355</v>
      </c>
      <c r="L23" s="828">
        <v>41</v>
      </c>
      <c r="M23" s="828">
        <v>61</v>
      </c>
    </row>
    <row r="24" spans="2:14">
      <c r="B24" s="557"/>
      <c r="C24" s="557"/>
      <c r="D24" s="830" t="s">
        <v>2590</v>
      </c>
      <c r="E24" s="830" t="s">
        <v>2591</v>
      </c>
      <c r="F24" s="830" t="s">
        <v>2594</v>
      </c>
      <c r="G24" s="830" t="s">
        <v>2592</v>
      </c>
      <c r="H24" s="830" t="s">
        <v>2593</v>
      </c>
      <c r="I24" s="830"/>
      <c r="J24" s="828" t="s">
        <v>1813</v>
      </c>
      <c r="K24" s="828">
        <v>37</v>
      </c>
      <c r="L24" s="828">
        <v>57</v>
      </c>
    </row>
    <row r="25" spans="2:14">
      <c r="D25" s="830"/>
      <c r="E25" s="830" t="s">
        <v>2595</v>
      </c>
      <c r="F25" s="830" t="s">
        <v>2596</v>
      </c>
      <c r="G25" s="830"/>
      <c r="H25" s="830"/>
      <c r="I25" s="830">
        <v>2018</v>
      </c>
      <c r="J25" s="824" t="s">
        <v>165</v>
      </c>
    </row>
    <row r="26" spans="2:14">
      <c r="B26" s="557" t="s">
        <v>1848</v>
      </c>
      <c r="D26" s="830" t="s">
        <v>1849</v>
      </c>
      <c r="E26" s="831"/>
      <c r="F26" s="830"/>
      <c r="G26" s="557" t="s">
        <v>1627</v>
      </c>
      <c r="J26" s="828" t="s">
        <v>1822</v>
      </c>
      <c r="K26" s="828" t="s">
        <v>3356</v>
      </c>
      <c r="L26" s="828">
        <v>94</v>
      </c>
    </row>
    <row r="27" spans="2:14">
      <c r="J27" s="828" t="s">
        <v>1823</v>
      </c>
      <c r="K27" s="828">
        <v>63</v>
      </c>
    </row>
    <row r="28" spans="2:14">
      <c r="B28" s="559" t="s">
        <v>1325</v>
      </c>
      <c r="C28" s="559"/>
      <c r="D28" s="830" t="s">
        <v>1326</v>
      </c>
      <c r="E28" s="831"/>
      <c r="F28" s="830" t="s">
        <v>1622</v>
      </c>
      <c r="G28" s="830">
        <v>2017</v>
      </c>
      <c r="J28" s="828" t="s">
        <v>1813</v>
      </c>
      <c r="K28" s="828">
        <v>81</v>
      </c>
    </row>
    <row r="29" spans="2:14" ht="21" customHeight="1">
      <c r="D29" s="830" t="s">
        <v>2620</v>
      </c>
      <c r="E29" s="831"/>
      <c r="F29" s="830" t="s">
        <v>2621</v>
      </c>
      <c r="G29" s="830">
        <v>2018</v>
      </c>
      <c r="J29" s="828" t="s">
        <v>1824</v>
      </c>
      <c r="K29" s="828">
        <v>16</v>
      </c>
    </row>
    <row r="30" spans="2:14">
      <c r="B30" s="559" t="s">
        <v>1327</v>
      </c>
      <c r="C30" s="559"/>
      <c r="D30" s="830" t="s">
        <v>1853</v>
      </c>
      <c r="E30" s="831"/>
      <c r="F30" s="830" t="s">
        <v>1328</v>
      </c>
      <c r="G30" s="830">
        <v>2018</v>
      </c>
      <c r="J30" s="828" t="s">
        <v>1825</v>
      </c>
      <c r="K30" s="828">
        <v>8</v>
      </c>
    </row>
    <row r="31" spans="2:14">
      <c r="J31" s="824" t="s">
        <v>1826</v>
      </c>
    </row>
    <row r="32" spans="2:14">
      <c r="J32" s="828" t="s">
        <v>1827</v>
      </c>
      <c r="K32" s="828">
        <v>14</v>
      </c>
    </row>
    <row r="33" spans="1:12" ht="24" customHeight="1">
      <c r="B33" s="756" t="s">
        <v>1363</v>
      </c>
      <c r="C33" s="756"/>
      <c r="D33" s="756" t="s">
        <v>1364</v>
      </c>
      <c r="E33" s="756"/>
      <c r="F33" s="756" t="s">
        <v>1623</v>
      </c>
      <c r="J33" s="828" t="s">
        <v>1828</v>
      </c>
      <c r="K33" s="828">
        <v>154</v>
      </c>
    </row>
    <row r="34" spans="1:12" ht="23">
      <c r="B34" s="559" t="s">
        <v>643</v>
      </c>
      <c r="C34" s="559"/>
      <c r="D34" s="559" t="s">
        <v>1317</v>
      </c>
      <c r="E34" s="559"/>
      <c r="F34" s="559" t="s">
        <v>1623</v>
      </c>
      <c r="J34" s="828" t="s">
        <v>1829</v>
      </c>
      <c r="K34" s="828">
        <v>150</v>
      </c>
    </row>
    <row r="35" spans="1:12">
      <c r="B35" s="559" t="s">
        <v>1624</v>
      </c>
      <c r="C35" s="559"/>
      <c r="D35" s="559" t="s">
        <v>1625</v>
      </c>
      <c r="E35" s="559"/>
      <c r="F35" s="559" t="s">
        <v>1626</v>
      </c>
      <c r="J35" s="824" t="s">
        <v>1830</v>
      </c>
    </row>
    <row r="36" spans="1:12">
      <c r="D36" s="559" t="s">
        <v>1630</v>
      </c>
      <c r="F36" s="830" t="s">
        <v>1860</v>
      </c>
      <c r="J36" s="828" t="s">
        <v>1831</v>
      </c>
      <c r="K36" s="828">
        <v>50</v>
      </c>
    </row>
    <row r="37" spans="1:12">
      <c r="B37" s="559" t="s">
        <v>2609</v>
      </c>
      <c r="D37" s="830" t="s">
        <v>2610</v>
      </c>
      <c r="E37" s="831"/>
      <c r="F37" s="830" t="s">
        <v>2611</v>
      </c>
      <c r="G37" s="830">
        <v>2018</v>
      </c>
      <c r="J37" s="824" t="s">
        <v>1832</v>
      </c>
    </row>
    <row r="38" spans="1:12">
      <c r="B38" s="559" t="s">
        <v>2612</v>
      </c>
      <c r="D38" s="830" t="s">
        <v>2613</v>
      </c>
      <c r="E38" s="831"/>
      <c r="F38" s="830" t="s">
        <v>2614</v>
      </c>
      <c r="G38" s="830">
        <v>2018</v>
      </c>
      <c r="J38" s="828" t="s">
        <v>1833</v>
      </c>
      <c r="K38" s="828">
        <v>87</v>
      </c>
    </row>
    <row r="39" spans="1:12">
      <c r="B39" s="559" t="s">
        <v>2615</v>
      </c>
      <c r="D39" s="830" t="s">
        <v>2616</v>
      </c>
      <c r="E39" s="830"/>
      <c r="F39" s="830" t="s">
        <v>1623</v>
      </c>
      <c r="G39" s="830">
        <v>2018</v>
      </c>
      <c r="J39" s="824" t="s">
        <v>2590</v>
      </c>
    </row>
    <row r="40" spans="1:12">
      <c r="B40" s="559" t="s">
        <v>2617</v>
      </c>
      <c r="D40" s="830" t="s">
        <v>2618</v>
      </c>
      <c r="F40" s="830" t="s">
        <v>2619</v>
      </c>
      <c r="G40" s="830">
        <v>2018</v>
      </c>
      <c r="J40" s="828" t="s">
        <v>3357</v>
      </c>
      <c r="K40" s="828">
        <v>62</v>
      </c>
    </row>
    <row r="41" spans="1:12" ht="36.75" customHeight="1">
      <c r="J41" s="824" t="s">
        <v>1834</v>
      </c>
      <c r="K41" s="828">
        <v>62</v>
      </c>
    </row>
    <row r="42" spans="1:12" ht="36.75" customHeight="1">
      <c r="J42" s="824" t="s">
        <v>1835</v>
      </c>
      <c r="K42" s="828">
        <v>76</v>
      </c>
    </row>
    <row r="43" spans="1:12" ht="31.5" customHeight="1">
      <c r="J43" s="824" t="s">
        <v>1836</v>
      </c>
      <c r="K43" s="828">
        <v>12</v>
      </c>
    </row>
    <row r="44" spans="1:12" ht="25.5" customHeight="1">
      <c r="A44" s="830">
        <v>2018</v>
      </c>
      <c r="B44" s="830" t="s">
        <v>1854</v>
      </c>
      <c r="C44" s="831"/>
      <c r="D44" s="830" t="s">
        <v>1855</v>
      </c>
      <c r="E44" s="832">
        <v>2017</v>
      </c>
      <c r="H44" s="830"/>
      <c r="J44" s="824" t="s">
        <v>3358</v>
      </c>
      <c r="K44" s="828">
        <v>64</v>
      </c>
    </row>
    <row r="45" spans="1:12" ht="25.5" customHeight="1">
      <c r="B45" s="830" t="s">
        <v>1329</v>
      </c>
      <c r="C45" s="830"/>
      <c r="D45" s="830" t="s">
        <v>2578</v>
      </c>
      <c r="E45" s="830" t="s">
        <v>2576</v>
      </c>
      <c r="F45" s="830" t="s">
        <v>2579</v>
      </c>
      <c r="G45" s="830" t="s">
        <v>2577</v>
      </c>
      <c r="H45" s="830"/>
      <c r="I45" s="830" t="s">
        <v>2580</v>
      </c>
      <c r="J45" s="824" t="s">
        <v>1837</v>
      </c>
    </row>
    <row r="46" spans="1:12" ht="25.5" customHeight="1">
      <c r="B46" s="743" t="s">
        <v>1330</v>
      </c>
      <c r="C46" s="743"/>
      <c r="D46" s="743" t="s">
        <v>1331</v>
      </c>
      <c r="E46" s="743"/>
      <c r="J46" s="828" t="s">
        <v>1838</v>
      </c>
      <c r="K46" s="828">
        <v>34</v>
      </c>
      <c r="L46" s="828">
        <v>41</v>
      </c>
    </row>
    <row r="47" spans="1:12" ht="25.5" customHeight="1">
      <c r="B47" s="550" t="s">
        <v>1332</v>
      </c>
      <c r="D47" s="550" t="s">
        <v>1333</v>
      </c>
      <c r="J47" s="828" t="s">
        <v>1839</v>
      </c>
      <c r="K47" s="828">
        <v>31</v>
      </c>
      <c r="L47" s="828">
        <v>40</v>
      </c>
    </row>
    <row r="48" spans="1:12" ht="27.75" customHeight="1">
      <c r="B48" s="743" t="s">
        <v>1755</v>
      </c>
      <c r="C48" s="743"/>
      <c r="D48" s="757">
        <v>57</v>
      </c>
      <c r="J48" s="828" t="s">
        <v>1840</v>
      </c>
      <c r="K48" s="828">
        <v>17</v>
      </c>
      <c r="L48" s="828">
        <v>21</v>
      </c>
    </row>
    <row r="49" spans="2:12" ht="24.75" customHeight="1">
      <c r="B49" s="557"/>
      <c r="J49" s="828" t="s">
        <v>1841</v>
      </c>
      <c r="K49" s="828">
        <v>20</v>
      </c>
      <c r="L49" s="828">
        <v>30</v>
      </c>
    </row>
    <row r="50" spans="2:12" ht="24.75" customHeight="1">
      <c r="B50" s="501"/>
      <c r="J50" s="828" t="s">
        <v>3359</v>
      </c>
      <c r="K50" s="828">
        <v>21</v>
      </c>
    </row>
    <row r="51" spans="2:12" ht="31.5" customHeight="1">
      <c r="B51" s="557"/>
      <c r="J51" s="828" t="s">
        <v>1842</v>
      </c>
      <c r="K51" s="828">
        <v>21</v>
      </c>
    </row>
    <row r="52" spans="2:12" ht="31.5" customHeight="1">
      <c r="B52" s="501"/>
      <c r="J52" s="828" t="s">
        <v>1843</v>
      </c>
    </row>
    <row r="53" spans="2:12" ht="36.75" customHeight="1">
      <c r="B53" s="501"/>
      <c r="J53" s="824" t="s">
        <v>3360</v>
      </c>
      <c r="K53" s="828">
        <v>12</v>
      </c>
    </row>
    <row r="54" spans="2:12" ht="24">
      <c r="J54" s="828" t="s">
        <v>1844</v>
      </c>
    </row>
    <row r="55" spans="2:12">
      <c r="J55" s="829" t="s">
        <v>3361</v>
      </c>
    </row>
    <row r="56" spans="2:12">
      <c r="J56" s="828"/>
      <c r="K56" s="828"/>
      <c r="L56" s="828"/>
    </row>
    <row r="57" spans="2:12">
      <c r="J57" s="828"/>
      <c r="K57" s="828"/>
      <c r="L57" s="828"/>
    </row>
    <row r="58" spans="2:12">
      <c r="J58" s="828"/>
      <c r="K58" s="828"/>
      <c r="L58" s="828"/>
    </row>
    <row r="59" spans="2:12" ht="29.25" customHeight="1">
      <c r="J59" s="828"/>
      <c r="K59" s="828"/>
    </row>
    <row r="60" spans="2:12" ht="29.25" customHeight="1">
      <c r="J60" s="828"/>
    </row>
    <row r="61" spans="2:12" ht="29.25" customHeight="1">
      <c r="J61" s="824"/>
      <c r="K61" s="828"/>
    </row>
    <row r="62" spans="2:12">
      <c r="J62" s="828"/>
    </row>
    <row r="64" spans="2:12">
      <c r="J64" s="829"/>
    </row>
    <row r="75" s="281" customFormat="1"/>
    <row r="76" s="281" customFormat="1"/>
  </sheetData>
  <phoneticPr fontId="37" type="noConversion"/>
  <pageMargins left="0.75" right="0.75" top="1" bottom="1" header="0.5" footer="0.5"/>
  <pageSetup orientation="portrait" horizontalDpi="1200" verticalDpi="1200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view="pageBreakPreview" topLeftCell="A13" zoomScale="80" zoomScaleSheetLayoutView="80" workbookViewId="0">
      <selection activeCell="I31" sqref="I31:I33"/>
    </sheetView>
  </sheetViews>
  <sheetFormatPr defaultRowHeight="15.5"/>
  <cols>
    <col min="1" max="3" width="28.75" customWidth="1"/>
    <col min="4" max="4" width="30" customWidth="1"/>
    <col min="5" max="9" width="28.75" customWidth="1"/>
  </cols>
  <sheetData>
    <row r="1" spans="1:9">
      <c r="A1" s="2894" t="s">
        <v>1133</v>
      </c>
      <c r="B1" s="2895" t="s">
        <v>1134</v>
      </c>
      <c r="C1" s="502"/>
      <c r="D1" s="2896" t="s">
        <v>1135</v>
      </c>
      <c r="E1" s="2877" t="s">
        <v>1136</v>
      </c>
      <c r="F1" s="2877" t="s">
        <v>1137</v>
      </c>
      <c r="G1" s="2894" t="s">
        <v>1138</v>
      </c>
      <c r="H1" s="2889" t="s">
        <v>1139</v>
      </c>
      <c r="I1" s="2889"/>
    </row>
    <row r="2" spans="1:9">
      <c r="A2" s="2894"/>
      <c r="B2" s="2895"/>
      <c r="C2" s="502" t="s">
        <v>1140</v>
      </c>
      <c r="D2" s="2894"/>
      <c r="E2" s="2879"/>
      <c r="F2" s="2879"/>
      <c r="G2" s="2894"/>
      <c r="H2" s="503"/>
      <c r="I2" s="503" t="s">
        <v>1141</v>
      </c>
    </row>
    <row r="3" spans="1:9">
      <c r="A3" s="2877" t="s">
        <v>1142</v>
      </c>
      <c r="B3" s="2861" t="s">
        <v>1143</v>
      </c>
      <c r="C3" s="504"/>
      <c r="D3" s="2890" t="s">
        <v>1144</v>
      </c>
      <c r="E3" s="2868" t="s">
        <v>1145</v>
      </c>
      <c r="F3" s="2880" t="s">
        <v>99</v>
      </c>
      <c r="G3" s="2861" t="s">
        <v>1146</v>
      </c>
      <c r="H3" s="2883" t="s">
        <v>1147</v>
      </c>
      <c r="I3" s="2893" t="s">
        <v>1148</v>
      </c>
    </row>
    <row r="4" spans="1:9">
      <c r="A4" s="2878"/>
      <c r="B4" s="2873"/>
      <c r="C4" s="505" t="s">
        <v>1149</v>
      </c>
      <c r="D4" s="2891"/>
      <c r="E4" s="2885"/>
      <c r="F4" s="2881"/>
      <c r="G4" s="2873"/>
      <c r="H4" s="2881"/>
      <c r="I4" s="2893"/>
    </row>
    <row r="5" spans="1:9">
      <c r="A5" s="2879"/>
      <c r="B5" s="2862"/>
      <c r="C5" s="506"/>
      <c r="D5" s="2892"/>
      <c r="E5" s="2869"/>
      <c r="F5" s="2882"/>
      <c r="G5" s="2862"/>
      <c r="H5" s="2882"/>
      <c r="I5" s="2893"/>
    </row>
    <row r="6" spans="1:9">
      <c r="A6" s="2877" t="s">
        <v>1150</v>
      </c>
      <c r="B6" s="2880" t="s">
        <v>1151</v>
      </c>
      <c r="C6" s="507"/>
      <c r="D6" s="2888" t="s">
        <v>1152</v>
      </c>
      <c r="E6" s="2861" t="s">
        <v>1153</v>
      </c>
      <c r="F6" s="2880" t="s">
        <v>1154</v>
      </c>
      <c r="G6" s="2880" t="s">
        <v>99</v>
      </c>
      <c r="H6" s="2861" t="s">
        <v>1155</v>
      </c>
      <c r="I6" s="2883">
        <v>11</v>
      </c>
    </row>
    <row r="7" spans="1:9">
      <c r="A7" s="2878"/>
      <c r="B7" s="2881"/>
      <c r="C7" s="508" t="s">
        <v>1156</v>
      </c>
      <c r="D7" s="2881"/>
      <c r="E7" s="2873"/>
      <c r="F7" s="2881"/>
      <c r="G7" s="2881"/>
      <c r="H7" s="2873"/>
      <c r="I7" s="2881"/>
    </row>
    <row r="8" spans="1:9">
      <c r="A8" s="2878"/>
      <c r="B8" s="2881"/>
      <c r="C8" s="508"/>
      <c r="D8" s="2881"/>
      <c r="E8" s="2873"/>
      <c r="F8" s="2881"/>
      <c r="G8" s="2881"/>
      <c r="H8" s="2873"/>
      <c r="I8" s="2881"/>
    </row>
    <row r="9" spans="1:9">
      <c r="A9" s="2879"/>
      <c r="B9" s="2882"/>
      <c r="C9" s="509"/>
      <c r="D9" s="2882"/>
      <c r="E9" s="2862"/>
      <c r="F9" s="2882"/>
      <c r="G9" s="2882"/>
      <c r="H9" s="2862"/>
      <c r="I9" s="2882"/>
    </row>
    <row r="10" spans="1:9">
      <c r="A10" s="2877" t="s">
        <v>1157</v>
      </c>
      <c r="B10" s="2861" t="s">
        <v>1158</v>
      </c>
      <c r="C10" s="504"/>
      <c r="D10" s="2872" t="s">
        <v>1159</v>
      </c>
      <c r="E10" s="2868" t="s">
        <v>1160</v>
      </c>
      <c r="F10" s="2880" t="s">
        <v>1161</v>
      </c>
      <c r="G10" s="2880" t="s">
        <v>1162</v>
      </c>
      <c r="H10" s="2883" t="s">
        <v>1163</v>
      </c>
      <c r="I10" s="2883">
        <v>10</v>
      </c>
    </row>
    <row r="11" spans="1:9">
      <c r="A11" s="2878"/>
      <c r="B11" s="2873"/>
      <c r="C11" s="505" t="s">
        <v>1164</v>
      </c>
      <c r="D11" s="2873"/>
      <c r="E11" s="2885"/>
      <c r="F11" s="2881"/>
      <c r="G11" s="2881"/>
      <c r="H11" s="2881"/>
      <c r="I11" s="2881"/>
    </row>
    <row r="12" spans="1:9">
      <c r="A12" s="2879"/>
      <c r="B12" s="2862"/>
      <c r="C12" s="506"/>
      <c r="D12" s="2862"/>
      <c r="E12" s="2869"/>
      <c r="F12" s="2882"/>
      <c r="G12" s="2882"/>
      <c r="H12" s="2882"/>
      <c r="I12" s="2882"/>
    </row>
    <row r="13" spans="1:9">
      <c r="A13" s="2877" t="s">
        <v>1165</v>
      </c>
      <c r="B13" s="2861" t="s">
        <v>1166</v>
      </c>
      <c r="C13" s="504"/>
      <c r="D13" s="2872" t="s">
        <v>1167</v>
      </c>
      <c r="E13" s="2861" t="s">
        <v>1168</v>
      </c>
      <c r="F13" s="2880" t="s">
        <v>1161</v>
      </c>
      <c r="G13" s="2861" t="s">
        <v>1169</v>
      </c>
      <c r="H13" s="2883" t="s">
        <v>1170</v>
      </c>
      <c r="I13" s="2883">
        <v>20</v>
      </c>
    </row>
    <row r="14" spans="1:9">
      <c r="A14" s="2878"/>
      <c r="B14" s="2873"/>
      <c r="C14" s="505" t="s">
        <v>1171</v>
      </c>
      <c r="D14" s="2873"/>
      <c r="E14" s="2873"/>
      <c r="F14" s="2881"/>
      <c r="G14" s="2873"/>
      <c r="H14" s="2881"/>
      <c r="I14" s="2881"/>
    </row>
    <row r="15" spans="1:9">
      <c r="A15" s="2878"/>
      <c r="B15" s="2873"/>
      <c r="C15" s="505"/>
      <c r="D15" s="2873"/>
      <c r="E15" s="2873"/>
      <c r="F15" s="2881"/>
      <c r="G15" s="2873"/>
      <c r="H15" s="2881"/>
      <c r="I15" s="2881"/>
    </row>
    <row r="16" spans="1:9">
      <c r="A16" s="2879"/>
      <c r="B16" s="2862"/>
      <c r="C16" s="506"/>
      <c r="D16" s="2862"/>
      <c r="E16" s="2862"/>
      <c r="F16" s="2882"/>
      <c r="G16" s="2862"/>
      <c r="H16" s="2882"/>
      <c r="I16" s="2882"/>
    </row>
    <row r="17" spans="1:10">
      <c r="A17" s="2866" t="s">
        <v>1172</v>
      </c>
      <c r="B17" s="2880" t="s">
        <v>1173</v>
      </c>
      <c r="C17" s="507"/>
      <c r="D17" s="2888" t="s">
        <v>1174</v>
      </c>
      <c r="E17" s="2880" t="s">
        <v>1175</v>
      </c>
      <c r="F17" s="2880" t="s">
        <v>1176</v>
      </c>
      <c r="G17" s="2868"/>
      <c r="H17" s="2883" t="s">
        <v>1147</v>
      </c>
      <c r="I17" s="2883">
        <v>18</v>
      </c>
    </row>
    <row r="18" spans="1:10">
      <c r="A18" s="2886"/>
      <c r="B18" s="2881"/>
      <c r="C18" s="505" t="s">
        <v>1177</v>
      </c>
      <c r="D18" s="2881"/>
      <c r="E18" s="2881"/>
      <c r="F18" s="2881"/>
      <c r="G18" s="2885"/>
      <c r="H18" s="2881"/>
      <c r="I18" s="2881"/>
    </row>
    <row r="19" spans="1:10">
      <c r="A19" s="2867"/>
      <c r="B19" s="2882"/>
      <c r="C19" s="509"/>
      <c r="D19" s="2882"/>
      <c r="E19" s="2882"/>
      <c r="F19" s="2882"/>
      <c r="G19" s="2869"/>
      <c r="H19" s="2882"/>
      <c r="I19" s="2882"/>
    </row>
    <row r="20" spans="1:10">
      <c r="A20" s="2866" t="s">
        <v>1178</v>
      </c>
      <c r="B20" s="2880" t="s">
        <v>1179</v>
      </c>
      <c r="C20" s="507"/>
      <c r="D20" s="2887" t="s">
        <v>1180</v>
      </c>
      <c r="E20" s="2861" t="s">
        <v>1181</v>
      </c>
      <c r="F20" s="2861" t="s">
        <v>1176</v>
      </c>
      <c r="G20" s="2861" t="s">
        <v>1182</v>
      </c>
      <c r="H20" s="2884" t="s">
        <v>1183</v>
      </c>
      <c r="I20" s="2868" t="s">
        <v>1184</v>
      </c>
    </row>
    <row r="21" spans="1:10">
      <c r="A21" s="2886"/>
      <c r="B21" s="2881"/>
      <c r="C21" s="508" t="s">
        <v>1178</v>
      </c>
      <c r="D21" s="2873"/>
      <c r="E21" s="2873"/>
      <c r="F21" s="2873"/>
      <c r="G21" s="2873"/>
      <c r="H21" s="2873"/>
      <c r="I21" s="2885"/>
    </row>
    <row r="22" spans="1:10">
      <c r="A22" s="2886"/>
      <c r="B22" s="2881"/>
      <c r="C22" s="508" t="s">
        <v>1185</v>
      </c>
      <c r="D22" s="2873"/>
      <c r="E22" s="2873"/>
      <c r="F22" s="2873"/>
      <c r="G22" s="2873"/>
      <c r="H22" s="2873"/>
      <c r="I22" s="2885"/>
    </row>
    <row r="23" spans="1:10">
      <c r="A23" s="2867"/>
      <c r="B23" s="2882"/>
      <c r="C23" s="509"/>
      <c r="D23" s="2862"/>
      <c r="E23" s="2862"/>
      <c r="F23" s="2862"/>
      <c r="G23" s="2862"/>
      <c r="H23" s="2862"/>
      <c r="I23" s="2869"/>
    </row>
    <row r="24" spans="1:10">
      <c r="A24" s="2877" t="s">
        <v>1186</v>
      </c>
      <c r="B24" s="2861" t="s">
        <v>1187</v>
      </c>
      <c r="C24" s="504"/>
      <c r="D24" s="2872" t="s">
        <v>1188</v>
      </c>
      <c r="E24" s="2868" t="s">
        <v>1189</v>
      </c>
      <c r="F24" s="2861" t="s">
        <v>1190</v>
      </c>
      <c r="G24" s="2861" t="s">
        <v>1191</v>
      </c>
      <c r="H24" s="2884" t="s">
        <v>1192</v>
      </c>
      <c r="I24" s="2874" t="s">
        <v>1193</v>
      </c>
    </row>
    <row r="25" spans="1:10">
      <c r="A25" s="2878"/>
      <c r="B25" s="2873"/>
      <c r="C25" s="505" t="s">
        <v>1194</v>
      </c>
      <c r="D25" s="2873"/>
      <c r="E25" s="2885"/>
      <c r="F25" s="2873"/>
      <c r="G25" s="2873"/>
      <c r="H25" s="2873"/>
      <c r="I25" s="2875"/>
    </row>
    <row r="26" spans="1:10">
      <c r="A26" s="2878"/>
      <c r="B26" s="2873"/>
      <c r="C26" s="505"/>
      <c r="D26" s="2873"/>
      <c r="E26" s="2885"/>
      <c r="F26" s="2873"/>
      <c r="G26" s="2873"/>
      <c r="H26" s="2873"/>
      <c r="I26" s="2875"/>
    </row>
    <row r="27" spans="1:10">
      <c r="A27" s="2879"/>
      <c r="B27" s="2862"/>
      <c r="C27" s="506"/>
      <c r="D27" s="2862"/>
      <c r="E27" s="2869"/>
      <c r="F27" s="2862"/>
      <c r="G27" s="2862"/>
      <c r="H27" s="2862"/>
      <c r="I27" s="2876"/>
    </row>
    <row r="28" spans="1:10">
      <c r="A28" s="2877" t="s">
        <v>1195</v>
      </c>
      <c r="B28" s="2861" t="s">
        <v>1196</v>
      </c>
      <c r="C28" s="504"/>
      <c r="D28" s="2872" t="s">
        <v>1197</v>
      </c>
      <c r="E28" s="2880" t="s">
        <v>1198</v>
      </c>
      <c r="F28" s="2880" t="s">
        <v>99</v>
      </c>
      <c r="G28" s="2880" t="s">
        <v>99</v>
      </c>
      <c r="H28" s="2861" t="s">
        <v>1199</v>
      </c>
      <c r="I28" s="2874" t="s">
        <v>1200</v>
      </c>
      <c r="J28" s="500" t="s">
        <v>1252</v>
      </c>
    </row>
    <row r="29" spans="1:10">
      <c r="A29" s="2878"/>
      <c r="B29" s="2873"/>
      <c r="C29" s="505" t="s">
        <v>1195</v>
      </c>
      <c r="D29" s="2873"/>
      <c r="E29" s="2881"/>
      <c r="F29" s="2881"/>
      <c r="G29" s="2881"/>
      <c r="H29" s="2873"/>
      <c r="I29" s="2875"/>
    </row>
    <row r="30" spans="1:10">
      <c r="A30" s="2879"/>
      <c r="B30" s="2862"/>
      <c r="C30" s="506"/>
      <c r="D30" s="2862"/>
      <c r="E30" s="2882"/>
      <c r="F30" s="2882"/>
      <c r="G30" s="2882"/>
      <c r="H30" s="2862"/>
      <c r="I30" s="2876"/>
    </row>
    <row r="31" spans="1:10">
      <c r="A31" s="2877" t="s">
        <v>402</v>
      </c>
      <c r="B31" s="2861" t="s">
        <v>1201</v>
      </c>
      <c r="C31" s="504"/>
      <c r="D31" s="2872" t="s">
        <v>1202</v>
      </c>
      <c r="E31" s="2861" t="s">
        <v>1203</v>
      </c>
      <c r="F31" s="2880" t="s">
        <v>99</v>
      </c>
      <c r="G31" s="2880" t="s">
        <v>99</v>
      </c>
      <c r="H31" s="2883" t="s">
        <v>1204</v>
      </c>
      <c r="I31" s="2874" t="s">
        <v>1205</v>
      </c>
    </row>
    <row r="32" spans="1:10">
      <c r="A32" s="2878"/>
      <c r="B32" s="2873"/>
      <c r="C32" s="505" t="s">
        <v>1206</v>
      </c>
      <c r="D32" s="2873"/>
      <c r="E32" s="2873"/>
      <c r="F32" s="2881"/>
      <c r="G32" s="2881"/>
      <c r="H32" s="2881"/>
      <c r="I32" s="2875"/>
    </row>
    <row r="33" spans="1:9">
      <c r="A33" s="2879"/>
      <c r="B33" s="2862"/>
      <c r="C33" s="506"/>
      <c r="D33" s="2862"/>
      <c r="E33" s="2862"/>
      <c r="F33" s="2882"/>
      <c r="G33" s="2882"/>
      <c r="H33" s="2882"/>
      <c r="I33" s="2876"/>
    </row>
    <row r="34" spans="1:9">
      <c r="A34" s="2866" t="s">
        <v>1207</v>
      </c>
      <c r="B34" s="2868" t="s">
        <v>1208</v>
      </c>
      <c r="C34" s="510" t="s">
        <v>1209</v>
      </c>
      <c r="D34" s="2870" t="s">
        <v>1210</v>
      </c>
      <c r="E34" s="511" t="s">
        <v>1211</v>
      </c>
      <c r="F34" s="512"/>
      <c r="G34" s="512"/>
      <c r="H34" s="2871" t="s">
        <v>1212</v>
      </c>
      <c r="I34" s="2861" t="s">
        <v>1213</v>
      </c>
    </row>
    <row r="35" spans="1:9">
      <c r="A35" s="2867"/>
      <c r="B35" s="2869"/>
      <c r="C35" s="513"/>
      <c r="D35" s="2869"/>
      <c r="E35" s="514"/>
      <c r="F35" s="506" t="s">
        <v>99</v>
      </c>
      <c r="G35" s="506" t="s">
        <v>99</v>
      </c>
      <c r="H35" s="2869"/>
      <c r="I35" s="2862"/>
    </row>
    <row r="36" spans="1:9">
      <c r="A36" s="2866" t="s">
        <v>1214</v>
      </c>
      <c r="B36" s="2861" t="s">
        <v>1215</v>
      </c>
      <c r="C36" s="504" t="s">
        <v>1214</v>
      </c>
      <c r="D36" s="2872" t="s">
        <v>1216</v>
      </c>
      <c r="E36" s="2861" t="s">
        <v>1217</v>
      </c>
      <c r="F36" s="2861" t="s">
        <v>99</v>
      </c>
      <c r="G36" s="2861" t="s">
        <v>1218</v>
      </c>
      <c r="H36" s="2863" t="s">
        <v>1219</v>
      </c>
      <c r="I36" s="2864" t="s">
        <v>1220</v>
      </c>
    </row>
    <row r="37" spans="1:9">
      <c r="A37" s="2867"/>
      <c r="B37" s="2862"/>
      <c r="C37" s="506"/>
      <c r="D37" s="2862"/>
      <c r="E37" s="2862"/>
      <c r="F37" s="2862"/>
      <c r="G37" s="2862"/>
      <c r="H37" s="2862"/>
      <c r="I37" s="2865"/>
    </row>
    <row r="38" spans="1:9">
      <c r="A38" s="515" t="s">
        <v>1221</v>
      </c>
      <c r="B38" s="494" t="s">
        <v>1222</v>
      </c>
      <c r="C38" s="494" t="s">
        <v>1223</v>
      </c>
      <c r="D38" s="494" t="s">
        <v>1224</v>
      </c>
      <c r="E38" s="516" t="s">
        <v>1225</v>
      </c>
      <c r="F38" s="517" t="s">
        <v>1176</v>
      </c>
      <c r="G38" s="494"/>
      <c r="H38" s="517" t="s">
        <v>1155</v>
      </c>
      <c r="I38" s="517">
        <v>11</v>
      </c>
    </row>
    <row r="39" spans="1:9" ht="31">
      <c r="A39" s="515" t="s">
        <v>1226</v>
      </c>
      <c r="B39" s="494" t="s">
        <v>1227</v>
      </c>
      <c r="C39" s="494" t="s">
        <v>1228</v>
      </c>
      <c r="D39" s="518" t="s">
        <v>1229</v>
      </c>
      <c r="E39" s="519" t="s">
        <v>1230</v>
      </c>
      <c r="F39" s="494"/>
      <c r="G39" s="494"/>
      <c r="H39" s="494" t="s">
        <v>1231</v>
      </c>
      <c r="I39" s="520" t="s">
        <v>1232</v>
      </c>
    </row>
    <row r="40" spans="1:9" ht="31">
      <c r="A40" s="515" t="s">
        <v>1233</v>
      </c>
      <c r="B40" s="520" t="s">
        <v>1234</v>
      </c>
      <c r="C40" s="520" t="s">
        <v>1235</v>
      </c>
      <c r="D40" s="518" t="s">
        <v>1236</v>
      </c>
      <c r="E40" s="520" t="s">
        <v>1237</v>
      </c>
      <c r="F40" s="516" t="s">
        <v>1176</v>
      </c>
      <c r="G40" s="494"/>
      <c r="H40" s="517" t="s">
        <v>1238</v>
      </c>
      <c r="I40" s="520" t="s">
        <v>1239</v>
      </c>
    </row>
    <row r="41" spans="1:9">
      <c r="A41" s="521" t="s">
        <v>1240</v>
      </c>
      <c r="B41" s="494" t="s">
        <v>1241</v>
      </c>
      <c r="C41" s="494" t="s">
        <v>1242</v>
      </c>
      <c r="D41" s="522" t="s">
        <v>1243</v>
      </c>
      <c r="E41" s="523" t="s">
        <v>1244</v>
      </c>
      <c r="F41" s="494"/>
      <c r="G41" s="517" t="s">
        <v>1245</v>
      </c>
      <c r="H41" s="524" t="s">
        <v>1163</v>
      </c>
      <c r="I41" s="524">
        <v>15</v>
      </c>
    </row>
    <row r="42" spans="1:9" ht="31">
      <c r="A42" s="521" t="s">
        <v>1246</v>
      </c>
      <c r="B42" s="517" t="s">
        <v>1247</v>
      </c>
      <c r="C42" s="517" t="s">
        <v>1248</v>
      </c>
      <c r="D42" s="525" t="s">
        <v>1249</v>
      </c>
      <c r="E42" s="516" t="s">
        <v>1250</v>
      </c>
      <c r="F42" s="517" t="s">
        <v>1154</v>
      </c>
      <c r="G42" s="517" t="s">
        <v>1245</v>
      </c>
      <c r="H42" s="517" t="s">
        <v>1231</v>
      </c>
      <c r="I42" s="520" t="s">
        <v>1251</v>
      </c>
    </row>
    <row r="45" spans="1:9" ht="30">
      <c r="B45" s="526" t="s">
        <v>1253</v>
      </c>
      <c r="C45" s="526"/>
      <c r="D45" s="526"/>
    </row>
    <row r="46" spans="1:9">
      <c r="A46" s="549" t="s">
        <v>1305</v>
      </c>
    </row>
    <row r="48" spans="1:9">
      <c r="A48" s="551" t="s">
        <v>1301</v>
      </c>
    </row>
    <row r="50" spans="1:1">
      <c r="A50" s="551" t="s">
        <v>1302</v>
      </c>
    </row>
    <row r="52" spans="1:1">
      <c r="A52" s="551" t="s">
        <v>1303</v>
      </c>
    </row>
    <row r="54" spans="1:1">
      <c r="A54" s="551" t="s">
        <v>1304</v>
      </c>
    </row>
  </sheetData>
  <mergeCells count="92">
    <mergeCell ref="H1:I1"/>
    <mergeCell ref="A3:A5"/>
    <mergeCell ref="B3:B5"/>
    <mergeCell ref="D3:D5"/>
    <mergeCell ref="E3:E5"/>
    <mergeCell ref="F3:F5"/>
    <mergeCell ref="G3:G5"/>
    <mergeCell ref="H3:H5"/>
    <mergeCell ref="I3:I5"/>
    <mergeCell ref="A1:A2"/>
    <mergeCell ref="B1:B2"/>
    <mergeCell ref="D1:D2"/>
    <mergeCell ref="E1:E2"/>
    <mergeCell ref="F1:F2"/>
    <mergeCell ref="G1:G2"/>
    <mergeCell ref="H6:H9"/>
    <mergeCell ref="I6:I9"/>
    <mergeCell ref="A10:A12"/>
    <mergeCell ref="B10:B12"/>
    <mergeCell ref="D10:D12"/>
    <mergeCell ref="E10:E12"/>
    <mergeCell ref="F10:F12"/>
    <mergeCell ref="G10:G12"/>
    <mergeCell ref="H10:H12"/>
    <mergeCell ref="I10:I12"/>
    <mergeCell ref="A6:A9"/>
    <mergeCell ref="B6:B9"/>
    <mergeCell ref="D6:D9"/>
    <mergeCell ref="E6:E9"/>
    <mergeCell ref="F6:F9"/>
    <mergeCell ref="G6:G9"/>
    <mergeCell ref="H13:H16"/>
    <mergeCell ref="I13:I16"/>
    <mergeCell ref="A17:A19"/>
    <mergeCell ref="B17:B19"/>
    <mergeCell ref="D17:D19"/>
    <mergeCell ref="E17:E19"/>
    <mergeCell ref="F17:F19"/>
    <mergeCell ref="G17:G19"/>
    <mergeCell ref="H17:H19"/>
    <mergeCell ref="I17:I19"/>
    <mergeCell ref="A13:A16"/>
    <mergeCell ref="B13:B16"/>
    <mergeCell ref="D13:D16"/>
    <mergeCell ref="E13:E16"/>
    <mergeCell ref="F13:F16"/>
    <mergeCell ref="G13:G16"/>
    <mergeCell ref="H20:H23"/>
    <mergeCell ref="I20:I23"/>
    <mergeCell ref="A24:A27"/>
    <mergeCell ref="B24:B27"/>
    <mergeCell ref="D24:D27"/>
    <mergeCell ref="E24:E27"/>
    <mergeCell ref="F24:F27"/>
    <mergeCell ref="G24:G27"/>
    <mergeCell ref="H24:H27"/>
    <mergeCell ref="I24:I27"/>
    <mergeCell ref="A20:A23"/>
    <mergeCell ref="B20:B23"/>
    <mergeCell ref="D20:D23"/>
    <mergeCell ref="E20:E23"/>
    <mergeCell ref="F20:F23"/>
    <mergeCell ref="G20:G23"/>
    <mergeCell ref="H28:H30"/>
    <mergeCell ref="I28:I30"/>
    <mergeCell ref="A31:A33"/>
    <mergeCell ref="B31:B33"/>
    <mergeCell ref="D31:D33"/>
    <mergeCell ref="E31:E33"/>
    <mergeCell ref="F31:F33"/>
    <mergeCell ref="G31:G33"/>
    <mergeCell ref="H31:H33"/>
    <mergeCell ref="I31:I33"/>
    <mergeCell ref="A28:A30"/>
    <mergeCell ref="B28:B30"/>
    <mergeCell ref="D28:D30"/>
    <mergeCell ref="E28:E30"/>
    <mergeCell ref="F28:F30"/>
    <mergeCell ref="G28:G30"/>
    <mergeCell ref="G36:G37"/>
    <mergeCell ref="H36:H37"/>
    <mergeCell ref="I36:I37"/>
    <mergeCell ref="A34:A35"/>
    <mergeCell ref="B34:B35"/>
    <mergeCell ref="D34:D35"/>
    <mergeCell ref="H34:H35"/>
    <mergeCell ref="I34:I35"/>
    <mergeCell ref="A36:A37"/>
    <mergeCell ref="B36:B37"/>
    <mergeCell ref="D36:D37"/>
    <mergeCell ref="E36:E37"/>
    <mergeCell ref="F36:F37"/>
  </mergeCells>
  <phoneticPr fontId="26" type="noConversion"/>
  <pageMargins left="0.7" right="0.7" top="0.75" bottom="0.75" header="0.3" footer="0.3"/>
  <pageSetup paperSize="9" scale="98" orientation="portrait" r:id="rId1"/>
  <rowBreaks count="1" manualBreakCount="1">
    <brk id="35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2"/>
  <sheetViews>
    <sheetView topLeftCell="A51" workbookViewId="0">
      <selection activeCell="E192" sqref="E192"/>
    </sheetView>
  </sheetViews>
  <sheetFormatPr defaultColWidth="8" defaultRowHeight="11"/>
  <cols>
    <col min="1" max="1" width="11" style="1612" customWidth="1"/>
    <col min="2" max="2" width="8" style="1612"/>
    <col min="3" max="3" width="18.08203125" style="1612" customWidth="1"/>
    <col min="4" max="16384" width="8" style="1612"/>
  </cols>
  <sheetData>
    <row r="1" spans="1:30" ht="13.5" thickBot="1">
      <c r="A1" s="2973" t="s">
        <v>3124</v>
      </c>
      <c r="B1" s="2975" t="s">
        <v>3449</v>
      </c>
      <c r="C1" s="2976"/>
      <c r="D1" s="2976"/>
      <c r="E1" s="2976"/>
      <c r="F1" s="2976"/>
      <c r="G1" s="2976"/>
      <c r="H1" s="2976"/>
      <c r="I1" s="2976"/>
      <c r="J1" s="2976"/>
      <c r="K1" s="2976"/>
      <c r="L1" s="2976"/>
      <c r="M1" s="2976"/>
      <c r="N1" s="2976"/>
      <c r="O1" s="2976"/>
      <c r="P1" s="2976"/>
      <c r="Q1" s="2976"/>
      <c r="R1" s="2976"/>
      <c r="S1" s="2976"/>
      <c r="T1" s="2976"/>
      <c r="U1" s="2976"/>
      <c r="V1" s="2976"/>
      <c r="W1" s="2976"/>
      <c r="X1" s="2976"/>
      <c r="Y1" s="2976"/>
      <c r="Z1" s="2976"/>
      <c r="AA1" s="2976"/>
      <c r="AB1" s="2976"/>
      <c r="AC1" s="2976"/>
      <c r="AD1" s="1609"/>
    </row>
    <row r="2" spans="1:30" ht="13.5" thickBot="1">
      <c r="A2" s="2974"/>
      <c r="B2" s="2975" t="s">
        <v>3450</v>
      </c>
      <c r="C2" s="2976"/>
      <c r="D2" s="2976"/>
      <c r="E2" s="2976"/>
      <c r="F2" s="2976"/>
      <c r="G2" s="2976"/>
      <c r="H2" s="2976"/>
      <c r="I2" s="2976"/>
      <c r="J2" s="2976"/>
      <c r="K2" s="2976"/>
      <c r="L2" s="2976"/>
      <c r="M2" s="2976"/>
      <c r="N2" s="2976"/>
      <c r="O2" s="2976"/>
      <c r="P2" s="2976"/>
      <c r="Q2" s="2976"/>
      <c r="R2" s="2976"/>
      <c r="S2" s="2976"/>
      <c r="T2" s="2976"/>
      <c r="U2" s="2976"/>
      <c r="V2" s="2976"/>
      <c r="W2" s="2976"/>
      <c r="X2" s="2976"/>
      <c r="Y2" s="2976"/>
      <c r="Z2" s="2976"/>
      <c r="AA2" s="2976"/>
      <c r="AB2" s="2976"/>
      <c r="AC2" s="2976"/>
      <c r="AD2" s="1613"/>
    </row>
    <row r="3" spans="1:30" ht="13" thickBot="1">
      <c r="A3" s="2974"/>
      <c r="B3" s="2977" t="s">
        <v>3451</v>
      </c>
      <c r="C3" s="2978"/>
      <c r="D3" s="2978"/>
      <c r="E3" s="2978"/>
      <c r="F3" s="2978"/>
      <c r="G3" s="2978"/>
      <c r="H3" s="2978"/>
      <c r="I3" s="2978"/>
      <c r="J3" s="2978"/>
      <c r="K3" s="2978"/>
      <c r="L3" s="2978"/>
      <c r="M3" s="2978"/>
      <c r="N3" s="2978"/>
      <c r="O3" s="2978"/>
      <c r="P3" s="2978"/>
      <c r="Q3" s="2978"/>
      <c r="R3" s="2978"/>
      <c r="S3" s="2978"/>
      <c r="T3" s="2978"/>
      <c r="U3" s="2978"/>
      <c r="V3" s="2978"/>
      <c r="W3" s="2978"/>
      <c r="X3" s="2978"/>
      <c r="Y3" s="2978"/>
      <c r="Z3" s="2978"/>
      <c r="AA3" s="2978"/>
      <c r="AB3" s="2978"/>
      <c r="AC3" s="2978"/>
      <c r="AD3" s="1613"/>
    </row>
    <row r="4" spans="1:30" ht="13" thickBot="1">
      <c r="A4" s="2974"/>
      <c r="B4" s="2977" t="s">
        <v>3452</v>
      </c>
      <c r="C4" s="2978"/>
      <c r="D4" s="2978"/>
      <c r="E4" s="2978"/>
      <c r="F4" s="2978"/>
      <c r="G4" s="2978"/>
      <c r="H4" s="2978"/>
      <c r="I4" s="2978"/>
      <c r="J4" s="2978"/>
      <c r="K4" s="2978"/>
      <c r="L4" s="2978"/>
      <c r="M4" s="2978"/>
      <c r="N4" s="2978"/>
      <c r="O4" s="2978"/>
      <c r="P4" s="2978"/>
      <c r="Q4" s="2978"/>
      <c r="R4" s="2978"/>
      <c r="S4" s="2978"/>
      <c r="T4" s="2978"/>
      <c r="U4" s="2978"/>
      <c r="V4" s="2978"/>
      <c r="W4" s="2978"/>
      <c r="X4" s="2978"/>
      <c r="Y4" s="2978"/>
      <c r="Z4" s="2978"/>
      <c r="AA4" s="2978"/>
      <c r="AB4" s="2978"/>
      <c r="AC4" s="2978"/>
      <c r="AD4" s="1613"/>
    </row>
    <row r="5" spans="1:30">
      <c r="A5" s="2974"/>
      <c r="B5" s="2979" t="s">
        <v>3453</v>
      </c>
      <c r="C5" s="1614"/>
      <c r="D5" s="1615"/>
      <c r="E5" s="1256"/>
      <c r="F5" s="1256"/>
      <c r="G5" s="1256"/>
      <c r="H5" s="1256"/>
      <c r="I5" s="1256"/>
      <c r="J5" s="1256"/>
      <c r="K5" s="1256"/>
      <c r="L5" s="1256"/>
      <c r="M5" s="1256"/>
      <c r="N5" s="1256"/>
      <c r="O5" s="1256"/>
      <c r="P5" s="1256"/>
      <c r="Q5" s="1901"/>
      <c r="R5" s="2982" t="s">
        <v>3125</v>
      </c>
      <c r="S5" s="2983"/>
      <c r="T5" s="2983"/>
      <c r="U5" s="2983"/>
      <c r="V5" s="2983"/>
      <c r="W5" s="2983"/>
      <c r="X5" s="2983"/>
      <c r="Y5" s="2984"/>
      <c r="Z5" s="2983" t="s">
        <v>3454</v>
      </c>
      <c r="AA5" s="2983"/>
      <c r="AB5" s="2983"/>
      <c r="AC5" s="2984"/>
      <c r="AD5" s="1902"/>
    </row>
    <row r="6" spans="1:30" ht="12" thickBot="1">
      <c r="A6" s="2974"/>
      <c r="B6" s="2980"/>
      <c r="C6" s="1616"/>
      <c r="D6" s="1882"/>
      <c r="E6" s="2988" t="s">
        <v>3126</v>
      </c>
      <c r="F6" s="2988"/>
      <c r="G6" s="2988"/>
      <c r="H6" s="2988"/>
      <c r="I6" s="2988"/>
      <c r="J6" s="2988"/>
      <c r="K6" s="2988"/>
      <c r="L6" s="2988"/>
      <c r="M6" s="2988"/>
      <c r="N6" s="2988"/>
      <c r="O6" s="2988"/>
      <c r="P6" s="2988"/>
      <c r="Q6" s="2989"/>
      <c r="R6" s="2985"/>
      <c r="S6" s="2986"/>
      <c r="T6" s="2986"/>
      <c r="U6" s="2986"/>
      <c r="V6" s="2986"/>
      <c r="W6" s="2986"/>
      <c r="X6" s="2986"/>
      <c r="Y6" s="2987"/>
      <c r="Z6" s="2986"/>
      <c r="AA6" s="2986"/>
      <c r="AB6" s="2986"/>
      <c r="AC6" s="2987"/>
      <c r="AD6" s="1902"/>
    </row>
    <row r="7" spans="1:30" ht="21">
      <c r="A7" s="2974"/>
      <c r="B7" s="2980"/>
      <c r="C7" s="1605" t="s">
        <v>174</v>
      </c>
      <c r="D7" s="1903"/>
      <c r="E7" s="3018" t="s">
        <v>3130</v>
      </c>
      <c r="F7" s="3019"/>
      <c r="G7" s="3019"/>
      <c r="H7" s="3019"/>
      <c r="I7" s="3019"/>
      <c r="J7" s="3019"/>
      <c r="K7" s="3019"/>
      <c r="L7" s="3019"/>
      <c r="M7" s="3019"/>
      <c r="N7" s="3019"/>
      <c r="O7" s="3019"/>
      <c r="P7" s="3019"/>
      <c r="Q7" s="3020"/>
      <c r="R7" s="2982" t="s">
        <v>3127</v>
      </c>
      <c r="S7" s="2990"/>
      <c r="T7" s="2994" t="s">
        <v>3455</v>
      </c>
      <c r="U7" s="2990"/>
      <c r="V7" s="2994" t="s">
        <v>3456</v>
      </c>
      <c r="W7" s="2990"/>
      <c r="X7" s="2997" t="s">
        <v>3128</v>
      </c>
      <c r="Y7" s="2998"/>
      <c r="Z7" s="2994" t="s">
        <v>3457</v>
      </c>
      <c r="AA7" s="2990"/>
      <c r="AB7" s="2994" t="s">
        <v>3458</v>
      </c>
      <c r="AC7" s="3004" t="s">
        <v>3459</v>
      </c>
      <c r="AD7" s="1611"/>
    </row>
    <row r="8" spans="1:30" ht="20.25" customHeight="1" thickBot="1">
      <c r="A8" s="2974"/>
      <c r="B8" s="2980"/>
      <c r="C8" s="1605" t="s">
        <v>3129</v>
      </c>
      <c r="D8" s="1904"/>
      <c r="E8" s="3021"/>
      <c r="F8" s="3022"/>
      <c r="G8" s="3022"/>
      <c r="H8" s="3022"/>
      <c r="I8" s="3022"/>
      <c r="J8" s="3022"/>
      <c r="K8" s="3022"/>
      <c r="L8" s="3022"/>
      <c r="M8" s="3022"/>
      <c r="N8" s="3022"/>
      <c r="O8" s="3022"/>
      <c r="P8" s="3022"/>
      <c r="Q8" s="3023"/>
      <c r="R8" s="2991"/>
      <c r="S8" s="2992"/>
      <c r="T8" s="2995"/>
      <c r="U8" s="2992"/>
      <c r="V8" s="2995"/>
      <c r="W8" s="2992"/>
      <c r="X8" s="2999"/>
      <c r="Y8" s="3000"/>
      <c r="Z8" s="2995"/>
      <c r="AA8" s="2992"/>
      <c r="AB8" s="3003"/>
      <c r="AC8" s="3005"/>
      <c r="AD8" s="1610"/>
    </row>
    <row r="9" spans="1:30" ht="12" hidden="1" thickBot="1">
      <c r="A9" s="2974"/>
      <c r="B9" s="2980"/>
      <c r="C9" s="1606"/>
      <c r="D9" s="1606"/>
      <c r="E9" s="3022" t="s">
        <v>3131</v>
      </c>
      <c r="F9" s="3022"/>
      <c r="G9" s="3022"/>
      <c r="H9" s="3022"/>
      <c r="I9" s="3022"/>
      <c r="J9" s="3022"/>
      <c r="K9" s="3022"/>
      <c r="L9" s="3022"/>
      <c r="M9" s="3022"/>
      <c r="N9" s="3022"/>
      <c r="O9" s="3022"/>
      <c r="P9" s="3022"/>
      <c r="Q9" s="3030"/>
      <c r="R9" s="2985"/>
      <c r="S9" s="2993"/>
      <c r="T9" s="2996"/>
      <c r="U9" s="2993"/>
      <c r="V9" s="2996"/>
      <c r="W9" s="2993"/>
      <c r="X9" s="3001"/>
      <c r="Y9" s="3002"/>
      <c r="Z9" s="2996"/>
      <c r="AA9" s="2993"/>
      <c r="AB9" s="3003"/>
      <c r="AC9" s="3006"/>
      <c r="AD9" s="1611"/>
    </row>
    <row r="10" spans="1:30" ht="12" hidden="1" thickBot="1">
      <c r="A10" s="2974"/>
      <c r="B10" s="2981"/>
      <c r="C10" s="1607"/>
      <c r="D10" s="1607"/>
      <c r="E10" s="2988" t="s">
        <v>3132</v>
      </c>
      <c r="F10" s="2988"/>
      <c r="G10" s="2988"/>
      <c r="H10" s="2988"/>
      <c r="I10" s="2988"/>
      <c r="J10" s="2988"/>
      <c r="K10" s="2988"/>
      <c r="L10" s="2988"/>
      <c r="M10" s="2988"/>
      <c r="N10" s="2988"/>
      <c r="O10" s="2988"/>
      <c r="P10" s="2988"/>
      <c r="Q10" s="3009"/>
      <c r="R10" s="3010" t="s">
        <v>3133</v>
      </c>
      <c r="S10" s="3011"/>
      <c r="T10" s="3011"/>
      <c r="U10" s="3011"/>
      <c r="V10" s="3011"/>
      <c r="W10" s="3011"/>
      <c r="X10" s="3011"/>
      <c r="Y10" s="3011"/>
      <c r="Z10" s="3011"/>
      <c r="AA10" s="3012"/>
      <c r="AB10" s="1617"/>
      <c r="AC10" s="1618"/>
      <c r="AD10" s="1611"/>
    </row>
    <row r="11" spans="1:30" ht="11.5" hidden="1" thickBot="1">
      <c r="A11" s="2974"/>
      <c r="B11" s="1619"/>
      <c r="C11" s="1620"/>
      <c r="D11" s="1905" t="s">
        <v>3416</v>
      </c>
      <c r="E11" s="1621"/>
      <c r="F11" s="3013" t="s">
        <v>3134</v>
      </c>
      <c r="G11" s="3014"/>
      <c r="H11" s="3013" t="s">
        <v>3135</v>
      </c>
      <c r="I11" s="3014"/>
      <c r="J11" s="3015" t="s">
        <v>3136</v>
      </c>
      <c r="K11" s="3016"/>
      <c r="L11" s="3015" t="s">
        <v>3137</v>
      </c>
      <c r="M11" s="3016"/>
      <c r="N11" s="3015" t="s">
        <v>3138</v>
      </c>
      <c r="O11" s="3016"/>
      <c r="P11" s="3015" t="s">
        <v>3139</v>
      </c>
      <c r="Q11" s="3017"/>
      <c r="R11" s="1622" t="s">
        <v>3140</v>
      </c>
      <c r="S11" s="1623" t="s">
        <v>3141</v>
      </c>
      <c r="T11" s="1624" t="s">
        <v>3140</v>
      </c>
      <c r="U11" s="1623" t="s">
        <v>3141</v>
      </c>
      <c r="V11" s="1625" t="s">
        <v>3140</v>
      </c>
      <c r="W11" s="1626" t="s">
        <v>3141</v>
      </c>
      <c r="X11" s="1625" t="s">
        <v>3140</v>
      </c>
      <c r="Y11" s="1627" t="s">
        <v>3141</v>
      </c>
      <c r="Z11" s="3024"/>
      <c r="AA11" s="3025"/>
      <c r="AB11" s="1906"/>
      <c r="AC11" s="1906"/>
      <c r="AD11" s="1611"/>
    </row>
    <row r="12" spans="1:30" ht="26">
      <c r="A12" s="2918" t="s">
        <v>1299</v>
      </c>
      <c r="B12" s="2900" t="s">
        <v>113</v>
      </c>
      <c r="C12" s="1907" t="s">
        <v>3460</v>
      </c>
      <c r="D12" s="2921" t="s">
        <v>3461</v>
      </c>
      <c r="E12" s="1628" t="s">
        <v>3130</v>
      </c>
      <c r="F12" s="1908">
        <v>43942</v>
      </c>
      <c r="G12" s="1909">
        <v>44014</v>
      </c>
      <c r="H12" s="1908">
        <v>44074</v>
      </c>
      <c r="I12" s="1909">
        <v>44164</v>
      </c>
      <c r="J12" s="1908"/>
      <c r="K12" s="1909"/>
      <c r="L12" s="1910"/>
      <c r="M12" s="1911"/>
      <c r="N12" s="1912"/>
      <c r="O12" s="1913"/>
      <c r="P12" s="1912"/>
      <c r="Q12" s="1914"/>
      <c r="R12" s="1915">
        <v>48</v>
      </c>
      <c r="S12" s="1916">
        <v>45.5</v>
      </c>
      <c r="T12" s="1917" t="s">
        <v>3144</v>
      </c>
      <c r="U12" s="1918" t="s">
        <v>3144</v>
      </c>
      <c r="V12" s="1917">
        <v>30</v>
      </c>
      <c r="W12" s="1918">
        <v>30</v>
      </c>
      <c r="X12" s="1919">
        <v>3</v>
      </c>
      <c r="Y12" s="1920">
        <v>9</v>
      </c>
      <c r="Z12" s="3026">
        <v>15</v>
      </c>
      <c r="AA12" s="3027"/>
      <c r="AB12" s="1921">
        <v>22</v>
      </c>
      <c r="AC12" s="1922">
        <v>6</v>
      </c>
      <c r="AD12" s="1611"/>
    </row>
    <row r="13" spans="1:30" ht="43.5" customHeight="1">
      <c r="A13" s="2919"/>
      <c r="B13" s="2901"/>
      <c r="C13" s="1923" t="s">
        <v>3462</v>
      </c>
      <c r="D13" s="3007"/>
      <c r="E13" s="1630" t="s">
        <v>3131</v>
      </c>
      <c r="F13" s="1924"/>
      <c r="G13" s="1925"/>
      <c r="H13" s="1924"/>
      <c r="I13" s="1925"/>
      <c r="J13" s="1924"/>
      <c r="K13" s="1925"/>
      <c r="L13" s="1926"/>
      <c r="M13" s="1927"/>
      <c r="N13" s="1912"/>
      <c r="O13" s="1913"/>
      <c r="P13" s="1912"/>
      <c r="Q13" s="1928"/>
      <c r="R13" s="1929"/>
      <c r="S13" s="1930"/>
      <c r="T13" s="1931"/>
      <c r="U13" s="1932"/>
      <c r="V13" s="1931"/>
      <c r="W13" s="1932"/>
      <c r="X13" s="1933"/>
      <c r="Y13" s="1934"/>
      <c r="Z13" s="2908"/>
      <c r="AA13" s="2909"/>
      <c r="AB13" s="1935"/>
      <c r="AC13" s="1936"/>
      <c r="AD13" s="1611"/>
    </row>
    <row r="14" spans="1:30" ht="22" thickBot="1">
      <c r="A14" s="2920"/>
      <c r="B14" s="2902"/>
      <c r="C14" s="1937" t="s">
        <v>3463</v>
      </c>
      <c r="D14" s="3008"/>
      <c r="E14" s="1938" t="s">
        <v>3132</v>
      </c>
      <c r="F14" s="1939">
        <v>43922</v>
      </c>
      <c r="G14" s="1940">
        <v>43941</v>
      </c>
      <c r="H14" s="1939">
        <v>44015</v>
      </c>
      <c r="I14" s="1940">
        <v>44073</v>
      </c>
      <c r="J14" s="1939">
        <v>44165</v>
      </c>
      <c r="K14" s="1940">
        <v>44286</v>
      </c>
      <c r="L14" s="1941"/>
      <c r="M14" s="1942"/>
      <c r="N14" s="1943"/>
      <c r="O14" s="1944"/>
      <c r="P14" s="1945"/>
      <c r="Q14" s="1946"/>
      <c r="R14" s="1947">
        <v>42</v>
      </c>
      <c r="S14" s="1948">
        <v>39.5</v>
      </c>
      <c r="T14" s="1949" t="s">
        <v>3144</v>
      </c>
      <c r="U14" s="1948" t="s">
        <v>3144</v>
      </c>
      <c r="V14" s="1947">
        <v>30</v>
      </c>
      <c r="W14" s="1949">
        <v>30</v>
      </c>
      <c r="X14" s="1947">
        <v>3</v>
      </c>
      <c r="Y14" s="1949">
        <v>9</v>
      </c>
      <c r="Z14" s="3028">
        <v>15</v>
      </c>
      <c r="AA14" s="3029"/>
      <c r="AB14" s="1950">
        <v>22</v>
      </c>
      <c r="AC14" s="1951">
        <v>6</v>
      </c>
      <c r="AD14" s="1611"/>
    </row>
    <row r="15" spans="1:30" ht="48.75" customHeight="1">
      <c r="A15" s="2967" t="s">
        <v>3142</v>
      </c>
      <c r="B15" s="2900" t="s">
        <v>113</v>
      </c>
      <c r="C15" s="1952" t="s">
        <v>3464</v>
      </c>
      <c r="D15" s="2921" t="s">
        <v>3461</v>
      </c>
      <c r="E15" s="1628" t="s">
        <v>3130</v>
      </c>
      <c r="F15" s="1908">
        <v>43942</v>
      </c>
      <c r="G15" s="1909">
        <v>44014</v>
      </c>
      <c r="H15" s="1908">
        <v>44075</v>
      </c>
      <c r="I15" s="1909">
        <v>44142</v>
      </c>
      <c r="J15" s="1908"/>
      <c r="K15" s="1909"/>
      <c r="L15" s="1910"/>
      <c r="M15" s="1911"/>
      <c r="N15" s="1912"/>
      <c r="O15" s="1913"/>
      <c r="P15" s="1912"/>
      <c r="Q15" s="1914"/>
      <c r="R15" s="1915">
        <v>64</v>
      </c>
      <c r="S15" s="1916">
        <v>53</v>
      </c>
      <c r="T15" s="1917">
        <v>39</v>
      </c>
      <c r="U15" s="1918">
        <v>39</v>
      </c>
      <c r="V15" s="1917">
        <v>40</v>
      </c>
      <c r="W15" s="1918">
        <v>40</v>
      </c>
      <c r="X15" s="1919">
        <v>0</v>
      </c>
      <c r="Y15" s="1920">
        <v>0</v>
      </c>
      <c r="Z15" s="2912" t="s">
        <v>3144</v>
      </c>
      <c r="AA15" s="2913"/>
      <c r="AB15" s="1921">
        <v>28</v>
      </c>
      <c r="AC15" s="1922">
        <v>7</v>
      </c>
      <c r="AD15" s="1611"/>
    </row>
    <row r="16" spans="1:30" ht="62.25" customHeight="1">
      <c r="A16" s="2968"/>
      <c r="B16" s="2901"/>
      <c r="C16" s="1923" t="s">
        <v>3465</v>
      </c>
      <c r="D16" s="3007"/>
      <c r="E16" s="1630" t="s">
        <v>3131</v>
      </c>
      <c r="F16" s="1924">
        <v>43922</v>
      </c>
      <c r="G16" s="1925">
        <v>43941</v>
      </c>
      <c r="H16" s="1924">
        <v>44015</v>
      </c>
      <c r="I16" s="1925">
        <v>44074</v>
      </c>
      <c r="J16" s="1924">
        <v>44143</v>
      </c>
      <c r="K16" s="1925">
        <v>44177</v>
      </c>
      <c r="L16" s="1926"/>
      <c r="M16" s="1927"/>
      <c r="N16" s="1912"/>
      <c r="O16" s="1913"/>
      <c r="P16" s="1912"/>
      <c r="Q16" s="1928"/>
      <c r="R16" s="1929">
        <v>53</v>
      </c>
      <c r="S16" s="1930">
        <v>48</v>
      </c>
      <c r="T16" s="1931">
        <v>39</v>
      </c>
      <c r="U16" s="1932">
        <v>39</v>
      </c>
      <c r="V16" s="1931">
        <v>40</v>
      </c>
      <c r="W16" s="1932">
        <v>40</v>
      </c>
      <c r="X16" s="1933">
        <v>0</v>
      </c>
      <c r="Y16" s="1934">
        <v>0</v>
      </c>
      <c r="Z16" s="2908" t="s">
        <v>3144</v>
      </c>
      <c r="AA16" s="2909"/>
      <c r="AB16" s="1935">
        <v>28</v>
      </c>
      <c r="AC16" s="1936">
        <v>7</v>
      </c>
      <c r="AD16" s="1611"/>
    </row>
    <row r="17" spans="1:30" ht="22" thickBot="1">
      <c r="A17" s="2969"/>
      <c r="B17" s="2902"/>
      <c r="C17" s="1953" t="s">
        <v>3466</v>
      </c>
      <c r="D17" s="3008"/>
      <c r="E17" s="1938" t="s">
        <v>3132</v>
      </c>
      <c r="F17" s="1939">
        <v>44178</v>
      </c>
      <c r="G17" s="1940">
        <v>44286</v>
      </c>
      <c r="H17" s="1954"/>
      <c r="I17" s="1955"/>
      <c r="J17" s="1956"/>
      <c r="K17" s="1957"/>
      <c r="L17" s="1941"/>
      <c r="M17" s="1942"/>
      <c r="N17" s="1943"/>
      <c r="O17" s="1944"/>
      <c r="P17" s="1945"/>
      <c r="Q17" s="1946"/>
      <c r="R17" s="1947">
        <v>48</v>
      </c>
      <c r="S17" s="1948">
        <v>48</v>
      </c>
      <c r="T17" s="1949">
        <v>39</v>
      </c>
      <c r="U17" s="1948">
        <v>39</v>
      </c>
      <c r="V17" s="1947">
        <v>40</v>
      </c>
      <c r="W17" s="1949">
        <v>40</v>
      </c>
      <c r="X17" s="1947">
        <v>0</v>
      </c>
      <c r="Y17" s="1949">
        <v>0</v>
      </c>
      <c r="Z17" s="2910" t="s">
        <v>3144</v>
      </c>
      <c r="AA17" s="2911"/>
      <c r="AB17" s="1950">
        <v>28</v>
      </c>
      <c r="AC17" s="1951">
        <v>7</v>
      </c>
      <c r="AD17" s="1611"/>
    </row>
    <row r="18" spans="1:30" ht="52">
      <c r="A18" s="2967" t="s">
        <v>3142</v>
      </c>
      <c r="B18" s="2922" t="s">
        <v>113</v>
      </c>
      <c r="C18" s="1952" t="s">
        <v>3467</v>
      </c>
      <c r="D18" s="2921" t="s">
        <v>3461</v>
      </c>
      <c r="E18" s="1628" t="s">
        <v>3130</v>
      </c>
      <c r="F18" s="1908">
        <v>43942</v>
      </c>
      <c r="G18" s="1909">
        <v>44014</v>
      </c>
      <c r="H18" s="1908">
        <v>44075</v>
      </c>
      <c r="I18" s="1909">
        <v>44142</v>
      </c>
      <c r="J18" s="1908"/>
      <c r="K18" s="1909"/>
      <c r="L18" s="1910"/>
      <c r="M18" s="1911"/>
      <c r="N18" s="1912"/>
      <c r="O18" s="1913"/>
      <c r="P18" s="1912"/>
      <c r="Q18" s="1914"/>
      <c r="R18" s="1915">
        <v>60</v>
      </c>
      <c r="S18" s="1916">
        <v>48</v>
      </c>
      <c r="T18" s="1917" t="s">
        <v>3144</v>
      </c>
      <c r="U18" s="1918" t="s">
        <v>3144</v>
      </c>
      <c r="V18" s="1917">
        <v>38</v>
      </c>
      <c r="W18" s="1918">
        <v>38</v>
      </c>
      <c r="X18" s="1919">
        <v>18</v>
      </c>
      <c r="Y18" s="1920">
        <v>14</v>
      </c>
      <c r="Z18" s="2912" t="s">
        <v>3144</v>
      </c>
      <c r="AA18" s="2913"/>
      <c r="AB18" s="1921">
        <v>26</v>
      </c>
      <c r="AC18" s="1922">
        <v>7</v>
      </c>
      <c r="AD18" s="1611"/>
    </row>
    <row r="19" spans="1:30" ht="40">
      <c r="A19" s="2968"/>
      <c r="B19" s="2923"/>
      <c r="C19" s="1923" t="s">
        <v>3468</v>
      </c>
      <c r="D19" s="3007"/>
      <c r="E19" s="1630" t="s">
        <v>3131</v>
      </c>
      <c r="F19" s="1924">
        <v>43922</v>
      </c>
      <c r="G19" s="1925">
        <v>43941</v>
      </c>
      <c r="H19" s="1924">
        <v>44015</v>
      </c>
      <c r="I19" s="1925">
        <v>44074</v>
      </c>
      <c r="J19" s="1924">
        <v>44143</v>
      </c>
      <c r="K19" s="1925">
        <v>44177</v>
      </c>
      <c r="L19" s="1926"/>
      <c r="M19" s="1927"/>
      <c r="N19" s="1912"/>
      <c r="O19" s="1913"/>
      <c r="P19" s="1912"/>
      <c r="Q19" s="1928"/>
      <c r="R19" s="1929">
        <v>50</v>
      </c>
      <c r="S19" s="1930">
        <v>45</v>
      </c>
      <c r="T19" s="1931" t="s">
        <v>3144</v>
      </c>
      <c r="U19" s="1932" t="s">
        <v>3144</v>
      </c>
      <c r="V19" s="1931">
        <v>38</v>
      </c>
      <c r="W19" s="1932">
        <v>38</v>
      </c>
      <c r="X19" s="1933">
        <v>15</v>
      </c>
      <c r="Y19" s="1934">
        <v>14</v>
      </c>
      <c r="Z19" s="2908" t="s">
        <v>3144</v>
      </c>
      <c r="AA19" s="2909"/>
      <c r="AB19" s="1935">
        <v>26</v>
      </c>
      <c r="AC19" s="1936">
        <v>7</v>
      </c>
      <c r="AD19" s="1611"/>
    </row>
    <row r="20" spans="1:30" ht="22" thickBot="1">
      <c r="A20" s="2969"/>
      <c r="B20" s="2924"/>
      <c r="C20" s="1953" t="s">
        <v>3469</v>
      </c>
      <c r="D20" s="3008"/>
      <c r="E20" s="1938" t="s">
        <v>3132</v>
      </c>
      <c r="F20" s="1939">
        <v>44178</v>
      </c>
      <c r="G20" s="1940">
        <v>44286</v>
      </c>
      <c r="H20" s="1954"/>
      <c r="I20" s="1955"/>
      <c r="J20" s="1956"/>
      <c r="K20" s="1957"/>
      <c r="L20" s="1941"/>
      <c r="M20" s="1942"/>
      <c r="N20" s="1943"/>
      <c r="O20" s="1944"/>
      <c r="P20" s="1945"/>
      <c r="Q20" s="1946"/>
      <c r="R20" s="1947">
        <v>46</v>
      </c>
      <c r="S20" s="1948">
        <v>45</v>
      </c>
      <c r="T20" s="1949" t="s">
        <v>3144</v>
      </c>
      <c r="U20" s="1948" t="s">
        <v>3144</v>
      </c>
      <c r="V20" s="1947">
        <v>38</v>
      </c>
      <c r="W20" s="1949">
        <v>38</v>
      </c>
      <c r="X20" s="1947">
        <v>14</v>
      </c>
      <c r="Y20" s="1949">
        <v>14</v>
      </c>
      <c r="Z20" s="2910" t="s">
        <v>3144</v>
      </c>
      <c r="AA20" s="2911"/>
      <c r="AB20" s="1950">
        <v>26</v>
      </c>
      <c r="AC20" s="1951">
        <v>7</v>
      </c>
      <c r="AD20" s="1611"/>
    </row>
    <row r="21" spans="1:30" ht="21">
      <c r="A21" s="2918" t="s">
        <v>1299</v>
      </c>
      <c r="B21" s="2900" t="s">
        <v>113</v>
      </c>
      <c r="C21" s="1958" t="s">
        <v>3470</v>
      </c>
      <c r="D21" s="2921" t="s">
        <v>3461</v>
      </c>
      <c r="E21" s="1959" t="s">
        <v>3130</v>
      </c>
      <c r="F21" s="1908">
        <v>43942</v>
      </c>
      <c r="G21" s="1909">
        <v>44014</v>
      </c>
      <c r="H21" s="1908">
        <v>44074</v>
      </c>
      <c r="I21" s="1909">
        <v>44129</v>
      </c>
      <c r="J21" s="1908"/>
      <c r="K21" s="1909"/>
      <c r="L21" s="1910"/>
      <c r="M21" s="1908"/>
      <c r="N21" s="1912"/>
      <c r="O21" s="1913"/>
      <c r="P21" s="1912"/>
      <c r="Q21" s="1914"/>
      <c r="R21" s="1915">
        <v>40</v>
      </c>
      <c r="S21" s="1916">
        <v>38</v>
      </c>
      <c r="T21" s="1917">
        <v>22</v>
      </c>
      <c r="U21" s="1918">
        <v>22</v>
      </c>
      <c r="V21" s="1917">
        <v>22.5</v>
      </c>
      <c r="W21" s="1918">
        <v>22.5</v>
      </c>
      <c r="X21" s="1919">
        <v>0</v>
      </c>
      <c r="Y21" s="1920">
        <v>0</v>
      </c>
      <c r="Z21" s="3026">
        <v>25</v>
      </c>
      <c r="AA21" s="3027"/>
      <c r="AB21" s="1921">
        <v>22</v>
      </c>
      <c r="AC21" s="1922">
        <v>6</v>
      </c>
      <c r="AD21" s="1960"/>
    </row>
    <row r="22" spans="1:30" ht="40">
      <c r="A22" s="2919"/>
      <c r="B22" s="2901"/>
      <c r="C22" s="1923" t="s">
        <v>3471</v>
      </c>
      <c r="D22" s="3007"/>
      <c r="E22" s="1961" t="s">
        <v>3131</v>
      </c>
      <c r="F22" s="1924"/>
      <c r="G22" s="1925"/>
      <c r="H22" s="1924"/>
      <c r="I22" s="1925"/>
      <c r="J22" s="1924"/>
      <c r="K22" s="1925"/>
      <c r="L22" s="1926"/>
      <c r="M22" s="1924"/>
      <c r="N22" s="1912"/>
      <c r="O22" s="1913"/>
      <c r="P22" s="1912"/>
      <c r="Q22" s="1928"/>
      <c r="R22" s="1929"/>
      <c r="S22" s="1930"/>
      <c r="T22" s="1931"/>
      <c r="U22" s="1932"/>
      <c r="V22" s="1931"/>
      <c r="W22" s="1932"/>
      <c r="X22" s="1933"/>
      <c r="Y22" s="1934"/>
      <c r="Z22" s="3039"/>
      <c r="AA22" s="3040"/>
      <c r="AB22" s="1935"/>
      <c r="AC22" s="1936"/>
      <c r="AD22" s="1960"/>
    </row>
    <row r="23" spans="1:30" ht="21.5" thickBot="1">
      <c r="A23" s="2920"/>
      <c r="B23" s="2902"/>
      <c r="C23" s="1953" t="s">
        <v>3472</v>
      </c>
      <c r="D23" s="3008"/>
      <c r="E23" s="1962" t="s">
        <v>3132</v>
      </c>
      <c r="F23" s="1939">
        <v>43922</v>
      </c>
      <c r="G23" s="1940">
        <v>43941</v>
      </c>
      <c r="H23" s="1954">
        <v>44015</v>
      </c>
      <c r="I23" s="1955">
        <v>44073</v>
      </c>
      <c r="J23" s="1956">
        <v>44130</v>
      </c>
      <c r="K23" s="1957">
        <v>44286</v>
      </c>
      <c r="L23" s="1941"/>
      <c r="M23" s="1939"/>
      <c r="N23" s="1963"/>
      <c r="O23" s="1964"/>
      <c r="P23" s="1965"/>
      <c r="Q23" s="1966"/>
      <c r="R23" s="1947">
        <v>36</v>
      </c>
      <c r="S23" s="1948">
        <v>34</v>
      </c>
      <c r="T23" s="1949">
        <v>22</v>
      </c>
      <c r="U23" s="1948">
        <v>22</v>
      </c>
      <c r="V23" s="1947">
        <v>22.5</v>
      </c>
      <c r="W23" s="1949">
        <v>22.5</v>
      </c>
      <c r="X23" s="1947">
        <v>0</v>
      </c>
      <c r="Y23" s="1949">
        <v>0</v>
      </c>
      <c r="Z23" s="3028">
        <v>25</v>
      </c>
      <c r="AA23" s="3029"/>
      <c r="AB23" s="1950">
        <v>22</v>
      </c>
      <c r="AC23" s="1951">
        <v>6</v>
      </c>
      <c r="AD23" s="1960"/>
    </row>
    <row r="24" spans="1:30" ht="21.5">
      <c r="A24" s="2918" t="s">
        <v>1299</v>
      </c>
      <c r="B24" s="2922" t="s">
        <v>2487</v>
      </c>
      <c r="C24" s="1958" t="s">
        <v>3473</v>
      </c>
      <c r="D24" s="2921" t="s">
        <v>3461</v>
      </c>
      <c r="E24" s="1628" t="s">
        <v>3130</v>
      </c>
      <c r="F24" s="1910">
        <v>43942</v>
      </c>
      <c r="G24" s="1911">
        <v>44014</v>
      </c>
      <c r="H24" s="1967">
        <v>44074</v>
      </c>
      <c r="I24" s="1911">
        <v>44140</v>
      </c>
      <c r="J24" s="1910"/>
      <c r="K24" s="1911"/>
      <c r="L24" s="1910"/>
      <c r="M24" s="1911"/>
      <c r="N24" s="1910"/>
      <c r="O24" s="1911"/>
      <c r="P24" s="1910"/>
      <c r="Q24" s="1968"/>
      <c r="R24" s="1915">
        <v>36</v>
      </c>
      <c r="S24" s="1916">
        <v>35</v>
      </c>
      <c r="T24" s="1917">
        <v>21</v>
      </c>
      <c r="U24" s="1918">
        <v>20</v>
      </c>
      <c r="V24" s="1917">
        <v>26</v>
      </c>
      <c r="W24" s="1918">
        <v>25</v>
      </c>
      <c r="X24" s="1919">
        <v>2</v>
      </c>
      <c r="Y24" s="1920">
        <v>2</v>
      </c>
      <c r="Z24" s="2912">
        <v>22</v>
      </c>
      <c r="AA24" s="2913"/>
      <c r="AB24" s="1921">
        <v>22</v>
      </c>
      <c r="AC24" s="1922">
        <v>6</v>
      </c>
      <c r="AD24" s="1611"/>
    </row>
    <row r="25" spans="1:30" ht="40">
      <c r="A25" s="2919"/>
      <c r="B25" s="2923"/>
      <c r="C25" s="1923" t="s">
        <v>3474</v>
      </c>
      <c r="D25" s="3007"/>
      <c r="E25" s="1630" t="s">
        <v>3131</v>
      </c>
      <c r="F25" s="1969"/>
      <c r="G25" s="1927"/>
      <c r="H25" s="1970"/>
      <c r="I25" s="1927"/>
      <c r="J25" s="1926"/>
      <c r="K25" s="1927"/>
      <c r="L25" s="1926"/>
      <c r="M25" s="1927"/>
      <c r="N25" s="1926"/>
      <c r="O25" s="1927"/>
      <c r="P25" s="1926"/>
      <c r="Q25" s="1971"/>
      <c r="R25" s="1929"/>
      <c r="S25" s="1930"/>
      <c r="T25" s="1931"/>
      <c r="U25" s="1932"/>
      <c r="V25" s="1931"/>
      <c r="W25" s="1932"/>
      <c r="X25" s="1933"/>
      <c r="Y25" s="1934"/>
      <c r="Z25" s="2908"/>
      <c r="AA25" s="2909"/>
      <c r="AB25" s="1935"/>
      <c r="AC25" s="1936"/>
      <c r="AD25" s="1611"/>
    </row>
    <row r="26" spans="1:30" ht="30.5" thickBot="1">
      <c r="A26" s="2920"/>
      <c r="B26" s="2924"/>
      <c r="C26" s="1953" t="s">
        <v>3475</v>
      </c>
      <c r="D26" s="3008"/>
      <c r="E26" s="1938" t="s">
        <v>3132</v>
      </c>
      <c r="F26" s="1941">
        <v>43922</v>
      </c>
      <c r="G26" s="1942">
        <v>43941</v>
      </c>
      <c r="H26" s="1972">
        <v>44015</v>
      </c>
      <c r="I26" s="1942">
        <v>44073</v>
      </c>
      <c r="J26" s="1941">
        <v>44141</v>
      </c>
      <c r="K26" s="1942">
        <v>44286</v>
      </c>
      <c r="L26" s="1941"/>
      <c r="M26" s="1942"/>
      <c r="N26" s="1941"/>
      <c r="O26" s="1942"/>
      <c r="P26" s="1941"/>
      <c r="Q26" s="1973"/>
      <c r="R26" s="1947">
        <v>32</v>
      </c>
      <c r="S26" s="1948">
        <v>32</v>
      </c>
      <c r="T26" s="1949">
        <v>20</v>
      </c>
      <c r="U26" s="1948">
        <v>20</v>
      </c>
      <c r="V26" s="1947">
        <v>26</v>
      </c>
      <c r="W26" s="1949">
        <v>25</v>
      </c>
      <c r="X26" s="1947">
        <v>0</v>
      </c>
      <c r="Y26" s="1949">
        <v>0</v>
      </c>
      <c r="Z26" s="2910">
        <v>22</v>
      </c>
      <c r="AA26" s="2911"/>
      <c r="AB26" s="1950">
        <v>22</v>
      </c>
      <c r="AC26" s="1951">
        <v>6</v>
      </c>
      <c r="AD26" s="1611"/>
    </row>
    <row r="27" spans="1:30" ht="39">
      <c r="A27" s="2918" t="s">
        <v>1299</v>
      </c>
      <c r="B27" s="2900" t="s">
        <v>2487</v>
      </c>
      <c r="C27" s="1974" t="s">
        <v>3476</v>
      </c>
      <c r="D27" s="2921" t="s">
        <v>3461</v>
      </c>
      <c r="E27" s="1628" t="s">
        <v>3130</v>
      </c>
      <c r="F27" s="1910">
        <v>43942</v>
      </c>
      <c r="G27" s="1911">
        <v>44014</v>
      </c>
      <c r="H27" s="1967">
        <v>44074</v>
      </c>
      <c r="I27" s="1911">
        <v>44140</v>
      </c>
      <c r="J27" s="1910"/>
      <c r="K27" s="1911"/>
      <c r="L27" s="1910"/>
      <c r="M27" s="1911"/>
      <c r="N27" s="1910"/>
      <c r="O27" s="1911"/>
      <c r="P27" s="1910"/>
      <c r="Q27" s="1968"/>
      <c r="R27" s="1915">
        <v>48</v>
      </c>
      <c r="S27" s="1916">
        <v>48</v>
      </c>
      <c r="T27" s="1917">
        <v>29</v>
      </c>
      <c r="U27" s="1918">
        <v>29</v>
      </c>
      <c r="V27" s="1917">
        <v>30</v>
      </c>
      <c r="W27" s="1918">
        <v>30</v>
      </c>
      <c r="X27" s="1919">
        <v>11</v>
      </c>
      <c r="Y27" s="1920">
        <v>11</v>
      </c>
      <c r="Z27" s="2912">
        <v>19</v>
      </c>
      <c r="AA27" s="2913"/>
      <c r="AB27" s="1921" t="s">
        <v>3144</v>
      </c>
      <c r="AC27" s="1922">
        <v>6</v>
      </c>
      <c r="AD27" s="1611"/>
    </row>
    <row r="28" spans="1:30" ht="40">
      <c r="A28" s="2919"/>
      <c r="B28" s="2901"/>
      <c r="C28" s="1923" t="s">
        <v>3477</v>
      </c>
      <c r="D28" s="3007"/>
      <c r="E28" s="1630" t="s">
        <v>3131</v>
      </c>
      <c r="F28" s="1969"/>
      <c r="G28" s="1927"/>
      <c r="H28" s="1970"/>
      <c r="I28" s="1927"/>
      <c r="J28" s="1926"/>
      <c r="K28" s="1927"/>
      <c r="L28" s="1926"/>
      <c r="M28" s="1927"/>
      <c r="N28" s="1926"/>
      <c r="O28" s="1927"/>
      <c r="P28" s="1926"/>
      <c r="Q28" s="1971"/>
      <c r="R28" s="1929"/>
      <c r="S28" s="1930"/>
      <c r="T28" s="1931"/>
      <c r="U28" s="1932"/>
      <c r="V28" s="1931"/>
      <c r="W28" s="1932"/>
      <c r="X28" s="1933"/>
      <c r="Y28" s="1934"/>
      <c r="Z28" s="2908"/>
      <c r="AA28" s="2909"/>
      <c r="AB28" s="1935"/>
      <c r="AC28" s="1936"/>
      <c r="AD28" s="1611"/>
    </row>
    <row r="29" spans="1:30" ht="30.5" thickBot="1">
      <c r="A29" s="2920"/>
      <c r="B29" s="2902"/>
      <c r="C29" s="1953" t="s">
        <v>3478</v>
      </c>
      <c r="D29" s="3008"/>
      <c r="E29" s="1938" t="s">
        <v>3132</v>
      </c>
      <c r="F29" s="1941">
        <v>43922</v>
      </c>
      <c r="G29" s="1942">
        <v>43941</v>
      </c>
      <c r="H29" s="1972">
        <v>44015</v>
      </c>
      <c r="I29" s="1942">
        <v>44073</v>
      </c>
      <c r="J29" s="1941">
        <v>44141</v>
      </c>
      <c r="K29" s="1942">
        <v>44286</v>
      </c>
      <c r="L29" s="1941"/>
      <c r="M29" s="1942"/>
      <c r="N29" s="1941"/>
      <c r="O29" s="1942"/>
      <c r="P29" s="1941"/>
      <c r="Q29" s="1973"/>
      <c r="R29" s="1947">
        <v>40</v>
      </c>
      <c r="S29" s="1948">
        <v>40</v>
      </c>
      <c r="T29" s="1949">
        <v>29</v>
      </c>
      <c r="U29" s="1948">
        <v>29</v>
      </c>
      <c r="V29" s="1947">
        <v>30</v>
      </c>
      <c r="W29" s="1949">
        <v>30</v>
      </c>
      <c r="X29" s="1947">
        <v>3</v>
      </c>
      <c r="Y29" s="1949">
        <v>3</v>
      </c>
      <c r="Z29" s="2910">
        <v>19</v>
      </c>
      <c r="AA29" s="2911"/>
      <c r="AB29" s="1950" t="s">
        <v>3144</v>
      </c>
      <c r="AC29" s="1951">
        <v>6</v>
      </c>
      <c r="AD29" s="1611"/>
    </row>
    <row r="30" spans="1:30" ht="39">
      <c r="A30" s="2918" t="s">
        <v>1299</v>
      </c>
      <c r="B30" s="2952" t="s">
        <v>3479</v>
      </c>
      <c r="C30" s="1974" t="s">
        <v>3480</v>
      </c>
      <c r="D30" s="2921" t="s">
        <v>3144</v>
      </c>
      <c r="E30" s="1628" t="s">
        <v>3130</v>
      </c>
      <c r="F30" s="1910">
        <v>43922</v>
      </c>
      <c r="G30" s="1911">
        <v>44012</v>
      </c>
      <c r="H30" s="1910">
        <v>44073</v>
      </c>
      <c r="I30" s="1911">
        <v>44135</v>
      </c>
      <c r="J30" s="1910"/>
      <c r="K30" s="1911"/>
      <c r="L30" s="1910"/>
      <c r="M30" s="1911"/>
      <c r="N30" s="1975"/>
      <c r="O30" s="1976"/>
      <c r="P30" s="1975"/>
      <c r="Q30" s="1977"/>
      <c r="R30" s="1915">
        <v>28.5</v>
      </c>
      <c r="S30" s="1916">
        <v>28.5</v>
      </c>
      <c r="T30" s="1978" t="s">
        <v>3144</v>
      </c>
      <c r="U30" s="1979" t="s">
        <v>3144</v>
      </c>
      <c r="V30" s="1917">
        <v>21</v>
      </c>
      <c r="W30" s="1918">
        <v>21</v>
      </c>
      <c r="X30" s="1919">
        <v>0</v>
      </c>
      <c r="Y30" s="1920">
        <v>0</v>
      </c>
      <c r="Z30" s="2912">
        <v>20.5</v>
      </c>
      <c r="AA30" s="2913"/>
      <c r="AB30" s="1921">
        <v>22.5</v>
      </c>
      <c r="AC30" s="1922">
        <v>6</v>
      </c>
      <c r="AD30" s="1611"/>
    </row>
    <row r="31" spans="1:30" ht="40">
      <c r="A31" s="2919"/>
      <c r="B31" s="2901"/>
      <c r="C31" s="1923" t="s">
        <v>3481</v>
      </c>
      <c r="D31" s="3007"/>
      <c r="E31" s="1630" t="s">
        <v>3131</v>
      </c>
      <c r="F31" s="1926"/>
      <c r="G31" s="1927"/>
      <c r="H31" s="1926"/>
      <c r="I31" s="1927"/>
      <c r="J31" s="1926"/>
      <c r="K31" s="1927"/>
      <c r="L31" s="1926"/>
      <c r="M31" s="1927"/>
      <c r="N31" s="1980"/>
      <c r="O31" s="1981"/>
      <c r="P31" s="1980"/>
      <c r="Q31" s="1982"/>
      <c r="R31" s="1929"/>
      <c r="S31" s="1930"/>
      <c r="T31" s="1931"/>
      <c r="U31" s="1932"/>
      <c r="V31" s="1931"/>
      <c r="W31" s="1932"/>
      <c r="X31" s="1933"/>
      <c r="Y31" s="1934"/>
      <c r="Z31" s="2908"/>
      <c r="AA31" s="2909"/>
      <c r="AB31" s="1935"/>
      <c r="AC31" s="1936"/>
      <c r="AD31" s="1611"/>
    </row>
    <row r="32" spans="1:30" ht="30.5" thickBot="1">
      <c r="A32" s="2920"/>
      <c r="B32" s="2902"/>
      <c r="C32" s="1953" t="s">
        <v>3482</v>
      </c>
      <c r="D32" s="3008"/>
      <c r="E32" s="1938" t="s">
        <v>3132</v>
      </c>
      <c r="F32" s="1941">
        <v>44013</v>
      </c>
      <c r="G32" s="1942">
        <v>44072</v>
      </c>
      <c r="H32" s="1941">
        <v>44136</v>
      </c>
      <c r="I32" s="1942">
        <v>44286</v>
      </c>
      <c r="J32" s="1941"/>
      <c r="K32" s="1942"/>
      <c r="L32" s="1941"/>
      <c r="M32" s="1942"/>
      <c r="N32" s="1983"/>
      <c r="O32" s="1984"/>
      <c r="P32" s="1983"/>
      <c r="Q32" s="1985"/>
      <c r="R32" s="1947">
        <v>26.5</v>
      </c>
      <c r="S32" s="1948">
        <v>26.5</v>
      </c>
      <c r="T32" s="1986" t="s">
        <v>3144</v>
      </c>
      <c r="U32" s="1987" t="s">
        <v>3144</v>
      </c>
      <c r="V32" s="1947">
        <v>20</v>
      </c>
      <c r="W32" s="1949">
        <v>20</v>
      </c>
      <c r="X32" s="1947">
        <v>0</v>
      </c>
      <c r="Y32" s="1949">
        <v>0</v>
      </c>
      <c r="Z32" s="2910">
        <v>12</v>
      </c>
      <c r="AA32" s="2911"/>
      <c r="AB32" s="1950">
        <v>22</v>
      </c>
      <c r="AC32" s="1951">
        <v>6</v>
      </c>
      <c r="AD32" s="1611"/>
    </row>
    <row r="33" spans="1:30" ht="21.5">
      <c r="A33" s="2897" t="s">
        <v>1299</v>
      </c>
      <c r="B33" s="2970" t="s">
        <v>3145</v>
      </c>
      <c r="C33" s="1958" t="s">
        <v>3483</v>
      </c>
      <c r="D33" s="3031" t="s">
        <v>3144</v>
      </c>
      <c r="E33" s="1988" t="s">
        <v>3130</v>
      </c>
      <c r="F33" s="1910">
        <v>43922</v>
      </c>
      <c r="G33" s="1911">
        <v>44135</v>
      </c>
      <c r="H33" s="1910"/>
      <c r="I33" s="1911"/>
      <c r="J33" s="1967"/>
      <c r="K33" s="1911"/>
      <c r="L33" s="1910"/>
      <c r="M33" s="1911"/>
      <c r="N33" s="1989"/>
      <c r="O33" s="1990"/>
      <c r="P33" s="1989"/>
      <c r="Q33" s="1991"/>
      <c r="R33" s="1992">
        <v>36</v>
      </c>
      <c r="S33" s="1993">
        <v>36</v>
      </c>
      <c r="T33" s="1994">
        <v>26</v>
      </c>
      <c r="U33" s="1995">
        <v>26</v>
      </c>
      <c r="V33" s="1992">
        <v>27</v>
      </c>
      <c r="W33" s="1993">
        <v>27</v>
      </c>
      <c r="X33" s="1996">
        <v>0</v>
      </c>
      <c r="Y33" s="1997">
        <v>0</v>
      </c>
      <c r="Z33" s="3035">
        <v>12</v>
      </c>
      <c r="AA33" s="3036"/>
      <c r="AB33" s="1998">
        <v>20</v>
      </c>
      <c r="AC33" s="1999">
        <v>5</v>
      </c>
      <c r="AD33" s="1611"/>
    </row>
    <row r="34" spans="1:30" ht="40">
      <c r="A34" s="2898"/>
      <c r="B34" s="2971"/>
      <c r="C34" s="2000" t="s">
        <v>3484</v>
      </c>
      <c r="D34" s="3032"/>
      <c r="E34" s="2001" t="s">
        <v>3131</v>
      </c>
      <c r="F34" s="1926">
        <v>44136</v>
      </c>
      <c r="G34" s="1927">
        <v>44178</v>
      </c>
      <c r="H34" s="1926">
        <v>44256</v>
      </c>
      <c r="I34" s="1927">
        <v>44286</v>
      </c>
      <c r="J34" s="1970"/>
      <c r="K34" s="1927"/>
      <c r="L34" s="1926"/>
      <c r="M34" s="1927"/>
      <c r="N34" s="1989"/>
      <c r="O34" s="1990"/>
      <c r="P34" s="1989"/>
      <c r="Q34" s="2002"/>
      <c r="R34" s="2003">
        <v>30</v>
      </c>
      <c r="S34" s="2004">
        <v>28.5</v>
      </c>
      <c r="T34" s="2005">
        <v>23</v>
      </c>
      <c r="U34" s="2006">
        <v>23</v>
      </c>
      <c r="V34" s="2007">
        <v>24</v>
      </c>
      <c r="W34" s="2008">
        <v>24</v>
      </c>
      <c r="X34" s="2009">
        <v>0</v>
      </c>
      <c r="Y34" s="2010">
        <v>0</v>
      </c>
      <c r="Z34" s="2935">
        <v>8</v>
      </c>
      <c r="AA34" s="3037"/>
      <c r="AB34" s="2011">
        <v>20</v>
      </c>
      <c r="AC34" s="2012">
        <v>5</v>
      </c>
      <c r="AD34" s="1611"/>
    </row>
    <row r="35" spans="1:30" ht="22" thickBot="1">
      <c r="A35" s="2899"/>
      <c r="B35" s="2972"/>
      <c r="C35" s="1953" t="s">
        <v>3485</v>
      </c>
      <c r="D35" s="3033"/>
      <c r="E35" s="2013" t="s">
        <v>3132</v>
      </c>
      <c r="F35" s="1941">
        <v>44179</v>
      </c>
      <c r="G35" s="1942">
        <v>44255</v>
      </c>
      <c r="H35" s="1941"/>
      <c r="I35" s="1942"/>
      <c r="J35" s="1972"/>
      <c r="K35" s="1942"/>
      <c r="L35" s="1941"/>
      <c r="M35" s="1942"/>
      <c r="N35" s="2014"/>
      <c r="O35" s="2015"/>
      <c r="P35" s="2016"/>
      <c r="Q35" s="2017"/>
      <c r="R35" s="2018">
        <v>25.5</v>
      </c>
      <c r="S35" s="2019">
        <v>24</v>
      </c>
      <c r="T35" s="2020">
        <v>20</v>
      </c>
      <c r="U35" s="2021">
        <v>20</v>
      </c>
      <c r="V35" s="2018">
        <v>21</v>
      </c>
      <c r="W35" s="2019">
        <v>21</v>
      </c>
      <c r="X35" s="2022">
        <v>0</v>
      </c>
      <c r="Y35" s="2023">
        <v>0</v>
      </c>
      <c r="Z35" s="2937">
        <v>5</v>
      </c>
      <c r="AA35" s="3038"/>
      <c r="AB35" s="2024">
        <v>20</v>
      </c>
      <c r="AC35" s="2025">
        <v>5</v>
      </c>
      <c r="AD35" s="1611"/>
    </row>
    <row r="36" spans="1:30" ht="13.5" thickBot="1">
      <c r="A36" s="2897" t="s">
        <v>1299</v>
      </c>
      <c r="B36" s="2900" t="s">
        <v>3146</v>
      </c>
      <c r="C36" s="1952" t="s">
        <v>3486</v>
      </c>
      <c r="D36" s="2903" t="s">
        <v>3144</v>
      </c>
      <c r="E36" s="1628"/>
      <c r="F36" s="2026"/>
      <c r="G36" s="2027"/>
      <c r="H36" s="1910"/>
      <c r="I36" s="1911"/>
      <c r="J36" s="1910"/>
      <c r="K36" s="1911"/>
      <c r="L36" s="1910"/>
      <c r="M36" s="1911"/>
      <c r="N36" s="2028"/>
      <c r="O36" s="2029"/>
      <c r="P36" s="2028"/>
      <c r="Q36" s="2030"/>
      <c r="R36" s="2031"/>
      <c r="S36" s="2032"/>
      <c r="T36" s="2031"/>
      <c r="U36" s="2033"/>
      <c r="V36" s="1917"/>
      <c r="W36" s="1918"/>
      <c r="X36" s="2034"/>
      <c r="Y36" s="2035"/>
      <c r="Z36" s="2912"/>
      <c r="AA36" s="2913"/>
      <c r="AB36" s="2036"/>
      <c r="AC36" s="2037"/>
      <c r="AD36" s="1611"/>
    </row>
    <row r="37" spans="1:30" ht="62.5">
      <c r="A37" s="2898"/>
      <c r="B37" s="2901"/>
      <c r="C37" s="2038" t="s">
        <v>3487</v>
      </c>
      <c r="D37" s="2904"/>
      <c r="E37" s="1628" t="s">
        <v>3488</v>
      </c>
      <c r="F37" s="2039">
        <v>43922</v>
      </c>
      <c r="G37" s="2040">
        <v>44286</v>
      </c>
      <c r="H37" s="1926"/>
      <c r="I37" s="1927"/>
      <c r="J37" s="1926"/>
      <c r="K37" s="1927"/>
      <c r="L37" s="1926"/>
      <c r="M37" s="1927"/>
      <c r="N37" s="2041"/>
      <c r="O37" s="2042"/>
      <c r="P37" s="2041"/>
      <c r="Q37" s="2043"/>
      <c r="R37" s="1929">
        <v>28.5</v>
      </c>
      <c r="S37" s="2044">
        <v>28.5</v>
      </c>
      <c r="T37" s="1929" t="s">
        <v>3144</v>
      </c>
      <c r="U37" s="1930" t="s">
        <v>3144</v>
      </c>
      <c r="V37" s="1931">
        <v>22.5</v>
      </c>
      <c r="W37" s="1932">
        <v>22.5</v>
      </c>
      <c r="X37" s="2045">
        <v>3</v>
      </c>
      <c r="Y37" s="1920">
        <v>3</v>
      </c>
      <c r="Z37" s="2908" t="s">
        <v>3144</v>
      </c>
      <c r="AA37" s="2909"/>
      <c r="AB37" s="2046">
        <v>22.5</v>
      </c>
      <c r="AC37" s="2047">
        <v>5</v>
      </c>
      <c r="AD37" s="2048"/>
    </row>
    <row r="38" spans="1:30" ht="13.5" thickBot="1">
      <c r="A38" s="2899"/>
      <c r="B38" s="2902"/>
      <c r="C38" s="1953" t="s">
        <v>3489</v>
      </c>
      <c r="D38" s="2905"/>
      <c r="E38" s="1938"/>
      <c r="F38" s="1941"/>
      <c r="G38" s="1942"/>
      <c r="H38" s="1941"/>
      <c r="I38" s="1942"/>
      <c r="J38" s="1941"/>
      <c r="K38" s="1942"/>
      <c r="L38" s="1941"/>
      <c r="M38" s="1942"/>
      <c r="N38" s="2049"/>
      <c r="O38" s="2050"/>
      <c r="P38" s="2049"/>
      <c r="Q38" s="2051"/>
      <c r="R38" s="2052"/>
      <c r="S38" s="2053"/>
      <c r="T38" s="1947"/>
      <c r="U38" s="2053"/>
      <c r="V38" s="2054"/>
      <c r="W38" s="1949"/>
      <c r="X38" s="1947"/>
      <c r="Y38" s="1949"/>
      <c r="Z38" s="2910"/>
      <c r="AA38" s="2911"/>
      <c r="AB38" s="2055"/>
      <c r="AC38" s="2056"/>
      <c r="AD38" s="1611"/>
    </row>
    <row r="39" spans="1:30" ht="39">
      <c r="A39" s="2967" t="s">
        <v>3142</v>
      </c>
      <c r="B39" s="2922" t="s">
        <v>326</v>
      </c>
      <c r="C39" s="2057" t="s">
        <v>3490</v>
      </c>
      <c r="D39" s="3034" t="s">
        <v>3491</v>
      </c>
      <c r="E39" s="1628" t="s">
        <v>3130</v>
      </c>
      <c r="F39" s="1908">
        <v>44161</v>
      </c>
      <c r="G39" s="1909">
        <v>44180</v>
      </c>
      <c r="H39" s="2058"/>
      <c r="I39" s="2059"/>
      <c r="J39" s="1908"/>
      <c r="K39" s="2059"/>
      <c r="L39" s="2060"/>
      <c r="M39" s="2061"/>
      <c r="N39" s="2058"/>
      <c r="O39" s="1909"/>
      <c r="P39" s="1908"/>
      <c r="Q39" s="2062"/>
      <c r="R39" s="1915">
        <v>57</v>
      </c>
      <c r="S39" s="1916">
        <v>79</v>
      </c>
      <c r="T39" s="1917">
        <v>34.5</v>
      </c>
      <c r="U39" s="1918">
        <v>64.5</v>
      </c>
      <c r="V39" s="1917">
        <v>35</v>
      </c>
      <c r="W39" s="1918">
        <v>65</v>
      </c>
      <c r="X39" s="1919" t="s">
        <v>3144</v>
      </c>
      <c r="Y39" s="1920" t="s">
        <v>3144</v>
      </c>
      <c r="Z39" s="2912">
        <v>25</v>
      </c>
      <c r="AA39" s="2913"/>
      <c r="AB39" s="1921">
        <v>26</v>
      </c>
      <c r="AC39" s="1922">
        <v>7</v>
      </c>
      <c r="AD39" s="2063"/>
    </row>
    <row r="40" spans="1:30" ht="40">
      <c r="A40" s="2968"/>
      <c r="B40" s="2923"/>
      <c r="C40" s="2064" t="s">
        <v>3492</v>
      </c>
      <c r="D40" s="2904"/>
      <c r="E40" s="1630"/>
      <c r="F40" s="1924"/>
      <c r="G40" s="2065"/>
      <c r="H40" s="1924"/>
      <c r="I40" s="2065"/>
      <c r="J40" s="2066"/>
      <c r="K40" s="2067"/>
      <c r="L40" s="2066"/>
      <c r="M40" s="2068"/>
      <c r="N40" s="2069"/>
      <c r="O40" s="1925"/>
      <c r="P40" s="1924"/>
      <c r="Q40" s="2070"/>
      <c r="R40" s="1929"/>
      <c r="S40" s="1930"/>
      <c r="T40" s="1931"/>
      <c r="U40" s="1932"/>
      <c r="V40" s="1931"/>
      <c r="W40" s="1932"/>
      <c r="X40" s="1933"/>
      <c r="Y40" s="1934"/>
      <c r="Z40" s="2908"/>
      <c r="AA40" s="2909"/>
      <c r="AB40" s="1935"/>
      <c r="AC40" s="1936"/>
      <c r="AD40" s="2063"/>
    </row>
    <row r="41" spans="1:30" ht="30.5" thickBot="1">
      <c r="A41" s="2969"/>
      <c r="B41" s="2924"/>
      <c r="C41" s="2071" t="s">
        <v>3493</v>
      </c>
      <c r="D41" s="2905"/>
      <c r="E41" s="1938" t="s">
        <v>3132</v>
      </c>
      <c r="F41" s="1939">
        <v>43922</v>
      </c>
      <c r="G41" s="1940">
        <v>44160</v>
      </c>
      <c r="H41" s="2072">
        <v>44181</v>
      </c>
      <c r="I41" s="2073">
        <v>44196</v>
      </c>
      <c r="J41" s="1939">
        <v>44197</v>
      </c>
      <c r="K41" s="1940">
        <v>44286</v>
      </c>
      <c r="L41" s="1939"/>
      <c r="M41" s="1940"/>
      <c r="N41" s="2072"/>
      <c r="O41" s="1940"/>
      <c r="P41" s="1939"/>
      <c r="Q41" s="2074"/>
      <c r="R41" s="1947">
        <v>44</v>
      </c>
      <c r="S41" s="1948">
        <v>43</v>
      </c>
      <c r="T41" s="1949">
        <v>34.5</v>
      </c>
      <c r="U41" s="1948">
        <v>34.51</v>
      </c>
      <c r="V41" s="1947">
        <v>35</v>
      </c>
      <c r="W41" s="1949">
        <v>35</v>
      </c>
      <c r="X41" s="1947" t="s">
        <v>3144</v>
      </c>
      <c r="Y41" s="1949" t="s">
        <v>3144</v>
      </c>
      <c r="Z41" s="2910">
        <v>25</v>
      </c>
      <c r="AA41" s="2911"/>
      <c r="AB41" s="1950">
        <v>26</v>
      </c>
      <c r="AC41" s="1951">
        <v>7</v>
      </c>
      <c r="AD41" s="2063"/>
    </row>
    <row r="42" spans="1:30" ht="39">
      <c r="A42" s="2897" t="s">
        <v>1299</v>
      </c>
      <c r="B42" s="2900" t="s">
        <v>326</v>
      </c>
      <c r="C42" s="1974" t="s">
        <v>3494</v>
      </c>
      <c r="D42" s="3034" t="s">
        <v>3491</v>
      </c>
      <c r="E42" s="1628" t="s">
        <v>3130</v>
      </c>
      <c r="F42" s="1908">
        <v>44161</v>
      </c>
      <c r="G42" s="1909">
        <v>44180</v>
      </c>
      <c r="H42" s="2058"/>
      <c r="I42" s="2059"/>
      <c r="J42" s="1908"/>
      <c r="K42" s="2059"/>
      <c r="L42" s="1908"/>
      <c r="M42" s="1909"/>
      <c r="N42" s="2058"/>
      <c r="O42" s="1909"/>
      <c r="P42" s="1908"/>
      <c r="Q42" s="2059"/>
      <c r="R42" s="1915">
        <v>40</v>
      </c>
      <c r="S42" s="1916">
        <v>63</v>
      </c>
      <c r="T42" s="1978" t="s">
        <v>3144</v>
      </c>
      <c r="U42" s="1979" t="s">
        <v>3144</v>
      </c>
      <c r="V42" s="1917">
        <v>21</v>
      </c>
      <c r="W42" s="1918">
        <v>52</v>
      </c>
      <c r="X42" s="1919" t="s">
        <v>3144</v>
      </c>
      <c r="Y42" s="1920" t="s">
        <v>3144</v>
      </c>
      <c r="Z42" s="2912">
        <v>20</v>
      </c>
      <c r="AA42" s="2913"/>
      <c r="AB42" s="1921">
        <v>20</v>
      </c>
      <c r="AC42" s="1922">
        <v>6</v>
      </c>
      <c r="AD42" s="2063"/>
    </row>
    <row r="43" spans="1:30" ht="40">
      <c r="A43" s="2898"/>
      <c r="B43" s="2901"/>
      <c r="C43" s="2064" t="s">
        <v>3495</v>
      </c>
      <c r="D43" s="2904"/>
      <c r="E43" s="1630"/>
      <c r="F43" s="1924"/>
      <c r="G43" s="2065"/>
      <c r="H43" s="1924"/>
      <c r="I43" s="2065"/>
      <c r="J43" s="2066"/>
      <c r="K43" s="2067"/>
      <c r="L43" s="2066"/>
      <c r="M43" s="2068"/>
      <c r="N43" s="2069"/>
      <c r="O43" s="1925"/>
      <c r="P43" s="1924"/>
      <c r="Q43" s="2065"/>
      <c r="R43" s="1929"/>
      <c r="S43" s="1930"/>
      <c r="T43" s="1931"/>
      <c r="U43" s="1932"/>
      <c r="V43" s="1931"/>
      <c r="W43" s="1932"/>
      <c r="X43" s="1933"/>
      <c r="Y43" s="1934"/>
      <c r="Z43" s="2908"/>
      <c r="AA43" s="2909"/>
      <c r="AB43" s="1935"/>
      <c r="AC43" s="1936"/>
      <c r="AD43" s="2063"/>
    </row>
    <row r="44" spans="1:30" ht="30.5" thickBot="1">
      <c r="A44" s="2899"/>
      <c r="B44" s="2902"/>
      <c r="C44" s="2071" t="s">
        <v>3496</v>
      </c>
      <c r="D44" s="2905"/>
      <c r="E44" s="1938" t="s">
        <v>3132</v>
      </c>
      <c r="F44" s="1939">
        <v>43922</v>
      </c>
      <c r="G44" s="1940">
        <v>44160</v>
      </c>
      <c r="H44" s="2072">
        <v>44181</v>
      </c>
      <c r="I44" s="2073">
        <v>44196</v>
      </c>
      <c r="J44" s="1939">
        <v>44197</v>
      </c>
      <c r="K44" s="1940">
        <v>44286</v>
      </c>
      <c r="L44" s="2075"/>
      <c r="M44" s="2076"/>
      <c r="N44" s="2072"/>
      <c r="O44" s="1940"/>
      <c r="P44" s="1939"/>
      <c r="Q44" s="2073"/>
      <c r="R44" s="1947">
        <v>32</v>
      </c>
      <c r="S44" s="1948">
        <v>31.5</v>
      </c>
      <c r="T44" s="1986" t="s">
        <v>3144</v>
      </c>
      <c r="U44" s="1987" t="s">
        <v>3144</v>
      </c>
      <c r="V44" s="2077">
        <v>21</v>
      </c>
      <c r="W44" s="2078">
        <v>21</v>
      </c>
      <c r="X44" s="2077" t="s">
        <v>3144</v>
      </c>
      <c r="Y44" s="1949" t="s">
        <v>3144</v>
      </c>
      <c r="Z44" s="2910">
        <v>20</v>
      </c>
      <c r="AA44" s="2911"/>
      <c r="AB44" s="1950">
        <v>20</v>
      </c>
      <c r="AC44" s="1951">
        <v>6</v>
      </c>
      <c r="AD44" s="2063"/>
    </row>
    <row r="45" spans="1:30" ht="26">
      <c r="A45" s="2897" t="s">
        <v>1299</v>
      </c>
      <c r="B45" s="2900" t="s">
        <v>3497</v>
      </c>
      <c r="C45" s="1958" t="s">
        <v>3498</v>
      </c>
      <c r="D45" s="3045" t="s">
        <v>3144</v>
      </c>
      <c r="E45" s="1628" t="s">
        <v>3488</v>
      </c>
      <c r="F45" s="1910" t="s">
        <v>3499</v>
      </c>
      <c r="G45" s="1911" t="s">
        <v>3500</v>
      </c>
      <c r="H45" s="1967"/>
      <c r="I45" s="1911"/>
      <c r="J45" s="1910"/>
      <c r="K45" s="1911"/>
      <c r="L45" s="1910"/>
      <c r="M45" s="1911"/>
      <c r="N45" s="1912"/>
      <c r="O45" s="1913"/>
      <c r="P45" s="1912"/>
      <c r="Q45" s="1913"/>
      <c r="R45" s="2079">
        <v>37</v>
      </c>
      <c r="S45" s="2080">
        <v>37</v>
      </c>
      <c r="T45" s="2081">
        <v>18</v>
      </c>
      <c r="U45" s="2082">
        <v>18</v>
      </c>
      <c r="V45" s="2083">
        <v>20</v>
      </c>
      <c r="W45" s="2082">
        <v>20</v>
      </c>
      <c r="X45" s="2084">
        <v>5</v>
      </c>
      <c r="Y45" s="2085">
        <v>5</v>
      </c>
      <c r="Z45" s="2946" t="s">
        <v>3144</v>
      </c>
      <c r="AA45" s="2947"/>
      <c r="AB45" s="2086">
        <v>19</v>
      </c>
      <c r="AC45" s="1922">
        <v>5</v>
      </c>
      <c r="AD45" s="1611"/>
    </row>
    <row r="46" spans="1:30" ht="40">
      <c r="A46" s="2898"/>
      <c r="B46" s="2901"/>
      <c r="C46" s="1923" t="s">
        <v>3501</v>
      </c>
      <c r="D46" s="3046"/>
      <c r="E46" s="1630"/>
      <c r="F46" s="1969"/>
      <c r="G46" s="1927"/>
      <c r="H46" s="1970"/>
      <c r="I46" s="1927"/>
      <c r="J46" s="1926"/>
      <c r="K46" s="1927"/>
      <c r="L46" s="1926"/>
      <c r="M46" s="1927"/>
      <c r="N46" s="1912"/>
      <c r="O46" s="1913"/>
      <c r="P46" s="1912"/>
      <c r="Q46" s="2087"/>
      <c r="R46" s="2088"/>
      <c r="S46" s="2089"/>
      <c r="T46" s="2090"/>
      <c r="U46" s="2091"/>
      <c r="V46" s="2092"/>
      <c r="W46" s="2091"/>
      <c r="X46" s="2093"/>
      <c r="Y46" s="2094"/>
      <c r="Z46" s="2948"/>
      <c r="AA46" s="2949"/>
      <c r="AB46" s="2095"/>
      <c r="AC46" s="1936"/>
      <c r="AD46" s="1611"/>
    </row>
    <row r="47" spans="1:30" ht="13.5" thickBot="1">
      <c r="A47" s="2899"/>
      <c r="B47" s="2902"/>
      <c r="C47" s="1953" t="s">
        <v>3502</v>
      </c>
      <c r="D47" s="3047"/>
      <c r="E47" s="1938"/>
      <c r="F47" s="1941"/>
      <c r="G47" s="1942"/>
      <c r="H47" s="1972"/>
      <c r="I47" s="1942"/>
      <c r="J47" s="1941"/>
      <c r="K47" s="1942"/>
      <c r="L47" s="1941"/>
      <c r="M47" s="1942"/>
      <c r="N47" s="1943"/>
      <c r="O47" s="1944"/>
      <c r="P47" s="1945"/>
      <c r="Q47" s="1944"/>
      <c r="R47" s="2096"/>
      <c r="S47" s="2097"/>
      <c r="T47" s="2098"/>
      <c r="U47" s="2097"/>
      <c r="V47" s="2096"/>
      <c r="W47" s="2099"/>
      <c r="X47" s="2096"/>
      <c r="Y47" s="2100"/>
      <c r="Z47" s="3052"/>
      <c r="AA47" s="3053"/>
      <c r="AB47" s="2101"/>
      <c r="AC47" s="1951"/>
      <c r="AD47" s="1611"/>
    </row>
    <row r="48" spans="1:30" ht="21.5">
      <c r="A48" s="2897" t="s">
        <v>1299</v>
      </c>
      <c r="B48" s="2956" t="s">
        <v>3148</v>
      </c>
      <c r="C48" s="1952" t="s">
        <v>3503</v>
      </c>
      <c r="D48" s="2903" t="s">
        <v>3144</v>
      </c>
      <c r="E48" s="2102" t="s">
        <v>3130</v>
      </c>
      <c r="F48" s="2103">
        <v>43922</v>
      </c>
      <c r="G48" s="2104">
        <v>43926</v>
      </c>
      <c r="H48" s="1924">
        <v>43941</v>
      </c>
      <c r="I48" s="1925">
        <v>43982</v>
      </c>
      <c r="J48" s="1924">
        <v>43997</v>
      </c>
      <c r="K48" s="1925">
        <v>44038</v>
      </c>
      <c r="L48" s="1924">
        <v>44081</v>
      </c>
      <c r="M48" s="1925">
        <v>44136</v>
      </c>
      <c r="N48" s="1924">
        <v>44144</v>
      </c>
      <c r="O48" s="1925">
        <v>44184</v>
      </c>
      <c r="P48" s="1908">
        <v>44207</v>
      </c>
      <c r="Q48" s="1909">
        <v>44286</v>
      </c>
      <c r="R48" s="1929">
        <v>48.5</v>
      </c>
      <c r="S48" s="2044">
        <v>30</v>
      </c>
      <c r="T48" s="2031" t="s">
        <v>3144</v>
      </c>
      <c r="U48" s="2032" t="s">
        <v>3144</v>
      </c>
      <c r="V48" s="2105">
        <v>26</v>
      </c>
      <c r="W48" s="2106">
        <v>20</v>
      </c>
      <c r="X48" s="2107">
        <v>5</v>
      </c>
      <c r="Y48" s="2108">
        <v>5</v>
      </c>
      <c r="Z48" s="2912">
        <v>20</v>
      </c>
      <c r="AA48" s="2913"/>
      <c r="AB48" s="2109">
        <v>20.5</v>
      </c>
      <c r="AC48" s="2109">
        <v>6</v>
      </c>
      <c r="AD48" s="1611"/>
    </row>
    <row r="49" spans="1:30" ht="81.75" customHeight="1">
      <c r="A49" s="2898"/>
      <c r="B49" s="2956"/>
      <c r="C49" s="2110" t="s">
        <v>3504</v>
      </c>
      <c r="D49" s="2904"/>
      <c r="E49" s="1630"/>
      <c r="F49" s="2103"/>
      <c r="G49" s="2104"/>
      <c r="H49" s="1924"/>
      <c r="I49" s="1925"/>
      <c r="J49" s="1924"/>
      <c r="K49" s="1925"/>
      <c r="L49" s="1924"/>
      <c r="M49" s="1925"/>
      <c r="N49" s="1924"/>
      <c r="O49" s="1925"/>
      <c r="P49" s="2041"/>
      <c r="Q49" s="2043"/>
      <c r="R49" s="1929"/>
      <c r="S49" s="2044"/>
      <c r="T49" s="1929"/>
      <c r="U49" s="2044"/>
      <c r="V49" s="2105"/>
      <c r="W49" s="2106"/>
      <c r="X49" s="2107"/>
      <c r="Y49" s="2108"/>
      <c r="Z49" s="2908"/>
      <c r="AA49" s="2909"/>
      <c r="AB49" s="2046"/>
      <c r="AC49" s="2046"/>
      <c r="AD49" s="1611"/>
    </row>
    <row r="50" spans="1:30" ht="22" thickBot="1">
      <c r="A50" s="2899"/>
      <c r="B50" s="2957"/>
      <c r="C50" s="1953" t="s">
        <v>3505</v>
      </c>
      <c r="D50" s="2905"/>
      <c r="E50" s="1938" t="s">
        <v>3132</v>
      </c>
      <c r="F50" s="1939">
        <v>43927</v>
      </c>
      <c r="G50" s="1940">
        <v>43940</v>
      </c>
      <c r="H50" s="1939">
        <v>43983</v>
      </c>
      <c r="I50" s="1940">
        <v>43996</v>
      </c>
      <c r="J50" s="1939">
        <v>44039</v>
      </c>
      <c r="K50" s="1940">
        <v>44080</v>
      </c>
      <c r="L50" s="1939">
        <v>44137</v>
      </c>
      <c r="M50" s="1940">
        <v>44143</v>
      </c>
      <c r="N50" s="1939">
        <v>44185</v>
      </c>
      <c r="O50" s="1940">
        <v>44206</v>
      </c>
      <c r="P50" s="2111"/>
      <c r="Q50" s="2112"/>
      <c r="R50" s="2052">
        <v>30</v>
      </c>
      <c r="S50" s="2053">
        <v>30</v>
      </c>
      <c r="T50" s="2052" t="s">
        <v>3144</v>
      </c>
      <c r="U50" s="2053" t="s">
        <v>3144</v>
      </c>
      <c r="V50" s="2113">
        <v>20</v>
      </c>
      <c r="W50" s="2114">
        <v>20</v>
      </c>
      <c r="X50" s="2054">
        <v>5</v>
      </c>
      <c r="Y50" s="2115">
        <v>5</v>
      </c>
      <c r="Z50" s="2910">
        <v>20</v>
      </c>
      <c r="AA50" s="2911"/>
      <c r="AB50" s="2055">
        <v>20.5</v>
      </c>
      <c r="AC50" s="2055">
        <v>6</v>
      </c>
      <c r="AD50" s="1611"/>
    </row>
    <row r="51" spans="1:30" ht="26">
      <c r="A51" s="2897" t="s">
        <v>1299</v>
      </c>
      <c r="B51" s="2900" t="s">
        <v>3147</v>
      </c>
      <c r="C51" s="1958" t="s">
        <v>3506</v>
      </c>
      <c r="D51" s="2903" t="s">
        <v>3144</v>
      </c>
      <c r="E51" s="1628" t="s">
        <v>3488</v>
      </c>
      <c r="F51" s="1910" t="s">
        <v>3499</v>
      </c>
      <c r="G51" s="1911" t="s">
        <v>3500</v>
      </c>
      <c r="H51" s="1910"/>
      <c r="I51" s="1911"/>
      <c r="J51" s="1910"/>
      <c r="K51" s="1911"/>
      <c r="L51" s="1910"/>
      <c r="M51" s="1911"/>
      <c r="N51" s="1912"/>
      <c r="O51" s="1913"/>
      <c r="P51" s="1912"/>
      <c r="Q51" s="1913"/>
      <c r="R51" s="2116">
        <v>32</v>
      </c>
      <c r="S51" s="2117">
        <v>26.5</v>
      </c>
      <c r="T51" s="2118" t="s">
        <v>3144</v>
      </c>
      <c r="U51" s="2119" t="s">
        <v>3144</v>
      </c>
      <c r="V51" s="2116">
        <v>23</v>
      </c>
      <c r="W51" s="2120">
        <v>23</v>
      </c>
      <c r="X51" s="2121">
        <v>5</v>
      </c>
      <c r="Y51" s="2122">
        <v>5</v>
      </c>
      <c r="Z51" s="2926" t="s">
        <v>3144</v>
      </c>
      <c r="AA51" s="2927"/>
      <c r="AB51" s="2123" t="s">
        <v>3144</v>
      </c>
      <c r="AC51" s="1922">
        <v>5</v>
      </c>
      <c r="AD51" s="1611"/>
    </row>
    <row r="52" spans="1:30" ht="40">
      <c r="A52" s="2898"/>
      <c r="B52" s="2901"/>
      <c r="C52" s="2064" t="s">
        <v>3507</v>
      </c>
      <c r="D52" s="2904"/>
      <c r="E52" s="1630"/>
      <c r="F52" s="1926"/>
      <c r="G52" s="1927"/>
      <c r="H52" s="1926"/>
      <c r="I52" s="1927"/>
      <c r="J52" s="1926"/>
      <c r="K52" s="1927"/>
      <c r="L52" s="1926"/>
      <c r="M52" s="1927"/>
      <c r="N52" s="1912"/>
      <c r="O52" s="1913"/>
      <c r="P52" s="1912"/>
      <c r="Q52" s="2087"/>
      <c r="R52" s="2088"/>
      <c r="S52" s="2124"/>
      <c r="T52" s="2125"/>
      <c r="U52" s="2126"/>
      <c r="V52" s="2088"/>
      <c r="W52" s="2089"/>
      <c r="X52" s="2127"/>
      <c r="Y52" s="2094"/>
      <c r="Z52" s="2928"/>
      <c r="AA52" s="2929"/>
      <c r="AB52" s="2128"/>
      <c r="AC52" s="1936"/>
      <c r="AD52" s="1611"/>
    </row>
    <row r="53" spans="1:30" ht="13.5" thickBot="1">
      <c r="A53" s="2899"/>
      <c r="B53" s="2902"/>
      <c r="C53" s="2129" t="s">
        <v>3508</v>
      </c>
      <c r="D53" s="2905"/>
      <c r="E53" s="1938"/>
      <c r="F53" s="1941"/>
      <c r="G53" s="1942"/>
      <c r="H53" s="1941"/>
      <c r="I53" s="1942"/>
      <c r="J53" s="1941"/>
      <c r="K53" s="1942"/>
      <c r="L53" s="1941"/>
      <c r="M53" s="1942"/>
      <c r="N53" s="1943"/>
      <c r="O53" s="1944"/>
      <c r="P53" s="1945"/>
      <c r="Q53" s="1944"/>
      <c r="R53" s="2096"/>
      <c r="S53" s="2130"/>
      <c r="T53" s="2096"/>
      <c r="U53" s="2100"/>
      <c r="V53" s="2131"/>
      <c r="W53" s="2099"/>
      <c r="X53" s="2132"/>
      <c r="Y53" s="2133"/>
      <c r="Z53" s="2930"/>
      <c r="AA53" s="2931"/>
      <c r="AB53" s="2128"/>
      <c r="AC53" s="1951"/>
      <c r="AD53" s="1611"/>
    </row>
    <row r="54" spans="1:30" ht="21.5">
      <c r="A54" s="2961" t="s">
        <v>1299</v>
      </c>
      <c r="B54" s="2970" t="s">
        <v>488</v>
      </c>
      <c r="C54" s="2134" t="s">
        <v>3509</v>
      </c>
      <c r="D54" s="3041" t="s">
        <v>3510</v>
      </c>
      <c r="E54" s="1899" t="s">
        <v>3130</v>
      </c>
      <c r="F54" s="2135">
        <v>43922</v>
      </c>
      <c r="G54" s="2136">
        <v>43926</v>
      </c>
      <c r="H54" s="1910">
        <v>43941</v>
      </c>
      <c r="I54" s="1911">
        <v>43981</v>
      </c>
      <c r="J54" s="1910">
        <v>43997</v>
      </c>
      <c r="K54" s="1911">
        <v>44017</v>
      </c>
      <c r="L54" s="1910">
        <v>44066</v>
      </c>
      <c r="M54" s="1911">
        <v>44178</v>
      </c>
      <c r="N54" s="1910">
        <v>44207</v>
      </c>
      <c r="O54" s="1911">
        <v>44286</v>
      </c>
      <c r="P54" s="2137"/>
      <c r="Q54" s="2138"/>
      <c r="R54" s="2139">
        <v>30</v>
      </c>
      <c r="S54" s="2140">
        <v>23</v>
      </c>
      <c r="T54" s="2141" t="s">
        <v>3144</v>
      </c>
      <c r="U54" s="2142" t="s">
        <v>3144</v>
      </c>
      <c r="V54" s="2139">
        <v>22.5</v>
      </c>
      <c r="W54" s="2140">
        <v>15.5</v>
      </c>
      <c r="X54" s="2143" t="s">
        <v>3144</v>
      </c>
      <c r="Y54" s="2144" t="s">
        <v>3144</v>
      </c>
      <c r="Z54" s="2932" t="s">
        <v>3144</v>
      </c>
      <c r="AA54" s="2933"/>
      <c r="AB54" s="2145">
        <v>19</v>
      </c>
      <c r="AC54" s="2146">
        <v>5</v>
      </c>
      <c r="AD54" s="1611"/>
    </row>
    <row r="55" spans="1:30" ht="69" customHeight="1">
      <c r="A55" s="2962"/>
      <c r="B55" s="2971"/>
      <c r="C55" s="2000" t="s">
        <v>3511</v>
      </c>
      <c r="D55" s="3042"/>
      <c r="E55" s="1900" t="s">
        <v>3131</v>
      </c>
      <c r="F55" s="1926"/>
      <c r="G55" s="1927"/>
      <c r="H55" s="1926"/>
      <c r="I55" s="1927"/>
      <c r="J55" s="1926"/>
      <c r="K55" s="1927"/>
      <c r="L55" s="1926"/>
      <c r="M55" s="1927"/>
      <c r="N55" s="2147"/>
      <c r="O55" s="2148"/>
      <c r="P55" s="2147"/>
      <c r="Q55" s="2149"/>
      <c r="R55" s="2150"/>
      <c r="S55" s="2151"/>
      <c r="T55" s="2152" t="s">
        <v>135</v>
      </c>
      <c r="U55" s="2153" t="s">
        <v>135</v>
      </c>
      <c r="V55" s="2150"/>
      <c r="W55" s="2151"/>
      <c r="X55" s="2154"/>
      <c r="Y55" s="2155"/>
      <c r="Z55" s="3048"/>
      <c r="AA55" s="3049"/>
      <c r="AB55" s="2156"/>
      <c r="AC55" s="2157"/>
      <c r="AD55" s="1611"/>
    </row>
    <row r="56" spans="1:30" ht="34.5" customHeight="1" thickBot="1">
      <c r="A56" s="2963"/>
      <c r="B56" s="2972"/>
      <c r="C56" s="2158" t="s">
        <v>3512</v>
      </c>
      <c r="D56" s="3043"/>
      <c r="E56" s="2013" t="s">
        <v>3132</v>
      </c>
      <c r="F56" s="1941">
        <v>43927</v>
      </c>
      <c r="G56" s="1942">
        <v>43940</v>
      </c>
      <c r="H56" s="1941">
        <v>43982</v>
      </c>
      <c r="I56" s="1942">
        <v>43996</v>
      </c>
      <c r="J56" s="1941">
        <v>44018</v>
      </c>
      <c r="K56" s="1942">
        <v>44065</v>
      </c>
      <c r="L56" s="1941">
        <v>44179</v>
      </c>
      <c r="M56" s="1942">
        <v>44206</v>
      </c>
      <c r="N56" s="2159"/>
      <c r="O56" s="2160"/>
      <c r="P56" s="2159"/>
      <c r="Q56" s="2161"/>
      <c r="R56" s="2077">
        <v>23</v>
      </c>
      <c r="S56" s="2162">
        <v>23</v>
      </c>
      <c r="T56" s="2077" t="s">
        <v>3144</v>
      </c>
      <c r="U56" s="2163" t="s">
        <v>3144</v>
      </c>
      <c r="V56" s="2164">
        <v>15.5</v>
      </c>
      <c r="W56" s="2078">
        <v>15.5</v>
      </c>
      <c r="X56" s="2077" t="s">
        <v>3144</v>
      </c>
      <c r="Y56" s="2163" t="s">
        <v>3144</v>
      </c>
      <c r="Z56" s="2937" t="s">
        <v>3144</v>
      </c>
      <c r="AA56" s="2938"/>
      <c r="AB56" s="2165">
        <v>19</v>
      </c>
      <c r="AC56" s="2166">
        <v>5</v>
      </c>
      <c r="AD56" s="1611"/>
    </row>
    <row r="57" spans="1:30" ht="21.5">
      <c r="A57" s="2897" t="s">
        <v>1299</v>
      </c>
      <c r="B57" s="2900" t="s">
        <v>488</v>
      </c>
      <c r="C57" s="1958" t="s">
        <v>3513</v>
      </c>
      <c r="D57" s="3031" t="s">
        <v>3144</v>
      </c>
      <c r="E57" s="1628" t="s">
        <v>3130</v>
      </c>
      <c r="F57" s="2135">
        <v>43922</v>
      </c>
      <c r="G57" s="2136">
        <v>43926</v>
      </c>
      <c r="H57" s="2135">
        <v>43941</v>
      </c>
      <c r="I57" s="2136">
        <v>43981</v>
      </c>
      <c r="J57" s="1910">
        <v>43997</v>
      </c>
      <c r="K57" s="1911">
        <v>44017</v>
      </c>
      <c r="L57" s="1910">
        <v>44066</v>
      </c>
      <c r="M57" s="1911">
        <v>44178</v>
      </c>
      <c r="N57" s="1910">
        <v>44207</v>
      </c>
      <c r="O57" s="1911">
        <v>44286</v>
      </c>
      <c r="P57" s="1912"/>
      <c r="Q57" s="1913"/>
      <c r="R57" s="1917">
        <v>30</v>
      </c>
      <c r="S57" s="2167">
        <v>23</v>
      </c>
      <c r="T57" s="1915" t="s">
        <v>3144</v>
      </c>
      <c r="U57" s="1916" t="s">
        <v>3144</v>
      </c>
      <c r="V57" s="1917">
        <v>22.5</v>
      </c>
      <c r="W57" s="1918">
        <v>15.5</v>
      </c>
      <c r="X57" s="1919">
        <v>4</v>
      </c>
      <c r="Y57" s="2168">
        <v>2</v>
      </c>
      <c r="Z57" s="2912" t="s">
        <v>3144</v>
      </c>
      <c r="AA57" s="2913"/>
      <c r="AB57" s="2169">
        <v>19</v>
      </c>
      <c r="AC57" s="2170">
        <v>5</v>
      </c>
      <c r="AD57" s="1611"/>
    </row>
    <row r="58" spans="1:30" ht="40">
      <c r="A58" s="2898"/>
      <c r="B58" s="2901"/>
      <c r="C58" s="2000" t="s">
        <v>3514</v>
      </c>
      <c r="D58" s="3032"/>
      <c r="E58" s="1630" t="s">
        <v>3131</v>
      </c>
      <c r="F58" s="1926"/>
      <c r="G58" s="1927"/>
      <c r="H58" s="1926"/>
      <c r="I58" s="1927"/>
      <c r="J58" s="1926"/>
      <c r="K58" s="1927"/>
      <c r="L58" s="1926"/>
      <c r="M58" s="1927"/>
      <c r="N58" s="1912"/>
      <c r="O58" s="1913"/>
      <c r="P58" s="1912"/>
      <c r="Q58" s="2087"/>
      <c r="R58" s="1931"/>
      <c r="S58" s="2108"/>
      <c r="T58" s="1929" t="s">
        <v>135</v>
      </c>
      <c r="U58" s="1930" t="s">
        <v>135</v>
      </c>
      <c r="V58" s="1931"/>
      <c r="W58" s="1932"/>
      <c r="X58" s="1933"/>
      <c r="Y58" s="2044"/>
      <c r="Z58" s="3050"/>
      <c r="AA58" s="3051"/>
      <c r="AB58" s="1935"/>
      <c r="AC58" s="1936"/>
      <c r="AD58" s="1611"/>
    </row>
    <row r="59" spans="1:30" ht="22" thickBot="1">
      <c r="A59" s="2899"/>
      <c r="B59" s="2902"/>
      <c r="C59" s="1953" t="s">
        <v>3515</v>
      </c>
      <c r="D59" s="3033"/>
      <c r="E59" s="1938" t="s">
        <v>3132</v>
      </c>
      <c r="F59" s="1941">
        <v>43927</v>
      </c>
      <c r="G59" s="1942">
        <v>43940</v>
      </c>
      <c r="H59" s="1941">
        <v>43982</v>
      </c>
      <c r="I59" s="1942">
        <v>43996</v>
      </c>
      <c r="J59" s="1941">
        <v>44018</v>
      </c>
      <c r="K59" s="1942">
        <v>44065</v>
      </c>
      <c r="L59" s="1941">
        <v>44179</v>
      </c>
      <c r="M59" s="1942">
        <v>44206</v>
      </c>
      <c r="N59" s="1943"/>
      <c r="O59" s="1944"/>
      <c r="P59" s="1945"/>
      <c r="Q59" s="1944"/>
      <c r="R59" s="1947">
        <v>23</v>
      </c>
      <c r="S59" s="2171">
        <v>23</v>
      </c>
      <c r="T59" s="1947" t="s">
        <v>3144</v>
      </c>
      <c r="U59" s="2053" t="s">
        <v>3144</v>
      </c>
      <c r="V59" s="2054">
        <v>15.5</v>
      </c>
      <c r="W59" s="1949">
        <v>15.5</v>
      </c>
      <c r="X59" s="2172">
        <v>2</v>
      </c>
      <c r="Y59" s="2173">
        <v>2</v>
      </c>
      <c r="Z59" s="2915" t="s">
        <v>3144</v>
      </c>
      <c r="AA59" s="2939"/>
      <c r="AB59" s="2174">
        <v>19</v>
      </c>
      <c r="AC59" s="2175">
        <v>5</v>
      </c>
      <c r="AD59" s="1611"/>
    </row>
    <row r="60" spans="1:30" ht="21.5">
      <c r="A60" s="2897" t="s">
        <v>1299</v>
      </c>
      <c r="B60" s="2900" t="s">
        <v>488</v>
      </c>
      <c r="C60" s="1958" t="s">
        <v>3516</v>
      </c>
      <c r="D60" s="3044">
        <v>0</v>
      </c>
      <c r="E60" s="1628" t="s">
        <v>3130</v>
      </c>
      <c r="F60" s="2135">
        <v>43922</v>
      </c>
      <c r="G60" s="2136">
        <v>43926</v>
      </c>
      <c r="H60" s="1910">
        <v>43941</v>
      </c>
      <c r="I60" s="1911">
        <v>43981</v>
      </c>
      <c r="J60" s="1910">
        <v>43997</v>
      </c>
      <c r="K60" s="1911">
        <v>44017</v>
      </c>
      <c r="L60" s="1910">
        <v>44066</v>
      </c>
      <c r="M60" s="1911">
        <v>44178</v>
      </c>
      <c r="N60" s="1910">
        <v>44207</v>
      </c>
      <c r="O60" s="1911">
        <v>44286</v>
      </c>
      <c r="P60" s="1975"/>
      <c r="Q60" s="1977"/>
      <c r="R60" s="2031">
        <v>42</v>
      </c>
      <c r="S60" s="2035">
        <v>30</v>
      </c>
      <c r="T60" s="2176" t="s">
        <v>3144</v>
      </c>
      <c r="U60" s="2177" t="s">
        <v>3144</v>
      </c>
      <c r="V60" s="1917">
        <v>34.5</v>
      </c>
      <c r="W60" s="1918">
        <v>22.5</v>
      </c>
      <c r="X60" s="2045">
        <v>2</v>
      </c>
      <c r="Y60" s="1920">
        <v>0</v>
      </c>
      <c r="Z60" s="2906" t="s">
        <v>3144</v>
      </c>
      <c r="AA60" s="2907"/>
      <c r="AB60" s="2178">
        <v>20</v>
      </c>
      <c r="AC60" s="2170">
        <v>5</v>
      </c>
      <c r="AD60" s="1611"/>
    </row>
    <row r="61" spans="1:30" ht="40">
      <c r="A61" s="2898"/>
      <c r="B61" s="2901"/>
      <c r="C61" s="2000" t="s">
        <v>3517</v>
      </c>
      <c r="D61" s="3032"/>
      <c r="E61" s="1630" t="s">
        <v>3131</v>
      </c>
      <c r="F61" s="1926"/>
      <c r="G61" s="1927"/>
      <c r="H61" s="1926"/>
      <c r="I61" s="1927"/>
      <c r="J61" s="1926"/>
      <c r="K61" s="1927"/>
      <c r="L61" s="1926"/>
      <c r="M61" s="1927"/>
      <c r="N61" s="1980"/>
      <c r="O61" s="1981"/>
      <c r="P61" s="1980"/>
      <c r="Q61" s="1982"/>
      <c r="R61" s="1929"/>
      <c r="S61" s="1934"/>
      <c r="T61" s="2105" t="s">
        <v>135</v>
      </c>
      <c r="U61" s="2106" t="s">
        <v>135</v>
      </c>
      <c r="V61" s="1931"/>
      <c r="W61" s="1932"/>
      <c r="X61" s="2179"/>
      <c r="Y61" s="1934"/>
      <c r="Z61" s="3050"/>
      <c r="AA61" s="3051"/>
      <c r="AB61" s="2180"/>
      <c r="AC61" s="1936"/>
      <c r="AD61" s="1611"/>
    </row>
    <row r="62" spans="1:30" ht="22" thickBot="1">
      <c r="A62" s="2899"/>
      <c r="B62" s="2902"/>
      <c r="C62" s="1953" t="s">
        <v>1300</v>
      </c>
      <c r="D62" s="3033"/>
      <c r="E62" s="1938" t="s">
        <v>3132</v>
      </c>
      <c r="F62" s="1941">
        <v>43927</v>
      </c>
      <c r="G62" s="1942">
        <v>43940</v>
      </c>
      <c r="H62" s="1941">
        <v>43982</v>
      </c>
      <c r="I62" s="1942">
        <v>43996</v>
      </c>
      <c r="J62" s="1941">
        <v>44018</v>
      </c>
      <c r="K62" s="1942">
        <v>44065</v>
      </c>
      <c r="L62" s="1941">
        <v>44179</v>
      </c>
      <c r="M62" s="1942">
        <v>44206</v>
      </c>
      <c r="N62" s="1983"/>
      <c r="O62" s="1984"/>
      <c r="P62" s="1983"/>
      <c r="Q62" s="1985"/>
      <c r="R62" s="2052">
        <v>30</v>
      </c>
      <c r="S62" s="1949">
        <v>30</v>
      </c>
      <c r="T62" s="2113" t="s">
        <v>3144</v>
      </c>
      <c r="U62" s="2114" t="s">
        <v>3144</v>
      </c>
      <c r="V62" s="2054">
        <v>22.5</v>
      </c>
      <c r="W62" s="1949">
        <v>22.5</v>
      </c>
      <c r="X62" s="1947">
        <v>2</v>
      </c>
      <c r="Y62" s="1949">
        <v>0</v>
      </c>
      <c r="Z62" s="2910" t="s">
        <v>3144</v>
      </c>
      <c r="AA62" s="2911"/>
      <c r="AB62" s="2181">
        <v>20</v>
      </c>
      <c r="AC62" s="1951">
        <v>5</v>
      </c>
      <c r="AD62" s="1611"/>
    </row>
    <row r="63" spans="1:30" ht="39">
      <c r="A63" s="2897" t="s">
        <v>1299</v>
      </c>
      <c r="B63" s="2900" t="s">
        <v>3149</v>
      </c>
      <c r="C63" s="2057" t="s">
        <v>3518</v>
      </c>
      <c r="D63" s="2903" t="s">
        <v>3144</v>
      </c>
      <c r="E63" s="1628" t="s">
        <v>3130</v>
      </c>
      <c r="F63" s="1908">
        <v>44162</v>
      </c>
      <c r="G63" s="1909">
        <v>44184</v>
      </c>
      <c r="H63" s="1908"/>
      <c r="I63" s="1909"/>
      <c r="J63" s="1908"/>
      <c r="K63" s="1909"/>
      <c r="L63" s="1908"/>
      <c r="M63" s="1909"/>
      <c r="N63" s="2182"/>
      <c r="O63" s="2183"/>
      <c r="P63" s="2182"/>
      <c r="Q63" s="2183"/>
      <c r="R63" s="2031">
        <v>40</v>
      </c>
      <c r="S63" s="2032">
        <v>40</v>
      </c>
      <c r="T63" s="2031" t="s">
        <v>3144</v>
      </c>
      <c r="U63" s="2032" t="s">
        <v>3144</v>
      </c>
      <c r="V63" s="2184">
        <v>25</v>
      </c>
      <c r="W63" s="2185">
        <v>25</v>
      </c>
      <c r="X63" s="2031">
        <v>5</v>
      </c>
      <c r="Y63" s="2032">
        <v>5</v>
      </c>
      <c r="Z63" s="2908" t="s">
        <v>3144</v>
      </c>
      <c r="AA63" s="2909"/>
      <c r="AB63" s="2036" t="s">
        <v>3144</v>
      </c>
      <c r="AC63" s="2037">
        <v>6</v>
      </c>
      <c r="AD63" s="1611"/>
    </row>
    <row r="64" spans="1:30" ht="37.5">
      <c r="A64" s="2898"/>
      <c r="B64" s="2901"/>
      <c r="C64" s="2110" t="s">
        <v>3519</v>
      </c>
      <c r="D64" s="2904"/>
      <c r="E64" s="1630" t="s">
        <v>3131</v>
      </c>
      <c r="F64" s="1924">
        <v>43922</v>
      </c>
      <c r="G64" s="1925">
        <v>43926</v>
      </c>
      <c r="H64" s="1924">
        <v>43941</v>
      </c>
      <c r="I64" s="1925">
        <v>43982</v>
      </c>
      <c r="J64" s="1924">
        <v>43997</v>
      </c>
      <c r="K64" s="1925">
        <v>44038</v>
      </c>
      <c r="L64" s="1924">
        <v>44081</v>
      </c>
      <c r="M64" s="1925">
        <v>44136</v>
      </c>
      <c r="N64" s="1924">
        <v>44144</v>
      </c>
      <c r="O64" s="1925">
        <v>44161</v>
      </c>
      <c r="P64" s="1924">
        <v>44207</v>
      </c>
      <c r="Q64" s="1925">
        <v>44286</v>
      </c>
      <c r="R64" s="1929">
        <v>40</v>
      </c>
      <c r="S64" s="2044">
        <v>34</v>
      </c>
      <c r="T64" s="1929" t="s">
        <v>3144</v>
      </c>
      <c r="U64" s="2044" t="s">
        <v>3144</v>
      </c>
      <c r="V64" s="1931">
        <v>25</v>
      </c>
      <c r="W64" s="2108">
        <v>23</v>
      </c>
      <c r="X64" s="1929">
        <v>7</v>
      </c>
      <c r="Y64" s="2044">
        <v>5</v>
      </c>
      <c r="Z64" s="2908" t="s">
        <v>3144</v>
      </c>
      <c r="AA64" s="2909"/>
      <c r="AB64" s="2046" t="s">
        <v>3144</v>
      </c>
      <c r="AC64" s="2047">
        <v>6</v>
      </c>
      <c r="AD64" s="1611"/>
    </row>
    <row r="65" spans="1:30" ht="22" thickBot="1">
      <c r="A65" s="2899"/>
      <c r="B65" s="2902"/>
      <c r="C65" s="1953" t="s">
        <v>3520</v>
      </c>
      <c r="D65" s="2905"/>
      <c r="E65" s="1938" t="s">
        <v>3132</v>
      </c>
      <c r="F65" s="1939">
        <v>43927</v>
      </c>
      <c r="G65" s="1940">
        <v>43940</v>
      </c>
      <c r="H65" s="1939">
        <v>43983</v>
      </c>
      <c r="I65" s="1940">
        <v>43996</v>
      </c>
      <c r="J65" s="1939">
        <v>44039</v>
      </c>
      <c r="K65" s="1940">
        <v>44080</v>
      </c>
      <c r="L65" s="1939">
        <v>44137</v>
      </c>
      <c r="M65" s="1940">
        <v>44143</v>
      </c>
      <c r="N65" s="1939">
        <v>44185</v>
      </c>
      <c r="O65" s="1940">
        <v>44206</v>
      </c>
      <c r="P65" s="2111"/>
      <c r="Q65" s="2186"/>
      <c r="R65" s="2052">
        <v>33</v>
      </c>
      <c r="S65" s="2053">
        <v>33</v>
      </c>
      <c r="T65" s="2052" t="s">
        <v>3144</v>
      </c>
      <c r="U65" s="2053" t="s">
        <v>3144</v>
      </c>
      <c r="V65" s="1949">
        <v>23</v>
      </c>
      <c r="W65" s="2171">
        <v>23</v>
      </c>
      <c r="X65" s="2052">
        <v>7</v>
      </c>
      <c r="Y65" s="2053">
        <v>5</v>
      </c>
      <c r="Z65" s="2908" t="s">
        <v>3144</v>
      </c>
      <c r="AA65" s="2909"/>
      <c r="AB65" s="2055" t="s">
        <v>3144</v>
      </c>
      <c r="AC65" s="2056">
        <v>6</v>
      </c>
      <c r="AD65" s="1611"/>
    </row>
    <row r="66" spans="1:30" ht="26">
      <c r="A66" s="2897" t="s">
        <v>1299</v>
      </c>
      <c r="B66" s="2900" t="s">
        <v>112</v>
      </c>
      <c r="C66" s="1958" t="s">
        <v>3521</v>
      </c>
      <c r="D66" s="3054" t="s">
        <v>3522</v>
      </c>
      <c r="E66" s="2187" t="s">
        <v>3130</v>
      </c>
      <c r="F66" s="1967" t="s">
        <v>3499</v>
      </c>
      <c r="G66" s="1911" t="s">
        <v>3523</v>
      </c>
      <c r="H66" s="1910"/>
      <c r="I66" s="1911"/>
      <c r="J66" s="1910"/>
      <c r="K66" s="1911"/>
      <c r="L66" s="1910"/>
      <c r="M66" s="1911"/>
      <c r="N66" s="2188"/>
      <c r="O66" s="2189"/>
      <c r="P66" s="2188"/>
      <c r="Q66" s="2190"/>
      <c r="R66" s="2118">
        <v>53.5</v>
      </c>
      <c r="S66" s="2191">
        <v>53.5</v>
      </c>
      <c r="T66" s="2192">
        <v>31.5</v>
      </c>
      <c r="U66" s="2193">
        <v>31.5</v>
      </c>
      <c r="V66" s="2194">
        <v>38.5</v>
      </c>
      <c r="W66" s="2195">
        <v>38.5</v>
      </c>
      <c r="X66" s="2196">
        <v>5</v>
      </c>
      <c r="Y66" s="2085">
        <v>5</v>
      </c>
      <c r="Z66" s="2926" t="s">
        <v>3144</v>
      </c>
      <c r="AA66" s="2927"/>
      <c r="AB66" s="2086">
        <v>25.5</v>
      </c>
      <c r="AC66" s="1922">
        <v>5</v>
      </c>
      <c r="AD66" s="1611"/>
    </row>
    <row r="67" spans="1:30" ht="40">
      <c r="A67" s="2898"/>
      <c r="B67" s="2901"/>
      <c r="C67" s="2064" t="s">
        <v>3524</v>
      </c>
      <c r="D67" s="3055"/>
      <c r="E67" s="2197" t="s">
        <v>3132</v>
      </c>
      <c r="F67" s="1970" t="s">
        <v>3525</v>
      </c>
      <c r="G67" s="1927" t="s">
        <v>3500</v>
      </c>
      <c r="H67" s="1926"/>
      <c r="I67" s="1927"/>
      <c r="J67" s="1926"/>
      <c r="K67" s="1927"/>
      <c r="L67" s="1926"/>
      <c r="M67" s="1927"/>
      <c r="N67" s="2198"/>
      <c r="O67" s="2199"/>
      <c r="P67" s="2198"/>
      <c r="Q67" s="2200"/>
      <c r="R67" s="2125">
        <v>47.5</v>
      </c>
      <c r="S67" s="2201">
        <v>47.5</v>
      </c>
      <c r="T67" s="2202">
        <v>30</v>
      </c>
      <c r="U67" s="2203">
        <v>30</v>
      </c>
      <c r="V67" s="2092">
        <v>32.5</v>
      </c>
      <c r="W67" s="2091">
        <v>32.5</v>
      </c>
      <c r="X67" s="2204">
        <v>5</v>
      </c>
      <c r="Y67" s="2205">
        <v>5</v>
      </c>
      <c r="Z67" s="2928" t="s">
        <v>3144</v>
      </c>
      <c r="AA67" s="2929"/>
      <c r="AB67" s="2095">
        <v>25.5</v>
      </c>
      <c r="AC67" s="1936">
        <v>5</v>
      </c>
      <c r="AD67" s="1611"/>
    </row>
    <row r="68" spans="1:30" ht="20.5" thickBot="1">
      <c r="A68" s="2899"/>
      <c r="B68" s="2901"/>
      <c r="C68" s="2129" t="s">
        <v>3526</v>
      </c>
      <c r="D68" s="3055"/>
      <c r="E68" s="2206"/>
      <c r="F68" s="1972"/>
      <c r="G68" s="1942"/>
      <c r="H68" s="1941"/>
      <c r="I68" s="1942"/>
      <c r="J68" s="1941"/>
      <c r="K68" s="1942"/>
      <c r="L68" s="1941"/>
      <c r="M68" s="1942"/>
      <c r="N68" s="2207"/>
      <c r="O68" s="2208"/>
      <c r="P68" s="2207"/>
      <c r="Q68" s="2209"/>
      <c r="R68" s="2210"/>
      <c r="S68" s="2211"/>
      <c r="T68" s="2212"/>
      <c r="U68" s="2213"/>
      <c r="V68" s="2214"/>
      <c r="W68" s="2211"/>
      <c r="X68" s="2096"/>
      <c r="Y68" s="2099"/>
      <c r="Z68" s="2930"/>
      <c r="AA68" s="2931"/>
      <c r="AB68" s="2101"/>
      <c r="AC68" s="1951"/>
      <c r="AD68" s="1611"/>
    </row>
    <row r="69" spans="1:30" ht="26">
      <c r="A69" s="2958" t="s">
        <v>1299</v>
      </c>
      <c r="B69" s="2900" t="s">
        <v>112</v>
      </c>
      <c r="C69" s="1958" t="s">
        <v>3527</v>
      </c>
      <c r="D69" s="3054" t="s">
        <v>3522</v>
      </c>
      <c r="E69" s="2187" t="s">
        <v>3130</v>
      </c>
      <c r="F69" s="1967" t="s">
        <v>3499</v>
      </c>
      <c r="G69" s="1911" t="s">
        <v>3523</v>
      </c>
      <c r="H69" s="1910"/>
      <c r="I69" s="1911"/>
      <c r="J69" s="1910"/>
      <c r="K69" s="1911"/>
      <c r="L69" s="1910"/>
      <c r="M69" s="1911"/>
      <c r="N69" s="2188"/>
      <c r="O69" s="2189"/>
      <c r="P69" s="2188"/>
      <c r="Q69" s="2190"/>
      <c r="R69" s="2118">
        <v>46</v>
      </c>
      <c r="S69" s="2215">
        <v>46</v>
      </c>
      <c r="T69" s="2216" t="s">
        <v>3144</v>
      </c>
      <c r="U69" s="2215" t="s">
        <v>3144</v>
      </c>
      <c r="V69" s="2217">
        <v>30</v>
      </c>
      <c r="W69" s="2218">
        <v>30</v>
      </c>
      <c r="X69" s="2118">
        <v>5</v>
      </c>
      <c r="Y69" s="2219">
        <v>5</v>
      </c>
      <c r="Z69" s="2926">
        <v>15</v>
      </c>
      <c r="AA69" s="2927"/>
      <c r="AB69" s="1922">
        <v>21</v>
      </c>
      <c r="AC69" s="1922">
        <v>5</v>
      </c>
      <c r="AD69" s="1611"/>
    </row>
    <row r="70" spans="1:30" ht="40">
      <c r="A70" s="2959"/>
      <c r="B70" s="2901"/>
      <c r="C70" s="2064" t="s">
        <v>3528</v>
      </c>
      <c r="D70" s="3055"/>
      <c r="E70" s="2197" t="s">
        <v>3132</v>
      </c>
      <c r="F70" s="1970" t="s">
        <v>3525</v>
      </c>
      <c r="G70" s="1927" t="s">
        <v>3500</v>
      </c>
      <c r="H70" s="1926"/>
      <c r="I70" s="1927"/>
      <c r="J70" s="1926"/>
      <c r="K70" s="1927"/>
      <c r="L70" s="1926"/>
      <c r="M70" s="1927"/>
      <c r="N70" s="2198"/>
      <c r="O70" s="2199"/>
      <c r="P70" s="2198"/>
      <c r="Q70" s="2200"/>
      <c r="R70" s="2125">
        <v>41</v>
      </c>
      <c r="S70" s="2220">
        <v>41</v>
      </c>
      <c r="T70" s="2221" t="s">
        <v>3144</v>
      </c>
      <c r="U70" s="2220" t="s">
        <v>3144</v>
      </c>
      <c r="V70" s="2092">
        <v>30</v>
      </c>
      <c r="W70" s="2091">
        <v>30</v>
      </c>
      <c r="X70" s="2125">
        <v>5</v>
      </c>
      <c r="Y70" s="2094">
        <v>5</v>
      </c>
      <c r="Z70" s="2928">
        <v>5</v>
      </c>
      <c r="AA70" s="2929"/>
      <c r="AB70" s="1936">
        <v>21</v>
      </c>
      <c r="AC70" s="1936">
        <v>5</v>
      </c>
      <c r="AD70" s="1611"/>
    </row>
    <row r="71" spans="1:30" ht="20.5" thickBot="1">
      <c r="A71" s="2960"/>
      <c r="B71" s="2902"/>
      <c r="C71" s="2071" t="s">
        <v>3529</v>
      </c>
      <c r="D71" s="3056"/>
      <c r="E71" s="2206"/>
      <c r="F71" s="1972"/>
      <c r="G71" s="1942"/>
      <c r="H71" s="1941"/>
      <c r="I71" s="1942"/>
      <c r="J71" s="1941"/>
      <c r="K71" s="1942"/>
      <c r="L71" s="1941"/>
      <c r="M71" s="1942"/>
      <c r="N71" s="2207"/>
      <c r="O71" s="2208"/>
      <c r="P71" s="2207"/>
      <c r="Q71" s="2209"/>
      <c r="R71" s="2210"/>
      <c r="S71" s="2222"/>
      <c r="T71" s="2223"/>
      <c r="U71" s="2222"/>
      <c r="V71" s="2211"/>
      <c r="W71" s="2224"/>
      <c r="X71" s="2225"/>
      <c r="Y71" s="2226"/>
      <c r="Z71" s="2930"/>
      <c r="AA71" s="2931"/>
      <c r="AB71" s="1951"/>
      <c r="AC71" s="1951"/>
      <c r="AD71" s="1611"/>
    </row>
    <row r="72" spans="1:30" ht="21.5">
      <c r="A72" s="2897" t="s">
        <v>1299</v>
      </c>
      <c r="B72" s="2900" t="s">
        <v>3530</v>
      </c>
      <c r="C72" s="1958" t="s">
        <v>3531</v>
      </c>
      <c r="D72" s="2903" t="s">
        <v>3144</v>
      </c>
      <c r="E72" s="1628" t="s">
        <v>3130</v>
      </c>
      <c r="F72" s="1910">
        <v>43952</v>
      </c>
      <c r="G72" s="1911">
        <v>43982</v>
      </c>
      <c r="H72" s="1910">
        <v>44075</v>
      </c>
      <c r="I72" s="1911">
        <v>44165</v>
      </c>
      <c r="J72" s="1910"/>
      <c r="K72" s="1911"/>
      <c r="L72" s="1910"/>
      <c r="M72" s="1911"/>
      <c r="N72" s="2227"/>
      <c r="O72" s="2228"/>
      <c r="P72" s="2227"/>
      <c r="Q72" s="2229"/>
      <c r="R72" s="1931">
        <v>29</v>
      </c>
      <c r="S72" s="2230">
        <v>27.5</v>
      </c>
      <c r="T72" s="2141" t="s">
        <v>3144</v>
      </c>
      <c r="U72" s="2142" t="s">
        <v>3144</v>
      </c>
      <c r="V72" s="2139">
        <v>20</v>
      </c>
      <c r="W72" s="2231">
        <v>20</v>
      </c>
      <c r="X72" s="2176">
        <v>3.5</v>
      </c>
      <c r="Y72" s="2232">
        <v>3.5</v>
      </c>
      <c r="Z72" s="2912" t="s">
        <v>3144</v>
      </c>
      <c r="AA72" s="2913"/>
      <c r="AB72" s="1921">
        <v>18.5</v>
      </c>
      <c r="AC72" s="2086">
        <v>4.5</v>
      </c>
      <c r="AD72" s="1611"/>
    </row>
    <row r="73" spans="1:30" ht="56.25" customHeight="1">
      <c r="A73" s="2898"/>
      <c r="B73" s="2901"/>
      <c r="C73" s="1629" t="s">
        <v>3532</v>
      </c>
      <c r="D73" s="2904"/>
      <c r="E73" s="1630"/>
      <c r="F73" s="2039"/>
      <c r="G73" s="2040"/>
      <c r="H73" s="2039"/>
      <c r="I73" s="2040"/>
      <c r="J73" s="1926"/>
      <c r="K73" s="1927"/>
      <c r="L73" s="1926"/>
      <c r="M73" s="1927"/>
      <c r="N73" s="2233"/>
      <c r="O73" s="2234"/>
      <c r="P73" s="2233"/>
      <c r="Q73" s="2235"/>
      <c r="R73" s="1931" t="s">
        <v>135</v>
      </c>
      <c r="S73" s="2230" t="s">
        <v>135</v>
      </c>
      <c r="T73" s="2152" t="s">
        <v>135</v>
      </c>
      <c r="U73" s="2153" t="s">
        <v>135</v>
      </c>
      <c r="V73" s="2150"/>
      <c r="W73" s="2236"/>
      <c r="X73" s="2105"/>
      <c r="Y73" s="2237"/>
      <c r="Z73" s="2908"/>
      <c r="AA73" s="2909"/>
      <c r="AB73" s="1935"/>
      <c r="AC73" s="2095"/>
      <c r="AD73" s="1611"/>
    </row>
    <row r="74" spans="1:30" ht="22" thickBot="1">
      <c r="A74" s="2899"/>
      <c r="B74" s="2902"/>
      <c r="C74" s="1953" t="s">
        <v>3533</v>
      </c>
      <c r="D74" s="2905"/>
      <c r="E74" s="1938" t="s">
        <v>3132</v>
      </c>
      <c r="F74" s="2039">
        <v>43922</v>
      </c>
      <c r="G74" s="2040">
        <v>43951</v>
      </c>
      <c r="H74" s="1941">
        <v>43983</v>
      </c>
      <c r="I74" s="1942">
        <v>44074</v>
      </c>
      <c r="J74" s="1941">
        <v>44166</v>
      </c>
      <c r="K74" s="1942">
        <v>44286</v>
      </c>
      <c r="L74" s="1941"/>
      <c r="M74" s="1942"/>
      <c r="N74" s="2238"/>
      <c r="O74" s="2239"/>
      <c r="P74" s="2238"/>
      <c r="Q74" s="2240"/>
      <c r="R74" s="2241">
        <v>27.5</v>
      </c>
      <c r="S74" s="2242">
        <v>27.5</v>
      </c>
      <c r="T74" s="2077" t="s">
        <v>3144</v>
      </c>
      <c r="U74" s="2163" t="s">
        <v>3144</v>
      </c>
      <c r="V74" s="2164">
        <v>20</v>
      </c>
      <c r="W74" s="2078">
        <v>20</v>
      </c>
      <c r="X74" s="2113">
        <v>3.5</v>
      </c>
      <c r="Y74" s="2243">
        <v>3.5</v>
      </c>
      <c r="Z74" s="2910" t="s">
        <v>3144</v>
      </c>
      <c r="AA74" s="2911"/>
      <c r="AB74" s="2174">
        <v>18.5</v>
      </c>
      <c r="AC74" s="2101">
        <v>4.5</v>
      </c>
      <c r="AD74" s="1611"/>
    </row>
    <row r="75" spans="1:30" ht="21.5">
      <c r="A75" s="2897" t="s">
        <v>1299</v>
      </c>
      <c r="B75" s="2900" t="s">
        <v>931</v>
      </c>
      <c r="C75" s="2244" t="s">
        <v>3534</v>
      </c>
      <c r="D75" s="2903" t="s">
        <v>3144</v>
      </c>
      <c r="E75" s="1628" t="s">
        <v>3130</v>
      </c>
      <c r="F75" s="1910">
        <v>43922</v>
      </c>
      <c r="G75" s="1911">
        <v>43926</v>
      </c>
      <c r="H75" s="1910">
        <v>43941</v>
      </c>
      <c r="I75" s="1911">
        <v>43982</v>
      </c>
      <c r="J75" s="1910">
        <v>43997</v>
      </c>
      <c r="K75" s="1911">
        <v>44038</v>
      </c>
      <c r="L75" s="1910">
        <v>44081</v>
      </c>
      <c r="M75" s="1911">
        <v>44136</v>
      </c>
      <c r="N75" s="1910">
        <v>44144</v>
      </c>
      <c r="O75" s="1911">
        <v>44185</v>
      </c>
      <c r="P75" s="1910">
        <v>44207</v>
      </c>
      <c r="Q75" s="1911">
        <v>44286</v>
      </c>
      <c r="R75" s="2031">
        <v>41</v>
      </c>
      <c r="S75" s="2144">
        <v>31</v>
      </c>
      <c r="T75" s="2245" t="s">
        <v>3144</v>
      </c>
      <c r="U75" s="2246" t="s">
        <v>3144</v>
      </c>
      <c r="V75" s="2139">
        <v>24</v>
      </c>
      <c r="W75" s="2231">
        <v>21</v>
      </c>
      <c r="X75" s="1919">
        <v>4</v>
      </c>
      <c r="Y75" s="1920">
        <v>4</v>
      </c>
      <c r="Z75" s="2912">
        <v>20</v>
      </c>
      <c r="AA75" s="2913"/>
      <c r="AB75" s="2036">
        <v>21.5</v>
      </c>
      <c r="AC75" s="1922">
        <v>5</v>
      </c>
      <c r="AD75" s="2048"/>
    </row>
    <row r="76" spans="1:30" ht="71.25" customHeight="1">
      <c r="A76" s="2898"/>
      <c r="B76" s="2901"/>
      <c r="C76" s="2038" t="s">
        <v>3535</v>
      </c>
      <c r="D76" s="2904"/>
      <c r="E76" s="1630"/>
      <c r="F76" s="1926"/>
      <c r="G76" s="1927"/>
      <c r="H76" s="1926"/>
      <c r="I76" s="1927"/>
      <c r="J76" s="1926"/>
      <c r="K76" s="1927"/>
      <c r="L76" s="1926"/>
      <c r="M76" s="1927"/>
      <c r="N76" s="2041"/>
      <c r="O76" s="2042"/>
      <c r="P76" s="2041"/>
      <c r="Q76" s="2043"/>
      <c r="R76" s="1929"/>
      <c r="S76" s="2155"/>
      <c r="T76" s="2152"/>
      <c r="U76" s="2155"/>
      <c r="V76" s="2150"/>
      <c r="W76" s="2236"/>
      <c r="X76" s="1933"/>
      <c r="Y76" s="1934"/>
      <c r="Z76" s="2908"/>
      <c r="AA76" s="2909"/>
      <c r="AB76" s="2046"/>
      <c r="AC76" s="1936"/>
      <c r="AD76" s="1611"/>
    </row>
    <row r="77" spans="1:30" ht="22" thickBot="1">
      <c r="A77" s="2899"/>
      <c r="B77" s="2902"/>
      <c r="C77" s="1953" t="s">
        <v>3536</v>
      </c>
      <c r="D77" s="2905"/>
      <c r="E77" s="1938" t="s">
        <v>3132</v>
      </c>
      <c r="F77" s="1941">
        <v>43927</v>
      </c>
      <c r="G77" s="1942">
        <v>43940</v>
      </c>
      <c r="H77" s="1941">
        <v>43983</v>
      </c>
      <c r="I77" s="1942">
        <v>43996</v>
      </c>
      <c r="J77" s="1941">
        <v>44039</v>
      </c>
      <c r="K77" s="1942">
        <v>44080</v>
      </c>
      <c r="L77" s="1941">
        <v>44137</v>
      </c>
      <c r="M77" s="1942">
        <v>44143</v>
      </c>
      <c r="N77" s="1941">
        <v>44186</v>
      </c>
      <c r="O77" s="1942">
        <v>44206</v>
      </c>
      <c r="P77" s="2111"/>
      <c r="Q77" s="2112"/>
      <c r="R77" s="2052">
        <v>31</v>
      </c>
      <c r="S77" s="2163">
        <v>31</v>
      </c>
      <c r="T77" s="2247" t="s">
        <v>3144</v>
      </c>
      <c r="U77" s="2163" t="s">
        <v>3144</v>
      </c>
      <c r="V77" s="2078">
        <v>21</v>
      </c>
      <c r="W77" s="2248">
        <v>21</v>
      </c>
      <c r="X77" s="2249">
        <v>4</v>
      </c>
      <c r="Y77" s="2250">
        <v>4</v>
      </c>
      <c r="Z77" s="2910">
        <v>20</v>
      </c>
      <c r="AA77" s="2911"/>
      <c r="AB77" s="2055">
        <v>21.5</v>
      </c>
      <c r="AC77" s="1951">
        <v>5</v>
      </c>
      <c r="AD77" s="1611"/>
    </row>
    <row r="78" spans="1:30" ht="26">
      <c r="A78" s="2961" t="s">
        <v>1299</v>
      </c>
      <c r="B78" s="2964" t="s">
        <v>3537</v>
      </c>
      <c r="C78" s="2134" t="s">
        <v>3538</v>
      </c>
      <c r="D78" s="3031" t="s">
        <v>3539</v>
      </c>
      <c r="E78" s="1899" t="s">
        <v>3130</v>
      </c>
      <c r="F78" s="2251" t="s">
        <v>3540</v>
      </c>
      <c r="G78" s="2252" t="s">
        <v>3541</v>
      </c>
      <c r="H78" s="2253"/>
      <c r="I78" s="2252"/>
      <c r="J78" s="2253"/>
      <c r="K78" s="2252"/>
      <c r="L78" s="1910"/>
      <c r="M78" s="1911"/>
      <c r="N78" s="1989"/>
      <c r="O78" s="1990"/>
      <c r="P78" s="1989"/>
      <c r="Q78" s="1990"/>
      <c r="R78" s="2194">
        <v>48.5</v>
      </c>
      <c r="S78" s="2195">
        <v>41.5</v>
      </c>
      <c r="T78" s="2254">
        <v>30</v>
      </c>
      <c r="U78" s="2195">
        <v>28</v>
      </c>
      <c r="V78" s="2254">
        <v>33.5</v>
      </c>
      <c r="W78" s="2255">
        <v>30</v>
      </c>
      <c r="X78" s="2256">
        <v>5</v>
      </c>
      <c r="Y78" s="2215">
        <v>5</v>
      </c>
      <c r="Z78" s="2940">
        <v>25</v>
      </c>
      <c r="AA78" s="2941"/>
      <c r="AB78" s="2257">
        <v>20</v>
      </c>
      <c r="AC78" s="2258">
        <v>6</v>
      </c>
      <c r="AD78" s="1611"/>
    </row>
    <row r="79" spans="1:30" ht="30">
      <c r="A79" s="2962"/>
      <c r="B79" s="2965"/>
      <c r="C79" s="2259" t="s">
        <v>3542</v>
      </c>
      <c r="D79" s="3032"/>
      <c r="E79" s="1900" t="s">
        <v>3131</v>
      </c>
      <c r="F79" s="2260" t="s">
        <v>3499</v>
      </c>
      <c r="G79" s="2261" t="s">
        <v>3543</v>
      </c>
      <c r="H79" s="2262" t="s">
        <v>3544</v>
      </c>
      <c r="I79" s="2263" t="s">
        <v>3545</v>
      </c>
      <c r="J79" s="2262" t="s">
        <v>3546</v>
      </c>
      <c r="K79" s="2263" t="s">
        <v>3500</v>
      </c>
      <c r="L79" s="1926"/>
      <c r="M79" s="1927"/>
      <c r="N79" s="1989"/>
      <c r="O79" s="1990"/>
      <c r="P79" s="1989"/>
      <c r="Q79" s="2264"/>
      <c r="R79" s="2092">
        <v>45.5</v>
      </c>
      <c r="S79" s="2091">
        <v>41.5</v>
      </c>
      <c r="T79" s="2090">
        <v>30</v>
      </c>
      <c r="U79" s="2195">
        <v>28</v>
      </c>
      <c r="V79" s="2090">
        <v>33.5</v>
      </c>
      <c r="W79" s="2255">
        <v>30</v>
      </c>
      <c r="X79" s="2265">
        <v>5</v>
      </c>
      <c r="Y79" s="2220">
        <v>5</v>
      </c>
      <c r="Z79" s="2942">
        <v>25</v>
      </c>
      <c r="AA79" s="2943"/>
      <c r="AB79" s="2266">
        <v>20</v>
      </c>
      <c r="AC79" s="2267">
        <v>6</v>
      </c>
      <c r="AD79" s="1611"/>
    </row>
    <row r="80" spans="1:30" ht="26.5" thickBot="1">
      <c r="A80" s="2963"/>
      <c r="B80" s="2966"/>
      <c r="C80" s="2158" t="s">
        <v>3547</v>
      </c>
      <c r="D80" s="3033"/>
      <c r="E80" s="2013" t="s">
        <v>3132</v>
      </c>
      <c r="F80" s="2268" t="s">
        <v>3548</v>
      </c>
      <c r="G80" s="2269" t="s">
        <v>3549</v>
      </c>
      <c r="H80" s="2268" t="s">
        <v>3550</v>
      </c>
      <c r="I80" s="2269" t="s">
        <v>3551</v>
      </c>
      <c r="J80" s="2268" t="s">
        <v>3552</v>
      </c>
      <c r="K80" s="2270" t="s">
        <v>3553</v>
      </c>
      <c r="L80" s="1941"/>
      <c r="M80" s="1942"/>
      <c r="N80" s="2014"/>
      <c r="O80" s="2015"/>
      <c r="P80" s="2016"/>
      <c r="Q80" s="2015"/>
      <c r="R80" s="2271">
        <v>41.5</v>
      </c>
      <c r="S80" s="2224">
        <v>41.5</v>
      </c>
      <c r="T80" s="2272">
        <v>28</v>
      </c>
      <c r="U80" s="2224">
        <v>28</v>
      </c>
      <c r="V80" s="2272">
        <v>30</v>
      </c>
      <c r="W80" s="2273">
        <v>30</v>
      </c>
      <c r="X80" s="2271">
        <v>5</v>
      </c>
      <c r="Y80" s="2222">
        <v>5</v>
      </c>
      <c r="Z80" s="2944">
        <v>25</v>
      </c>
      <c r="AA80" s="2945"/>
      <c r="AB80" s="2274">
        <v>20</v>
      </c>
      <c r="AC80" s="2275">
        <v>6</v>
      </c>
      <c r="AD80" s="1611"/>
    </row>
    <row r="81" spans="1:30" ht="36.5">
      <c r="A81" s="2967" t="s">
        <v>3142</v>
      </c>
      <c r="B81" s="2900" t="s">
        <v>3537</v>
      </c>
      <c r="C81" s="1974" t="s">
        <v>3554</v>
      </c>
      <c r="D81" s="2903" t="s">
        <v>3539</v>
      </c>
      <c r="E81" s="1628" t="s">
        <v>3130</v>
      </c>
      <c r="F81" s="2276" t="s">
        <v>3540</v>
      </c>
      <c r="G81" s="2277" t="s">
        <v>3541</v>
      </c>
      <c r="H81" s="2278"/>
      <c r="I81" s="2277"/>
      <c r="J81" s="2278"/>
      <c r="K81" s="2277"/>
      <c r="L81" s="1910"/>
      <c r="M81" s="1911"/>
      <c r="N81" s="1912"/>
      <c r="O81" s="1913"/>
      <c r="P81" s="1912"/>
      <c r="Q81" s="1913"/>
      <c r="R81" s="2116">
        <v>48.5</v>
      </c>
      <c r="S81" s="2195">
        <v>41.5</v>
      </c>
      <c r="T81" s="2254">
        <v>30</v>
      </c>
      <c r="U81" s="2195">
        <v>28</v>
      </c>
      <c r="V81" s="2254">
        <v>33.5</v>
      </c>
      <c r="W81" s="2255">
        <v>30</v>
      </c>
      <c r="X81" s="2279">
        <v>5</v>
      </c>
      <c r="Y81" s="2219">
        <v>5</v>
      </c>
      <c r="Z81" s="2926">
        <v>25</v>
      </c>
      <c r="AA81" s="2927"/>
      <c r="AB81" s="2280">
        <v>21</v>
      </c>
      <c r="AC81" s="2037">
        <v>6</v>
      </c>
      <c r="AD81" s="1611"/>
    </row>
    <row r="82" spans="1:30" ht="30">
      <c r="A82" s="2968"/>
      <c r="B82" s="2901"/>
      <c r="C82" s="1923" t="s">
        <v>3555</v>
      </c>
      <c r="D82" s="2904"/>
      <c r="E82" s="1630" t="s">
        <v>3131</v>
      </c>
      <c r="F82" s="2281" t="s">
        <v>3499</v>
      </c>
      <c r="G82" s="2282" t="s">
        <v>3543</v>
      </c>
      <c r="H82" s="2283" t="s">
        <v>3544</v>
      </c>
      <c r="I82" s="2284" t="s">
        <v>3545</v>
      </c>
      <c r="J82" s="2283" t="s">
        <v>3546</v>
      </c>
      <c r="K82" s="2284" t="s">
        <v>3500</v>
      </c>
      <c r="L82" s="1926"/>
      <c r="M82" s="1927"/>
      <c r="N82" s="1912"/>
      <c r="O82" s="1913"/>
      <c r="P82" s="1912"/>
      <c r="Q82" s="2087"/>
      <c r="R82" s="2088">
        <v>45.5</v>
      </c>
      <c r="S82" s="2091">
        <v>41.5</v>
      </c>
      <c r="T82" s="2090">
        <v>30</v>
      </c>
      <c r="U82" s="2195">
        <v>28</v>
      </c>
      <c r="V82" s="2090">
        <v>33.5</v>
      </c>
      <c r="W82" s="2255">
        <v>30</v>
      </c>
      <c r="X82" s="2204">
        <v>5</v>
      </c>
      <c r="Y82" s="2094">
        <v>5</v>
      </c>
      <c r="Z82" s="2928">
        <v>25</v>
      </c>
      <c r="AA82" s="2929"/>
      <c r="AB82" s="2128">
        <v>21</v>
      </c>
      <c r="AC82" s="2047">
        <v>6</v>
      </c>
      <c r="AD82" s="1611"/>
    </row>
    <row r="83" spans="1:30" ht="26.5" thickBot="1">
      <c r="A83" s="2969"/>
      <c r="B83" s="2902"/>
      <c r="C83" s="1953" t="s">
        <v>3556</v>
      </c>
      <c r="D83" s="2905"/>
      <c r="E83" s="1938" t="s">
        <v>3132</v>
      </c>
      <c r="F83" s="2285" t="s">
        <v>3548</v>
      </c>
      <c r="G83" s="2286" t="s">
        <v>3549</v>
      </c>
      <c r="H83" s="2285" t="s">
        <v>3550</v>
      </c>
      <c r="I83" s="2286" t="s">
        <v>3551</v>
      </c>
      <c r="J83" s="2285" t="s">
        <v>3552</v>
      </c>
      <c r="K83" s="2287" t="s">
        <v>3553</v>
      </c>
      <c r="L83" s="1941"/>
      <c r="M83" s="1942"/>
      <c r="N83" s="1943"/>
      <c r="O83" s="1944"/>
      <c r="P83" s="1945"/>
      <c r="Q83" s="1944"/>
      <c r="R83" s="2096">
        <v>41.5</v>
      </c>
      <c r="S83" s="2224">
        <v>41.5</v>
      </c>
      <c r="T83" s="2272">
        <v>28</v>
      </c>
      <c r="U83" s="2224">
        <v>28</v>
      </c>
      <c r="V83" s="2272">
        <v>30</v>
      </c>
      <c r="W83" s="2273">
        <v>30</v>
      </c>
      <c r="X83" s="2096">
        <v>5</v>
      </c>
      <c r="Y83" s="2100">
        <v>5</v>
      </c>
      <c r="Z83" s="2930">
        <v>25</v>
      </c>
      <c r="AA83" s="2931"/>
      <c r="AB83" s="2288">
        <v>21</v>
      </c>
      <c r="AC83" s="2056">
        <v>6</v>
      </c>
      <c r="AD83" s="1611"/>
    </row>
    <row r="84" spans="1:30" ht="26.5" thickBot="1">
      <c r="A84" s="2897" t="s">
        <v>1299</v>
      </c>
      <c r="B84" s="2900" t="s">
        <v>3153</v>
      </c>
      <c r="C84" s="2057" t="s">
        <v>3557</v>
      </c>
      <c r="D84" s="2903" t="s">
        <v>3144</v>
      </c>
      <c r="E84" s="1628"/>
      <c r="F84" s="1908"/>
      <c r="G84" s="1909"/>
      <c r="H84" s="2289"/>
      <c r="I84" s="2290"/>
      <c r="J84" s="2289"/>
      <c r="K84" s="2290"/>
      <c r="L84" s="2289"/>
      <c r="M84" s="2290"/>
      <c r="N84" s="2182"/>
      <c r="O84" s="2183"/>
      <c r="P84" s="2182"/>
      <c r="Q84" s="2291"/>
      <c r="R84" s="2031"/>
      <c r="S84" s="2144"/>
      <c r="T84" s="2141"/>
      <c r="U84" s="2292"/>
      <c r="V84" s="2141"/>
      <c r="W84" s="2142"/>
      <c r="X84" s="2034"/>
      <c r="Y84" s="2033"/>
      <c r="Z84" s="2912"/>
      <c r="AA84" s="2913"/>
      <c r="AB84" s="2036"/>
      <c r="AC84" s="2036"/>
      <c r="AD84" s="1611"/>
    </row>
    <row r="85" spans="1:30" ht="62.5">
      <c r="A85" s="2898"/>
      <c r="B85" s="2901"/>
      <c r="C85" s="2293" t="s">
        <v>3558</v>
      </c>
      <c r="D85" s="2904"/>
      <c r="E85" s="1628" t="s">
        <v>3488</v>
      </c>
      <c r="F85" s="1924">
        <v>43922</v>
      </c>
      <c r="G85" s="1925">
        <v>44286</v>
      </c>
      <c r="H85" s="2294"/>
      <c r="I85" s="2295"/>
      <c r="J85" s="2294"/>
      <c r="K85" s="2295"/>
      <c r="L85" s="2294"/>
      <c r="M85" s="2295"/>
      <c r="N85" s="2041"/>
      <c r="O85" s="2042"/>
      <c r="P85" s="2041"/>
      <c r="Q85" s="2043"/>
      <c r="R85" s="1929">
        <v>28</v>
      </c>
      <c r="S85" s="2044">
        <v>28</v>
      </c>
      <c r="T85" s="1929" t="s">
        <v>3144</v>
      </c>
      <c r="U85" s="1934" t="s">
        <v>3144</v>
      </c>
      <c r="V85" s="1929">
        <v>22.5</v>
      </c>
      <c r="W85" s="1930">
        <v>22.5</v>
      </c>
      <c r="X85" s="2179">
        <v>3</v>
      </c>
      <c r="Y85" s="1930">
        <v>3</v>
      </c>
      <c r="Z85" s="2908">
        <v>15</v>
      </c>
      <c r="AA85" s="2909"/>
      <c r="AB85" s="2046">
        <v>21.5</v>
      </c>
      <c r="AC85" s="2046">
        <v>5</v>
      </c>
      <c r="AD85" s="1611"/>
    </row>
    <row r="86" spans="1:30" ht="20.5" thickBot="1">
      <c r="A86" s="2899"/>
      <c r="B86" s="2902"/>
      <c r="C86" s="1953" t="s">
        <v>3559</v>
      </c>
      <c r="D86" s="2905"/>
      <c r="E86" s="1938"/>
      <c r="F86" s="1939"/>
      <c r="G86" s="1940"/>
      <c r="H86" s="1956"/>
      <c r="I86" s="1957"/>
      <c r="J86" s="1956"/>
      <c r="K86" s="1957"/>
      <c r="L86" s="1956"/>
      <c r="M86" s="1957"/>
      <c r="N86" s="2111"/>
      <c r="O86" s="2186"/>
      <c r="P86" s="2111"/>
      <c r="Q86" s="2112"/>
      <c r="R86" s="2052"/>
      <c r="S86" s="2053"/>
      <c r="T86" s="2052"/>
      <c r="U86" s="1949"/>
      <c r="V86" s="1947"/>
      <c r="W86" s="2053"/>
      <c r="X86" s="1947"/>
      <c r="Y86" s="2296"/>
      <c r="Z86" s="2910"/>
      <c r="AA86" s="2911"/>
      <c r="AB86" s="2055"/>
      <c r="AC86" s="2055"/>
      <c r="AD86" s="1611"/>
    </row>
    <row r="87" spans="1:30" ht="13.5" thickBot="1">
      <c r="A87" s="2897" t="s">
        <v>1299</v>
      </c>
      <c r="B87" s="2900" t="s">
        <v>938</v>
      </c>
      <c r="C87" s="1974" t="s">
        <v>3560</v>
      </c>
      <c r="D87" s="2903" t="s">
        <v>3561</v>
      </c>
      <c r="E87" s="2102"/>
      <c r="F87" s="1924"/>
      <c r="G87" s="1925"/>
      <c r="H87" s="2294"/>
      <c r="I87" s="2295"/>
      <c r="J87" s="2294"/>
      <c r="K87" s="2295"/>
      <c r="L87" s="2294"/>
      <c r="M87" s="2295"/>
      <c r="N87" s="1980"/>
      <c r="O87" s="1981"/>
      <c r="P87" s="1980"/>
      <c r="Q87" s="1982"/>
      <c r="R87" s="1915"/>
      <c r="S87" s="1916"/>
      <c r="T87" s="1917"/>
      <c r="U87" s="1918"/>
      <c r="V87" s="1917"/>
      <c r="W87" s="1918"/>
      <c r="X87" s="1919"/>
      <c r="Y87" s="1920"/>
      <c r="Z87" s="2912"/>
      <c r="AA87" s="2913"/>
      <c r="AB87" s="1921"/>
      <c r="AC87" s="1922"/>
      <c r="AD87" s="1611"/>
    </row>
    <row r="88" spans="1:30" ht="40">
      <c r="A88" s="2898"/>
      <c r="B88" s="2901"/>
      <c r="C88" s="2064" t="s">
        <v>3562</v>
      </c>
      <c r="D88" s="2904"/>
      <c r="E88" s="1628" t="s">
        <v>3488</v>
      </c>
      <c r="F88" s="1924">
        <v>43922</v>
      </c>
      <c r="G88" s="1925">
        <v>44286</v>
      </c>
      <c r="H88" s="1924"/>
      <c r="I88" s="1925"/>
      <c r="J88" s="2294"/>
      <c r="K88" s="2295"/>
      <c r="L88" s="2294"/>
      <c r="M88" s="2295"/>
      <c r="N88" s="1980"/>
      <c r="O88" s="1981"/>
      <c r="P88" s="1980"/>
      <c r="Q88" s="1982"/>
      <c r="R88" s="1929">
        <v>26</v>
      </c>
      <c r="S88" s="1930">
        <v>26</v>
      </c>
      <c r="T88" s="1931">
        <v>19.5</v>
      </c>
      <c r="U88" s="1932">
        <v>19.5</v>
      </c>
      <c r="V88" s="1931">
        <v>20</v>
      </c>
      <c r="W88" s="1932">
        <v>20</v>
      </c>
      <c r="X88" s="1933">
        <v>0</v>
      </c>
      <c r="Y88" s="1934">
        <v>0</v>
      </c>
      <c r="Z88" s="2908">
        <v>15</v>
      </c>
      <c r="AA88" s="2909"/>
      <c r="AB88" s="1935">
        <v>16</v>
      </c>
      <c r="AC88" s="1936">
        <v>6</v>
      </c>
      <c r="AD88" s="1611"/>
    </row>
    <row r="89" spans="1:30" ht="20.5" thickBot="1">
      <c r="A89" s="2899"/>
      <c r="B89" s="2902"/>
      <c r="C89" s="1953" t="s">
        <v>3563</v>
      </c>
      <c r="D89" s="2905"/>
      <c r="E89" s="1938"/>
      <c r="F89" s="1939"/>
      <c r="G89" s="1940"/>
      <c r="H89" s="1956"/>
      <c r="I89" s="1957"/>
      <c r="J89" s="1956"/>
      <c r="K89" s="1957"/>
      <c r="L89" s="1956"/>
      <c r="M89" s="1957"/>
      <c r="N89" s="1983"/>
      <c r="O89" s="1984"/>
      <c r="P89" s="2297"/>
      <c r="Q89" s="2298"/>
      <c r="R89" s="1947"/>
      <c r="S89" s="1948"/>
      <c r="T89" s="1949"/>
      <c r="U89" s="1948"/>
      <c r="V89" s="1947"/>
      <c r="W89" s="1949"/>
      <c r="X89" s="1947"/>
      <c r="Y89" s="1949"/>
      <c r="Z89" s="2910"/>
      <c r="AA89" s="2911"/>
      <c r="AB89" s="1950"/>
      <c r="AC89" s="1951"/>
      <c r="AD89" s="1611"/>
    </row>
    <row r="90" spans="1:30" ht="26">
      <c r="A90" s="2897" t="s">
        <v>1299</v>
      </c>
      <c r="B90" s="2955" t="s">
        <v>938</v>
      </c>
      <c r="C90" s="1974" t="s">
        <v>3564</v>
      </c>
      <c r="D90" s="2903" t="s">
        <v>3561</v>
      </c>
      <c r="E90" s="2102" t="s">
        <v>3130</v>
      </c>
      <c r="F90" s="2299">
        <v>44161</v>
      </c>
      <c r="G90" s="2300">
        <v>44185</v>
      </c>
      <c r="H90" s="2299"/>
      <c r="I90" s="2300"/>
      <c r="J90" s="2301"/>
      <c r="K90" s="2302"/>
      <c r="L90" s="2301"/>
      <c r="M90" s="2302"/>
      <c r="N90" s="1975"/>
      <c r="O90" s="1976"/>
      <c r="P90" s="1975"/>
      <c r="Q90" s="1977"/>
      <c r="R90" s="1915">
        <v>42</v>
      </c>
      <c r="S90" s="1916">
        <v>55</v>
      </c>
      <c r="T90" s="1978" t="s">
        <v>3144</v>
      </c>
      <c r="U90" s="1979" t="s">
        <v>3144</v>
      </c>
      <c r="V90" s="1917">
        <v>37.5</v>
      </c>
      <c r="W90" s="1918">
        <v>50</v>
      </c>
      <c r="X90" s="1919">
        <v>0</v>
      </c>
      <c r="Y90" s="1920">
        <v>0</v>
      </c>
      <c r="Z90" s="2912">
        <v>20</v>
      </c>
      <c r="AA90" s="2913"/>
      <c r="AB90" s="2303" t="s">
        <v>417</v>
      </c>
      <c r="AC90" s="1922">
        <v>6</v>
      </c>
      <c r="AD90" s="1611"/>
    </row>
    <row r="91" spans="1:30" ht="21.5">
      <c r="A91" s="2898"/>
      <c r="B91" s="2956"/>
      <c r="C91" s="1923" t="s">
        <v>3565</v>
      </c>
      <c r="D91" s="2904"/>
      <c r="E91" s="1630" t="s">
        <v>3131</v>
      </c>
      <c r="F91" s="2304">
        <v>43941</v>
      </c>
      <c r="G91" s="2305">
        <v>44119</v>
      </c>
      <c r="H91" s="2304">
        <v>44194</v>
      </c>
      <c r="I91" s="2305">
        <v>44196</v>
      </c>
      <c r="J91" s="2306"/>
      <c r="K91" s="2307"/>
      <c r="L91" s="2306"/>
      <c r="M91" s="2307"/>
      <c r="N91" s="1980"/>
      <c r="O91" s="1981"/>
      <c r="P91" s="1980"/>
      <c r="Q91" s="1982"/>
      <c r="R91" s="1929">
        <v>40</v>
      </c>
      <c r="S91" s="1930">
        <v>52</v>
      </c>
      <c r="T91" s="2308" t="s">
        <v>3144</v>
      </c>
      <c r="U91" s="2309" t="s">
        <v>3144</v>
      </c>
      <c r="V91" s="1931">
        <v>35.5</v>
      </c>
      <c r="W91" s="1932">
        <v>48</v>
      </c>
      <c r="X91" s="1933">
        <v>0</v>
      </c>
      <c r="Y91" s="1934">
        <v>0</v>
      </c>
      <c r="Z91" s="2908">
        <v>20</v>
      </c>
      <c r="AA91" s="2909"/>
      <c r="AB91" s="2310" t="s">
        <v>417</v>
      </c>
      <c r="AC91" s="1936">
        <v>6</v>
      </c>
      <c r="AD91" s="1611"/>
    </row>
    <row r="92" spans="1:30" ht="22" thickBot="1">
      <c r="A92" s="2899"/>
      <c r="B92" s="2957"/>
      <c r="C92" s="1953" t="s">
        <v>3566</v>
      </c>
      <c r="D92" s="2905"/>
      <c r="E92" s="1938" t="s">
        <v>3132</v>
      </c>
      <c r="F92" s="2311">
        <v>43922</v>
      </c>
      <c r="G92" s="2312">
        <v>43940</v>
      </c>
      <c r="H92" s="2311">
        <v>44120</v>
      </c>
      <c r="I92" s="2312">
        <v>44160</v>
      </c>
      <c r="J92" s="2311">
        <v>44186</v>
      </c>
      <c r="K92" s="2312">
        <v>44193</v>
      </c>
      <c r="L92" s="2311">
        <v>44197</v>
      </c>
      <c r="M92" s="2312">
        <v>44286</v>
      </c>
      <c r="N92" s="1983"/>
      <c r="O92" s="1984"/>
      <c r="P92" s="1983"/>
      <c r="Q92" s="1985"/>
      <c r="R92" s="1947">
        <v>35</v>
      </c>
      <c r="S92" s="1948">
        <v>35</v>
      </c>
      <c r="T92" s="1986" t="s">
        <v>3144</v>
      </c>
      <c r="U92" s="1987" t="s">
        <v>3144</v>
      </c>
      <c r="V92" s="1947">
        <v>31.5</v>
      </c>
      <c r="W92" s="1949">
        <v>31.5</v>
      </c>
      <c r="X92" s="1947">
        <v>0</v>
      </c>
      <c r="Y92" s="1949">
        <v>0</v>
      </c>
      <c r="Z92" s="2910">
        <v>20</v>
      </c>
      <c r="AA92" s="2911"/>
      <c r="AB92" s="2313" t="s">
        <v>417</v>
      </c>
      <c r="AC92" s="1951">
        <v>6</v>
      </c>
      <c r="AD92" s="1611"/>
    </row>
    <row r="93" spans="1:30" ht="26.5" thickBot="1">
      <c r="A93" s="2897" t="s">
        <v>1299</v>
      </c>
      <c r="B93" s="2900" t="s">
        <v>3150</v>
      </c>
      <c r="C93" s="1974" t="s">
        <v>3567</v>
      </c>
      <c r="D93" s="2903" t="s">
        <v>3144</v>
      </c>
      <c r="E93" s="2314"/>
      <c r="F93" s="1908"/>
      <c r="G93" s="1909"/>
      <c r="H93" s="1908"/>
      <c r="I93" s="1909"/>
      <c r="J93" s="1908"/>
      <c r="K93" s="1909"/>
      <c r="L93" s="2289"/>
      <c r="M93" s="2290"/>
      <c r="N93" s="1975"/>
      <c r="O93" s="1976"/>
      <c r="P93" s="2315"/>
      <c r="Q93" s="2316"/>
      <c r="R93" s="1915"/>
      <c r="S93" s="1916"/>
      <c r="T93" s="1917"/>
      <c r="U93" s="1918"/>
      <c r="V93" s="1917"/>
      <c r="W93" s="1918"/>
      <c r="X93" s="1919"/>
      <c r="Y93" s="1920"/>
      <c r="Z93" s="2912"/>
      <c r="AA93" s="2913"/>
      <c r="AB93" s="1921"/>
      <c r="AC93" s="1922"/>
      <c r="AD93" s="1611"/>
    </row>
    <row r="94" spans="1:30" ht="40">
      <c r="A94" s="2898"/>
      <c r="B94" s="2901"/>
      <c r="C94" s="2064" t="s">
        <v>3568</v>
      </c>
      <c r="D94" s="2904"/>
      <c r="E94" s="1628" t="s">
        <v>3488</v>
      </c>
      <c r="F94" s="1924">
        <v>43922</v>
      </c>
      <c r="G94" s="1925">
        <v>44286</v>
      </c>
      <c r="H94" s="1924"/>
      <c r="I94" s="1925"/>
      <c r="J94" s="1924"/>
      <c r="K94" s="1925"/>
      <c r="L94" s="2294"/>
      <c r="M94" s="2295"/>
      <c r="N94" s="1980"/>
      <c r="O94" s="1981"/>
      <c r="P94" s="1980"/>
      <c r="Q94" s="1982"/>
      <c r="R94" s="1929">
        <v>25</v>
      </c>
      <c r="S94" s="1930">
        <v>25</v>
      </c>
      <c r="T94" s="2308" t="s">
        <v>3144</v>
      </c>
      <c r="U94" s="2309" t="s">
        <v>3144</v>
      </c>
      <c r="V94" s="1931">
        <v>19.5</v>
      </c>
      <c r="W94" s="1932">
        <v>19.5</v>
      </c>
      <c r="X94" s="1933">
        <v>0</v>
      </c>
      <c r="Y94" s="1934">
        <v>0</v>
      </c>
      <c r="Z94" s="2908">
        <v>15</v>
      </c>
      <c r="AA94" s="2909"/>
      <c r="AB94" s="1935">
        <v>18</v>
      </c>
      <c r="AC94" s="1936">
        <v>6</v>
      </c>
      <c r="AD94" s="1611"/>
    </row>
    <row r="95" spans="1:30" ht="20.5" thickBot="1">
      <c r="A95" s="2899"/>
      <c r="B95" s="2902"/>
      <c r="C95" s="2071" t="s">
        <v>3569</v>
      </c>
      <c r="D95" s="2905"/>
      <c r="E95" s="1938"/>
      <c r="F95" s="1939"/>
      <c r="G95" s="1940"/>
      <c r="H95" s="1939"/>
      <c r="I95" s="1940"/>
      <c r="J95" s="1939"/>
      <c r="K95" s="1940"/>
      <c r="L95" s="1956"/>
      <c r="M95" s="1957"/>
      <c r="N95" s="1983"/>
      <c r="O95" s="1984"/>
      <c r="P95" s="1983"/>
      <c r="Q95" s="1985"/>
      <c r="R95" s="1947"/>
      <c r="S95" s="1948"/>
      <c r="T95" s="1949"/>
      <c r="U95" s="1948"/>
      <c r="V95" s="1947"/>
      <c r="W95" s="1949"/>
      <c r="X95" s="1947"/>
      <c r="Y95" s="1949"/>
      <c r="Z95" s="2910"/>
      <c r="AA95" s="2911"/>
      <c r="AB95" s="1950"/>
      <c r="AC95" s="1951"/>
      <c r="AD95" s="1611"/>
    </row>
    <row r="96" spans="1:30" ht="21.5">
      <c r="A96" s="2897" t="s">
        <v>1299</v>
      </c>
      <c r="B96" s="2952" t="s">
        <v>24</v>
      </c>
      <c r="C96" s="1974" t="s">
        <v>3570</v>
      </c>
      <c r="D96" s="2903" t="s">
        <v>3144</v>
      </c>
      <c r="E96" s="1628" t="s">
        <v>3130</v>
      </c>
      <c r="F96" s="2135">
        <v>43941</v>
      </c>
      <c r="G96" s="2136">
        <v>43951</v>
      </c>
      <c r="H96" s="1910">
        <v>43955</v>
      </c>
      <c r="I96" s="1911">
        <v>43968</v>
      </c>
      <c r="J96" s="1910">
        <v>43997</v>
      </c>
      <c r="K96" s="1911">
        <v>44021</v>
      </c>
      <c r="L96" s="1910">
        <v>44075</v>
      </c>
      <c r="M96" s="1911">
        <v>44182</v>
      </c>
      <c r="N96" s="1912"/>
      <c r="O96" s="1913"/>
      <c r="P96" s="1912"/>
      <c r="Q96" s="1913"/>
      <c r="R96" s="1917">
        <v>42</v>
      </c>
      <c r="S96" s="2167">
        <v>41</v>
      </c>
      <c r="T96" s="2031" t="s">
        <v>3144</v>
      </c>
      <c r="U96" s="2033" t="s">
        <v>3144</v>
      </c>
      <c r="V96" s="1917">
        <v>32</v>
      </c>
      <c r="W96" s="2167">
        <v>31</v>
      </c>
      <c r="X96" s="2034">
        <v>0</v>
      </c>
      <c r="Y96" s="2032">
        <v>0</v>
      </c>
      <c r="Z96" s="2912">
        <v>25</v>
      </c>
      <c r="AA96" s="2913"/>
      <c r="AB96" s="2169">
        <v>22</v>
      </c>
      <c r="AC96" s="2086">
        <v>5</v>
      </c>
      <c r="AD96" s="2317"/>
    </row>
    <row r="97" spans="1:30" ht="30">
      <c r="A97" s="2950"/>
      <c r="B97" s="2953"/>
      <c r="C97" s="2000" t="s">
        <v>3571</v>
      </c>
      <c r="D97" s="2904"/>
      <c r="E97" s="2102"/>
      <c r="F97" s="1926"/>
      <c r="G97" s="1927"/>
      <c r="H97" s="1926"/>
      <c r="I97" s="1927"/>
      <c r="J97" s="1926"/>
      <c r="K97" s="1927"/>
      <c r="L97" s="1926"/>
      <c r="M97" s="1927"/>
      <c r="N97" s="1912"/>
      <c r="O97" s="1913"/>
      <c r="P97" s="1912"/>
      <c r="Q97" s="2087"/>
      <c r="R97" s="1931"/>
      <c r="S97" s="2108"/>
      <c r="T97" s="1929"/>
      <c r="U97" s="1930"/>
      <c r="V97" s="1931"/>
      <c r="W97" s="2108"/>
      <c r="X97" s="2179"/>
      <c r="Y97" s="2044"/>
      <c r="Z97" s="2908"/>
      <c r="AA97" s="2909"/>
      <c r="AB97" s="1935"/>
      <c r="AC97" s="2095"/>
      <c r="AD97" s="2317"/>
    </row>
    <row r="98" spans="1:30" ht="22" thickBot="1">
      <c r="A98" s="2951"/>
      <c r="B98" s="2954"/>
      <c r="C98" s="2318" t="s">
        <v>3572</v>
      </c>
      <c r="D98" s="2905"/>
      <c r="E98" s="1938" t="s">
        <v>3132</v>
      </c>
      <c r="F98" s="1941">
        <v>43922</v>
      </c>
      <c r="G98" s="1942">
        <v>43940</v>
      </c>
      <c r="H98" s="1941">
        <v>43952</v>
      </c>
      <c r="I98" s="1942">
        <v>43954</v>
      </c>
      <c r="J98" s="1941">
        <v>43969</v>
      </c>
      <c r="K98" s="1942">
        <v>43996</v>
      </c>
      <c r="L98" s="1941">
        <v>44022</v>
      </c>
      <c r="M98" s="1942">
        <v>44074</v>
      </c>
      <c r="N98" s="1941">
        <v>44183</v>
      </c>
      <c r="O98" s="1942">
        <v>44286</v>
      </c>
      <c r="P98" s="1945"/>
      <c r="Q98" s="1944"/>
      <c r="R98" s="1947">
        <v>40</v>
      </c>
      <c r="S98" s="2171">
        <v>39</v>
      </c>
      <c r="T98" s="1947" t="s">
        <v>3144</v>
      </c>
      <c r="U98" s="2053" t="s">
        <v>3144</v>
      </c>
      <c r="V98" s="2054">
        <v>32</v>
      </c>
      <c r="W98" s="1949">
        <v>31</v>
      </c>
      <c r="X98" s="1947">
        <v>0</v>
      </c>
      <c r="Y98" s="2053">
        <v>0</v>
      </c>
      <c r="Z98" s="2915">
        <v>25</v>
      </c>
      <c r="AA98" s="2939"/>
      <c r="AB98" s="1935">
        <v>22</v>
      </c>
      <c r="AC98" s="2101">
        <v>5</v>
      </c>
      <c r="AD98" s="2317"/>
    </row>
    <row r="99" spans="1:30" ht="26.5" thickBot="1">
      <c r="A99" s="2897" t="s">
        <v>1299</v>
      </c>
      <c r="B99" s="2952" t="s">
        <v>3151</v>
      </c>
      <c r="C99" s="1974" t="s">
        <v>3573</v>
      </c>
      <c r="D99" s="2903" t="s">
        <v>3144</v>
      </c>
      <c r="E99" s="1628"/>
      <c r="F99" s="2135"/>
      <c r="G99" s="2136"/>
      <c r="H99" s="1910"/>
      <c r="I99" s="1911"/>
      <c r="J99" s="1910"/>
      <c r="K99" s="1911"/>
      <c r="L99" s="1910"/>
      <c r="M99" s="1911"/>
      <c r="N99" s="1912"/>
      <c r="O99" s="1913"/>
      <c r="P99" s="1912"/>
      <c r="Q99" s="1913"/>
      <c r="R99" s="1917"/>
      <c r="S99" s="2167"/>
      <c r="T99" s="2031" t="s">
        <v>135</v>
      </c>
      <c r="U99" s="2033" t="s">
        <v>135</v>
      </c>
      <c r="V99" s="1917"/>
      <c r="W99" s="1918"/>
      <c r="X99" s="1919"/>
      <c r="Y99" s="2168"/>
      <c r="Z99" s="2912"/>
      <c r="AA99" s="2913"/>
      <c r="AB99" s="2169"/>
      <c r="AC99" s="2086"/>
      <c r="AD99" s="1611"/>
    </row>
    <row r="100" spans="1:30" ht="40">
      <c r="A100" s="2898"/>
      <c r="B100" s="2953"/>
      <c r="C100" s="2000" t="s">
        <v>3574</v>
      </c>
      <c r="D100" s="2904"/>
      <c r="E100" s="1628" t="s">
        <v>3488</v>
      </c>
      <c r="F100" s="1926">
        <v>43922</v>
      </c>
      <c r="G100" s="1927">
        <v>44286</v>
      </c>
      <c r="H100" s="1926"/>
      <c r="I100" s="1927"/>
      <c r="J100" s="1926"/>
      <c r="K100" s="1927"/>
      <c r="L100" s="1926"/>
      <c r="M100" s="1927"/>
      <c r="N100" s="1912"/>
      <c r="O100" s="1913"/>
      <c r="P100" s="1912"/>
      <c r="Q100" s="2087"/>
      <c r="R100" s="1931">
        <v>30</v>
      </c>
      <c r="S100" s="2108">
        <v>28.5</v>
      </c>
      <c r="T100" s="1929" t="s">
        <v>3144</v>
      </c>
      <c r="U100" s="1930" t="s">
        <v>3144</v>
      </c>
      <c r="V100" s="1931">
        <v>22.5</v>
      </c>
      <c r="W100" s="1932">
        <v>21</v>
      </c>
      <c r="X100" s="1933">
        <v>0</v>
      </c>
      <c r="Y100" s="2044">
        <v>0</v>
      </c>
      <c r="Z100" s="2908" t="s">
        <v>3144</v>
      </c>
      <c r="AA100" s="2909"/>
      <c r="AB100" s="1935">
        <v>20</v>
      </c>
      <c r="AC100" s="2095">
        <v>5</v>
      </c>
      <c r="AD100" s="1611"/>
    </row>
    <row r="101" spans="1:30" ht="20.5" thickBot="1">
      <c r="A101" s="2899"/>
      <c r="B101" s="2954"/>
      <c r="C101" s="1953" t="s">
        <v>3575</v>
      </c>
      <c r="D101" s="2905"/>
      <c r="E101" s="1938"/>
      <c r="F101" s="1941"/>
      <c r="G101" s="1942"/>
      <c r="H101" s="1941"/>
      <c r="I101" s="1942"/>
      <c r="J101" s="1941"/>
      <c r="K101" s="1942"/>
      <c r="L101" s="1941"/>
      <c r="M101" s="1942"/>
      <c r="N101" s="1943"/>
      <c r="O101" s="1944"/>
      <c r="P101" s="1945"/>
      <c r="Q101" s="1944"/>
      <c r="R101" s="1947"/>
      <c r="S101" s="2171"/>
      <c r="T101" s="1947" t="s">
        <v>135</v>
      </c>
      <c r="U101" s="2053" t="s">
        <v>135</v>
      </c>
      <c r="V101" s="2054"/>
      <c r="W101" s="1949"/>
      <c r="X101" s="2172"/>
      <c r="Y101" s="2173"/>
      <c r="Z101" s="2915"/>
      <c r="AA101" s="2939"/>
      <c r="AB101" s="1935"/>
      <c r="AC101" s="2101"/>
      <c r="AD101" s="1611"/>
    </row>
    <row r="102" spans="1:30" ht="22" thickBot="1">
      <c r="A102" s="2897" t="s">
        <v>1299</v>
      </c>
      <c r="B102" s="2900" t="s">
        <v>3152</v>
      </c>
      <c r="C102" s="2319" t="s">
        <v>3576</v>
      </c>
      <c r="D102" s="2903" t="s">
        <v>3144</v>
      </c>
      <c r="E102" s="1628" t="s">
        <v>3130</v>
      </c>
      <c r="F102" s="1910">
        <v>43952</v>
      </c>
      <c r="G102" s="1911">
        <v>44135</v>
      </c>
      <c r="H102" s="1910"/>
      <c r="I102" s="1911"/>
      <c r="J102" s="1910"/>
      <c r="K102" s="1911"/>
      <c r="L102" s="1910"/>
      <c r="M102" s="1911"/>
      <c r="N102" s="2320"/>
      <c r="O102" s="2321"/>
      <c r="P102" s="1908"/>
      <c r="Q102" s="1909"/>
      <c r="R102" s="2322">
        <v>45</v>
      </c>
      <c r="S102" s="2323">
        <v>35.5</v>
      </c>
      <c r="T102" s="2324" t="s">
        <v>3144</v>
      </c>
      <c r="U102" s="2323" t="s">
        <v>3144</v>
      </c>
      <c r="V102" s="2322">
        <v>22</v>
      </c>
      <c r="W102" s="2323">
        <v>22</v>
      </c>
      <c r="X102" s="2325" t="s">
        <v>3577</v>
      </c>
      <c r="Y102" s="2325" t="s">
        <v>3577</v>
      </c>
      <c r="Z102" s="2912">
        <v>25</v>
      </c>
      <c r="AA102" s="2913"/>
      <c r="AB102" s="1921">
        <v>20.5</v>
      </c>
      <c r="AC102" s="1922">
        <v>6</v>
      </c>
      <c r="AD102" s="2925" t="s">
        <v>3578</v>
      </c>
    </row>
    <row r="103" spans="1:30" ht="63" thickBot="1">
      <c r="A103" s="2898"/>
      <c r="B103" s="2901"/>
      <c r="C103" s="2110" t="s">
        <v>3579</v>
      </c>
      <c r="D103" s="2904"/>
      <c r="E103" s="1630" t="s">
        <v>3143</v>
      </c>
      <c r="F103" s="2135">
        <v>43922</v>
      </c>
      <c r="G103" s="2136">
        <v>43926</v>
      </c>
      <c r="H103" s="2135">
        <v>43941</v>
      </c>
      <c r="I103" s="2136">
        <v>43951</v>
      </c>
      <c r="J103" s="2326">
        <v>44144</v>
      </c>
      <c r="K103" s="2327">
        <v>44185</v>
      </c>
      <c r="L103" s="2103">
        <v>44207</v>
      </c>
      <c r="M103" s="2104">
        <v>44286</v>
      </c>
      <c r="N103" s="2326"/>
      <c r="O103" s="2327"/>
      <c r="P103" s="2103"/>
      <c r="Q103" s="2104"/>
      <c r="R103" s="1917">
        <v>41.5</v>
      </c>
      <c r="S103" s="1918">
        <v>33.5</v>
      </c>
      <c r="T103" s="2328" t="s">
        <v>3144</v>
      </c>
      <c r="U103" s="1918" t="s">
        <v>3144</v>
      </c>
      <c r="V103" s="1917">
        <v>22</v>
      </c>
      <c r="W103" s="1918">
        <v>22</v>
      </c>
      <c r="X103" s="2325" t="s">
        <v>3577</v>
      </c>
      <c r="Y103" s="2325" t="s">
        <v>3577</v>
      </c>
      <c r="Z103" s="2906">
        <v>25</v>
      </c>
      <c r="AA103" s="2907"/>
      <c r="AB103" s="2169">
        <v>20.5</v>
      </c>
      <c r="AC103" s="2170">
        <v>6</v>
      </c>
      <c r="AD103" s="2925"/>
    </row>
    <row r="104" spans="1:30" ht="22" thickBot="1">
      <c r="A104" s="2899"/>
      <c r="B104" s="2902"/>
      <c r="C104" s="1953" t="s">
        <v>3580</v>
      </c>
      <c r="D104" s="2905"/>
      <c r="E104" s="1938" t="s">
        <v>3132</v>
      </c>
      <c r="F104" s="2329">
        <v>43927</v>
      </c>
      <c r="G104" s="2330">
        <v>43940</v>
      </c>
      <c r="H104" s="1941">
        <v>44136</v>
      </c>
      <c r="I104" s="1942">
        <v>44143</v>
      </c>
      <c r="J104" s="1941">
        <v>44186</v>
      </c>
      <c r="K104" s="1942">
        <v>44206</v>
      </c>
      <c r="L104" s="1941"/>
      <c r="M104" s="1942"/>
      <c r="N104" s="2331"/>
      <c r="O104" s="1942"/>
      <c r="P104" s="2332"/>
      <c r="Q104" s="2333"/>
      <c r="R104" s="1947">
        <v>33.5</v>
      </c>
      <c r="S104" s="1948">
        <v>33.5</v>
      </c>
      <c r="T104" s="2334" t="s">
        <v>3144</v>
      </c>
      <c r="U104" s="1948" t="s">
        <v>3144</v>
      </c>
      <c r="V104" s="1947">
        <v>22</v>
      </c>
      <c r="W104" s="1949">
        <v>22</v>
      </c>
      <c r="X104" s="2325" t="s">
        <v>3577</v>
      </c>
      <c r="Y104" s="2325" t="s">
        <v>3577</v>
      </c>
      <c r="Z104" s="2910">
        <v>25</v>
      </c>
      <c r="AA104" s="2911"/>
      <c r="AB104" s="2174">
        <v>20.5</v>
      </c>
      <c r="AC104" s="1951">
        <v>6</v>
      </c>
      <c r="AD104" s="2925"/>
    </row>
    <row r="105" spans="1:30" ht="21.5">
      <c r="A105" s="2897" t="s">
        <v>1299</v>
      </c>
      <c r="B105" s="2900" t="s">
        <v>3152</v>
      </c>
      <c r="C105" s="2319" t="s">
        <v>3581</v>
      </c>
      <c r="D105" s="2903" t="s">
        <v>3144</v>
      </c>
      <c r="E105" s="1628" t="s">
        <v>3130</v>
      </c>
      <c r="F105" s="1910">
        <v>43952</v>
      </c>
      <c r="G105" s="1911">
        <v>44135</v>
      </c>
      <c r="H105" s="1910"/>
      <c r="I105" s="1911"/>
      <c r="J105" s="1910"/>
      <c r="K105" s="1911"/>
      <c r="L105" s="1910"/>
      <c r="M105" s="1911"/>
      <c r="N105" s="2320"/>
      <c r="O105" s="2321"/>
      <c r="P105" s="1908"/>
      <c r="Q105" s="1909"/>
      <c r="R105" s="2322">
        <v>45</v>
      </c>
      <c r="S105" s="2323">
        <v>35.5</v>
      </c>
      <c r="T105" s="2324" t="s">
        <v>3144</v>
      </c>
      <c r="U105" s="2323" t="s">
        <v>3144</v>
      </c>
      <c r="V105" s="2322">
        <v>22</v>
      </c>
      <c r="W105" s="2323">
        <v>22</v>
      </c>
      <c r="X105" s="2324">
        <v>5</v>
      </c>
      <c r="Y105" s="2323">
        <v>5</v>
      </c>
      <c r="Z105" s="2912">
        <v>25</v>
      </c>
      <c r="AA105" s="2913"/>
      <c r="AB105" s="1921">
        <v>20.5</v>
      </c>
      <c r="AC105" s="1922">
        <v>6</v>
      </c>
      <c r="AD105" s="2048"/>
    </row>
    <row r="106" spans="1:30" ht="62.5">
      <c r="A106" s="2898"/>
      <c r="B106" s="2901"/>
      <c r="C106" s="2110" t="s">
        <v>3582</v>
      </c>
      <c r="D106" s="2904"/>
      <c r="E106" s="1630" t="s">
        <v>3143</v>
      </c>
      <c r="F106" s="2135">
        <v>43922</v>
      </c>
      <c r="G106" s="2136">
        <v>43926</v>
      </c>
      <c r="H106" s="2135">
        <v>43941</v>
      </c>
      <c r="I106" s="2136">
        <v>43951</v>
      </c>
      <c r="J106" s="2326">
        <v>44144</v>
      </c>
      <c r="K106" s="2327">
        <v>44185</v>
      </c>
      <c r="L106" s="2103">
        <v>44207</v>
      </c>
      <c r="M106" s="2104">
        <v>44286</v>
      </c>
      <c r="N106" s="2326"/>
      <c r="O106" s="2327"/>
      <c r="P106" s="2103"/>
      <c r="Q106" s="2104"/>
      <c r="R106" s="1917">
        <v>41.5</v>
      </c>
      <c r="S106" s="1918">
        <v>33.5</v>
      </c>
      <c r="T106" s="2328" t="s">
        <v>3144</v>
      </c>
      <c r="U106" s="1918" t="s">
        <v>3144</v>
      </c>
      <c r="V106" s="1917">
        <v>22</v>
      </c>
      <c r="W106" s="1918">
        <v>22</v>
      </c>
      <c r="X106" s="2328">
        <v>5</v>
      </c>
      <c r="Y106" s="1918">
        <v>5</v>
      </c>
      <c r="Z106" s="2906">
        <v>25</v>
      </c>
      <c r="AA106" s="2907"/>
      <c r="AB106" s="2169">
        <v>20.5</v>
      </c>
      <c r="AC106" s="2170">
        <v>6</v>
      </c>
      <c r="AD106" s="1611"/>
    </row>
    <row r="107" spans="1:30" ht="22" thickBot="1">
      <c r="A107" s="2899"/>
      <c r="B107" s="2902"/>
      <c r="C107" s="1953" t="s">
        <v>3583</v>
      </c>
      <c r="D107" s="2905"/>
      <c r="E107" s="1938" t="s">
        <v>3132</v>
      </c>
      <c r="F107" s="2329">
        <v>43927</v>
      </c>
      <c r="G107" s="2330">
        <v>43940</v>
      </c>
      <c r="H107" s="1941">
        <v>44136</v>
      </c>
      <c r="I107" s="1942">
        <v>44143</v>
      </c>
      <c r="J107" s="1941">
        <v>44186</v>
      </c>
      <c r="K107" s="1942">
        <v>44206</v>
      </c>
      <c r="L107" s="1941"/>
      <c r="M107" s="1942"/>
      <c r="N107" s="2331"/>
      <c r="O107" s="1942"/>
      <c r="P107" s="2332"/>
      <c r="Q107" s="2333"/>
      <c r="R107" s="1947">
        <v>33.5</v>
      </c>
      <c r="S107" s="1948">
        <v>33.5</v>
      </c>
      <c r="T107" s="2334" t="s">
        <v>3144</v>
      </c>
      <c r="U107" s="1948" t="s">
        <v>3144</v>
      </c>
      <c r="V107" s="1947">
        <v>22</v>
      </c>
      <c r="W107" s="1949">
        <v>22</v>
      </c>
      <c r="X107" s="2334">
        <v>5</v>
      </c>
      <c r="Y107" s="1948">
        <v>5</v>
      </c>
      <c r="Z107" s="2910">
        <v>25</v>
      </c>
      <c r="AA107" s="2911"/>
      <c r="AB107" s="2174">
        <v>20.5</v>
      </c>
      <c r="AC107" s="1951">
        <v>6</v>
      </c>
      <c r="AD107" s="1611"/>
    </row>
    <row r="108" spans="1:30" ht="39">
      <c r="A108" s="2967" t="s">
        <v>3142</v>
      </c>
      <c r="B108" s="2900" t="s">
        <v>3154</v>
      </c>
      <c r="C108" s="2057" t="s">
        <v>3584</v>
      </c>
      <c r="D108" s="2903" t="s">
        <v>3144</v>
      </c>
      <c r="E108" s="1628" t="s">
        <v>3130</v>
      </c>
      <c r="F108" s="1908">
        <v>44162</v>
      </c>
      <c r="G108" s="1909">
        <v>44184</v>
      </c>
      <c r="H108" s="1908"/>
      <c r="I108" s="1909"/>
      <c r="J108" s="1908"/>
      <c r="K108" s="1909"/>
      <c r="L108" s="1908"/>
      <c r="M108" s="1909"/>
      <c r="N108" s="2182"/>
      <c r="O108" s="2183"/>
      <c r="P108" s="2182"/>
      <c r="Q108" s="2183"/>
      <c r="R108" s="1917">
        <v>71</v>
      </c>
      <c r="S108" s="1918">
        <v>71</v>
      </c>
      <c r="T108" s="2176" t="s">
        <v>3144</v>
      </c>
      <c r="U108" s="2177" t="s">
        <v>3144</v>
      </c>
      <c r="V108" s="1917">
        <v>71</v>
      </c>
      <c r="W108" s="1918">
        <v>71</v>
      </c>
      <c r="X108" s="2335" t="s">
        <v>3585</v>
      </c>
      <c r="Y108" s="2335" t="s">
        <v>3585</v>
      </c>
      <c r="Z108" s="2912">
        <v>15</v>
      </c>
      <c r="AA108" s="2913"/>
      <c r="AB108" s="2336">
        <v>27</v>
      </c>
      <c r="AC108" s="1922">
        <v>8</v>
      </c>
      <c r="AD108" s="2925" t="s">
        <v>3586</v>
      </c>
    </row>
    <row r="109" spans="1:30" ht="62.5">
      <c r="A109" s="2968"/>
      <c r="B109" s="2901"/>
      <c r="C109" s="2110" t="s">
        <v>3587</v>
      </c>
      <c r="D109" s="2904"/>
      <c r="E109" s="1630" t="s">
        <v>3143</v>
      </c>
      <c r="F109" s="1924">
        <v>43922</v>
      </c>
      <c r="G109" s="1925">
        <v>43926</v>
      </c>
      <c r="H109" s="1924">
        <v>43941</v>
      </c>
      <c r="I109" s="1925">
        <v>43982</v>
      </c>
      <c r="J109" s="1924">
        <v>43997</v>
      </c>
      <c r="K109" s="1925">
        <v>44038</v>
      </c>
      <c r="L109" s="1924">
        <v>44081</v>
      </c>
      <c r="M109" s="1925">
        <v>44136</v>
      </c>
      <c r="N109" s="1924">
        <v>44144</v>
      </c>
      <c r="O109" s="1925">
        <v>44161</v>
      </c>
      <c r="P109" s="1924">
        <v>44207</v>
      </c>
      <c r="Q109" s="1925">
        <v>44286</v>
      </c>
      <c r="R109" s="1931">
        <v>52.5</v>
      </c>
      <c r="S109" s="1932">
        <v>39</v>
      </c>
      <c r="T109" s="2007" t="s">
        <v>3144</v>
      </c>
      <c r="U109" s="2008" t="s">
        <v>3144</v>
      </c>
      <c r="V109" s="2150">
        <v>52.5</v>
      </c>
      <c r="W109" s="2236">
        <v>39</v>
      </c>
      <c r="X109" s="2335" t="s">
        <v>3585</v>
      </c>
      <c r="Y109" s="2335" t="s">
        <v>3585</v>
      </c>
      <c r="Z109" s="2908">
        <v>10</v>
      </c>
      <c r="AA109" s="2909"/>
      <c r="AB109" s="2180">
        <v>27</v>
      </c>
      <c r="AC109" s="1936">
        <v>8</v>
      </c>
      <c r="AD109" s="2925"/>
    </row>
    <row r="110" spans="1:30" ht="22" thickBot="1">
      <c r="A110" s="2969"/>
      <c r="B110" s="2902"/>
      <c r="C110" s="1953" t="s">
        <v>3588</v>
      </c>
      <c r="D110" s="2905"/>
      <c r="E110" s="1938" t="s">
        <v>3132</v>
      </c>
      <c r="F110" s="1939">
        <v>43927</v>
      </c>
      <c r="G110" s="1940">
        <v>43940</v>
      </c>
      <c r="H110" s="1939">
        <v>43983</v>
      </c>
      <c r="I110" s="1940">
        <v>43996</v>
      </c>
      <c r="J110" s="1939">
        <v>44039</v>
      </c>
      <c r="K110" s="1940">
        <v>44080</v>
      </c>
      <c r="L110" s="1939">
        <v>44137</v>
      </c>
      <c r="M110" s="1940">
        <v>44143</v>
      </c>
      <c r="N110" s="1939">
        <v>43819</v>
      </c>
      <c r="O110" s="1940">
        <v>44206</v>
      </c>
      <c r="P110" s="2111"/>
      <c r="Q110" s="2186"/>
      <c r="R110" s="2054">
        <v>38</v>
      </c>
      <c r="S110" s="1948">
        <v>38</v>
      </c>
      <c r="T110" s="2337" t="s">
        <v>3144</v>
      </c>
      <c r="U110" s="2338" t="s">
        <v>3144</v>
      </c>
      <c r="V110" s="2164">
        <v>38</v>
      </c>
      <c r="W110" s="2078">
        <v>38</v>
      </c>
      <c r="X110" s="2335" t="s">
        <v>3585</v>
      </c>
      <c r="Y110" s="2335" t="s">
        <v>3585</v>
      </c>
      <c r="Z110" s="2910">
        <v>10</v>
      </c>
      <c r="AA110" s="2911"/>
      <c r="AB110" s="2181">
        <v>27</v>
      </c>
      <c r="AC110" s="1951">
        <v>8</v>
      </c>
      <c r="AD110" s="2925"/>
    </row>
    <row r="111" spans="1:30" ht="26">
      <c r="A111" s="2897" t="s">
        <v>1299</v>
      </c>
      <c r="B111" s="2900" t="s">
        <v>3155</v>
      </c>
      <c r="C111" s="1958" t="s">
        <v>3589</v>
      </c>
      <c r="D111" s="2903" t="s">
        <v>3144</v>
      </c>
      <c r="E111" s="1628" t="s">
        <v>3488</v>
      </c>
      <c r="F111" s="1910" t="s">
        <v>3499</v>
      </c>
      <c r="G111" s="1911" t="s">
        <v>3500</v>
      </c>
      <c r="H111" s="1910"/>
      <c r="I111" s="1911"/>
      <c r="J111" s="1910"/>
      <c r="K111" s="1911"/>
      <c r="L111" s="1910"/>
      <c r="M111" s="1911"/>
      <c r="N111" s="2188"/>
      <c r="O111" s="2189"/>
      <c r="P111" s="2188"/>
      <c r="Q111" s="2190"/>
      <c r="R111" s="2118">
        <v>30</v>
      </c>
      <c r="S111" s="2339">
        <v>30</v>
      </c>
      <c r="T111" s="2216">
        <v>21</v>
      </c>
      <c r="U111" s="2340">
        <v>21</v>
      </c>
      <c r="V111" s="2194">
        <v>24</v>
      </c>
      <c r="W111" s="2195">
        <v>24</v>
      </c>
      <c r="X111" s="2192">
        <v>0</v>
      </c>
      <c r="Y111" s="2341">
        <v>0</v>
      </c>
      <c r="Z111" s="2926" t="s">
        <v>3144</v>
      </c>
      <c r="AA111" s="2927"/>
      <c r="AB111" s="1922">
        <v>21</v>
      </c>
      <c r="AC111" s="1922">
        <v>5</v>
      </c>
      <c r="AD111" s="2048"/>
    </row>
    <row r="112" spans="1:30" ht="40">
      <c r="A112" s="2898"/>
      <c r="B112" s="2901"/>
      <c r="C112" s="2064" t="s">
        <v>3590</v>
      </c>
      <c r="D112" s="2904"/>
      <c r="E112" s="1630"/>
      <c r="F112" s="1926"/>
      <c r="G112" s="1927"/>
      <c r="H112" s="1926"/>
      <c r="I112" s="1927"/>
      <c r="J112" s="1926"/>
      <c r="K112" s="1927"/>
      <c r="L112" s="1926"/>
      <c r="M112" s="1927"/>
      <c r="N112" s="2198"/>
      <c r="O112" s="2199"/>
      <c r="P112" s="2198"/>
      <c r="Q112" s="2200"/>
      <c r="R112" s="2125"/>
      <c r="S112" s="2205"/>
      <c r="T112" s="2125"/>
      <c r="U112" s="2126"/>
      <c r="V112" s="2088"/>
      <c r="W112" s="2089"/>
      <c r="X112" s="2342"/>
      <c r="Y112" s="2343"/>
      <c r="Z112" s="2928"/>
      <c r="AA112" s="2929"/>
      <c r="AB112" s="1936"/>
      <c r="AC112" s="1936"/>
      <c r="AD112" s="1611"/>
    </row>
    <row r="113" spans="1:30" ht="13.5" thickBot="1">
      <c r="A113" s="2899"/>
      <c r="B113" s="2902"/>
      <c r="C113" s="2129" t="s">
        <v>3591</v>
      </c>
      <c r="D113" s="2905"/>
      <c r="E113" s="2344"/>
      <c r="F113" s="1941"/>
      <c r="G113" s="1942"/>
      <c r="H113" s="1941"/>
      <c r="I113" s="1942"/>
      <c r="J113" s="1941"/>
      <c r="K113" s="1942"/>
      <c r="L113" s="1941"/>
      <c r="M113" s="1942"/>
      <c r="N113" s="2207"/>
      <c r="O113" s="2208"/>
      <c r="P113" s="2207"/>
      <c r="Q113" s="2209"/>
      <c r="R113" s="2210"/>
      <c r="S113" s="2099"/>
      <c r="T113" s="2096"/>
      <c r="U113" s="2100"/>
      <c r="V113" s="2131"/>
      <c r="W113" s="2099"/>
      <c r="X113" s="2345"/>
      <c r="Y113" s="2346"/>
      <c r="Z113" s="2930"/>
      <c r="AA113" s="2931"/>
      <c r="AB113" s="2175"/>
      <c r="AC113" s="1951"/>
      <c r="AD113" s="1611"/>
    </row>
    <row r="114" spans="1:30" ht="26">
      <c r="A114" s="2961" t="s">
        <v>1299</v>
      </c>
      <c r="B114" s="2970" t="s">
        <v>39</v>
      </c>
      <c r="C114" s="2347" t="s">
        <v>3592</v>
      </c>
      <c r="D114" s="3031" t="s">
        <v>3144</v>
      </c>
      <c r="E114" s="1899" t="s">
        <v>3130</v>
      </c>
      <c r="F114" s="1910">
        <v>43922</v>
      </c>
      <c r="G114" s="1911">
        <v>43923</v>
      </c>
      <c r="H114" s="1910">
        <v>43941</v>
      </c>
      <c r="I114" s="1911">
        <v>43982</v>
      </c>
      <c r="J114" s="1910">
        <v>43997</v>
      </c>
      <c r="K114" s="1911">
        <v>44041</v>
      </c>
      <c r="L114" s="1910">
        <v>44088</v>
      </c>
      <c r="M114" s="1911">
        <v>44129</v>
      </c>
      <c r="N114" s="1926">
        <v>44137</v>
      </c>
      <c r="O114" s="1927">
        <v>44185</v>
      </c>
      <c r="P114" s="2348">
        <v>44207</v>
      </c>
      <c r="Q114" s="2349">
        <v>44286</v>
      </c>
      <c r="R114" s="2139">
        <v>48</v>
      </c>
      <c r="S114" s="2231">
        <v>33</v>
      </c>
      <c r="T114" s="2350" t="s">
        <v>3144</v>
      </c>
      <c r="U114" s="2231" t="s">
        <v>3144</v>
      </c>
      <c r="V114" s="2139">
        <v>40</v>
      </c>
      <c r="W114" s="2140">
        <v>26</v>
      </c>
      <c r="X114" s="2141" t="s">
        <v>3577</v>
      </c>
      <c r="Y114" s="2351" t="s">
        <v>3577</v>
      </c>
      <c r="Z114" s="2932">
        <v>10</v>
      </c>
      <c r="AA114" s="2933"/>
      <c r="AB114" s="2145">
        <v>20.5</v>
      </c>
      <c r="AC114" s="2146">
        <v>5</v>
      </c>
      <c r="AD114" s="2934" t="s">
        <v>3593</v>
      </c>
    </row>
    <row r="115" spans="1:30" ht="62.5">
      <c r="A115" s="2962"/>
      <c r="B115" s="2971"/>
      <c r="C115" s="2352" t="s">
        <v>3594</v>
      </c>
      <c r="D115" s="3032"/>
      <c r="E115" s="1900"/>
      <c r="F115" s="1926"/>
      <c r="G115" s="1927"/>
      <c r="H115" s="1926"/>
      <c r="I115" s="1927"/>
      <c r="J115" s="1926"/>
      <c r="K115" s="1927"/>
      <c r="L115" s="1926"/>
      <c r="M115" s="1927"/>
      <c r="N115" s="1926"/>
      <c r="O115" s="1927"/>
      <c r="P115" s="1926"/>
      <c r="Q115" s="2353"/>
      <c r="R115" s="2150"/>
      <c r="S115" s="2236"/>
      <c r="T115" s="2354"/>
      <c r="U115" s="2236"/>
      <c r="V115" s="2150"/>
      <c r="W115" s="2151"/>
      <c r="X115" s="2152"/>
      <c r="Y115" s="2153"/>
      <c r="Z115" s="2935"/>
      <c r="AA115" s="2936"/>
      <c r="AB115" s="2156"/>
      <c r="AC115" s="2157"/>
      <c r="AD115" s="2934"/>
    </row>
    <row r="116" spans="1:30" ht="22" thickBot="1">
      <c r="A116" s="2963"/>
      <c r="B116" s="2972"/>
      <c r="C116" s="2158" t="s">
        <v>3595</v>
      </c>
      <c r="D116" s="3033"/>
      <c r="E116" s="2013" t="s">
        <v>3132</v>
      </c>
      <c r="F116" s="1941">
        <v>43924</v>
      </c>
      <c r="G116" s="1942">
        <v>43940</v>
      </c>
      <c r="H116" s="1941">
        <v>43983</v>
      </c>
      <c r="I116" s="1942">
        <v>43996</v>
      </c>
      <c r="J116" s="1941">
        <v>44042</v>
      </c>
      <c r="K116" s="1942">
        <v>44087</v>
      </c>
      <c r="L116" s="1941">
        <v>44130</v>
      </c>
      <c r="M116" s="1942">
        <v>44136</v>
      </c>
      <c r="N116" s="1941">
        <v>44186</v>
      </c>
      <c r="O116" s="1942">
        <v>44206</v>
      </c>
      <c r="P116" s="2355"/>
      <c r="Q116" s="1942"/>
      <c r="R116" s="2077">
        <v>33</v>
      </c>
      <c r="S116" s="2248">
        <v>33</v>
      </c>
      <c r="T116" s="2356" t="s">
        <v>3144</v>
      </c>
      <c r="U116" s="2248" t="s">
        <v>3144</v>
      </c>
      <c r="V116" s="2077">
        <v>26</v>
      </c>
      <c r="W116" s="2078">
        <v>26</v>
      </c>
      <c r="X116" s="2357" t="s">
        <v>3577</v>
      </c>
      <c r="Y116" s="2358" t="s">
        <v>3577</v>
      </c>
      <c r="Z116" s="2937">
        <v>10</v>
      </c>
      <c r="AA116" s="2938"/>
      <c r="AB116" s="2165">
        <v>20.5</v>
      </c>
      <c r="AC116" s="2166">
        <v>5</v>
      </c>
      <c r="AD116" s="2934"/>
    </row>
    <row r="117" spans="1:30" ht="39">
      <c r="A117" s="2897" t="s">
        <v>1299</v>
      </c>
      <c r="B117" s="2922" t="s">
        <v>39</v>
      </c>
      <c r="C117" s="2057" t="s">
        <v>3596</v>
      </c>
      <c r="D117" s="2903" t="s">
        <v>3144</v>
      </c>
      <c r="E117" s="2359" t="s">
        <v>3130</v>
      </c>
      <c r="F117" s="1910">
        <v>43922</v>
      </c>
      <c r="G117" s="1911">
        <v>43923</v>
      </c>
      <c r="H117" s="1910">
        <v>43941</v>
      </c>
      <c r="I117" s="1911">
        <v>43982</v>
      </c>
      <c r="J117" s="1910">
        <v>43997</v>
      </c>
      <c r="K117" s="1911">
        <v>44041</v>
      </c>
      <c r="L117" s="1910">
        <v>44088</v>
      </c>
      <c r="M117" s="1911">
        <v>44129</v>
      </c>
      <c r="N117" s="2360">
        <v>44137</v>
      </c>
      <c r="O117" s="2361">
        <v>44185</v>
      </c>
      <c r="P117" s="1924">
        <v>44207</v>
      </c>
      <c r="Q117" s="1925">
        <v>44286</v>
      </c>
      <c r="R117" s="1917">
        <v>50.5</v>
      </c>
      <c r="S117" s="1918">
        <v>27.5</v>
      </c>
      <c r="T117" s="2328" t="s">
        <v>3144</v>
      </c>
      <c r="U117" s="1918" t="s">
        <v>3144</v>
      </c>
      <c r="V117" s="1917">
        <v>45</v>
      </c>
      <c r="W117" s="1918">
        <v>26</v>
      </c>
      <c r="X117" s="2328">
        <v>3</v>
      </c>
      <c r="Y117" s="1918">
        <v>3</v>
      </c>
      <c r="Z117" s="2912" t="s">
        <v>3144</v>
      </c>
      <c r="AA117" s="2913"/>
      <c r="AB117" s="2336" t="s">
        <v>3144</v>
      </c>
      <c r="AC117" s="1922" t="s">
        <v>3144</v>
      </c>
      <c r="AD117" s="1611"/>
    </row>
    <row r="118" spans="1:30" ht="62.5">
      <c r="A118" s="2898"/>
      <c r="B118" s="2923"/>
      <c r="C118" s="2038" t="s">
        <v>3597</v>
      </c>
      <c r="D118" s="2904"/>
      <c r="E118" s="2362"/>
      <c r="F118" s="1926"/>
      <c r="G118" s="1927"/>
      <c r="H118" s="1926"/>
      <c r="I118" s="1927"/>
      <c r="J118" s="1926"/>
      <c r="K118" s="1927"/>
      <c r="L118" s="1926"/>
      <c r="M118" s="1927"/>
      <c r="N118" s="2360"/>
      <c r="O118" s="2361"/>
      <c r="P118" s="2360"/>
      <c r="Q118" s="2363"/>
      <c r="R118" s="1931"/>
      <c r="S118" s="1932"/>
      <c r="T118" s="2364"/>
      <c r="U118" s="1932"/>
      <c r="V118" s="1931"/>
      <c r="W118" s="1932"/>
      <c r="X118" s="2364"/>
      <c r="Y118" s="1932"/>
      <c r="Z118" s="2908"/>
      <c r="AA118" s="2909"/>
      <c r="AB118" s="2180"/>
      <c r="AC118" s="1936"/>
      <c r="AD118" s="1611"/>
    </row>
    <row r="119" spans="1:30" ht="22" thickBot="1">
      <c r="A119" s="2899"/>
      <c r="B119" s="2924"/>
      <c r="C119" s="1953" t="s">
        <v>3598</v>
      </c>
      <c r="D119" s="2905"/>
      <c r="E119" s="1938" t="s">
        <v>3132</v>
      </c>
      <c r="F119" s="1941">
        <v>43924</v>
      </c>
      <c r="G119" s="1942">
        <v>43940</v>
      </c>
      <c r="H119" s="1941">
        <v>43983</v>
      </c>
      <c r="I119" s="1942">
        <v>43996</v>
      </c>
      <c r="J119" s="1941">
        <v>44042</v>
      </c>
      <c r="K119" s="1942">
        <v>44087</v>
      </c>
      <c r="L119" s="1941">
        <v>44130</v>
      </c>
      <c r="M119" s="1942">
        <v>44136</v>
      </c>
      <c r="N119" s="2331">
        <v>44186</v>
      </c>
      <c r="O119" s="1942">
        <v>44206</v>
      </c>
      <c r="P119" s="2332"/>
      <c r="Q119" s="2333"/>
      <c r="R119" s="1947">
        <v>27.5</v>
      </c>
      <c r="S119" s="1948">
        <v>27.5</v>
      </c>
      <c r="T119" s="2334" t="s">
        <v>3144</v>
      </c>
      <c r="U119" s="1948" t="s">
        <v>3144</v>
      </c>
      <c r="V119" s="1947">
        <v>26</v>
      </c>
      <c r="W119" s="1949">
        <v>26</v>
      </c>
      <c r="X119" s="2334">
        <v>3</v>
      </c>
      <c r="Y119" s="1948">
        <v>3</v>
      </c>
      <c r="Z119" s="2910" t="s">
        <v>3144</v>
      </c>
      <c r="AA119" s="2911"/>
      <c r="AB119" s="2181" t="s">
        <v>3144</v>
      </c>
      <c r="AC119" s="1951" t="s">
        <v>3144</v>
      </c>
      <c r="AD119" s="1611"/>
    </row>
    <row r="120" spans="1:30" ht="26">
      <c r="A120" s="2918" t="s">
        <v>1299</v>
      </c>
      <c r="B120" s="2900" t="s">
        <v>3158</v>
      </c>
      <c r="C120" s="1974" t="s">
        <v>3599</v>
      </c>
      <c r="D120" s="2921" t="s">
        <v>3461</v>
      </c>
      <c r="E120" s="2314" t="s">
        <v>3130</v>
      </c>
      <c r="F120" s="1908">
        <v>43983</v>
      </c>
      <c r="G120" s="1909">
        <v>44104</v>
      </c>
      <c r="H120" s="1908"/>
      <c r="I120" s="1909"/>
      <c r="J120" s="1908"/>
      <c r="K120" s="1909"/>
      <c r="L120" s="2289"/>
      <c r="M120" s="2290"/>
      <c r="N120" s="1975"/>
      <c r="O120" s="1976"/>
      <c r="P120" s="1975"/>
      <c r="Q120" s="1977"/>
      <c r="R120" s="1915">
        <v>34.5</v>
      </c>
      <c r="S120" s="1916">
        <v>35.5</v>
      </c>
      <c r="T120" s="1917">
        <v>21.5</v>
      </c>
      <c r="U120" s="1918">
        <v>21.5</v>
      </c>
      <c r="V120" s="1917">
        <v>22</v>
      </c>
      <c r="W120" s="1918">
        <v>22</v>
      </c>
      <c r="X120" s="1919">
        <v>4</v>
      </c>
      <c r="Y120" s="1920">
        <v>4</v>
      </c>
      <c r="Z120" s="2912" t="s">
        <v>3144</v>
      </c>
      <c r="AA120" s="2913"/>
      <c r="AB120" s="1921">
        <v>21</v>
      </c>
      <c r="AC120" s="2303" t="s">
        <v>417</v>
      </c>
      <c r="AD120" s="1611"/>
    </row>
    <row r="121" spans="1:30" ht="40">
      <c r="A121" s="2919"/>
      <c r="B121" s="2901"/>
      <c r="C121" s="2064" t="s">
        <v>3600</v>
      </c>
      <c r="D121" s="2904"/>
      <c r="E121" s="1630" t="s">
        <v>3143</v>
      </c>
      <c r="F121" s="1924"/>
      <c r="G121" s="1925"/>
      <c r="H121" s="1924"/>
      <c r="I121" s="1925"/>
      <c r="J121" s="1924"/>
      <c r="K121" s="1925"/>
      <c r="L121" s="2294"/>
      <c r="M121" s="2295"/>
      <c r="N121" s="1980"/>
      <c r="O121" s="1981"/>
      <c r="P121" s="1980"/>
      <c r="Q121" s="1982"/>
      <c r="R121" s="1929"/>
      <c r="S121" s="1930"/>
      <c r="T121" s="1931"/>
      <c r="U121" s="1932"/>
      <c r="V121" s="1931"/>
      <c r="W121" s="1932"/>
      <c r="X121" s="1933"/>
      <c r="Y121" s="1934"/>
      <c r="Z121" s="2908"/>
      <c r="AA121" s="2909"/>
      <c r="AB121" s="1935"/>
      <c r="AC121" s="1935"/>
      <c r="AD121" s="1611"/>
    </row>
    <row r="122" spans="1:30" ht="22" thickBot="1">
      <c r="A122" s="2920"/>
      <c r="B122" s="2902"/>
      <c r="C122" s="2129" t="s">
        <v>3601</v>
      </c>
      <c r="D122" s="2905"/>
      <c r="E122" s="1938" t="s">
        <v>3132</v>
      </c>
      <c r="F122" s="1939">
        <v>43922</v>
      </c>
      <c r="G122" s="1940">
        <v>43982</v>
      </c>
      <c r="H122" s="1939">
        <v>44105</v>
      </c>
      <c r="I122" s="1940">
        <v>44286</v>
      </c>
      <c r="J122" s="1939"/>
      <c r="K122" s="1940"/>
      <c r="L122" s="1956"/>
      <c r="M122" s="1957"/>
      <c r="N122" s="1983"/>
      <c r="O122" s="1984"/>
      <c r="P122" s="1983"/>
      <c r="Q122" s="1985"/>
      <c r="R122" s="1947">
        <v>28.5</v>
      </c>
      <c r="S122" s="1948">
        <v>29.5</v>
      </c>
      <c r="T122" s="1949">
        <v>21.5</v>
      </c>
      <c r="U122" s="1948">
        <v>21.5</v>
      </c>
      <c r="V122" s="1947">
        <v>22</v>
      </c>
      <c r="W122" s="1949">
        <v>22</v>
      </c>
      <c r="X122" s="1947">
        <v>4</v>
      </c>
      <c r="Y122" s="1949">
        <v>4</v>
      </c>
      <c r="Z122" s="2910" t="s">
        <v>3144</v>
      </c>
      <c r="AA122" s="2911"/>
      <c r="AB122" s="1950">
        <v>21</v>
      </c>
      <c r="AC122" s="2313" t="s">
        <v>417</v>
      </c>
      <c r="AD122" s="2365"/>
    </row>
    <row r="123" spans="1:30" ht="21.5">
      <c r="A123" s="2897" t="s">
        <v>1299</v>
      </c>
      <c r="B123" s="2922" t="s">
        <v>3156</v>
      </c>
      <c r="C123" s="1958" t="s">
        <v>3602</v>
      </c>
      <c r="D123" s="2903" t="s">
        <v>3144</v>
      </c>
      <c r="E123" s="2359" t="s">
        <v>3130</v>
      </c>
      <c r="F123" s="1910">
        <v>43922</v>
      </c>
      <c r="G123" s="1968">
        <v>44012</v>
      </c>
      <c r="H123" s="1910">
        <v>44081</v>
      </c>
      <c r="I123" s="1911">
        <v>44178</v>
      </c>
      <c r="J123" s="1967">
        <v>44195</v>
      </c>
      <c r="K123" s="1911">
        <v>44197</v>
      </c>
      <c r="L123" s="1910"/>
      <c r="M123" s="1911"/>
      <c r="N123" s="1912"/>
      <c r="O123" s="1913"/>
      <c r="P123" s="1912"/>
      <c r="Q123" s="1914"/>
      <c r="R123" s="2176">
        <v>31</v>
      </c>
      <c r="S123" s="2177">
        <v>29.5</v>
      </c>
      <c r="T123" s="2176" t="s">
        <v>3144</v>
      </c>
      <c r="U123" s="2177" t="s">
        <v>3144</v>
      </c>
      <c r="V123" s="2176">
        <v>23.5</v>
      </c>
      <c r="W123" s="2177">
        <v>22</v>
      </c>
      <c r="X123" s="2366">
        <v>0</v>
      </c>
      <c r="Y123" s="2367">
        <v>0</v>
      </c>
      <c r="Z123" s="2912" t="s">
        <v>3144</v>
      </c>
      <c r="AA123" s="2914"/>
      <c r="AB123" s="2368">
        <v>20</v>
      </c>
      <c r="AC123" s="2369">
        <v>5</v>
      </c>
      <c r="AD123" s="1611"/>
    </row>
    <row r="124" spans="1:30" ht="40">
      <c r="A124" s="2898"/>
      <c r="B124" s="2923"/>
      <c r="C124" s="2064" t="s">
        <v>3603</v>
      </c>
      <c r="D124" s="2904"/>
      <c r="E124" s="2370" t="s">
        <v>3131</v>
      </c>
      <c r="F124" s="2329">
        <v>44013</v>
      </c>
      <c r="G124" s="2371">
        <v>44080</v>
      </c>
      <c r="H124" s="2329">
        <v>44256</v>
      </c>
      <c r="I124" s="2330">
        <v>44286</v>
      </c>
      <c r="J124" s="2372"/>
      <c r="K124" s="2373"/>
      <c r="L124" s="2374"/>
      <c r="M124" s="2375"/>
      <c r="N124" s="2374"/>
      <c r="O124" s="2375"/>
      <c r="P124" s="2374"/>
      <c r="Q124" s="2376"/>
      <c r="R124" s="2377">
        <v>30</v>
      </c>
      <c r="S124" s="2378">
        <v>28.5</v>
      </c>
      <c r="T124" s="2377" t="s">
        <v>3144</v>
      </c>
      <c r="U124" s="2378" t="s">
        <v>3144</v>
      </c>
      <c r="V124" s="2377">
        <v>22.5</v>
      </c>
      <c r="W124" s="2378">
        <v>21</v>
      </c>
      <c r="X124" s="2379">
        <v>0</v>
      </c>
      <c r="Y124" s="2380">
        <v>0</v>
      </c>
      <c r="Z124" s="2915" t="s">
        <v>3144</v>
      </c>
      <c r="AA124" s="2916"/>
      <c r="AB124" s="2381">
        <v>20</v>
      </c>
      <c r="AC124" s="2382">
        <v>5</v>
      </c>
      <c r="AD124" s="1611"/>
    </row>
    <row r="125" spans="1:30" ht="26.5" thickBot="1">
      <c r="A125" s="2899"/>
      <c r="B125" s="2924"/>
      <c r="C125" s="1953" t="s">
        <v>3604</v>
      </c>
      <c r="D125" s="2905"/>
      <c r="E125" s="2383" t="s">
        <v>3132</v>
      </c>
      <c r="F125" s="1941">
        <v>44198</v>
      </c>
      <c r="G125" s="1973" t="s">
        <v>3605</v>
      </c>
      <c r="H125" s="1941">
        <v>44179</v>
      </c>
      <c r="I125" s="1942">
        <v>44194</v>
      </c>
      <c r="J125" s="1972"/>
      <c r="K125" s="1942"/>
      <c r="L125" s="1941"/>
      <c r="M125" s="1942"/>
      <c r="N125" s="1943"/>
      <c r="O125" s="1944"/>
      <c r="P125" s="1945"/>
      <c r="Q125" s="1946"/>
      <c r="R125" s="2113">
        <v>29</v>
      </c>
      <c r="S125" s="2114">
        <v>27.5</v>
      </c>
      <c r="T125" s="2113" t="s">
        <v>3144</v>
      </c>
      <c r="U125" s="2114" t="s">
        <v>3144</v>
      </c>
      <c r="V125" s="2113">
        <v>21.5</v>
      </c>
      <c r="W125" s="2114">
        <v>20</v>
      </c>
      <c r="X125" s="2384">
        <v>0</v>
      </c>
      <c r="Y125" s="2385">
        <v>0</v>
      </c>
      <c r="Z125" s="2910" t="s">
        <v>3144</v>
      </c>
      <c r="AA125" s="2917"/>
      <c r="AB125" s="2386">
        <v>20</v>
      </c>
      <c r="AC125" s="2387">
        <v>5</v>
      </c>
      <c r="AD125" s="1611"/>
    </row>
    <row r="126" spans="1:30" ht="14" thickBot="1">
      <c r="A126" s="2897" t="s">
        <v>1299</v>
      </c>
      <c r="B126" s="2900" t="s">
        <v>3157</v>
      </c>
      <c r="C126" s="1958" t="s">
        <v>3606</v>
      </c>
      <c r="D126" s="2903" t="s">
        <v>3607</v>
      </c>
      <c r="E126" s="1628"/>
      <c r="F126" s="2388"/>
      <c r="G126" s="2389"/>
      <c r="H126" s="2388"/>
      <c r="I126" s="2390"/>
      <c r="J126" s="1910"/>
      <c r="K126" s="1911"/>
      <c r="L126" s="1910"/>
      <c r="M126" s="1911"/>
      <c r="N126" s="2227"/>
      <c r="O126" s="2228"/>
      <c r="P126" s="2227"/>
      <c r="Q126" s="2229"/>
      <c r="R126" s="2031"/>
      <c r="S126" s="2035"/>
      <c r="T126" s="2176" t="s">
        <v>135</v>
      </c>
      <c r="U126" s="2177" t="s">
        <v>135</v>
      </c>
      <c r="V126" s="1917"/>
      <c r="W126" s="1918"/>
      <c r="X126" s="2045"/>
      <c r="Y126" s="1920"/>
      <c r="Z126" s="2906"/>
      <c r="AA126" s="2907"/>
      <c r="AB126" s="2336"/>
      <c r="AC126" s="2086"/>
      <c r="AD126" s="1611"/>
    </row>
    <row r="127" spans="1:30" ht="41">
      <c r="A127" s="2898"/>
      <c r="B127" s="2901"/>
      <c r="C127" s="1629" t="s">
        <v>3608</v>
      </c>
      <c r="D127" s="2904"/>
      <c r="E127" s="1628" t="s">
        <v>3488</v>
      </c>
      <c r="F127" s="1926">
        <v>43922</v>
      </c>
      <c r="G127" s="1927">
        <v>44286</v>
      </c>
      <c r="H127" s="2391"/>
      <c r="I127" s="2392"/>
      <c r="J127" s="1926"/>
      <c r="K127" s="1927"/>
      <c r="L127" s="1926"/>
      <c r="M127" s="1927"/>
      <c r="N127" s="2233"/>
      <c r="O127" s="2234"/>
      <c r="P127" s="2233"/>
      <c r="Q127" s="2235"/>
      <c r="R127" s="1929">
        <v>30.5</v>
      </c>
      <c r="S127" s="1934">
        <v>28.5</v>
      </c>
      <c r="T127" s="2105" t="s">
        <v>3144</v>
      </c>
      <c r="U127" s="2106" t="s">
        <v>3144</v>
      </c>
      <c r="V127" s="1931">
        <v>24.5</v>
      </c>
      <c r="W127" s="1932">
        <v>23.5</v>
      </c>
      <c r="X127" s="2179">
        <v>0</v>
      </c>
      <c r="Y127" s="1934">
        <v>0</v>
      </c>
      <c r="Z127" s="2908">
        <v>10</v>
      </c>
      <c r="AA127" s="2909"/>
      <c r="AB127" s="2180">
        <v>18</v>
      </c>
      <c r="AC127" s="2095">
        <v>5</v>
      </c>
      <c r="AD127" s="1611"/>
    </row>
    <row r="128" spans="1:30" ht="14" thickBot="1">
      <c r="A128" s="2899"/>
      <c r="B128" s="2902"/>
      <c r="C128" s="1953" t="s">
        <v>3609</v>
      </c>
      <c r="D128" s="2905"/>
      <c r="E128" s="1938"/>
      <c r="F128" s="2393"/>
      <c r="G128" s="2394"/>
      <c r="H128" s="2393"/>
      <c r="I128" s="2395"/>
      <c r="J128" s="1941"/>
      <c r="K128" s="1942"/>
      <c r="L128" s="1941"/>
      <c r="M128" s="1942"/>
      <c r="N128" s="2238"/>
      <c r="O128" s="2239"/>
      <c r="P128" s="2238"/>
      <c r="Q128" s="2240"/>
      <c r="R128" s="2052"/>
      <c r="S128" s="1949"/>
      <c r="T128" s="2113" t="s">
        <v>135</v>
      </c>
      <c r="U128" s="2114" t="s">
        <v>135</v>
      </c>
      <c r="V128" s="2054"/>
      <c r="W128" s="1949"/>
      <c r="X128" s="1947"/>
      <c r="Y128" s="1949"/>
      <c r="Z128" s="2910"/>
      <c r="AA128" s="2911"/>
      <c r="AB128" s="2181"/>
      <c r="AC128" s="2101"/>
      <c r="AD128" s="1611"/>
    </row>
    <row r="131" spans="1:3">
      <c r="A131" s="2396" t="s">
        <v>3619</v>
      </c>
      <c r="B131" s="2396"/>
    </row>
    <row r="133" spans="1:3">
      <c r="A133" s="1612" t="s">
        <v>3620</v>
      </c>
      <c r="B133" s="1612" t="s">
        <v>3621</v>
      </c>
      <c r="C133" s="1612" t="s">
        <v>3622</v>
      </c>
    </row>
    <row r="134" spans="1:3">
      <c r="B134" s="1612" t="s">
        <v>3623</v>
      </c>
      <c r="C134" s="1612">
        <v>15</v>
      </c>
    </row>
    <row r="135" spans="1:3">
      <c r="B135" s="1612" t="s">
        <v>3624</v>
      </c>
      <c r="C135" s="1612">
        <v>25</v>
      </c>
    </row>
    <row r="136" spans="1:3">
      <c r="B136" s="1612" t="s">
        <v>3625</v>
      </c>
      <c r="C136" s="1612">
        <v>25</v>
      </c>
    </row>
    <row r="137" spans="1:3">
      <c r="A137" s="1612" t="s">
        <v>3626</v>
      </c>
      <c r="B137" s="1612" t="s">
        <v>3627</v>
      </c>
      <c r="C137" s="1612" t="s">
        <v>3628</v>
      </c>
    </row>
    <row r="138" spans="1:3">
      <c r="B138" s="1612" t="s">
        <v>3629</v>
      </c>
      <c r="C138" s="1612">
        <v>50</v>
      </c>
    </row>
    <row r="139" spans="1:3">
      <c r="B139" s="1612" t="s">
        <v>3625</v>
      </c>
      <c r="C139" s="1612">
        <v>50</v>
      </c>
    </row>
    <row r="140" spans="1:3">
      <c r="A140" s="1612" t="s">
        <v>3630</v>
      </c>
      <c r="B140" s="1612" t="s">
        <v>3627</v>
      </c>
      <c r="C140" s="1612" t="s">
        <v>3631</v>
      </c>
    </row>
    <row r="141" spans="1:3">
      <c r="B141" s="1612" t="s">
        <v>3629</v>
      </c>
      <c r="C141" s="1612">
        <v>40</v>
      </c>
    </row>
    <row r="142" spans="1:3">
      <c r="B142" s="1612" t="s">
        <v>3632</v>
      </c>
      <c r="C142" s="1612">
        <v>40</v>
      </c>
    </row>
    <row r="143" spans="1:3">
      <c r="A143" s="1612" t="s">
        <v>3633</v>
      </c>
      <c r="B143" s="1612" t="s">
        <v>3621</v>
      </c>
      <c r="C143" s="1612" t="s">
        <v>3634</v>
      </c>
    </row>
    <row r="144" spans="1:3">
      <c r="A144" s="1612" t="s">
        <v>3635</v>
      </c>
      <c r="B144" s="1612" t="s">
        <v>3621</v>
      </c>
      <c r="C144" s="1612" t="s">
        <v>3636</v>
      </c>
    </row>
    <row r="145" spans="1:3">
      <c r="B145" s="1612" t="s">
        <v>3625</v>
      </c>
      <c r="C145" s="1612" t="s">
        <v>3637</v>
      </c>
    </row>
    <row r="146" spans="1:3">
      <c r="A146" s="1612" t="s">
        <v>3638</v>
      </c>
      <c r="B146" s="1612" t="s">
        <v>3621</v>
      </c>
      <c r="C146" s="1612" t="s">
        <v>3639</v>
      </c>
    </row>
    <row r="147" spans="1:3">
      <c r="B147" s="1612" t="s">
        <v>3625</v>
      </c>
      <c r="C147" s="1612" t="s">
        <v>3640</v>
      </c>
    </row>
    <row r="148" spans="1:3">
      <c r="A148" s="1612" t="s">
        <v>3641</v>
      </c>
      <c r="B148" s="1612" t="s">
        <v>3621</v>
      </c>
      <c r="C148" s="1612" t="s">
        <v>3642</v>
      </c>
    </row>
    <row r="149" spans="1:3">
      <c r="B149" s="1612" t="s">
        <v>3625</v>
      </c>
      <c r="C149" s="1612" t="s">
        <v>3643</v>
      </c>
    </row>
    <row r="150" spans="1:3">
      <c r="A150" s="1612" t="s">
        <v>3644</v>
      </c>
      <c r="B150" s="1612" t="s">
        <v>3627</v>
      </c>
      <c r="C150" s="1612" t="s">
        <v>3144</v>
      </c>
    </row>
    <row r="151" spans="1:3">
      <c r="B151" s="1612" t="s">
        <v>3645</v>
      </c>
      <c r="C151" s="1612" t="s">
        <v>3646</v>
      </c>
    </row>
    <row r="152" spans="1:3">
      <c r="A152" s="1612" t="s">
        <v>3647</v>
      </c>
      <c r="B152" s="1612" t="s">
        <v>3627</v>
      </c>
      <c r="C152" s="1612" t="s">
        <v>3648</v>
      </c>
    </row>
    <row r="153" spans="1:3">
      <c r="B153" s="1612" t="s">
        <v>3629</v>
      </c>
      <c r="C153" s="1612">
        <v>20</v>
      </c>
    </row>
    <row r="154" spans="1:3">
      <c r="A154" s="1612" t="s">
        <v>3649</v>
      </c>
      <c r="B154" s="1612" t="s">
        <v>3627</v>
      </c>
      <c r="C154" s="1612" t="s">
        <v>3144</v>
      </c>
    </row>
    <row r="155" spans="1:3">
      <c r="B155" s="1612" t="s">
        <v>3629</v>
      </c>
      <c r="C155" s="1612" t="s">
        <v>3650</v>
      </c>
    </row>
    <row r="156" spans="1:3">
      <c r="B156" s="1612" t="s">
        <v>3651</v>
      </c>
      <c r="C156" s="1612" t="s">
        <v>3652</v>
      </c>
    </row>
    <row r="157" spans="1:3">
      <c r="B157" s="1612" t="s">
        <v>3653</v>
      </c>
      <c r="C157" s="1612" t="s">
        <v>3654</v>
      </c>
    </row>
    <row r="158" spans="1:3">
      <c r="A158" s="1612" t="s">
        <v>3655</v>
      </c>
      <c r="B158" s="1612" t="s">
        <v>3627</v>
      </c>
      <c r="C158" s="1612" t="s">
        <v>3144</v>
      </c>
    </row>
    <row r="159" spans="1:3">
      <c r="B159" s="1612" t="s">
        <v>3625</v>
      </c>
      <c r="C159" s="1612" t="s">
        <v>3656</v>
      </c>
    </row>
    <row r="160" spans="1:3">
      <c r="B160" s="1612" t="s">
        <v>3651</v>
      </c>
      <c r="C160" s="1612" t="s">
        <v>3652</v>
      </c>
    </row>
    <row r="161" spans="1:3">
      <c r="B161" s="1612" t="s">
        <v>3653</v>
      </c>
      <c r="C161" s="1612" t="s">
        <v>3654</v>
      </c>
    </row>
    <row r="162" spans="1:3">
      <c r="A162" s="1612" t="s">
        <v>3657</v>
      </c>
      <c r="B162" s="1612" t="s">
        <v>3627</v>
      </c>
      <c r="C162" s="1612" t="s">
        <v>3658</v>
      </c>
    </row>
    <row r="163" spans="1:3">
      <c r="A163" s="1612" t="s">
        <v>3659</v>
      </c>
      <c r="B163" s="1612" t="s">
        <v>3627</v>
      </c>
      <c r="C163" s="1612" t="s">
        <v>3660</v>
      </c>
    </row>
    <row r="164" spans="1:3">
      <c r="A164" s="1612" t="s">
        <v>3661</v>
      </c>
      <c r="B164" s="1612" t="s">
        <v>3627</v>
      </c>
      <c r="C164" s="1612" t="s">
        <v>3658</v>
      </c>
    </row>
    <row r="165" spans="1:3">
      <c r="A165" s="1612" t="s">
        <v>3662</v>
      </c>
      <c r="B165" s="1612" t="s">
        <v>3627</v>
      </c>
      <c r="C165" s="1612" t="s">
        <v>3658</v>
      </c>
    </row>
    <row r="166" spans="1:3">
      <c r="A166" s="1612" t="s">
        <v>3663</v>
      </c>
      <c r="B166" s="1612" t="s">
        <v>3627</v>
      </c>
      <c r="C166" s="1612" t="s">
        <v>3664</v>
      </c>
    </row>
    <row r="167" spans="1:3">
      <c r="A167" s="1612" t="s">
        <v>3665</v>
      </c>
      <c r="B167" s="1612" t="s">
        <v>3627</v>
      </c>
      <c r="C167" s="1612" t="s">
        <v>3658</v>
      </c>
    </row>
    <row r="168" spans="1:3">
      <c r="A168" s="1612" t="s">
        <v>3666</v>
      </c>
      <c r="B168" s="1612" t="s">
        <v>3667</v>
      </c>
      <c r="C168" s="1612" t="s">
        <v>3668</v>
      </c>
    </row>
    <row r="169" spans="1:3">
      <c r="B169" s="1612" t="s">
        <v>3627</v>
      </c>
      <c r="C169" s="1612" t="s">
        <v>3669</v>
      </c>
    </row>
    <row r="170" spans="1:3">
      <c r="A170" s="1612" t="s">
        <v>3670</v>
      </c>
      <c r="B170" s="1612" t="s">
        <v>3627</v>
      </c>
      <c r="C170" s="1612" t="s">
        <v>3671</v>
      </c>
    </row>
    <row r="171" spans="1:3">
      <c r="A171" s="1612" t="s">
        <v>3672</v>
      </c>
      <c r="B171" s="1612" t="s">
        <v>3627</v>
      </c>
      <c r="C171" s="1612" t="s">
        <v>3673</v>
      </c>
    </row>
    <row r="172" spans="1:3">
      <c r="B172" s="1612" t="s">
        <v>3674</v>
      </c>
      <c r="C172" s="1612">
        <v>15</v>
      </c>
    </row>
    <row r="173" spans="1:3">
      <c r="B173" s="1612" t="s">
        <v>3675</v>
      </c>
      <c r="C173" s="1612">
        <v>3</v>
      </c>
    </row>
    <row r="174" spans="1:3">
      <c r="A174" s="1612" t="s">
        <v>3676</v>
      </c>
      <c r="B174" s="1612" t="s">
        <v>3627</v>
      </c>
      <c r="C174" s="1612" t="s">
        <v>3677</v>
      </c>
    </row>
    <row r="175" spans="1:3">
      <c r="A175" s="1612" t="s">
        <v>3678</v>
      </c>
      <c r="B175" s="1612" t="s">
        <v>3627</v>
      </c>
      <c r="C175" s="1612" t="s">
        <v>3677</v>
      </c>
    </row>
    <row r="176" spans="1:3">
      <c r="A176" s="1612" t="s">
        <v>3679</v>
      </c>
      <c r="B176" s="1612" t="s">
        <v>3621</v>
      </c>
      <c r="C176" s="1612" t="s">
        <v>3658</v>
      </c>
    </row>
    <row r="177" spans="1:3">
      <c r="A177" s="1612" t="s">
        <v>3680</v>
      </c>
      <c r="B177" s="1612" t="s">
        <v>3621</v>
      </c>
      <c r="C177" s="1612" t="s">
        <v>3681</v>
      </c>
    </row>
    <row r="178" spans="1:3">
      <c r="B178" s="1612" t="s">
        <v>3625</v>
      </c>
      <c r="C178" s="1612" t="s">
        <v>3682</v>
      </c>
    </row>
    <row r="179" spans="1:3">
      <c r="A179" s="1612" t="s">
        <v>3683</v>
      </c>
      <c r="B179" s="1612" t="s">
        <v>3684</v>
      </c>
      <c r="C179" s="1612" t="s">
        <v>3677</v>
      </c>
    </row>
    <row r="180" spans="1:3">
      <c r="A180" s="1612" t="s">
        <v>3685</v>
      </c>
      <c r="B180" s="1612" t="s">
        <v>3627</v>
      </c>
      <c r="C180" s="1612" t="s">
        <v>3658</v>
      </c>
    </row>
    <row r="181" spans="1:3">
      <c r="A181" s="1612" t="s">
        <v>3686</v>
      </c>
      <c r="B181" s="1612" t="s">
        <v>3627</v>
      </c>
      <c r="C181" s="1612" t="s">
        <v>3687</v>
      </c>
    </row>
    <row r="182" spans="1:3">
      <c r="B182" s="1612" t="s">
        <v>3688</v>
      </c>
      <c r="C182" s="1612">
        <v>10</v>
      </c>
    </row>
    <row r="183" spans="1:3">
      <c r="A183" s="1612" t="s">
        <v>3689</v>
      </c>
      <c r="B183" s="1612" t="s">
        <v>3627</v>
      </c>
      <c r="C183" s="1612" t="s">
        <v>3660</v>
      </c>
    </row>
    <row r="184" spans="1:3">
      <c r="B184" s="1612" t="s">
        <v>3690</v>
      </c>
      <c r="C184" s="1612" t="s">
        <v>3691</v>
      </c>
    </row>
    <row r="185" spans="1:3">
      <c r="A185" s="1612" t="s">
        <v>3692</v>
      </c>
      <c r="B185" s="1612" t="s">
        <v>3627</v>
      </c>
      <c r="C185" s="1612" t="s">
        <v>3693</v>
      </c>
    </row>
    <row r="186" spans="1:3">
      <c r="B186" s="1612" t="s">
        <v>3674</v>
      </c>
      <c r="C186" s="1612">
        <v>10</v>
      </c>
    </row>
    <row r="187" spans="1:3">
      <c r="A187" s="1612" t="s">
        <v>3694</v>
      </c>
      <c r="B187" s="1612" t="s">
        <v>3627</v>
      </c>
      <c r="C187" s="1612" t="s">
        <v>3658</v>
      </c>
    </row>
    <row r="188" spans="1:3">
      <c r="A188" s="1612" t="s">
        <v>3695</v>
      </c>
      <c r="B188" s="1612" t="s">
        <v>3627</v>
      </c>
      <c r="C188" s="1612" t="s">
        <v>3660</v>
      </c>
    </row>
    <row r="189" spans="1:3">
      <c r="A189" s="1612" t="s">
        <v>2511</v>
      </c>
      <c r="B189" s="1612" t="s">
        <v>3627</v>
      </c>
      <c r="C189" s="1612" t="s">
        <v>3696</v>
      </c>
    </row>
    <row r="190" spans="1:3">
      <c r="A190" s="1612" t="s">
        <v>3697</v>
      </c>
      <c r="B190" s="1612" t="s">
        <v>3627</v>
      </c>
      <c r="C190" s="1612" t="s">
        <v>3698</v>
      </c>
    </row>
    <row r="191" spans="1:3">
      <c r="A191" s="1612" t="s">
        <v>3697</v>
      </c>
      <c r="B191" s="1612" t="s">
        <v>3625</v>
      </c>
      <c r="C191" s="1612" t="s">
        <v>3643</v>
      </c>
    </row>
    <row r="192" spans="1:3">
      <c r="A192" s="1612" t="s">
        <v>3699</v>
      </c>
      <c r="B192" s="1612" t="s">
        <v>3627</v>
      </c>
      <c r="C192" s="1612" t="s">
        <v>3658</v>
      </c>
    </row>
  </sheetData>
  <mergeCells count="264">
    <mergeCell ref="A114:A116"/>
    <mergeCell ref="B114:B116"/>
    <mergeCell ref="D114:D116"/>
    <mergeCell ref="A117:A119"/>
    <mergeCell ref="B117:B119"/>
    <mergeCell ref="D117:D119"/>
    <mergeCell ref="Z105:AA105"/>
    <mergeCell ref="Z106:AA106"/>
    <mergeCell ref="Z107:AA107"/>
    <mergeCell ref="A108:A110"/>
    <mergeCell ref="B108:B110"/>
    <mergeCell ref="D108:D110"/>
    <mergeCell ref="A111:A113"/>
    <mergeCell ref="B111:B113"/>
    <mergeCell ref="D111:D113"/>
    <mergeCell ref="A105:A107"/>
    <mergeCell ref="B105:B107"/>
    <mergeCell ref="D105:D107"/>
    <mergeCell ref="Z108:AA108"/>
    <mergeCell ref="D96:D98"/>
    <mergeCell ref="D99:D101"/>
    <mergeCell ref="A102:A104"/>
    <mergeCell ref="B102:B104"/>
    <mergeCell ref="D102:D104"/>
    <mergeCell ref="Z100:AA100"/>
    <mergeCell ref="Z101:AA101"/>
    <mergeCell ref="Z102:AA102"/>
    <mergeCell ref="AD102:AD104"/>
    <mergeCell ref="Z103:AA103"/>
    <mergeCell ref="Z104:AA104"/>
    <mergeCell ref="Z99:AA99"/>
    <mergeCell ref="D81:D83"/>
    <mergeCell ref="D84:D86"/>
    <mergeCell ref="D87:D89"/>
    <mergeCell ref="D90:D92"/>
    <mergeCell ref="D93:D95"/>
    <mergeCell ref="D66:D68"/>
    <mergeCell ref="D69:D71"/>
    <mergeCell ref="D72:D74"/>
    <mergeCell ref="D75:D77"/>
    <mergeCell ref="D78:D80"/>
    <mergeCell ref="D51:D53"/>
    <mergeCell ref="D54:D56"/>
    <mergeCell ref="D57:D59"/>
    <mergeCell ref="D60:D62"/>
    <mergeCell ref="D63:D65"/>
    <mergeCell ref="D42:D44"/>
    <mergeCell ref="D45:D47"/>
    <mergeCell ref="D48:D50"/>
    <mergeCell ref="Z50:AA50"/>
    <mergeCell ref="Z51:AA51"/>
    <mergeCell ref="Z52:AA52"/>
    <mergeCell ref="Z53:AA53"/>
    <mergeCell ref="Z54:AA54"/>
    <mergeCell ref="Z55:AA55"/>
    <mergeCell ref="Z56:AA56"/>
    <mergeCell ref="Z57:AA57"/>
    <mergeCell ref="Z58:AA58"/>
    <mergeCell ref="Z59:AA59"/>
    <mergeCell ref="Z60:AA60"/>
    <mergeCell ref="Z61:AA61"/>
    <mergeCell ref="Z62:AA62"/>
    <mergeCell ref="Z63:AA63"/>
    <mergeCell ref="Z47:AA47"/>
    <mergeCell ref="Z48:AA48"/>
    <mergeCell ref="D33:D35"/>
    <mergeCell ref="D36:D38"/>
    <mergeCell ref="D39:D41"/>
    <mergeCell ref="D21:D23"/>
    <mergeCell ref="D24:D26"/>
    <mergeCell ref="D27:D29"/>
    <mergeCell ref="D30:D32"/>
    <mergeCell ref="Z28:AA28"/>
    <mergeCell ref="Z29:AA29"/>
    <mergeCell ref="Z30:AA30"/>
    <mergeCell ref="Z31:AA31"/>
    <mergeCell ref="Z32:AA32"/>
    <mergeCell ref="Z33:AA33"/>
    <mergeCell ref="Z34:AA34"/>
    <mergeCell ref="Z35:AA35"/>
    <mergeCell ref="Z36:AA36"/>
    <mergeCell ref="Z37:AA37"/>
    <mergeCell ref="Z38:AA38"/>
    <mergeCell ref="Z39:AA39"/>
    <mergeCell ref="Z40:AA40"/>
    <mergeCell ref="Z21:AA21"/>
    <mergeCell ref="Z22:AA22"/>
    <mergeCell ref="Z23:AA23"/>
    <mergeCell ref="Z24:AA24"/>
    <mergeCell ref="E7:Q8"/>
    <mergeCell ref="Z11:AA11"/>
    <mergeCell ref="Z12:AA12"/>
    <mergeCell ref="Z13:AA13"/>
    <mergeCell ref="Z14:AA14"/>
    <mergeCell ref="Z15:AA15"/>
    <mergeCell ref="Z16:AA16"/>
    <mergeCell ref="Z17:AA17"/>
    <mergeCell ref="Z18:AA18"/>
    <mergeCell ref="E9:Q9"/>
    <mergeCell ref="D12:D14"/>
    <mergeCell ref="D15:D17"/>
    <mergeCell ref="D18:D20"/>
    <mergeCell ref="E10:Q10"/>
    <mergeCell ref="R10:AA10"/>
    <mergeCell ref="F11:G11"/>
    <mergeCell ref="H11:I11"/>
    <mergeCell ref="J11:K11"/>
    <mergeCell ref="L11:M11"/>
    <mergeCell ref="N11:O11"/>
    <mergeCell ref="P11:Q11"/>
    <mergeCell ref="Z19:AA19"/>
    <mergeCell ref="Z20:AA20"/>
    <mergeCell ref="A12:A14"/>
    <mergeCell ref="B12:B14"/>
    <mergeCell ref="A1:A11"/>
    <mergeCell ref="B1:AC1"/>
    <mergeCell ref="A15:A17"/>
    <mergeCell ref="B15:B17"/>
    <mergeCell ref="A18:A20"/>
    <mergeCell ref="B18:B20"/>
    <mergeCell ref="A21:A23"/>
    <mergeCell ref="B21:B23"/>
    <mergeCell ref="B2:AC2"/>
    <mergeCell ref="B3:AC3"/>
    <mergeCell ref="B4:AC4"/>
    <mergeCell ref="B5:B10"/>
    <mergeCell ref="R5:Y6"/>
    <mergeCell ref="Z5:AC6"/>
    <mergeCell ref="E6:Q6"/>
    <mergeCell ref="R7:S9"/>
    <mergeCell ref="T7:U9"/>
    <mergeCell ref="V7:W9"/>
    <mergeCell ref="X7:Y9"/>
    <mergeCell ref="Z7:AA9"/>
    <mergeCell ref="AB7:AB9"/>
    <mergeCell ref="AC7:AC9"/>
    <mergeCell ref="A24:A26"/>
    <mergeCell ref="B24:B26"/>
    <mergeCell ref="A27:A29"/>
    <mergeCell ref="B27:B29"/>
    <mergeCell ref="A30:A32"/>
    <mergeCell ref="B30:B32"/>
    <mergeCell ref="A33:A35"/>
    <mergeCell ref="B33:B35"/>
    <mergeCell ref="A36:A38"/>
    <mergeCell ref="B36:B38"/>
    <mergeCell ref="A39:A41"/>
    <mergeCell ref="B39:B41"/>
    <mergeCell ref="A42:A44"/>
    <mergeCell ref="B42:B44"/>
    <mergeCell ref="A45:A47"/>
    <mergeCell ref="B45:B47"/>
    <mergeCell ref="A48:A50"/>
    <mergeCell ref="B48:B50"/>
    <mergeCell ref="A51:A53"/>
    <mergeCell ref="B51:B53"/>
    <mergeCell ref="A54:A56"/>
    <mergeCell ref="B54:B56"/>
    <mergeCell ref="A57:A59"/>
    <mergeCell ref="B57:B59"/>
    <mergeCell ref="A60:A62"/>
    <mergeCell ref="B60:B62"/>
    <mergeCell ref="A63:A65"/>
    <mergeCell ref="B63:B65"/>
    <mergeCell ref="A66:A68"/>
    <mergeCell ref="B66:B68"/>
    <mergeCell ref="A69:A71"/>
    <mergeCell ref="B69:B71"/>
    <mergeCell ref="A72:A74"/>
    <mergeCell ref="B72:B74"/>
    <mergeCell ref="A75:A77"/>
    <mergeCell ref="B75:B77"/>
    <mergeCell ref="A78:A80"/>
    <mergeCell ref="B78:B80"/>
    <mergeCell ref="A81:A83"/>
    <mergeCell ref="B81:B83"/>
    <mergeCell ref="A84:A86"/>
    <mergeCell ref="B84:B86"/>
    <mergeCell ref="A96:A98"/>
    <mergeCell ref="B96:B98"/>
    <mergeCell ref="A99:A101"/>
    <mergeCell ref="B99:B101"/>
    <mergeCell ref="A87:A89"/>
    <mergeCell ref="B87:B89"/>
    <mergeCell ref="A90:A92"/>
    <mergeCell ref="B90:B92"/>
    <mergeCell ref="A93:A95"/>
    <mergeCell ref="B93:B95"/>
    <mergeCell ref="Z25:AA25"/>
    <mergeCell ref="Z26:AA26"/>
    <mergeCell ref="Z27:AA27"/>
    <mergeCell ref="Z41:AA41"/>
    <mergeCell ref="Z42:AA42"/>
    <mergeCell ref="Z43:AA43"/>
    <mergeCell ref="Z44:AA44"/>
    <mergeCell ref="Z45:AA45"/>
    <mergeCell ref="Z46:AA46"/>
    <mergeCell ref="Z49:AA49"/>
    <mergeCell ref="Z64:AA64"/>
    <mergeCell ref="Z65:AA65"/>
    <mergeCell ref="Z66:AA66"/>
    <mergeCell ref="Z67:AA67"/>
    <mergeCell ref="Z68:AA68"/>
    <mergeCell ref="Z69:AA69"/>
    <mergeCell ref="Z70:AA70"/>
    <mergeCell ref="Z71:AA71"/>
    <mergeCell ref="Z72:AA72"/>
    <mergeCell ref="Z73:AA73"/>
    <mergeCell ref="Z74:AA74"/>
    <mergeCell ref="Z75:AA75"/>
    <mergeCell ref="Z76:AA76"/>
    <mergeCell ref="Z77:AA77"/>
    <mergeCell ref="Z78:AA78"/>
    <mergeCell ref="Z79:AA79"/>
    <mergeCell ref="Z80:AA80"/>
    <mergeCell ref="Z81:AA81"/>
    <mergeCell ref="Z82:AA82"/>
    <mergeCell ref="Z83:AA83"/>
    <mergeCell ref="Z84:AA84"/>
    <mergeCell ref="Z85:AA85"/>
    <mergeCell ref="Z86:AA86"/>
    <mergeCell ref="Z87:AA87"/>
    <mergeCell ref="Z88:AA88"/>
    <mergeCell ref="Z89:AA89"/>
    <mergeCell ref="Z90:AA90"/>
    <mergeCell ref="Z91:AA91"/>
    <mergeCell ref="Z92:AA92"/>
    <mergeCell ref="Z93:AA93"/>
    <mergeCell ref="Z94:AA94"/>
    <mergeCell ref="Z95:AA95"/>
    <mergeCell ref="Z96:AA96"/>
    <mergeCell ref="Z97:AA97"/>
    <mergeCell ref="Z98:AA98"/>
    <mergeCell ref="AD108:AD110"/>
    <mergeCell ref="Z109:AA109"/>
    <mergeCell ref="Z110:AA110"/>
    <mergeCell ref="Z111:AA111"/>
    <mergeCell ref="Z112:AA112"/>
    <mergeCell ref="Z113:AA113"/>
    <mergeCell ref="Z114:AA114"/>
    <mergeCell ref="AD114:AD116"/>
    <mergeCell ref="Z115:AA115"/>
    <mergeCell ref="Z116:AA116"/>
    <mergeCell ref="A126:A128"/>
    <mergeCell ref="B126:B128"/>
    <mergeCell ref="D126:D128"/>
    <mergeCell ref="Z126:AA126"/>
    <mergeCell ref="Z127:AA127"/>
    <mergeCell ref="Z128:AA128"/>
    <mergeCell ref="Z117:AA117"/>
    <mergeCell ref="Z118:AA118"/>
    <mergeCell ref="Z119:AA119"/>
    <mergeCell ref="Z120:AA120"/>
    <mergeCell ref="Z121:AA121"/>
    <mergeCell ref="Z122:AA122"/>
    <mergeCell ref="Z123:AA123"/>
    <mergeCell ref="Z124:AA124"/>
    <mergeCell ref="Z125:AA125"/>
    <mergeCell ref="A120:A122"/>
    <mergeCell ref="B120:B122"/>
    <mergeCell ref="D120:D122"/>
    <mergeCell ref="A123:A125"/>
    <mergeCell ref="B123:B125"/>
    <mergeCell ref="D123:D125"/>
  </mergeCells>
  <phoneticPr fontId="26" type="noConversion"/>
  <hyperlinks>
    <hyperlink ref="C50" r:id="rId1"/>
    <hyperlink ref="C65" r:id="rId2"/>
    <hyperlink ref="C95" r:id="rId3" display="nhmagdeburg@nh-hotels.com; 049 39203-700 / 0049 39203-70100"/>
    <hyperlink ref="C119" r:id="rId4"/>
    <hyperlink ref="C116" r:id="rId5"/>
    <hyperlink ref="C80" r:id="rId6"/>
    <hyperlink ref="C86" r:id="rId7"/>
    <hyperlink ref="C47" r:id="rId8"/>
    <hyperlink ref="C53" r:id="rId9"/>
    <hyperlink ref="C113" r:id="rId10"/>
    <hyperlink ref="C68" r:id="rId11"/>
    <hyperlink ref="C71" r:id="rId12"/>
    <hyperlink ref="C89" r:id="rId13"/>
    <hyperlink ref="C92" r:id="rId14"/>
    <hyperlink ref="C122" r:id="rId15"/>
    <hyperlink ref="C35" r:id="rId16" display="mailto:nhbingen@nh-hotels.com"/>
    <hyperlink ref="C74" r:id="rId17"/>
    <hyperlink ref="C101" r:id="rId18"/>
    <hyperlink ref="C125" r:id="rId19" display="mailto:nhweinheim@nh-hotels.com"/>
    <hyperlink ref="C128" r:id="rId20"/>
    <hyperlink ref="C56" r:id="rId21"/>
    <hyperlink ref="C59" r:id="rId22"/>
    <hyperlink ref="C62" r:id="rId23"/>
    <hyperlink ref="C98" r:id="rId24"/>
  </hyperlinks>
  <pageMargins left="0.7" right="0.7" top="0.75" bottom="0.75" header="0.3" footer="0.3"/>
  <drawing r:id="rId2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view="pageBreakPreview" zoomScale="90" zoomScaleSheetLayoutView="90" workbookViewId="0">
      <selection activeCell="G19" sqref="G19"/>
    </sheetView>
  </sheetViews>
  <sheetFormatPr defaultRowHeight="15.5"/>
  <cols>
    <col min="6" max="6" width="10.33203125" customWidth="1"/>
  </cols>
  <sheetData>
    <row r="1" spans="1:18">
      <c r="A1" s="494" t="s">
        <v>1334</v>
      </c>
      <c r="B1" s="494" t="s">
        <v>1336</v>
      </c>
      <c r="C1" s="494"/>
      <c r="D1" s="553">
        <v>165</v>
      </c>
      <c r="E1" s="494" t="s">
        <v>1337</v>
      </c>
      <c r="F1" s="494"/>
      <c r="G1" s="553">
        <v>225</v>
      </c>
      <c r="H1" s="494"/>
      <c r="I1" s="494" t="s">
        <v>1338</v>
      </c>
      <c r="J1" s="494"/>
      <c r="K1" s="553">
        <v>285</v>
      </c>
      <c r="L1" s="494"/>
      <c r="M1" s="494" t="s">
        <v>1339</v>
      </c>
      <c r="N1" s="494"/>
      <c r="O1" s="553">
        <v>345</v>
      </c>
      <c r="P1" s="494"/>
      <c r="Q1" s="494"/>
    </row>
    <row r="2" spans="1:18">
      <c r="A2" s="494"/>
      <c r="B2" s="494"/>
      <c r="C2" s="494"/>
      <c r="D2" s="494"/>
      <c r="E2" s="494"/>
      <c r="F2" s="494"/>
      <c r="G2" s="494"/>
      <c r="H2" s="494"/>
      <c r="I2" s="494"/>
      <c r="J2" s="494"/>
      <c r="K2" s="494"/>
      <c r="L2" s="494"/>
      <c r="M2" s="494"/>
      <c r="N2" s="494"/>
      <c r="O2" s="494"/>
      <c r="P2" s="494"/>
      <c r="Q2" s="494"/>
    </row>
    <row r="3" spans="1:18">
      <c r="A3" s="494" t="s">
        <v>1335</v>
      </c>
      <c r="B3" s="494" t="s">
        <v>1340</v>
      </c>
      <c r="C3" s="494"/>
      <c r="D3" s="494" t="s">
        <v>1353</v>
      </c>
      <c r="E3" s="494"/>
      <c r="F3" s="494"/>
      <c r="G3" s="494"/>
      <c r="H3" s="494"/>
      <c r="I3" s="494"/>
      <c r="J3" s="494"/>
      <c r="K3" s="494"/>
      <c r="L3" s="494"/>
      <c r="M3" s="494"/>
      <c r="N3" s="494"/>
      <c r="O3" s="494"/>
      <c r="P3" s="494"/>
      <c r="Q3" s="494"/>
      <c r="R3" s="559" t="s">
        <v>1366</v>
      </c>
    </row>
    <row r="4" spans="1:18">
      <c r="A4" s="494"/>
      <c r="B4" s="494"/>
      <c r="C4" s="494"/>
      <c r="D4" s="494"/>
      <c r="E4" s="494"/>
      <c r="F4" s="494"/>
      <c r="G4" s="494"/>
      <c r="H4" s="494"/>
      <c r="I4" s="494"/>
      <c r="J4" s="494"/>
      <c r="K4" s="494"/>
      <c r="L4" s="494"/>
      <c r="M4" s="494"/>
      <c r="N4" s="494"/>
      <c r="O4" s="494"/>
      <c r="P4" s="494"/>
      <c r="Q4" s="494"/>
    </row>
    <row r="5" spans="1:18">
      <c r="A5" s="494" t="s">
        <v>1341</v>
      </c>
      <c r="B5" s="494"/>
      <c r="C5" s="494"/>
      <c r="D5" s="494"/>
      <c r="E5" s="554">
        <v>9.5</v>
      </c>
      <c r="F5" s="494"/>
      <c r="G5" s="494"/>
      <c r="H5" s="494"/>
      <c r="I5" s="494"/>
      <c r="J5" s="494"/>
      <c r="K5" s="494"/>
      <c r="L5" s="494"/>
      <c r="M5" s="494"/>
      <c r="N5" s="494"/>
      <c r="O5" s="494"/>
      <c r="P5" s="494"/>
      <c r="Q5" s="494"/>
    </row>
    <row r="6" spans="1:18">
      <c r="A6" s="494"/>
      <c r="B6" s="494"/>
      <c r="C6" s="494"/>
      <c r="D6" s="494"/>
      <c r="E6" s="494"/>
      <c r="F6" s="494"/>
      <c r="G6" s="494"/>
      <c r="H6" s="494"/>
      <c r="I6" s="494"/>
      <c r="J6" s="494"/>
      <c r="K6" s="494"/>
      <c r="L6" s="494"/>
      <c r="M6" s="494"/>
      <c r="N6" s="494"/>
      <c r="O6" s="494"/>
      <c r="P6" s="494"/>
      <c r="Q6" s="494"/>
    </row>
    <row r="7" spans="1:18">
      <c r="A7" s="494" t="s">
        <v>1342</v>
      </c>
      <c r="B7" s="494"/>
      <c r="C7" s="494"/>
      <c r="D7" s="494"/>
      <c r="E7" s="554">
        <v>6.5</v>
      </c>
      <c r="F7" s="494"/>
      <c r="G7" s="494"/>
      <c r="H7" s="494"/>
      <c r="I7" s="494"/>
      <c r="J7" s="494"/>
      <c r="K7" s="494"/>
      <c r="L7" s="494"/>
      <c r="M7" s="494"/>
      <c r="N7" s="494"/>
      <c r="O7" s="494"/>
      <c r="P7" s="494"/>
      <c r="Q7" s="494"/>
    </row>
    <row r="8" spans="1:18">
      <c r="A8" s="494"/>
      <c r="B8" s="494"/>
      <c r="C8" s="494"/>
      <c r="D8" s="494"/>
      <c r="E8" s="494"/>
      <c r="F8" s="494"/>
      <c r="G8" s="494"/>
      <c r="H8" s="494"/>
      <c r="I8" s="494"/>
      <c r="J8" s="494"/>
      <c r="K8" s="494"/>
      <c r="L8" s="494"/>
      <c r="M8" s="494"/>
      <c r="N8" s="494"/>
      <c r="O8" s="494"/>
      <c r="P8" s="494"/>
      <c r="Q8" s="494"/>
    </row>
    <row r="9" spans="1:18" ht="17">
      <c r="A9" s="494" t="s">
        <v>1343</v>
      </c>
      <c r="B9" s="494"/>
      <c r="C9" s="494"/>
      <c r="D9" s="494"/>
      <c r="E9" s="555">
        <v>10</v>
      </c>
      <c r="F9" s="494"/>
      <c r="G9" s="556" t="s">
        <v>1344</v>
      </c>
      <c r="H9" s="494"/>
      <c r="I9" s="494"/>
      <c r="J9" s="494"/>
      <c r="K9" s="494"/>
      <c r="L9" s="494"/>
      <c r="M9" s="494"/>
      <c r="N9" s="494"/>
      <c r="O9" s="494"/>
      <c r="P9" s="494"/>
      <c r="Q9" s="494"/>
    </row>
    <row r="10" spans="1:18">
      <c r="A10" s="494"/>
      <c r="B10" s="494"/>
      <c r="C10" s="494"/>
      <c r="D10" s="494"/>
      <c r="E10" s="494"/>
      <c r="F10" s="494"/>
      <c r="G10" s="494"/>
      <c r="H10" s="494"/>
      <c r="I10" s="494"/>
      <c r="J10" s="494"/>
      <c r="K10" s="494"/>
      <c r="L10" s="494"/>
      <c r="M10" s="494"/>
      <c r="N10" s="494"/>
      <c r="O10" s="494"/>
      <c r="P10" s="494"/>
      <c r="Q10" s="494"/>
    </row>
    <row r="11" spans="1:18">
      <c r="A11" s="494" t="s">
        <v>1345</v>
      </c>
      <c r="B11" s="494"/>
      <c r="C11" s="494"/>
      <c r="D11" s="494"/>
      <c r="E11" s="494"/>
      <c r="F11" s="553">
        <v>5</v>
      </c>
      <c r="G11" s="494"/>
      <c r="H11" s="494"/>
      <c r="I11" s="494"/>
      <c r="J11" s="494"/>
      <c r="K11" s="494"/>
      <c r="L11" s="494"/>
      <c r="M11" s="494"/>
      <c r="N11" s="494"/>
      <c r="O11" s="494"/>
      <c r="P11" s="494"/>
      <c r="Q11" s="494"/>
    </row>
    <row r="12" spans="1:18">
      <c r="A12" s="494"/>
      <c r="B12" s="494"/>
      <c r="C12" s="494"/>
      <c r="D12" s="494"/>
      <c r="E12" s="494"/>
      <c r="F12" s="494"/>
      <c r="G12" s="494"/>
      <c r="H12" s="494"/>
      <c r="I12" s="494"/>
      <c r="J12" s="494"/>
      <c r="K12" s="494"/>
      <c r="L12" s="494"/>
      <c r="M12" s="494"/>
      <c r="N12" s="494"/>
      <c r="O12" s="494"/>
      <c r="P12" s="494"/>
      <c r="Q12" s="494"/>
    </row>
    <row r="13" spans="1:18" ht="17">
      <c r="A13" s="820" t="s">
        <v>1346</v>
      </c>
      <c r="B13" s="820"/>
      <c r="C13" s="820"/>
      <c r="D13" s="820"/>
      <c r="E13" s="821">
        <v>55.4</v>
      </c>
      <c r="F13" s="821" t="s">
        <v>1805</v>
      </c>
      <c r="G13" s="494"/>
      <c r="H13" s="494"/>
      <c r="I13" s="494"/>
      <c r="J13" s="494"/>
      <c r="K13" s="494"/>
      <c r="L13" s="494"/>
      <c r="M13" s="494"/>
      <c r="N13" s="494"/>
      <c r="O13" s="494"/>
      <c r="P13" s="494"/>
      <c r="Q13" s="494"/>
      <c r="R13" s="822" t="s">
        <v>1804</v>
      </c>
    </row>
    <row r="14" spans="1:18">
      <c r="A14" s="494"/>
      <c r="B14" s="494"/>
      <c r="C14" s="494"/>
      <c r="D14" s="494"/>
      <c r="E14" s="494"/>
      <c r="F14" s="494"/>
      <c r="G14" s="494"/>
      <c r="H14" s="494"/>
      <c r="I14" s="494"/>
      <c r="J14" s="494"/>
      <c r="K14" s="494"/>
      <c r="L14" s="494"/>
      <c r="M14" s="494"/>
      <c r="N14" s="494"/>
      <c r="O14" s="494"/>
      <c r="P14" s="494"/>
      <c r="Q14" s="494"/>
    </row>
    <row r="15" spans="1:18">
      <c r="A15" s="494" t="s">
        <v>1348</v>
      </c>
      <c r="B15" s="494"/>
      <c r="C15" s="494"/>
      <c r="D15" s="494"/>
      <c r="E15" s="554">
        <v>4.5</v>
      </c>
      <c r="F15" s="494"/>
      <c r="G15" s="494"/>
      <c r="H15" s="494"/>
      <c r="I15" s="494"/>
      <c r="J15" s="494"/>
      <c r="K15" s="494"/>
      <c r="L15" s="494"/>
      <c r="M15" s="494"/>
      <c r="N15" s="494"/>
      <c r="O15" s="494"/>
      <c r="P15" s="494"/>
      <c r="Q15" s="494"/>
    </row>
    <row r="16" spans="1:18">
      <c r="A16" s="494"/>
      <c r="B16" s="494"/>
      <c r="C16" s="494"/>
      <c r="D16" s="494"/>
      <c r="E16" s="494"/>
      <c r="F16" s="494"/>
      <c r="G16" s="494"/>
      <c r="H16" s="494"/>
      <c r="I16" s="494"/>
      <c r="J16" s="494"/>
      <c r="K16" s="494"/>
      <c r="L16" s="494"/>
      <c r="M16" s="494"/>
      <c r="N16" s="494"/>
      <c r="O16" s="494"/>
      <c r="P16" s="494"/>
      <c r="Q16" s="494"/>
    </row>
    <row r="17" spans="1:17">
      <c r="A17" s="494"/>
      <c r="B17" s="494"/>
      <c r="C17" s="494"/>
      <c r="D17" s="494"/>
      <c r="E17" s="494"/>
      <c r="F17" s="494"/>
      <c r="G17" s="494"/>
      <c r="H17" s="494"/>
      <c r="I17" s="494"/>
      <c r="J17" s="494"/>
      <c r="K17" s="494"/>
      <c r="L17" s="494"/>
      <c r="M17" s="494"/>
      <c r="N17" s="494"/>
      <c r="O17" s="494"/>
      <c r="P17" s="494"/>
      <c r="Q17" s="494"/>
    </row>
    <row r="18" spans="1:17">
      <c r="A18" s="494" t="s">
        <v>1347</v>
      </c>
      <c r="B18" s="494"/>
      <c r="C18" s="494"/>
      <c r="D18" s="494"/>
      <c r="E18" s="553">
        <v>19</v>
      </c>
      <c r="F18" s="494"/>
      <c r="G18" s="494"/>
      <c r="H18" s="494"/>
      <c r="I18" s="494"/>
      <c r="J18" s="494"/>
      <c r="K18" s="494"/>
      <c r="L18" s="494"/>
      <c r="M18" s="494"/>
      <c r="N18" s="494"/>
      <c r="O18" s="494"/>
      <c r="P18" s="494"/>
      <c r="Q18" s="494"/>
    </row>
    <row r="19" spans="1:17">
      <c r="A19" s="494"/>
      <c r="B19" s="494"/>
      <c r="C19" s="494"/>
      <c r="D19" s="494"/>
      <c r="E19" s="494"/>
      <c r="F19" s="494"/>
      <c r="G19" s="494"/>
      <c r="H19" s="494"/>
      <c r="I19" s="494"/>
      <c r="J19" s="494"/>
      <c r="K19" s="494"/>
      <c r="L19" s="494"/>
      <c r="M19" s="494"/>
      <c r="N19" s="494"/>
      <c r="O19" s="494"/>
      <c r="P19" s="494"/>
      <c r="Q19" s="494"/>
    </row>
    <row r="20" spans="1:17">
      <c r="A20" s="494" t="s">
        <v>1349</v>
      </c>
      <c r="B20" s="494"/>
      <c r="C20" s="494"/>
      <c r="D20" s="494"/>
      <c r="E20" s="494" t="s">
        <v>1350</v>
      </c>
      <c r="F20" s="494"/>
      <c r="G20" s="494"/>
      <c r="H20" s="494" t="s">
        <v>1351</v>
      </c>
      <c r="I20" s="494"/>
      <c r="J20" s="494"/>
      <c r="K20" s="494"/>
      <c r="L20" s="494"/>
      <c r="M20" s="494"/>
      <c r="N20" s="494"/>
      <c r="O20" s="494"/>
      <c r="P20" s="494"/>
      <c r="Q20" s="494"/>
    </row>
    <row r="21" spans="1:17">
      <c r="A21" s="494"/>
      <c r="B21" s="494"/>
      <c r="C21" s="494"/>
      <c r="D21" s="494"/>
      <c r="E21" s="494"/>
      <c r="F21" s="494"/>
      <c r="G21" s="494"/>
      <c r="H21" s="494"/>
      <c r="I21" s="494"/>
      <c r="J21" s="494"/>
      <c r="K21" s="494"/>
      <c r="L21" s="494"/>
      <c r="M21" s="494"/>
      <c r="N21" s="494"/>
      <c r="O21" s="494"/>
      <c r="P21" s="494"/>
      <c r="Q21" s="494"/>
    </row>
    <row r="22" spans="1:17">
      <c r="A22" s="494" t="s">
        <v>1352</v>
      </c>
      <c r="B22" s="494"/>
      <c r="C22" s="494"/>
      <c r="D22" s="494"/>
      <c r="E22" s="553">
        <v>16</v>
      </c>
      <c r="F22" s="494"/>
      <c r="G22" s="494"/>
      <c r="H22" s="494"/>
      <c r="I22" s="494"/>
      <c r="J22" s="494"/>
      <c r="K22" s="494"/>
      <c r="L22" s="494"/>
      <c r="M22" s="494"/>
      <c r="N22" s="494"/>
      <c r="O22" s="494"/>
      <c r="P22" s="494"/>
      <c r="Q22" s="494"/>
    </row>
    <row r="23" spans="1:17">
      <c r="A23" s="494"/>
      <c r="B23" s="494"/>
      <c r="C23" s="494"/>
      <c r="D23" s="494"/>
      <c r="E23" s="494"/>
      <c r="F23" s="494"/>
      <c r="G23" s="494"/>
      <c r="H23" s="494"/>
      <c r="I23" s="494"/>
      <c r="J23" s="494"/>
      <c r="K23" s="494"/>
      <c r="L23" s="494"/>
      <c r="M23" s="494"/>
      <c r="N23" s="494"/>
      <c r="O23" s="494"/>
      <c r="P23" s="494"/>
      <c r="Q23" s="494"/>
    </row>
    <row r="24" spans="1:17">
      <c r="A24" s="552" t="s">
        <v>1365</v>
      </c>
      <c r="B24" s="552"/>
      <c r="C24" s="552"/>
      <c r="D24" s="552"/>
      <c r="E24" s="560">
        <v>27</v>
      </c>
      <c r="F24" s="494"/>
      <c r="G24" s="494"/>
      <c r="H24" s="494"/>
      <c r="I24" s="494"/>
      <c r="J24" s="494"/>
      <c r="K24" s="494"/>
      <c r="L24" s="494"/>
      <c r="M24" s="494"/>
      <c r="N24" s="494"/>
      <c r="O24" s="494"/>
      <c r="P24" s="494"/>
      <c r="Q24" s="494"/>
    </row>
    <row r="25" spans="1:17">
      <c r="A25" s="494"/>
      <c r="B25" s="494"/>
      <c r="C25" s="494"/>
      <c r="D25" s="494"/>
      <c r="E25" s="494"/>
      <c r="F25" s="494"/>
      <c r="G25" s="494"/>
      <c r="H25" s="494"/>
      <c r="I25" s="494"/>
      <c r="J25" s="494"/>
      <c r="K25" s="494"/>
      <c r="L25" s="494"/>
      <c r="M25" s="494"/>
      <c r="N25" s="494"/>
      <c r="O25" s="494"/>
      <c r="P25" s="494"/>
      <c r="Q25" s="494"/>
    </row>
    <row r="26" spans="1:17">
      <c r="A26" s="494"/>
      <c r="B26" s="494"/>
      <c r="C26" s="494"/>
      <c r="D26" s="494"/>
      <c r="E26" s="494"/>
      <c r="F26" s="494"/>
      <c r="G26" s="494"/>
      <c r="H26" s="494"/>
      <c r="I26" s="494"/>
      <c r="J26" s="494"/>
      <c r="K26" s="494"/>
      <c r="L26" s="494"/>
      <c r="M26" s="494"/>
      <c r="N26" s="494"/>
      <c r="O26" s="494"/>
      <c r="P26" s="494"/>
      <c r="Q26" s="494"/>
    </row>
    <row r="27" spans="1:17">
      <c r="A27" s="494"/>
      <c r="B27" s="494"/>
      <c r="C27" s="494"/>
      <c r="D27" s="494"/>
      <c r="E27" s="494"/>
      <c r="F27" s="494"/>
      <c r="G27" s="494"/>
      <c r="H27" s="494"/>
      <c r="I27" s="494"/>
      <c r="J27" s="494"/>
      <c r="K27" s="494"/>
      <c r="L27" s="494"/>
      <c r="M27" s="494"/>
      <c r="N27" s="494"/>
      <c r="O27" s="494"/>
      <c r="P27" s="494"/>
      <c r="Q27" s="494"/>
    </row>
    <row r="28" spans="1:17">
      <c r="A28" s="494"/>
      <c r="B28" s="494"/>
      <c r="C28" s="494"/>
      <c r="D28" s="494"/>
      <c r="E28" s="494"/>
      <c r="F28" s="494"/>
      <c r="G28" s="494"/>
      <c r="H28" s="494"/>
      <c r="I28" s="494"/>
      <c r="J28" s="494"/>
      <c r="K28" s="494"/>
      <c r="L28" s="494"/>
      <c r="M28" s="494"/>
      <c r="N28" s="494"/>
      <c r="O28" s="494"/>
      <c r="P28" s="494"/>
      <c r="Q28" s="494"/>
    </row>
    <row r="29" spans="1:17">
      <c r="A29" s="494"/>
      <c r="B29" s="494"/>
      <c r="C29" s="494"/>
      <c r="D29" s="494"/>
      <c r="E29" s="494"/>
      <c r="F29" s="494"/>
      <c r="G29" s="494"/>
      <c r="H29" s="494"/>
      <c r="I29" s="494"/>
      <c r="J29" s="494"/>
      <c r="K29" s="494"/>
      <c r="L29" s="494"/>
      <c r="M29" s="494"/>
      <c r="N29" s="494"/>
      <c r="O29" s="494"/>
      <c r="P29" s="494"/>
      <c r="Q29" s="494"/>
    </row>
    <row r="30" spans="1:17">
      <c r="A30" s="494"/>
      <c r="B30" s="494"/>
      <c r="C30" s="494"/>
      <c r="D30" s="494"/>
      <c r="E30" s="494"/>
      <c r="F30" s="494"/>
      <c r="G30" s="494"/>
      <c r="H30" s="494"/>
      <c r="I30" s="494"/>
      <c r="J30" s="494"/>
      <c r="K30" s="494"/>
      <c r="L30" s="494"/>
      <c r="M30" s="494"/>
      <c r="N30" s="494"/>
      <c r="O30" s="494"/>
      <c r="P30" s="494"/>
      <c r="Q30" s="494"/>
    </row>
    <row r="31" spans="1:17">
      <c r="A31" s="494"/>
      <c r="B31" s="494"/>
      <c r="C31" s="494"/>
      <c r="D31" s="494"/>
      <c r="E31" s="494"/>
      <c r="F31" s="494"/>
      <c r="G31" s="494"/>
      <c r="H31" s="494"/>
      <c r="I31" s="494"/>
      <c r="J31" s="494"/>
      <c r="K31" s="494"/>
      <c r="L31" s="494"/>
      <c r="M31" s="494"/>
      <c r="N31" s="494"/>
      <c r="O31" s="494"/>
      <c r="P31" s="494"/>
      <c r="Q31" s="494"/>
    </row>
  </sheetData>
  <phoneticPr fontId="26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6"/>
  <sheetViews>
    <sheetView workbookViewId="0">
      <selection activeCell="F26" sqref="F26"/>
    </sheetView>
  </sheetViews>
  <sheetFormatPr defaultRowHeight="15.5"/>
  <cols>
    <col min="1" max="1" width="9.75" style="557" customWidth="1"/>
    <col min="2" max="2" width="9" style="557"/>
    <col min="3" max="3" width="8.33203125" style="557" customWidth="1"/>
    <col min="4" max="4" width="9.08203125" style="557" bestFit="1" customWidth="1"/>
    <col min="5" max="7" width="9" style="557"/>
    <col min="8" max="8" width="11.33203125" style="557" customWidth="1"/>
    <col min="9" max="256" width="9" style="557"/>
    <col min="257" max="257" width="9.75" style="557" customWidth="1"/>
    <col min="258" max="258" width="9" style="557"/>
    <col min="259" max="259" width="8.33203125" style="557" customWidth="1"/>
    <col min="260" max="260" width="9.08203125" style="557" bestFit="1" customWidth="1"/>
    <col min="261" max="263" width="9" style="557"/>
    <col min="264" max="264" width="11.33203125" style="557" customWidth="1"/>
    <col min="265" max="512" width="9" style="557"/>
    <col min="513" max="513" width="9.75" style="557" customWidth="1"/>
    <col min="514" max="514" width="9" style="557"/>
    <col min="515" max="515" width="8.33203125" style="557" customWidth="1"/>
    <col min="516" max="516" width="9.08203125" style="557" bestFit="1" customWidth="1"/>
    <col min="517" max="519" width="9" style="557"/>
    <col min="520" max="520" width="11.33203125" style="557" customWidth="1"/>
    <col min="521" max="768" width="9" style="557"/>
    <col min="769" max="769" width="9.75" style="557" customWidth="1"/>
    <col min="770" max="770" width="9" style="557"/>
    <col min="771" max="771" width="8.33203125" style="557" customWidth="1"/>
    <col min="772" max="772" width="9.08203125" style="557" bestFit="1" customWidth="1"/>
    <col min="773" max="775" width="9" style="557"/>
    <col min="776" max="776" width="11.33203125" style="557" customWidth="1"/>
    <col min="777" max="1024" width="9" style="557"/>
    <col min="1025" max="1025" width="9.75" style="557" customWidth="1"/>
    <col min="1026" max="1026" width="9" style="557"/>
    <col min="1027" max="1027" width="8.33203125" style="557" customWidth="1"/>
    <col min="1028" max="1028" width="9.08203125" style="557" bestFit="1" customWidth="1"/>
    <col min="1029" max="1031" width="9" style="557"/>
    <col min="1032" max="1032" width="11.33203125" style="557" customWidth="1"/>
    <col min="1033" max="1280" width="9" style="557"/>
    <col min="1281" max="1281" width="9.75" style="557" customWidth="1"/>
    <col min="1282" max="1282" width="9" style="557"/>
    <col min="1283" max="1283" width="8.33203125" style="557" customWidth="1"/>
    <col min="1284" max="1284" width="9.08203125" style="557" bestFit="1" customWidth="1"/>
    <col min="1285" max="1287" width="9" style="557"/>
    <col min="1288" max="1288" width="11.33203125" style="557" customWidth="1"/>
    <col min="1289" max="1536" width="9" style="557"/>
    <col min="1537" max="1537" width="9.75" style="557" customWidth="1"/>
    <col min="1538" max="1538" width="9" style="557"/>
    <col min="1539" max="1539" width="8.33203125" style="557" customWidth="1"/>
    <col min="1540" max="1540" width="9.08203125" style="557" bestFit="1" customWidth="1"/>
    <col min="1541" max="1543" width="9" style="557"/>
    <col min="1544" max="1544" width="11.33203125" style="557" customWidth="1"/>
    <col min="1545" max="1792" width="9" style="557"/>
    <col min="1793" max="1793" width="9.75" style="557" customWidth="1"/>
    <col min="1794" max="1794" width="9" style="557"/>
    <col min="1795" max="1795" width="8.33203125" style="557" customWidth="1"/>
    <col min="1796" max="1796" width="9.08203125" style="557" bestFit="1" customWidth="1"/>
    <col min="1797" max="1799" width="9" style="557"/>
    <col min="1800" max="1800" width="11.33203125" style="557" customWidth="1"/>
    <col min="1801" max="2048" width="9" style="557"/>
    <col min="2049" max="2049" width="9.75" style="557" customWidth="1"/>
    <col min="2050" max="2050" width="9" style="557"/>
    <col min="2051" max="2051" width="8.33203125" style="557" customWidth="1"/>
    <col min="2052" max="2052" width="9.08203125" style="557" bestFit="1" customWidth="1"/>
    <col min="2053" max="2055" width="9" style="557"/>
    <col min="2056" max="2056" width="11.33203125" style="557" customWidth="1"/>
    <col min="2057" max="2304" width="9" style="557"/>
    <col min="2305" max="2305" width="9.75" style="557" customWidth="1"/>
    <col min="2306" max="2306" width="9" style="557"/>
    <col min="2307" max="2307" width="8.33203125" style="557" customWidth="1"/>
    <col min="2308" max="2308" width="9.08203125" style="557" bestFit="1" customWidth="1"/>
    <col min="2309" max="2311" width="9" style="557"/>
    <col min="2312" max="2312" width="11.33203125" style="557" customWidth="1"/>
    <col min="2313" max="2560" width="9" style="557"/>
    <col min="2561" max="2561" width="9.75" style="557" customWidth="1"/>
    <col min="2562" max="2562" width="9" style="557"/>
    <col min="2563" max="2563" width="8.33203125" style="557" customWidth="1"/>
    <col min="2564" max="2564" width="9.08203125" style="557" bestFit="1" customWidth="1"/>
    <col min="2565" max="2567" width="9" style="557"/>
    <col min="2568" max="2568" width="11.33203125" style="557" customWidth="1"/>
    <col min="2569" max="2816" width="9" style="557"/>
    <col min="2817" max="2817" width="9.75" style="557" customWidth="1"/>
    <col min="2818" max="2818" width="9" style="557"/>
    <col min="2819" max="2819" width="8.33203125" style="557" customWidth="1"/>
    <col min="2820" max="2820" width="9.08203125" style="557" bestFit="1" customWidth="1"/>
    <col min="2821" max="2823" width="9" style="557"/>
    <col min="2824" max="2824" width="11.33203125" style="557" customWidth="1"/>
    <col min="2825" max="3072" width="9" style="557"/>
    <col min="3073" max="3073" width="9.75" style="557" customWidth="1"/>
    <col min="3074" max="3074" width="9" style="557"/>
    <col min="3075" max="3075" width="8.33203125" style="557" customWidth="1"/>
    <col min="3076" max="3076" width="9.08203125" style="557" bestFit="1" customWidth="1"/>
    <col min="3077" max="3079" width="9" style="557"/>
    <col min="3080" max="3080" width="11.33203125" style="557" customWidth="1"/>
    <col min="3081" max="3328" width="9" style="557"/>
    <col min="3329" max="3329" width="9.75" style="557" customWidth="1"/>
    <col min="3330" max="3330" width="9" style="557"/>
    <col min="3331" max="3331" width="8.33203125" style="557" customWidth="1"/>
    <col min="3332" max="3332" width="9.08203125" style="557" bestFit="1" customWidth="1"/>
    <col min="3333" max="3335" width="9" style="557"/>
    <col min="3336" max="3336" width="11.33203125" style="557" customWidth="1"/>
    <col min="3337" max="3584" width="9" style="557"/>
    <col min="3585" max="3585" width="9.75" style="557" customWidth="1"/>
    <col min="3586" max="3586" width="9" style="557"/>
    <col min="3587" max="3587" width="8.33203125" style="557" customWidth="1"/>
    <col min="3588" max="3588" width="9.08203125" style="557" bestFit="1" customWidth="1"/>
    <col min="3589" max="3591" width="9" style="557"/>
    <col min="3592" max="3592" width="11.33203125" style="557" customWidth="1"/>
    <col min="3593" max="3840" width="9" style="557"/>
    <col min="3841" max="3841" width="9.75" style="557" customWidth="1"/>
    <col min="3842" max="3842" width="9" style="557"/>
    <col min="3843" max="3843" width="8.33203125" style="557" customWidth="1"/>
    <col min="3844" max="3844" width="9.08203125" style="557" bestFit="1" customWidth="1"/>
    <col min="3845" max="3847" width="9" style="557"/>
    <col min="3848" max="3848" width="11.33203125" style="557" customWidth="1"/>
    <col min="3849" max="4096" width="9" style="557"/>
    <col min="4097" max="4097" width="9.75" style="557" customWidth="1"/>
    <col min="4098" max="4098" width="9" style="557"/>
    <col min="4099" max="4099" width="8.33203125" style="557" customWidth="1"/>
    <col min="4100" max="4100" width="9.08203125" style="557" bestFit="1" customWidth="1"/>
    <col min="4101" max="4103" width="9" style="557"/>
    <col min="4104" max="4104" width="11.33203125" style="557" customWidth="1"/>
    <col min="4105" max="4352" width="9" style="557"/>
    <col min="4353" max="4353" width="9.75" style="557" customWidth="1"/>
    <col min="4354" max="4354" width="9" style="557"/>
    <col min="4355" max="4355" width="8.33203125" style="557" customWidth="1"/>
    <col min="4356" max="4356" width="9.08203125" style="557" bestFit="1" customWidth="1"/>
    <col min="4357" max="4359" width="9" style="557"/>
    <col min="4360" max="4360" width="11.33203125" style="557" customWidth="1"/>
    <col min="4361" max="4608" width="9" style="557"/>
    <col min="4609" max="4609" width="9.75" style="557" customWidth="1"/>
    <col min="4610" max="4610" width="9" style="557"/>
    <col min="4611" max="4611" width="8.33203125" style="557" customWidth="1"/>
    <col min="4612" max="4612" width="9.08203125" style="557" bestFit="1" customWidth="1"/>
    <col min="4613" max="4615" width="9" style="557"/>
    <col min="4616" max="4616" width="11.33203125" style="557" customWidth="1"/>
    <col min="4617" max="4864" width="9" style="557"/>
    <col min="4865" max="4865" width="9.75" style="557" customWidth="1"/>
    <col min="4866" max="4866" width="9" style="557"/>
    <col min="4867" max="4867" width="8.33203125" style="557" customWidth="1"/>
    <col min="4868" max="4868" width="9.08203125" style="557" bestFit="1" customWidth="1"/>
    <col min="4869" max="4871" width="9" style="557"/>
    <col min="4872" max="4872" width="11.33203125" style="557" customWidth="1"/>
    <col min="4873" max="5120" width="9" style="557"/>
    <col min="5121" max="5121" width="9.75" style="557" customWidth="1"/>
    <col min="5122" max="5122" width="9" style="557"/>
    <col min="5123" max="5123" width="8.33203125" style="557" customWidth="1"/>
    <col min="5124" max="5124" width="9.08203125" style="557" bestFit="1" customWidth="1"/>
    <col min="5125" max="5127" width="9" style="557"/>
    <col min="5128" max="5128" width="11.33203125" style="557" customWidth="1"/>
    <col min="5129" max="5376" width="9" style="557"/>
    <col min="5377" max="5377" width="9.75" style="557" customWidth="1"/>
    <col min="5378" max="5378" width="9" style="557"/>
    <col min="5379" max="5379" width="8.33203125" style="557" customWidth="1"/>
    <col min="5380" max="5380" width="9.08203125" style="557" bestFit="1" customWidth="1"/>
    <col min="5381" max="5383" width="9" style="557"/>
    <col min="5384" max="5384" width="11.33203125" style="557" customWidth="1"/>
    <col min="5385" max="5632" width="9" style="557"/>
    <col min="5633" max="5633" width="9.75" style="557" customWidth="1"/>
    <col min="5634" max="5634" width="9" style="557"/>
    <col min="5635" max="5635" width="8.33203125" style="557" customWidth="1"/>
    <col min="5636" max="5636" width="9.08203125" style="557" bestFit="1" customWidth="1"/>
    <col min="5637" max="5639" width="9" style="557"/>
    <col min="5640" max="5640" width="11.33203125" style="557" customWidth="1"/>
    <col min="5641" max="5888" width="9" style="557"/>
    <col min="5889" max="5889" width="9.75" style="557" customWidth="1"/>
    <col min="5890" max="5890" width="9" style="557"/>
    <col min="5891" max="5891" width="8.33203125" style="557" customWidth="1"/>
    <col min="5892" max="5892" width="9.08203125" style="557" bestFit="1" customWidth="1"/>
    <col min="5893" max="5895" width="9" style="557"/>
    <col min="5896" max="5896" width="11.33203125" style="557" customWidth="1"/>
    <col min="5897" max="6144" width="9" style="557"/>
    <col min="6145" max="6145" width="9.75" style="557" customWidth="1"/>
    <col min="6146" max="6146" width="9" style="557"/>
    <col min="6147" max="6147" width="8.33203125" style="557" customWidth="1"/>
    <col min="6148" max="6148" width="9.08203125" style="557" bestFit="1" customWidth="1"/>
    <col min="6149" max="6151" width="9" style="557"/>
    <col min="6152" max="6152" width="11.33203125" style="557" customWidth="1"/>
    <col min="6153" max="6400" width="9" style="557"/>
    <col min="6401" max="6401" width="9.75" style="557" customWidth="1"/>
    <col min="6402" max="6402" width="9" style="557"/>
    <col min="6403" max="6403" width="8.33203125" style="557" customWidth="1"/>
    <col min="6404" max="6404" width="9.08203125" style="557" bestFit="1" customWidth="1"/>
    <col min="6405" max="6407" width="9" style="557"/>
    <col min="6408" max="6408" width="11.33203125" style="557" customWidth="1"/>
    <col min="6409" max="6656" width="9" style="557"/>
    <col min="6657" max="6657" width="9.75" style="557" customWidth="1"/>
    <col min="6658" max="6658" width="9" style="557"/>
    <col min="6659" max="6659" width="8.33203125" style="557" customWidth="1"/>
    <col min="6660" max="6660" width="9.08203125" style="557" bestFit="1" customWidth="1"/>
    <col min="6661" max="6663" width="9" style="557"/>
    <col min="6664" max="6664" width="11.33203125" style="557" customWidth="1"/>
    <col min="6665" max="6912" width="9" style="557"/>
    <col min="6913" max="6913" width="9.75" style="557" customWidth="1"/>
    <col min="6914" max="6914" width="9" style="557"/>
    <col min="6915" max="6915" width="8.33203125" style="557" customWidth="1"/>
    <col min="6916" max="6916" width="9.08203125" style="557" bestFit="1" customWidth="1"/>
    <col min="6917" max="6919" width="9" style="557"/>
    <col min="6920" max="6920" width="11.33203125" style="557" customWidth="1"/>
    <col min="6921" max="7168" width="9" style="557"/>
    <col min="7169" max="7169" width="9.75" style="557" customWidth="1"/>
    <col min="7170" max="7170" width="9" style="557"/>
    <col min="7171" max="7171" width="8.33203125" style="557" customWidth="1"/>
    <col min="7172" max="7172" width="9.08203125" style="557" bestFit="1" customWidth="1"/>
    <col min="7173" max="7175" width="9" style="557"/>
    <col min="7176" max="7176" width="11.33203125" style="557" customWidth="1"/>
    <col min="7177" max="7424" width="9" style="557"/>
    <col min="7425" max="7425" width="9.75" style="557" customWidth="1"/>
    <col min="7426" max="7426" width="9" style="557"/>
    <col min="7427" max="7427" width="8.33203125" style="557" customWidth="1"/>
    <col min="7428" max="7428" width="9.08203125" style="557" bestFit="1" customWidth="1"/>
    <col min="7429" max="7431" width="9" style="557"/>
    <col min="7432" max="7432" width="11.33203125" style="557" customWidth="1"/>
    <col min="7433" max="7680" width="9" style="557"/>
    <col min="7681" max="7681" width="9.75" style="557" customWidth="1"/>
    <col min="7682" max="7682" width="9" style="557"/>
    <col min="7683" max="7683" width="8.33203125" style="557" customWidth="1"/>
    <col min="7684" max="7684" width="9.08203125" style="557" bestFit="1" customWidth="1"/>
    <col min="7685" max="7687" width="9" style="557"/>
    <col min="7688" max="7688" width="11.33203125" style="557" customWidth="1"/>
    <col min="7689" max="7936" width="9" style="557"/>
    <col min="7937" max="7937" width="9.75" style="557" customWidth="1"/>
    <col min="7938" max="7938" width="9" style="557"/>
    <col min="7939" max="7939" width="8.33203125" style="557" customWidth="1"/>
    <col min="7940" max="7940" width="9.08203125" style="557" bestFit="1" customWidth="1"/>
    <col min="7941" max="7943" width="9" style="557"/>
    <col min="7944" max="7944" width="11.33203125" style="557" customWidth="1"/>
    <col min="7945" max="8192" width="9" style="557"/>
    <col min="8193" max="8193" width="9.75" style="557" customWidth="1"/>
    <col min="8194" max="8194" width="9" style="557"/>
    <col min="8195" max="8195" width="8.33203125" style="557" customWidth="1"/>
    <col min="8196" max="8196" width="9.08203125" style="557" bestFit="1" customWidth="1"/>
    <col min="8197" max="8199" width="9" style="557"/>
    <col min="8200" max="8200" width="11.33203125" style="557" customWidth="1"/>
    <col min="8201" max="8448" width="9" style="557"/>
    <col min="8449" max="8449" width="9.75" style="557" customWidth="1"/>
    <col min="8450" max="8450" width="9" style="557"/>
    <col min="8451" max="8451" width="8.33203125" style="557" customWidth="1"/>
    <col min="8452" max="8452" width="9.08203125" style="557" bestFit="1" customWidth="1"/>
    <col min="8453" max="8455" width="9" style="557"/>
    <col min="8456" max="8456" width="11.33203125" style="557" customWidth="1"/>
    <col min="8457" max="8704" width="9" style="557"/>
    <col min="8705" max="8705" width="9.75" style="557" customWidth="1"/>
    <col min="8706" max="8706" width="9" style="557"/>
    <col min="8707" max="8707" width="8.33203125" style="557" customWidth="1"/>
    <col min="8708" max="8708" width="9.08203125" style="557" bestFit="1" customWidth="1"/>
    <col min="8709" max="8711" width="9" style="557"/>
    <col min="8712" max="8712" width="11.33203125" style="557" customWidth="1"/>
    <col min="8713" max="8960" width="9" style="557"/>
    <col min="8961" max="8961" width="9.75" style="557" customWidth="1"/>
    <col min="8962" max="8962" width="9" style="557"/>
    <col min="8963" max="8963" width="8.33203125" style="557" customWidth="1"/>
    <col min="8964" max="8964" width="9.08203125" style="557" bestFit="1" customWidth="1"/>
    <col min="8965" max="8967" width="9" style="557"/>
    <col min="8968" max="8968" width="11.33203125" style="557" customWidth="1"/>
    <col min="8969" max="9216" width="9" style="557"/>
    <col min="9217" max="9217" width="9.75" style="557" customWidth="1"/>
    <col min="9218" max="9218" width="9" style="557"/>
    <col min="9219" max="9219" width="8.33203125" style="557" customWidth="1"/>
    <col min="9220" max="9220" width="9.08203125" style="557" bestFit="1" customWidth="1"/>
    <col min="9221" max="9223" width="9" style="557"/>
    <col min="9224" max="9224" width="11.33203125" style="557" customWidth="1"/>
    <col min="9225" max="9472" width="9" style="557"/>
    <col min="9473" max="9473" width="9.75" style="557" customWidth="1"/>
    <col min="9474" max="9474" width="9" style="557"/>
    <col min="9475" max="9475" width="8.33203125" style="557" customWidth="1"/>
    <col min="9476" max="9476" width="9.08203125" style="557" bestFit="1" customWidth="1"/>
    <col min="9477" max="9479" width="9" style="557"/>
    <col min="9480" max="9480" width="11.33203125" style="557" customWidth="1"/>
    <col min="9481" max="9728" width="9" style="557"/>
    <col min="9729" max="9729" width="9.75" style="557" customWidth="1"/>
    <col min="9730" max="9730" width="9" style="557"/>
    <col min="9731" max="9731" width="8.33203125" style="557" customWidth="1"/>
    <col min="9732" max="9732" width="9.08203125" style="557" bestFit="1" customWidth="1"/>
    <col min="9733" max="9735" width="9" style="557"/>
    <col min="9736" max="9736" width="11.33203125" style="557" customWidth="1"/>
    <col min="9737" max="9984" width="9" style="557"/>
    <col min="9985" max="9985" width="9.75" style="557" customWidth="1"/>
    <col min="9986" max="9986" width="9" style="557"/>
    <col min="9987" max="9987" width="8.33203125" style="557" customWidth="1"/>
    <col min="9988" max="9988" width="9.08203125" style="557" bestFit="1" customWidth="1"/>
    <col min="9989" max="9991" width="9" style="557"/>
    <col min="9992" max="9992" width="11.33203125" style="557" customWidth="1"/>
    <col min="9993" max="10240" width="9" style="557"/>
    <col min="10241" max="10241" width="9.75" style="557" customWidth="1"/>
    <col min="10242" max="10242" width="9" style="557"/>
    <col min="10243" max="10243" width="8.33203125" style="557" customWidth="1"/>
    <col min="10244" max="10244" width="9.08203125" style="557" bestFit="1" customWidth="1"/>
    <col min="10245" max="10247" width="9" style="557"/>
    <col min="10248" max="10248" width="11.33203125" style="557" customWidth="1"/>
    <col min="10249" max="10496" width="9" style="557"/>
    <col min="10497" max="10497" width="9.75" style="557" customWidth="1"/>
    <col min="10498" max="10498" width="9" style="557"/>
    <col min="10499" max="10499" width="8.33203125" style="557" customWidth="1"/>
    <col min="10500" max="10500" width="9.08203125" style="557" bestFit="1" customWidth="1"/>
    <col min="10501" max="10503" width="9" style="557"/>
    <col min="10504" max="10504" width="11.33203125" style="557" customWidth="1"/>
    <col min="10505" max="10752" width="9" style="557"/>
    <col min="10753" max="10753" width="9.75" style="557" customWidth="1"/>
    <col min="10754" max="10754" width="9" style="557"/>
    <col min="10755" max="10755" width="8.33203125" style="557" customWidth="1"/>
    <col min="10756" max="10756" width="9.08203125" style="557" bestFit="1" customWidth="1"/>
    <col min="10757" max="10759" width="9" style="557"/>
    <col min="10760" max="10760" width="11.33203125" style="557" customWidth="1"/>
    <col min="10761" max="11008" width="9" style="557"/>
    <col min="11009" max="11009" width="9.75" style="557" customWidth="1"/>
    <col min="11010" max="11010" width="9" style="557"/>
    <col min="11011" max="11011" width="8.33203125" style="557" customWidth="1"/>
    <col min="11012" max="11012" width="9.08203125" style="557" bestFit="1" customWidth="1"/>
    <col min="11013" max="11015" width="9" style="557"/>
    <col min="11016" max="11016" width="11.33203125" style="557" customWidth="1"/>
    <col min="11017" max="11264" width="9" style="557"/>
    <col min="11265" max="11265" width="9.75" style="557" customWidth="1"/>
    <col min="11266" max="11266" width="9" style="557"/>
    <col min="11267" max="11267" width="8.33203125" style="557" customWidth="1"/>
    <col min="11268" max="11268" width="9.08203125" style="557" bestFit="1" customWidth="1"/>
    <col min="11269" max="11271" width="9" style="557"/>
    <col min="11272" max="11272" width="11.33203125" style="557" customWidth="1"/>
    <col min="11273" max="11520" width="9" style="557"/>
    <col min="11521" max="11521" width="9.75" style="557" customWidth="1"/>
    <col min="11522" max="11522" width="9" style="557"/>
    <col min="11523" max="11523" width="8.33203125" style="557" customWidth="1"/>
    <col min="11524" max="11524" width="9.08203125" style="557" bestFit="1" customWidth="1"/>
    <col min="11525" max="11527" width="9" style="557"/>
    <col min="11528" max="11528" width="11.33203125" style="557" customWidth="1"/>
    <col min="11529" max="11776" width="9" style="557"/>
    <col min="11777" max="11777" width="9.75" style="557" customWidth="1"/>
    <col min="11778" max="11778" width="9" style="557"/>
    <col min="11779" max="11779" width="8.33203125" style="557" customWidth="1"/>
    <col min="11780" max="11780" width="9.08203125" style="557" bestFit="1" customWidth="1"/>
    <col min="11781" max="11783" width="9" style="557"/>
    <col min="11784" max="11784" width="11.33203125" style="557" customWidth="1"/>
    <col min="11785" max="12032" width="9" style="557"/>
    <col min="12033" max="12033" width="9.75" style="557" customWidth="1"/>
    <col min="12034" max="12034" width="9" style="557"/>
    <col min="12035" max="12035" width="8.33203125" style="557" customWidth="1"/>
    <col min="12036" max="12036" width="9.08203125" style="557" bestFit="1" customWidth="1"/>
    <col min="12037" max="12039" width="9" style="557"/>
    <col min="12040" max="12040" width="11.33203125" style="557" customWidth="1"/>
    <col min="12041" max="12288" width="9" style="557"/>
    <col min="12289" max="12289" width="9.75" style="557" customWidth="1"/>
    <col min="12290" max="12290" width="9" style="557"/>
    <col min="12291" max="12291" width="8.33203125" style="557" customWidth="1"/>
    <col min="12292" max="12292" width="9.08203125" style="557" bestFit="1" customWidth="1"/>
    <col min="12293" max="12295" width="9" style="557"/>
    <col min="12296" max="12296" width="11.33203125" style="557" customWidth="1"/>
    <col min="12297" max="12544" width="9" style="557"/>
    <col min="12545" max="12545" width="9.75" style="557" customWidth="1"/>
    <col min="12546" max="12546" width="9" style="557"/>
    <col min="12547" max="12547" width="8.33203125" style="557" customWidth="1"/>
    <col min="12548" max="12548" width="9.08203125" style="557" bestFit="1" customWidth="1"/>
    <col min="12549" max="12551" width="9" style="557"/>
    <col min="12552" max="12552" width="11.33203125" style="557" customWidth="1"/>
    <col min="12553" max="12800" width="9" style="557"/>
    <col min="12801" max="12801" width="9.75" style="557" customWidth="1"/>
    <col min="12802" max="12802" width="9" style="557"/>
    <col min="12803" max="12803" width="8.33203125" style="557" customWidth="1"/>
    <col min="12804" max="12804" width="9.08203125" style="557" bestFit="1" customWidth="1"/>
    <col min="12805" max="12807" width="9" style="557"/>
    <col min="12808" max="12808" width="11.33203125" style="557" customWidth="1"/>
    <col min="12809" max="13056" width="9" style="557"/>
    <col min="13057" max="13057" width="9.75" style="557" customWidth="1"/>
    <col min="13058" max="13058" width="9" style="557"/>
    <col min="13059" max="13059" width="8.33203125" style="557" customWidth="1"/>
    <col min="13060" max="13060" width="9.08203125" style="557" bestFit="1" customWidth="1"/>
    <col min="13061" max="13063" width="9" style="557"/>
    <col min="13064" max="13064" width="11.33203125" style="557" customWidth="1"/>
    <col min="13065" max="13312" width="9" style="557"/>
    <col min="13313" max="13313" width="9.75" style="557" customWidth="1"/>
    <col min="13314" max="13314" width="9" style="557"/>
    <col min="13315" max="13315" width="8.33203125" style="557" customWidth="1"/>
    <col min="13316" max="13316" width="9.08203125" style="557" bestFit="1" customWidth="1"/>
    <col min="13317" max="13319" width="9" style="557"/>
    <col min="13320" max="13320" width="11.33203125" style="557" customWidth="1"/>
    <col min="13321" max="13568" width="9" style="557"/>
    <col min="13569" max="13569" width="9.75" style="557" customWidth="1"/>
    <col min="13570" max="13570" width="9" style="557"/>
    <col min="13571" max="13571" width="8.33203125" style="557" customWidth="1"/>
    <col min="13572" max="13572" width="9.08203125" style="557" bestFit="1" customWidth="1"/>
    <col min="13573" max="13575" width="9" style="557"/>
    <col min="13576" max="13576" width="11.33203125" style="557" customWidth="1"/>
    <col min="13577" max="13824" width="9" style="557"/>
    <col min="13825" max="13825" width="9.75" style="557" customWidth="1"/>
    <col min="13826" max="13826" width="9" style="557"/>
    <col min="13827" max="13827" width="8.33203125" style="557" customWidth="1"/>
    <col min="13828" max="13828" width="9.08203125" style="557" bestFit="1" customWidth="1"/>
    <col min="13829" max="13831" width="9" style="557"/>
    <col min="13832" max="13832" width="11.33203125" style="557" customWidth="1"/>
    <col min="13833" max="14080" width="9" style="557"/>
    <col min="14081" max="14081" width="9.75" style="557" customWidth="1"/>
    <col min="14082" max="14082" width="9" style="557"/>
    <col min="14083" max="14083" width="8.33203125" style="557" customWidth="1"/>
    <col min="14084" max="14084" width="9.08203125" style="557" bestFit="1" customWidth="1"/>
    <col min="14085" max="14087" width="9" style="557"/>
    <col min="14088" max="14088" width="11.33203125" style="557" customWidth="1"/>
    <col min="14089" max="14336" width="9" style="557"/>
    <col min="14337" max="14337" width="9.75" style="557" customWidth="1"/>
    <col min="14338" max="14338" width="9" style="557"/>
    <col min="14339" max="14339" width="8.33203125" style="557" customWidth="1"/>
    <col min="14340" max="14340" width="9.08203125" style="557" bestFit="1" customWidth="1"/>
    <col min="14341" max="14343" width="9" style="557"/>
    <col min="14344" max="14344" width="11.33203125" style="557" customWidth="1"/>
    <col min="14345" max="14592" width="9" style="557"/>
    <col min="14593" max="14593" width="9.75" style="557" customWidth="1"/>
    <col min="14594" max="14594" width="9" style="557"/>
    <col min="14595" max="14595" width="8.33203125" style="557" customWidth="1"/>
    <col min="14596" max="14596" width="9.08203125" style="557" bestFit="1" customWidth="1"/>
    <col min="14597" max="14599" width="9" style="557"/>
    <col min="14600" max="14600" width="11.33203125" style="557" customWidth="1"/>
    <col min="14601" max="14848" width="9" style="557"/>
    <col min="14849" max="14849" width="9.75" style="557" customWidth="1"/>
    <col min="14850" max="14850" width="9" style="557"/>
    <col min="14851" max="14851" width="8.33203125" style="557" customWidth="1"/>
    <col min="14852" max="14852" width="9.08203125" style="557" bestFit="1" customWidth="1"/>
    <col min="14853" max="14855" width="9" style="557"/>
    <col min="14856" max="14856" width="11.33203125" style="557" customWidth="1"/>
    <col min="14857" max="15104" width="9" style="557"/>
    <col min="15105" max="15105" width="9.75" style="557" customWidth="1"/>
    <col min="15106" max="15106" width="9" style="557"/>
    <col min="15107" max="15107" width="8.33203125" style="557" customWidth="1"/>
    <col min="15108" max="15108" width="9.08203125" style="557" bestFit="1" customWidth="1"/>
    <col min="15109" max="15111" width="9" style="557"/>
    <col min="15112" max="15112" width="11.33203125" style="557" customWidth="1"/>
    <col min="15113" max="15360" width="9" style="557"/>
    <col min="15361" max="15361" width="9.75" style="557" customWidth="1"/>
    <col min="15362" max="15362" width="9" style="557"/>
    <col min="15363" max="15363" width="8.33203125" style="557" customWidth="1"/>
    <col min="15364" max="15364" width="9.08203125" style="557" bestFit="1" customWidth="1"/>
    <col min="15365" max="15367" width="9" style="557"/>
    <col min="15368" max="15368" width="11.33203125" style="557" customWidth="1"/>
    <col min="15369" max="15616" width="9" style="557"/>
    <col min="15617" max="15617" width="9.75" style="557" customWidth="1"/>
    <col min="15618" max="15618" width="9" style="557"/>
    <col min="15619" max="15619" width="8.33203125" style="557" customWidth="1"/>
    <col min="15620" max="15620" width="9.08203125" style="557" bestFit="1" customWidth="1"/>
    <col min="15621" max="15623" width="9" style="557"/>
    <col min="15624" max="15624" width="11.33203125" style="557" customWidth="1"/>
    <col min="15625" max="15872" width="9" style="557"/>
    <col min="15873" max="15873" width="9.75" style="557" customWidth="1"/>
    <col min="15874" max="15874" width="9" style="557"/>
    <col min="15875" max="15875" width="8.33203125" style="557" customWidth="1"/>
    <col min="15876" max="15876" width="9.08203125" style="557" bestFit="1" customWidth="1"/>
    <col min="15877" max="15879" width="9" style="557"/>
    <col min="15880" max="15880" width="11.33203125" style="557" customWidth="1"/>
    <col min="15881" max="16128" width="9" style="557"/>
    <col min="16129" max="16129" width="9.75" style="557" customWidth="1"/>
    <col min="16130" max="16130" width="9" style="557"/>
    <col min="16131" max="16131" width="8.33203125" style="557" customWidth="1"/>
    <col min="16132" max="16132" width="9.08203125" style="557" bestFit="1" customWidth="1"/>
    <col min="16133" max="16135" width="9" style="557"/>
    <col min="16136" max="16136" width="11.33203125" style="557" customWidth="1"/>
    <col min="16137" max="16384" width="9" style="557"/>
  </cols>
  <sheetData>
    <row r="1" spans="1:8" ht="16.5">
      <c r="D1" s="3059" t="s">
        <v>2874</v>
      </c>
      <c r="E1" s="3060"/>
      <c r="F1" s="3060"/>
      <c r="G1" s="3060"/>
      <c r="H1" s="3060"/>
    </row>
    <row r="2" spans="1:8">
      <c r="D2" s="3061" t="s">
        <v>2875</v>
      </c>
      <c r="E2" s="3058"/>
      <c r="F2" s="3058"/>
      <c r="G2" s="3058"/>
      <c r="H2" s="3058"/>
    </row>
    <row r="3" spans="1:8">
      <c r="D3" s="1405" t="s">
        <v>2904</v>
      </c>
      <c r="E3" s="1406"/>
      <c r="F3" s="1406"/>
      <c r="G3" s="1406"/>
      <c r="H3" s="1406"/>
    </row>
    <row r="4" spans="1:8">
      <c r="D4" s="1405" t="s">
        <v>2877</v>
      </c>
      <c r="E4" s="1406"/>
      <c r="F4" s="1406"/>
      <c r="G4" s="1406"/>
      <c r="H4" s="1406"/>
    </row>
    <row r="5" spans="1:8">
      <c r="D5" s="1407" t="s">
        <v>2878</v>
      </c>
      <c r="E5" s="1408"/>
      <c r="F5" s="1408"/>
      <c r="G5" s="1408"/>
      <c r="H5" s="1408"/>
    </row>
    <row r="6" spans="1:8">
      <c r="D6" s="1407" t="s">
        <v>2892</v>
      </c>
      <c r="E6" s="1408"/>
      <c r="F6" s="1408"/>
      <c r="G6" s="1408"/>
      <c r="H6" s="1408"/>
    </row>
    <row r="7" spans="1:8" ht="16.5">
      <c r="A7" s="1410" t="s">
        <v>2879</v>
      </c>
      <c r="B7" s="1410"/>
      <c r="C7" s="1410"/>
      <c r="D7" s="1410"/>
      <c r="E7" s="1410"/>
      <c r="F7" s="1410" t="s">
        <v>2880</v>
      </c>
      <c r="G7" s="1410"/>
      <c r="H7" s="1410"/>
    </row>
    <row r="8" spans="1:8" ht="16.5">
      <c r="A8" s="1410"/>
      <c r="B8" s="1410"/>
      <c r="C8" s="1410"/>
      <c r="D8" s="1410"/>
      <c r="E8" s="1410"/>
      <c r="F8" s="1410"/>
      <c r="G8" s="1410"/>
      <c r="H8" s="1410"/>
    </row>
    <row r="9" spans="1:8" ht="16.5">
      <c r="A9" s="1410" t="s">
        <v>2881</v>
      </c>
      <c r="B9" s="1410"/>
      <c r="C9" s="1410"/>
      <c r="D9" s="1411">
        <f>[2]计价表!M31</f>
        <v>0</v>
      </c>
      <c r="E9" s="1410" t="s">
        <v>2882</v>
      </c>
      <c r="F9" s="1410"/>
      <c r="G9" s="1410"/>
      <c r="H9" s="1410"/>
    </row>
    <row r="10" spans="1:8" ht="16">
      <c r="A10" s="1412" t="s">
        <v>69</v>
      </c>
      <c r="B10" s="1413">
        <f>HLOOKUP(A10,[2]计价表!$C$30:$AI$31,2,0)</f>
        <v>0</v>
      </c>
      <c r="C10" s="1412"/>
      <c r="D10" s="1412" t="s">
        <v>2905</v>
      </c>
      <c r="E10" s="1413" t="e">
        <f>HLOOKUP(D10,[2]计价表!$C$34:$H$38,5,0)</f>
        <v>#N/A</v>
      </c>
      <c r="F10" s="1412"/>
      <c r="G10" s="1412" t="s">
        <v>2906</v>
      </c>
      <c r="H10" s="1413">
        <f>HLOOKUP(G10,[2]计价表!$C$34:$H$38,5,0)</f>
        <v>0</v>
      </c>
    </row>
    <row r="11" spans="1:8" ht="16">
      <c r="A11" s="1412" t="s">
        <v>159</v>
      </c>
      <c r="B11" s="1413">
        <f>HLOOKUP(A11,[2]计价表!$C$30:$AI$31,2,0)</f>
        <v>0</v>
      </c>
      <c r="C11" s="1412"/>
      <c r="D11" s="1412" t="s">
        <v>2907</v>
      </c>
      <c r="E11" s="1413" t="e">
        <f>HLOOKUP(D11,[2]计价表!$C$34:$H$38,5,0)</f>
        <v>#N/A</v>
      </c>
      <c r="F11" s="1412"/>
      <c r="G11" s="1412" t="s">
        <v>2908</v>
      </c>
      <c r="H11" s="1413">
        <f>HLOOKUP(G11,[2]计价表!$C$34:$H$38,5,0)</f>
        <v>0</v>
      </c>
    </row>
    <row r="12" spans="1:8" ht="16">
      <c r="A12" s="1412" t="s">
        <v>160</v>
      </c>
      <c r="B12" s="1413">
        <f>HLOOKUP(A12,[2]计价表!$C$30:$AI$31,2,0)</f>
        <v>0</v>
      </c>
      <c r="C12" s="1412"/>
      <c r="D12" s="1412" t="s">
        <v>2909</v>
      </c>
      <c r="E12" s="1413" t="e">
        <f>HLOOKUP(D12,[2]计价表!$C$34:$H$38,5,0)</f>
        <v>#N/A</v>
      </c>
      <c r="F12" s="1412"/>
      <c r="G12" s="1412" t="s">
        <v>2910</v>
      </c>
      <c r="H12" s="1413">
        <f>HLOOKUP(G12,[2]计价表!$C$34:$H$38,5,0)</f>
        <v>0</v>
      </c>
    </row>
    <row r="13" spans="1:8" ht="16">
      <c r="A13" s="1412" t="s">
        <v>65</v>
      </c>
      <c r="B13" s="1413">
        <f>HLOOKUP(A13,[2]计价表!$C$30:$AI$31,2,0)</f>
        <v>0</v>
      </c>
      <c r="C13" s="1412"/>
      <c r="D13" s="1412" t="s">
        <v>2911</v>
      </c>
      <c r="E13" s="1413" t="e">
        <f>HLOOKUP(D13,[2]计价表!$C$34:$H$38,5,0)</f>
        <v>#N/A</v>
      </c>
      <c r="F13" s="1412"/>
      <c r="G13" s="1412" t="s">
        <v>2912</v>
      </c>
      <c r="H13" s="1413">
        <f>HLOOKUP(G13,[2]计价表!$C$34:$H$38,5,0)</f>
        <v>0</v>
      </c>
    </row>
    <row r="14" spans="1:8" ht="16">
      <c r="A14" s="1412" t="s">
        <v>2913</v>
      </c>
      <c r="B14" s="1413">
        <f>HLOOKUP(A14,[2]计价表!$C$30:$AI$31,2,0)</f>
        <v>0</v>
      </c>
      <c r="C14" s="1412"/>
      <c r="D14" s="1412" t="s">
        <v>66</v>
      </c>
      <c r="E14" s="1413" t="e">
        <f>HLOOKUP(D14,[2]计价表!$C$34:$H$38,5,0)</f>
        <v>#N/A</v>
      </c>
      <c r="F14" s="1412"/>
      <c r="G14" s="1412" t="s">
        <v>2914</v>
      </c>
      <c r="H14" s="1413">
        <f>HLOOKUP(G14,[2]计价表!$C$34:$H$38,5,0)</f>
        <v>0</v>
      </c>
    </row>
    <row r="15" spans="1:8" ht="16">
      <c r="A15" s="1412" t="s">
        <v>2915</v>
      </c>
      <c r="B15" s="1413">
        <f>HLOOKUP(A15,[2]计价表!$C$30:$AI$31,2,0)</f>
        <v>0</v>
      </c>
      <c r="C15" s="1412"/>
      <c r="D15" s="1412" t="s">
        <v>67</v>
      </c>
      <c r="E15" s="1413" t="e">
        <f>HLOOKUP(D15,[2]计价表!$C$34:$H$38,5,0)</f>
        <v>#N/A</v>
      </c>
      <c r="F15" s="1412"/>
      <c r="G15" s="1412" t="s">
        <v>2916</v>
      </c>
      <c r="H15" s="1413" t="e">
        <f>HLOOKUP(G15,[2]计价表!$C$34:$H$38,5,0)</f>
        <v>#N/A</v>
      </c>
    </row>
    <row r="16" spans="1:8" ht="16.5" customHeight="1">
      <c r="A16" s="1412" t="s">
        <v>2917</v>
      </c>
      <c r="B16" s="1412"/>
      <c r="C16" s="1412"/>
      <c r="D16" s="1412"/>
      <c r="E16" s="1412"/>
      <c r="F16" s="1412"/>
      <c r="G16" s="1412"/>
      <c r="H16" s="1412"/>
    </row>
    <row r="17" spans="1:8" ht="16">
      <c r="A17" s="1412" t="s">
        <v>2918</v>
      </c>
      <c r="B17" s="1413"/>
      <c r="C17" s="1413">
        <f>HLOOKUP(A17,[2]计价表!$C$34:$H$38,5,0)</f>
        <v>0</v>
      </c>
      <c r="D17" s="1412"/>
      <c r="E17" s="1412"/>
      <c r="F17" s="1412"/>
      <c r="G17" s="1412"/>
      <c r="H17" s="1412"/>
    </row>
    <row r="18" spans="1:8" ht="16">
      <c r="A18" s="1412" t="s">
        <v>2919</v>
      </c>
      <c r="B18" s="1413"/>
      <c r="C18" s="1413" t="e">
        <f>HLOOKUP(A18,[2]计价表!$C$34:$H$38,5,0)</f>
        <v>#N/A</v>
      </c>
      <c r="D18" s="1412"/>
      <c r="E18" s="1412"/>
      <c r="F18" s="1412"/>
      <c r="G18" s="1412"/>
      <c r="H18" s="1412"/>
    </row>
    <row r="19" spans="1:8" ht="16.5">
      <c r="A19" s="1410"/>
      <c r="B19" s="1410"/>
      <c r="C19" s="1410"/>
      <c r="D19" s="1410"/>
      <c r="E19" s="1410"/>
      <c r="F19" s="1410"/>
      <c r="G19" s="1410"/>
      <c r="H19" s="1410"/>
    </row>
    <row r="20" spans="1:8" ht="16.5">
      <c r="A20" s="1410" t="s">
        <v>2886</v>
      </c>
      <c r="B20" s="1410"/>
      <c r="C20" s="1410"/>
      <c r="D20" s="1410"/>
      <c r="E20" s="1410"/>
      <c r="F20" s="1410"/>
      <c r="G20" s="1410"/>
      <c r="H20" s="1410"/>
    </row>
    <row r="21" spans="1:8" ht="16">
      <c r="A21" s="1414" t="str">
        <f>[2]计价表!A2</f>
        <v>D1</v>
      </c>
      <c r="B21" s="1412">
        <f>VLOOKUP(A21,[2]计价表!$A$2:$D$21,2,0)</f>
        <v>0</v>
      </c>
      <c r="C21" s="1412">
        <f>VLOOKUP(A21,[2]计价表!$A$2:$D$21,3,0)</f>
        <v>0</v>
      </c>
      <c r="D21" s="1412"/>
      <c r="E21" s="1414" t="str">
        <f>[2]计价表!A14</f>
        <v>D13</v>
      </c>
      <c r="F21" s="1412">
        <f>VLOOKUP(E21,[2]计价表!$A$2:$D$21,2,0)</f>
        <v>0</v>
      </c>
      <c r="G21" s="1412">
        <f>VLOOKUP(E21,[2]计价表!$A$2:$D$21,3,0)</f>
        <v>0</v>
      </c>
      <c r="H21" s="1412"/>
    </row>
    <row r="22" spans="1:8" ht="16">
      <c r="A22" s="1414" t="str">
        <f>[2]计价表!A3</f>
        <v>D2</v>
      </c>
      <c r="B22" s="1412">
        <f>VLOOKUP(A22,[2]计价表!$A$2:$D$21,2,0)</f>
        <v>0</v>
      </c>
      <c r="C22" s="1412">
        <f>VLOOKUP(A22,[2]计价表!$A$2:$D$21,3,0)</f>
        <v>0</v>
      </c>
      <c r="D22" s="1412"/>
      <c r="E22" s="1414" t="str">
        <f>[2]计价表!A15</f>
        <v>D14</v>
      </c>
      <c r="F22" s="1412">
        <f>VLOOKUP(E22,[2]计价表!$A$2:$D$21,2,0)</f>
        <v>0</v>
      </c>
      <c r="G22" s="1412">
        <f>VLOOKUP(E22,[2]计价表!$A$2:$D$21,3,0)</f>
        <v>0</v>
      </c>
      <c r="H22" s="1412"/>
    </row>
    <row r="23" spans="1:8" ht="16">
      <c r="A23" s="1414" t="str">
        <f>[2]计价表!A4</f>
        <v>D3</v>
      </c>
      <c r="B23" s="1412">
        <f>VLOOKUP(A23,[2]计价表!$A$2:$D$21,2,0)</f>
        <v>0</v>
      </c>
      <c r="C23" s="1412">
        <f>VLOOKUP(A23,[2]计价表!$A$2:$D$21,3,0)</f>
        <v>0</v>
      </c>
      <c r="D23" s="1412"/>
      <c r="E23" s="1414" t="str">
        <f>[2]计价表!A16</f>
        <v>D15</v>
      </c>
      <c r="F23" s="1412">
        <f>VLOOKUP(E23,[2]计价表!$A$2:$D$21,2,0)</f>
        <v>0</v>
      </c>
      <c r="G23" s="1412">
        <f>VLOOKUP(E23,[2]计价表!$A$2:$D$21,3,0)</f>
        <v>0</v>
      </c>
      <c r="H23" s="1412"/>
    </row>
    <row r="24" spans="1:8" ht="16">
      <c r="A24" s="1414" t="str">
        <f>[2]计价表!A5</f>
        <v>D4</v>
      </c>
      <c r="B24" s="1412">
        <f>VLOOKUP(A24,[2]计价表!$A$2:$D$21,2,0)</f>
        <v>0</v>
      </c>
      <c r="C24" s="1412">
        <f>VLOOKUP(A24,[2]计价表!$A$2:$D$21,3,0)</f>
        <v>0</v>
      </c>
      <c r="D24" s="1412"/>
      <c r="E24" s="1414" t="str">
        <f>[2]计价表!A17</f>
        <v>D16</v>
      </c>
      <c r="F24" s="1412" t="str">
        <f>VLOOKUP(E24,[2]计价表!$A$2:$D$21,2,0)</f>
        <v xml:space="preserve">    </v>
      </c>
      <c r="G24" s="1412" t="str">
        <f>VLOOKUP(E24,[2]计价表!$A$2:$D$21,3,0)</f>
        <v xml:space="preserve"> </v>
      </c>
      <c r="H24" s="1412"/>
    </row>
    <row r="25" spans="1:8" ht="16">
      <c r="A25" s="1414" t="str">
        <f>[2]计价表!A6</f>
        <v>D5</v>
      </c>
      <c r="B25" s="1412">
        <f>VLOOKUP(A25,[2]计价表!$A$2:$D$21,2,0)</f>
        <v>0</v>
      </c>
      <c r="C25" s="1412">
        <f>VLOOKUP(A25,[2]计价表!$A$2:$D$21,3,0)</f>
        <v>0</v>
      </c>
      <c r="D25" s="1412"/>
      <c r="E25" s="1414" t="str">
        <f>[2]计价表!A18</f>
        <v>D17</v>
      </c>
      <c r="F25" s="1412" t="str">
        <f>VLOOKUP(E25,[2]计价表!$A$2:$D$21,2,0)</f>
        <v xml:space="preserve"> </v>
      </c>
      <c r="G25" s="1412" t="str">
        <f>VLOOKUP(E25,[2]计价表!$A$2:$D$21,3,0)</f>
        <v xml:space="preserve"> </v>
      </c>
      <c r="H25" s="1412"/>
    </row>
    <row r="26" spans="1:8" ht="16">
      <c r="A26" s="1414" t="str">
        <f>[2]计价表!A7</f>
        <v>D6</v>
      </c>
      <c r="B26" s="1412">
        <f>VLOOKUP(A26,[2]计价表!$A$2:$D$21,2,0)</f>
        <v>0</v>
      </c>
      <c r="C26" s="1412">
        <f>VLOOKUP(A26,[2]计价表!$A$2:$D$21,3,0)</f>
        <v>0</v>
      </c>
      <c r="D26" s="1412"/>
      <c r="E26" s="1414" t="str">
        <f>[2]计价表!A19</f>
        <v>D18</v>
      </c>
      <c r="F26" s="1412" t="str">
        <f>VLOOKUP(E26,[2]计价表!$A$2:$D$21,2,0)</f>
        <v xml:space="preserve"> </v>
      </c>
      <c r="G26" s="1412" t="str">
        <f>VLOOKUP(E26,[2]计价表!$A$2:$D$21,3,0)</f>
        <v xml:space="preserve"> </v>
      </c>
      <c r="H26" s="1412"/>
    </row>
    <row r="27" spans="1:8" ht="16">
      <c r="A27" s="1414" t="str">
        <f>[2]计价表!A8</f>
        <v>D7</v>
      </c>
      <c r="B27" s="1412">
        <f>VLOOKUP(A27,[2]计价表!$A$2:$D$21,2,0)</f>
        <v>0</v>
      </c>
      <c r="C27" s="1412">
        <f>VLOOKUP(A27,[2]计价表!$A$2:$D$21,3,0)</f>
        <v>0</v>
      </c>
      <c r="D27" s="1412"/>
      <c r="E27" s="1414" t="str">
        <f>[2]计价表!A20</f>
        <v>D19</v>
      </c>
      <c r="F27" s="1412" t="str">
        <f>VLOOKUP(E27,[2]计价表!$A$2:$D$21,2,0)</f>
        <v xml:space="preserve"> </v>
      </c>
      <c r="G27" s="1412" t="str">
        <f>VLOOKUP(E27,[2]计价表!$A$2:$D$21,3,0)</f>
        <v xml:space="preserve"> </v>
      </c>
      <c r="H27" s="1412"/>
    </row>
    <row r="28" spans="1:8" ht="16">
      <c r="A28" s="1414" t="str">
        <f>[2]计价表!A9</f>
        <v>D8</v>
      </c>
      <c r="B28" s="1412">
        <f>VLOOKUP(A28,[2]计价表!$A$2:$D$21,2,0)</f>
        <v>0</v>
      </c>
      <c r="C28" s="1412">
        <f>VLOOKUP(A28,[2]计价表!$A$2:$D$21,3,0)</f>
        <v>0</v>
      </c>
      <c r="D28" s="1412"/>
      <c r="E28" s="1414" t="str">
        <f>[2]计价表!A21</f>
        <v>D20</v>
      </c>
      <c r="F28" s="1412" t="str">
        <f>VLOOKUP(E28,[2]计价表!$A$2:$D$21,2,0)</f>
        <v xml:space="preserve"> </v>
      </c>
      <c r="G28" s="1412" t="str">
        <f>VLOOKUP(E28,[2]计价表!$A$2:$D$21,3,0)</f>
        <v xml:space="preserve"> </v>
      </c>
      <c r="H28" s="1412"/>
    </row>
    <row r="29" spans="1:8" ht="16">
      <c r="A29" s="1414" t="str">
        <f>[2]计价表!A10</f>
        <v>D9</v>
      </c>
      <c r="B29" s="1412">
        <f>VLOOKUP(A29,[2]计价表!$A$2:$D$21,2,0)</f>
        <v>0</v>
      </c>
      <c r="C29" s="1412">
        <f>VLOOKUP(A29,[2]计价表!$A$2:$D$21,3,0)</f>
        <v>0</v>
      </c>
      <c r="D29" s="1412"/>
      <c r="E29" s="1414"/>
      <c r="F29" s="1412"/>
      <c r="G29" s="1412"/>
      <c r="H29" s="1412"/>
    </row>
    <row r="30" spans="1:8" ht="16">
      <c r="A30" s="1414" t="str">
        <f>[2]计价表!A11</f>
        <v>D10</v>
      </c>
      <c r="B30" s="1412">
        <f>VLOOKUP(A30,[2]计价表!$A$2:$D$21,2,0)</f>
        <v>0</v>
      </c>
      <c r="C30" s="1412">
        <f>VLOOKUP(A30,[2]计价表!$A$2:$D$21,3,0)</f>
        <v>0</v>
      </c>
      <c r="D30" s="1412"/>
      <c r="E30" s="1412"/>
      <c r="F30" s="1412"/>
      <c r="G30" s="1412"/>
      <c r="H30" s="1412"/>
    </row>
    <row r="31" spans="1:8" ht="16">
      <c r="A31" s="1414" t="str">
        <f>[2]计价表!A12</f>
        <v>D11</v>
      </c>
      <c r="B31" s="1412">
        <f>VLOOKUP(A31,[2]计价表!$A$2:$D$21,2,0)</f>
        <v>0</v>
      </c>
      <c r="C31" s="1412">
        <f>VLOOKUP(A31,[2]计价表!$A$2:$D$21,3,0)</f>
        <v>0</v>
      </c>
      <c r="D31" s="1412"/>
      <c r="E31" s="1412"/>
      <c r="F31" s="1412"/>
      <c r="G31" s="1412"/>
      <c r="H31" s="1412"/>
    </row>
    <row r="32" spans="1:8" ht="16">
      <c r="A32" s="1414" t="str">
        <f>[2]计价表!A13</f>
        <v>D12</v>
      </c>
      <c r="B32" s="1412">
        <f>VLOOKUP(A32,[2]计价表!$A$2:$D$21,2,0)</f>
        <v>0</v>
      </c>
      <c r="C32" s="1412">
        <f>VLOOKUP(A32,[2]计价表!$A$2:$D$21,3,0)</f>
        <v>0</v>
      </c>
      <c r="D32" s="1412"/>
      <c r="E32" s="1412"/>
      <c r="F32" s="1412"/>
      <c r="G32" s="1412"/>
      <c r="H32" s="1412"/>
    </row>
    <row r="33" spans="1:8" ht="16.5">
      <c r="C33" s="1410"/>
      <c r="D33" s="1410"/>
      <c r="E33" s="1410"/>
      <c r="F33" s="1410"/>
      <c r="G33" s="1410"/>
      <c r="H33" s="1410"/>
    </row>
    <row r="34" spans="1:8" ht="16.5">
      <c r="A34" s="1410" t="s">
        <v>2887</v>
      </c>
      <c r="B34" s="1415"/>
      <c r="C34" s="1410"/>
      <c r="D34" s="1410"/>
      <c r="E34" s="1410"/>
      <c r="F34" s="1410"/>
      <c r="G34" s="1410"/>
      <c r="H34" s="1410"/>
    </row>
    <row r="35" spans="1:8" ht="17.25" customHeight="1">
      <c r="A35" s="3062" t="s">
        <v>2920</v>
      </c>
      <c r="B35" s="3062"/>
      <c r="C35" s="3062"/>
      <c r="D35" s="3062"/>
      <c r="E35" s="3062"/>
      <c r="F35" s="3062"/>
      <c r="G35" s="3062"/>
      <c r="H35" s="3062"/>
    </row>
    <row r="36" spans="1:8" ht="17.25" customHeight="1">
      <c r="A36" s="3062" t="s">
        <v>2921</v>
      </c>
      <c r="B36" s="3062"/>
      <c r="C36" s="3062"/>
      <c r="D36" s="3062"/>
      <c r="E36" s="3062"/>
      <c r="F36" s="3062"/>
      <c r="G36" s="3062"/>
      <c r="H36" s="3062"/>
    </row>
    <row r="37" spans="1:8" ht="17.25" customHeight="1">
      <c r="A37" s="3062" t="s">
        <v>2922</v>
      </c>
      <c r="B37" s="3062"/>
      <c r="C37" s="3062"/>
      <c r="D37" s="3062"/>
      <c r="E37" s="3062"/>
      <c r="F37" s="3062"/>
      <c r="G37" s="3062"/>
      <c r="H37" s="3062"/>
    </row>
    <row r="38" spans="1:8" ht="17.25" customHeight="1">
      <c r="A38" s="3062" t="s">
        <v>2923</v>
      </c>
      <c r="B38" s="3062"/>
      <c r="C38" s="3062"/>
      <c r="D38" s="3062"/>
      <c r="E38" s="3062"/>
      <c r="F38" s="3062"/>
      <c r="G38" s="3062"/>
      <c r="H38" s="3062"/>
    </row>
    <row r="39" spans="1:8" ht="17.25" customHeight="1">
      <c r="A39" s="3062" t="s">
        <v>2924</v>
      </c>
      <c r="B39" s="3062"/>
      <c r="C39" s="3062"/>
      <c r="D39" s="3062"/>
      <c r="E39" s="3062"/>
      <c r="F39" s="3062"/>
      <c r="G39" s="3062"/>
      <c r="H39" s="3062"/>
    </row>
    <row r="40" spans="1:8" ht="17.25" customHeight="1">
      <c r="A40" s="3062" t="s">
        <v>2925</v>
      </c>
      <c r="B40" s="3062"/>
      <c r="C40" s="3062"/>
      <c r="D40" s="3062"/>
      <c r="E40" s="3062"/>
      <c r="F40" s="3062"/>
      <c r="G40" s="3062"/>
      <c r="H40" s="3062"/>
    </row>
    <row r="41" spans="1:8" ht="17.25" customHeight="1">
      <c r="A41" s="3062" t="s">
        <v>2926</v>
      </c>
      <c r="B41" s="3062"/>
      <c r="C41" s="3062"/>
      <c r="D41" s="3062"/>
      <c r="E41" s="3062"/>
      <c r="F41" s="3062"/>
      <c r="G41" s="3062"/>
      <c r="H41" s="3062"/>
    </row>
    <row r="42" spans="1:8" ht="17.25" customHeight="1">
      <c r="A42" s="3063" t="s">
        <v>2927</v>
      </c>
      <c r="B42" s="3063"/>
      <c r="C42" s="3063"/>
      <c r="D42" s="3063"/>
      <c r="E42" s="3063"/>
      <c r="F42" s="3063"/>
      <c r="G42" s="3063"/>
      <c r="H42" s="3063"/>
    </row>
    <row r="43" spans="1:8" ht="17.25" customHeight="1">
      <c r="A43" s="3063" t="s">
        <v>2928</v>
      </c>
      <c r="B43" s="3063"/>
      <c r="C43" s="3063"/>
      <c r="D43" s="3063"/>
      <c r="E43" s="3063"/>
      <c r="F43" s="3063"/>
      <c r="G43" s="3063"/>
      <c r="H43" s="3063"/>
    </row>
    <row r="44" spans="1:8" ht="16.5">
      <c r="A44" s="3057" t="s">
        <v>2895</v>
      </c>
      <c r="B44" s="3058"/>
      <c r="C44" s="3058"/>
      <c r="D44" s="3058"/>
      <c r="E44" s="3058"/>
      <c r="F44" s="3058"/>
      <c r="G44" s="3058"/>
      <c r="H44" s="3058"/>
    </row>
    <row r="45" spans="1:8" ht="16">
      <c r="A45" s="3062" t="s">
        <v>2896</v>
      </c>
      <c r="B45" s="3062"/>
      <c r="C45" s="3062"/>
      <c r="D45" s="3062"/>
      <c r="E45" s="3062"/>
      <c r="F45" s="3062"/>
      <c r="G45" s="3062"/>
      <c r="H45" s="3062"/>
    </row>
    <row r="46" spans="1:8" ht="16">
      <c r="A46" s="3062" t="s">
        <v>2897</v>
      </c>
      <c r="B46" s="3062"/>
      <c r="C46" s="3062"/>
      <c r="D46" s="3062"/>
      <c r="E46" s="3062"/>
      <c r="F46" s="3062"/>
      <c r="G46" s="3062"/>
      <c r="H46" s="3062"/>
    </row>
    <row r="47" spans="1:8" ht="16">
      <c r="A47" s="3062" t="s">
        <v>2898</v>
      </c>
      <c r="B47" s="3062"/>
      <c r="C47" s="3062"/>
      <c r="D47" s="3062"/>
      <c r="E47" s="3062"/>
      <c r="F47" s="3062"/>
      <c r="G47" s="3062"/>
      <c r="H47" s="3062"/>
    </row>
    <row r="48" spans="1:8" ht="34.5" customHeight="1">
      <c r="A48" s="3062" t="s">
        <v>2899</v>
      </c>
      <c r="B48" s="3062"/>
      <c r="C48" s="3062"/>
      <c r="D48" s="3062"/>
      <c r="E48" s="3062"/>
      <c r="F48" s="3062"/>
      <c r="G48" s="3062"/>
      <c r="H48" s="3062"/>
    </row>
    <row r="49" spans="1:8" ht="16">
      <c r="A49" s="3062" t="s">
        <v>2900</v>
      </c>
      <c r="B49" s="3062"/>
      <c r="C49" s="3062"/>
      <c r="D49" s="3062"/>
      <c r="E49" s="3062"/>
      <c r="F49" s="3062"/>
      <c r="G49" s="3062"/>
      <c r="H49" s="3062"/>
    </row>
    <row r="50" spans="1:8" ht="16">
      <c r="A50" s="3062" t="s">
        <v>2901</v>
      </c>
      <c r="B50" s="3062"/>
      <c r="C50" s="3062"/>
      <c r="D50" s="3062"/>
      <c r="E50" s="3062"/>
      <c r="F50" s="3062"/>
      <c r="G50" s="3062"/>
      <c r="H50" s="3062"/>
    </row>
    <row r="51" spans="1:8" ht="32.25" customHeight="1">
      <c r="A51" s="3062" t="s">
        <v>2902</v>
      </c>
      <c r="B51" s="3062"/>
      <c r="C51" s="3062"/>
      <c r="D51" s="3062"/>
      <c r="E51" s="3062"/>
      <c r="F51" s="3062"/>
      <c r="G51" s="3062"/>
      <c r="H51" s="3062"/>
    </row>
    <row r="52" spans="1:8" ht="16.5">
      <c r="A52" s="1410"/>
      <c r="B52" s="1410"/>
      <c r="C52" s="1410"/>
      <c r="D52" s="1410"/>
      <c r="E52" s="1410"/>
    </row>
    <row r="53" spans="1:8" ht="16.5">
      <c r="A53" s="1410"/>
      <c r="B53" s="1410"/>
      <c r="C53" s="1410"/>
      <c r="D53" s="1410"/>
      <c r="E53" s="1410"/>
    </row>
    <row r="54" spans="1:8" ht="16.5">
      <c r="A54" s="1410"/>
      <c r="B54" s="1410"/>
      <c r="C54" s="1410"/>
      <c r="D54" s="1410"/>
      <c r="E54" s="1410"/>
      <c r="F54" s="1410" t="s">
        <v>2929</v>
      </c>
      <c r="G54" s="1410"/>
      <c r="H54" s="1410"/>
    </row>
    <row r="55" spans="1:8" ht="16.5">
      <c r="A55" s="1410"/>
      <c r="B55" s="1410"/>
      <c r="C55" s="1410"/>
      <c r="D55" s="1410"/>
      <c r="E55" s="1410"/>
      <c r="F55" s="1410"/>
      <c r="G55" s="1410"/>
      <c r="H55" s="1410"/>
    </row>
    <row r="56" spans="1:8" ht="16.5">
      <c r="A56" s="1410"/>
      <c r="B56" s="1410"/>
      <c r="C56" s="1410"/>
      <c r="D56" s="1410"/>
      <c r="E56" s="1410"/>
      <c r="F56" s="1410"/>
      <c r="G56" s="1410"/>
      <c r="H56" s="1410"/>
    </row>
    <row r="57" spans="1:8" ht="16.5">
      <c r="A57" s="1410"/>
      <c r="B57" s="1410"/>
      <c r="C57" s="1410"/>
      <c r="D57" s="1410"/>
      <c r="E57" s="1410"/>
      <c r="F57" s="1417" t="s">
        <v>2903</v>
      </c>
      <c r="G57" s="1417"/>
      <c r="H57" s="1410"/>
    </row>
    <row r="58" spans="1:8" ht="16.5">
      <c r="A58" s="1410"/>
      <c r="B58" s="1410"/>
      <c r="C58" s="1410"/>
      <c r="D58" s="1410"/>
      <c r="E58" s="1410"/>
      <c r="F58" s="1410"/>
      <c r="G58" s="1410"/>
      <c r="H58" s="1410"/>
    </row>
    <row r="59" spans="1:8" ht="16.5">
      <c r="A59" s="1410"/>
      <c r="B59" s="1410"/>
      <c r="C59" s="1410"/>
      <c r="D59" s="1410"/>
      <c r="E59" s="1410"/>
      <c r="F59" s="1410"/>
      <c r="G59" s="1410"/>
      <c r="H59" s="1410"/>
    </row>
    <row r="60" spans="1:8" ht="16.5">
      <c r="A60" s="1410"/>
      <c r="B60" s="1410"/>
      <c r="C60" s="1410"/>
      <c r="D60" s="1410"/>
      <c r="E60" s="1410"/>
      <c r="F60" s="1410"/>
      <c r="G60" s="1410"/>
      <c r="H60" s="1410"/>
    </row>
    <row r="61" spans="1:8" ht="16.5">
      <c r="A61" s="1410"/>
      <c r="B61" s="1410"/>
      <c r="C61" s="1410"/>
      <c r="D61" s="1410"/>
      <c r="E61" s="1410"/>
      <c r="F61" s="1410"/>
      <c r="G61" s="1410"/>
      <c r="H61" s="1410"/>
    </row>
    <row r="62" spans="1:8" ht="16.5">
      <c r="A62" s="1410"/>
      <c r="B62" s="1410"/>
      <c r="C62" s="1410"/>
      <c r="D62" s="1410"/>
      <c r="E62" s="1410"/>
      <c r="F62" s="1410"/>
      <c r="G62" s="1410"/>
      <c r="H62" s="1410"/>
    </row>
    <row r="63" spans="1:8" ht="16.5">
      <c r="A63" s="1410"/>
      <c r="B63" s="1410"/>
      <c r="C63" s="1410"/>
      <c r="D63" s="1410"/>
      <c r="E63" s="1410"/>
      <c r="F63" s="1410"/>
      <c r="G63" s="1410"/>
      <c r="H63" s="1410"/>
    </row>
    <row r="64" spans="1:8" ht="16.5">
      <c r="A64" s="1410"/>
      <c r="B64" s="1410"/>
      <c r="C64" s="1410"/>
      <c r="D64" s="1410"/>
      <c r="E64" s="1410"/>
      <c r="F64" s="1410"/>
      <c r="G64" s="1410"/>
      <c r="H64" s="1410"/>
    </row>
    <row r="65" spans="1:8" ht="16.5">
      <c r="A65" s="1410"/>
      <c r="B65" s="1410"/>
      <c r="C65" s="1410"/>
      <c r="D65" s="1410"/>
      <c r="E65" s="1410"/>
      <c r="F65" s="1410"/>
      <c r="G65" s="1410"/>
      <c r="H65" s="1410"/>
    </row>
    <row r="66" spans="1:8" ht="16.5">
      <c r="A66" s="1410"/>
      <c r="B66" s="1410"/>
      <c r="C66" s="1410"/>
      <c r="D66" s="1410"/>
      <c r="E66" s="1410"/>
      <c r="F66" s="1410"/>
      <c r="G66" s="1410"/>
      <c r="H66" s="1410"/>
    </row>
    <row r="67" spans="1:8" ht="16.5">
      <c r="A67" s="1410"/>
      <c r="B67" s="1410"/>
      <c r="C67" s="1410"/>
      <c r="D67" s="1410"/>
      <c r="E67" s="1410"/>
      <c r="F67" s="1410"/>
      <c r="G67" s="1410"/>
      <c r="H67" s="1410"/>
    </row>
    <row r="68" spans="1:8" ht="16.5">
      <c r="A68" s="1410"/>
      <c r="B68" s="1410"/>
      <c r="C68" s="1410"/>
      <c r="D68" s="1410"/>
      <c r="E68" s="1410"/>
      <c r="F68" s="1410"/>
      <c r="G68" s="1410"/>
      <c r="H68" s="1410"/>
    </row>
    <row r="69" spans="1:8" ht="16.5">
      <c r="A69" s="1410"/>
      <c r="B69" s="1410"/>
      <c r="C69" s="1410"/>
      <c r="D69" s="1410"/>
      <c r="E69" s="1410"/>
      <c r="F69" s="1410"/>
      <c r="G69" s="1410"/>
      <c r="H69" s="1410"/>
    </row>
    <row r="70" spans="1:8" ht="16.5">
      <c r="A70" s="1410"/>
      <c r="B70" s="1410"/>
      <c r="C70" s="1410"/>
      <c r="D70" s="1410"/>
      <c r="E70" s="1410"/>
      <c r="F70" s="1410"/>
      <c r="G70" s="1410"/>
      <c r="H70" s="1410"/>
    </row>
    <row r="71" spans="1:8" ht="16.5">
      <c r="A71" s="1410"/>
      <c r="B71" s="1410"/>
      <c r="C71" s="1410"/>
      <c r="D71" s="1410"/>
      <c r="E71" s="1410"/>
      <c r="F71" s="1410"/>
      <c r="G71" s="1410"/>
      <c r="H71" s="1410"/>
    </row>
    <row r="72" spans="1:8" ht="16.5">
      <c r="A72" s="1410"/>
      <c r="B72" s="1410"/>
      <c r="C72" s="1410"/>
      <c r="D72" s="1410"/>
      <c r="E72" s="1410"/>
      <c r="F72" s="1410"/>
      <c r="G72" s="1410"/>
      <c r="H72" s="1410"/>
    </row>
    <row r="73" spans="1:8" ht="16.5">
      <c r="A73" s="1410"/>
      <c r="B73" s="1410"/>
      <c r="C73" s="1410"/>
      <c r="D73" s="1410"/>
      <c r="E73" s="1410"/>
      <c r="F73" s="1410"/>
      <c r="G73" s="1410"/>
      <c r="H73" s="1410"/>
    </row>
    <row r="74" spans="1:8" ht="16.5">
      <c r="A74" s="1410"/>
      <c r="B74" s="1410"/>
      <c r="C74" s="1410"/>
      <c r="D74" s="1410"/>
      <c r="E74" s="1410"/>
      <c r="F74" s="1410"/>
      <c r="G74" s="1410"/>
      <c r="H74" s="1410"/>
    </row>
    <row r="75" spans="1:8" ht="16.5">
      <c r="A75" s="1410"/>
      <c r="B75" s="1410"/>
      <c r="C75" s="1410"/>
      <c r="D75" s="1410"/>
      <c r="E75" s="1410"/>
      <c r="F75" s="1410"/>
      <c r="G75" s="1410"/>
      <c r="H75" s="1410"/>
    </row>
    <row r="76" spans="1:8" ht="16.5">
      <c r="A76" s="1410"/>
      <c r="B76" s="1410"/>
      <c r="C76" s="1410"/>
      <c r="D76" s="1410"/>
      <c r="E76" s="1410"/>
      <c r="F76" s="1410"/>
      <c r="G76" s="1410"/>
      <c r="H76" s="1410"/>
    </row>
    <row r="77" spans="1:8" ht="16.5">
      <c r="A77" s="1410"/>
      <c r="B77" s="1410"/>
      <c r="C77" s="1410"/>
      <c r="D77" s="1410"/>
      <c r="E77" s="1410"/>
      <c r="F77" s="1410"/>
      <c r="G77" s="1410"/>
      <c r="H77" s="1410"/>
    </row>
    <row r="78" spans="1:8" ht="16.5">
      <c r="A78" s="1410"/>
      <c r="B78" s="1410"/>
      <c r="C78" s="1410"/>
      <c r="D78" s="1410"/>
      <c r="E78" s="1410"/>
      <c r="F78" s="1410"/>
      <c r="G78" s="1410"/>
      <c r="H78" s="1410"/>
    </row>
    <row r="79" spans="1:8" ht="16.5">
      <c r="A79" s="1410"/>
      <c r="B79" s="1410"/>
      <c r="C79" s="1410"/>
      <c r="D79" s="1410"/>
      <c r="E79" s="1410"/>
      <c r="F79" s="1410"/>
      <c r="G79" s="1410"/>
      <c r="H79" s="1410"/>
    </row>
    <row r="80" spans="1:8" ht="16.5">
      <c r="A80" s="1410"/>
      <c r="B80" s="1410"/>
      <c r="C80" s="1410"/>
      <c r="D80" s="1410"/>
      <c r="E80" s="1410"/>
      <c r="F80" s="1410"/>
      <c r="G80" s="1410"/>
      <c r="H80" s="1410"/>
    </row>
    <row r="81" spans="1:8" ht="16.5">
      <c r="A81" s="1410"/>
      <c r="B81" s="1410"/>
      <c r="C81" s="1410"/>
      <c r="D81" s="1410"/>
      <c r="E81" s="1410"/>
      <c r="F81" s="1410"/>
      <c r="G81" s="1410"/>
      <c r="H81" s="1410"/>
    </row>
    <row r="82" spans="1:8" ht="16.5">
      <c r="A82" s="1410"/>
      <c r="B82" s="1410"/>
      <c r="C82" s="1410"/>
      <c r="D82" s="1410"/>
      <c r="E82" s="1410"/>
      <c r="F82" s="1410"/>
      <c r="G82" s="1410"/>
      <c r="H82" s="1410"/>
    </row>
    <row r="83" spans="1:8" ht="16.5">
      <c r="A83" s="1410"/>
      <c r="B83" s="1410"/>
      <c r="C83" s="1410"/>
      <c r="D83" s="1410"/>
      <c r="E83" s="1410"/>
      <c r="F83" s="1410"/>
      <c r="G83" s="1410"/>
      <c r="H83" s="1410"/>
    </row>
    <row r="84" spans="1:8" ht="16.5">
      <c r="A84" s="1410"/>
      <c r="B84" s="1410"/>
      <c r="C84" s="1410"/>
      <c r="D84" s="1410"/>
      <c r="E84" s="1410"/>
      <c r="F84" s="1410"/>
      <c r="G84" s="1410"/>
      <c r="H84" s="1410"/>
    </row>
    <row r="85" spans="1:8" ht="16.5">
      <c r="A85" s="1410"/>
      <c r="B85" s="1410"/>
      <c r="C85" s="1410"/>
      <c r="D85" s="1410"/>
      <c r="E85" s="1410"/>
      <c r="F85" s="1410"/>
      <c r="G85" s="1410"/>
      <c r="H85" s="1410"/>
    </row>
    <row r="86" spans="1:8" ht="16.5">
      <c r="A86" s="1410"/>
      <c r="B86" s="1410"/>
      <c r="C86" s="1410"/>
      <c r="D86" s="1410"/>
      <c r="E86" s="1410"/>
      <c r="F86" s="1410"/>
      <c r="G86" s="1410"/>
      <c r="H86" s="1410"/>
    </row>
    <row r="87" spans="1:8" ht="16.5">
      <c r="A87" s="1410"/>
      <c r="B87" s="1410"/>
      <c r="C87" s="1410"/>
      <c r="D87" s="1410"/>
      <c r="E87" s="1410"/>
      <c r="F87" s="1410"/>
      <c r="G87" s="1410"/>
      <c r="H87" s="1410"/>
    </row>
    <row r="88" spans="1:8" ht="16.5">
      <c r="A88" s="1410"/>
      <c r="B88" s="1410"/>
      <c r="C88" s="1410"/>
      <c r="D88" s="1410"/>
      <c r="E88" s="1410"/>
      <c r="F88" s="1410"/>
      <c r="G88" s="1410"/>
      <c r="H88" s="1410"/>
    </row>
    <row r="89" spans="1:8" ht="16.5">
      <c r="A89" s="1410"/>
      <c r="B89" s="1410"/>
      <c r="C89" s="1410"/>
      <c r="D89" s="1410"/>
      <c r="E89" s="1410"/>
      <c r="F89" s="1410"/>
      <c r="G89" s="1410"/>
      <c r="H89" s="1410"/>
    </row>
    <row r="90" spans="1:8" ht="16.5">
      <c r="A90" s="1410"/>
      <c r="B90" s="1410"/>
      <c r="C90" s="1410"/>
      <c r="D90" s="1410"/>
      <c r="E90" s="1410"/>
      <c r="F90" s="1410"/>
      <c r="G90" s="1410"/>
      <c r="H90" s="1410"/>
    </row>
    <row r="91" spans="1:8" ht="16.5">
      <c r="A91" s="1410"/>
      <c r="B91" s="1410"/>
      <c r="C91" s="1410"/>
      <c r="D91" s="1410"/>
      <c r="E91" s="1410"/>
      <c r="F91" s="1410"/>
      <c r="G91" s="1410"/>
      <c r="H91" s="1410"/>
    </row>
    <row r="92" spans="1:8" ht="16.5">
      <c r="A92" s="1410"/>
      <c r="B92" s="1410"/>
      <c r="C92" s="1410"/>
      <c r="D92" s="1410"/>
      <c r="E92" s="1410"/>
      <c r="F92" s="1410"/>
      <c r="G92" s="1410"/>
      <c r="H92" s="1410"/>
    </row>
    <row r="93" spans="1:8" ht="16.5">
      <c r="A93" s="1410"/>
      <c r="B93" s="1410"/>
      <c r="C93" s="1410"/>
      <c r="D93" s="1410"/>
      <c r="E93" s="1410"/>
      <c r="F93" s="1410"/>
      <c r="G93" s="1410"/>
      <c r="H93" s="1410"/>
    </row>
    <row r="94" spans="1:8" ht="16.5">
      <c r="A94" s="1410"/>
      <c r="B94" s="1410"/>
      <c r="C94" s="1410"/>
      <c r="D94" s="1410"/>
      <c r="E94" s="1410"/>
      <c r="F94" s="1410"/>
      <c r="G94" s="1410"/>
      <c r="H94" s="1410"/>
    </row>
    <row r="95" spans="1:8" ht="16.5">
      <c r="A95" s="1410"/>
      <c r="B95" s="1410"/>
      <c r="C95" s="1410"/>
      <c r="D95" s="1410"/>
      <c r="E95" s="1410"/>
      <c r="F95" s="1410"/>
      <c r="G95" s="1410"/>
      <c r="H95" s="1410"/>
    </row>
    <row r="96" spans="1:8" ht="16.5">
      <c r="A96" s="1410"/>
      <c r="B96" s="1410"/>
      <c r="C96" s="1410"/>
      <c r="D96" s="1410"/>
      <c r="E96" s="1410"/>
      <c r="F96" s="1410"/>
      <c r="G96" s="1410"/>
      <c r="H96" s="1410"/>
    </row>
    <row r="97" spans="1:8" ht="16.5">
      <c r="A97" s="1410"/>
      <c r="B97" s="1410"/>
      <c r="C97" s="1410"/>
      <c r="D97" s="1410"/>
      <c r="E97" s="1410"/>
      <c r="F97" s="1410"/>
      <c r="G97" s="1410"/>
      <c r="H97" s="1410"/>
    </row>
    <row r="98" spans="1:8" ht="16.5">
      <c r="A98" s="1410"/>
      <c r="B98" s="1410"/>
      <c r="C98" s="1410"/>
      <c r="D98" s="1410"/>
      <c r="E98" s="1410"/>
      <c r="F98" s="1410"/>
      <c r="G98" s="1410"/>
      <c r="H98" s="1410"/>
    </row>
    <row r="99" spans="1:8" ht="16.5">
      <c r="A99" s="1410"/>
      <c r="B99" s="1410"/>
      <c r="C99" s="1410"/>
      <c r="D99" s="1410"/>
      <c r="E99" s="1410"/>
      <c r="F99" s="1410"/>
      <c r="G99" s="1410"/>
      <c r="H99" s="1410"/>
    </row>
    <row r="100" spans="1:8" ht="16.5">
      <c r="A100" s="1410"/>
      <c r="B100" s="1410"/>
      <c r="C100" s="1410"/>
      <c r="D100" s="1410"/>
      <c r="E100" s="1410"/>
      <c r="F100" s="1410"/>
      <c r="G100" s="1410"/>
      <c r="H100" s="1410"/>
    </row>
    <row r="101" spans="1:8" ht="16.5">
      <c r="A101" s="1410"/>
      <c r="B101" s="1410"/>
      <c r="C101" s="1410"/>
      <c r="D101" s="1410"/>
      <c r="E101" s="1410"/>
      <c r="F101" s="1410"/>
      <c r="G101" s="1410"/>
      <c r="H101" s="1410"/>
    </row>
    <row r="102" spans="1:8" ht="16.5">
      <c r="A102" s="1410"/>
      <c r="B102" s="1410"/>
      <c r="C102" s="1410"/>
      <c r="D102" s="1410"/>
      <c r="E102" s="1410"/>
      <c r="F102" s="1410"/>
      <c r="G102" s="1410"/>
      <c r="H102" s="1410"/>
    </row>
    <row r="103" spans="1:8" ht="16.5">
      <c r="A103" s="1410"/>
      <c r="B103" s="1410"/>
      <c r="C103" s="1410"/>
      <c r="D103" s="1410"/>
      <c r="E103" s="1410"/>
      <c r="F103" s="1410"/>
      <c r="G103" s="1410"/>
      <c r="H103" s="1410"/>
    </row>
    <row r="104" spans="1:8" ht="16.5">
      <c r="A104" s="1410"/>
      <c r="B104" s="1410"/>
      <c r="C104" s="1410"/>
      <c r="D104" s="1410"/>
      <c r="E104" s="1410"/>
      <c r="F104" s="1410"/>
      <c r="G104" s="1410"/>
      <c r="H104" s="1410"/>
    </row>
    <row r="105" spans="1:8" ht="16.5">
      <c r="A105" s="1410"/>
      <c r="B105" s="1410"/>
      <c r="C105" s="1410"/>
      <c r="D105" s="1410"/>
      <c r="E105" s="1410"/>
      <c r="F105" s="1410"/>
      <c r="G105" s="1410"/>
      <c r="H105" s="1410"/>
    </row>
    <row r="106" spans="1:8" ht="16.5">
      <c r="A106" s="1410"/>
      <c r="B106" s="1410"/>
      <c r="C106" s="1410"/>
      <c r="D106" s="1410"/>
      <c r="E106" s="1410"/>
      <c r="F106" s="1410"/>
      <c r="G106" s="1410"/>
      <c r="H106" s="1410"/>
    </row>
    <row r="107" spans="1:8" ht="16.5">
      <c r="A107" s="1410"/>
      <c r="B107" s="1410"/>
      <c r="C107" s="1410"/>
      <c r="D107" s="1410"/>
      <c r="E107" s="1410"/>
      <c r="F107" s="1410"/>
      <c r="G107" s="1410"/>
      <c r="H107" s="1410"/>
    </row>
    <row r="108" spans="1:8" ht="16.5">
      <c r="A108" s="1410"/>
      <c r="B108" s="1410"/>
      <c r="C108" s="1410"/>
      <c r="D108" s="1410"/>
      <c r="E108" s="1410"/>
      <c r="F108" s="1410"/>
      <c r="G108" s="1410"/>
      <c r="H108" s="1410"/>
    </row>
    <row r="109" spans="1:8" ht="16.5">
      <c r="A109" s="1410"/>
      <c r="B109" s="1410"/>
      <c r="C109" s="1410"/>
      <c r="D109" s="1410"/>
      <c r="E109" s="1410"/>
      <c r="F109" s="1410"/>
      <c r="G109" s="1410"/>
      <c r="H109" s="1410"/>
    </row>
    <row r="110" spans="1:8" ht="16.5">
      <c r="A110" s="1410"/>
      <c r="B110" s="1410"/>
      <c r="C110" s="1410"/>
      <c r="D110" s="1410"/>
      <c r="E110" s="1410"/>
      <c r="F110" s="1410"/>
      <c r="G110" s="1410"/>
      <c r="H110" s="1410"/>
    </row>
    <row r="111" spans="1:8" ht="16.5">
      <c r="A111" s="1410"/>
      <c r="B111" s="1410"/>
      <c r="C111" s="1410"/>
      <c r="D111" s="1410"/>
      <c r="E111" s="1410"/>
      <c r="F111" s="1410"/>
      <c r="G111" s="1410"/>
      <c r="H111" s="1410"/>
    </row>
    <row r="112" spans="1:8" ht="16.5">
      <c r="A112" s="1410"/>
      <c r="B112" s="1410"/>
      <c r="C112" s="1410"/>
      <c r="D112" s="1410"/>
      <c r="E112" s="1410"/>
      <c r="F112" s="1410"/>
      <c r="G112" s="1410"/>
      <c r="H112" s="1410"/>
    </row>
    <row r="113" spans="1:8" ht="16.5">
      <c r="A113" s="1410"/>
      <c r="B113" s="1410"/>
      <c r="C113" s="1410"/>
      <c r="D113" s="1410"/>
      <c r="E113" s="1410"/>
      <c r="F113" s="1410"/>
      <c r="G113" s="1410"/>
      <c r="H113" s="1410"/>
    </row>
    <row r="114" spans="1:8" ht="16.5">
      <c r="A114" s="1410"/>
      <c r="B114" s="1410"/>
      <c r="C114" s="1410"/>
      <c r="D114" s="1410"/>
      <c r="E114" s="1410"/>
      <c r="F114" s="1410"/>
      <c r="G114" s="1410"/>
      <c r="H114" s="1410"/>
    </row>
    <row r="115" spans="1:8" ht="16.5">
      <c r="A115" s="1410"/>
      <c r="B115" s="1410"/>
      <c r="C115" s="1410"/>
      <c r="D115" s="1410"/>
      <c r="E115" s="1410"/>
      <c r="F115" s="1410"/>
      <c r="G115" s="1410"/>
      <c r="H115" s="1410"/>
    </row>
    <row r="116" spans="1:8" ht="16.5">
      <c r="A116" s="1410"/>
      <c r="B116" s="1410"/>
      <c r="C116" s="1410"/>
      <c r="D116" s="1410"/>
      <c r="E116" s="1410"/>
      <c r="F116" s="1410"/>
      <c r="G116" s="1410"/>
      <c r="H116" s="1410"/>
    </row>
    <row r="117" spans="1:8" ht="16.5">
      <c r="A117" s="1410"/>
      <c r="B117" s="1410"/>
      <c r="C117" s="1410"/>
      <c r="D117" s="1410"/>
      <c r="E117" s="1410"/>
      <c r="F117" s="1410"/>
      <c r="G117" s="1410"/>
      <c r="H117" s="1410"/>
    </row>
    <row r="118" spans="1:8" ht="16.5">
      <c r="A118" s="1410"/>
      <c r="B118" s="1410"/>
      <c r="C118" s="1410"/>
      <c r="D118" s="1410"/>
      <c r="E118" s="1410"/>
      <c r="F118" s="1410"/>
      <c r="G118" s="1410"/>
      <c r="H118" s="1410"/>
    </row>
    <row r="119" spans="1:8" ht="16.5">
      <c r="A119" s="1410"/>
      <c r="B119" s="1410"/>
      <c r="C119" s="1410"/>
      <c r="D119" s="1410"/>
      <c r="E119" s="1410"/>
      <c r="F119" s="1410"/>
      <c r="G119" s="1410"/>
      <c r="H119" s="1410"/>
    </row>
    <row r="120" spans="1:8" ht="16.5">
      <c r="A120" s="1410"/>
      <c r="B120" s="1410"/>
      <c r="C120" s="1410"/>
      <c r="D120" s="1410"/>
      <c r="E120" s="1410"/>
      <c r="F120" s="1410"/>
      <c r="G120" s="1410"/>
      <c r="H120" s="1410"/>
    </row>
    <row r="121" spans="1:8" ht="16.5">
      <c r="A121" s="1410"/>
      <c r="B121" s="1410"/>
      <c r="C121" s="1410"/>
      <c r="D121" s="1410"/>
      <c r="E121" s="1410"/>
      <c r="F121" s="1410"/>
      <c r="G121" s="1410"/>
      <c r="H121" s="1410"/>
    </row>
    <row r="122" spans="1:8" ht="16.5">
      <c r="A122" s="1410"/>
      <c r="B122" s="1410"/>
      <c r="C122" s="1410"/>
      <c r="D122" s="1410"/>
      <c r="E122" s="1410"/>
      <c r="F122" s="1410"/>
      <c r="G122" s="1410"/>
      <c r="H122" s="1410"/>
    </row>
    <row r="123" spans="1:8" ht="16.5">
      <c r="A123" s="1410"/>
      <c r="B123" s="1410"/>
      <c r="C123" s="1410"/>
      <c r="D123" s="1410"/>
      <c r="E123" s="1410"/>
      <c r="F123" s="1410"/>
      <c r="G123" s="1410"/>
      <c r="H123" s="1410"/>
    </row>
    <row r="124" spans="1:8" ht="16.5">
      <c r="A124" s="1410"/>
      <c r="B124" s="1410"/>
      <c r="C124" s="1410"/>
      <c r="D124" s="1410"/>
      <c r="E124" s="1410"/>
      <c r="F124" s="1410"/>
      <c r="G124" s="1410"/>
      <c r="H124" s="1410"/>
    </row>
    <row r="125" spans="1:8" ht="16.5">
      <c r="A125" s="1410"/>
      <c r="B125" s="1410"/>
      <c r="C125" s="1410"/>
      <c r="D125" s="1410"/>
      <c r="E125" s="1410"/>
      <c r="F125" s="1410"/>
      <c r="G125" s="1410"/>
      <c r="H125" s="1410"/>
    </row>
    <row r="126" spans="1:8" ht="16.5">
      <c r="A126" s="1410"/>
      <c r="B126" s="1410"/>
      <c r="C126" s="1410"/>
      <c r="D126" s="1410"/>
      <c r="E126" s="1410"/>
      <c r="F126" s="1410"/>
      <c r="G126" s="1410"/>
      <c r="H126" s="1410"/>
    </row>
    <row r="127" spans="1:8" ht="16.5">
      <c r="A127" s="1410"/>
      <c r="B127" s="1410"/>
      <c r="C127" s="1410"/>
      <c r="D127" s="1410"/>
      <c r="E127" s="1410"/>
      <c r="F127" s="1410"/>
      <c r="G127" s="1410"/>
      <c r="H127" s="1410"/>
    </row>
    <row r="128" spans="1:8" ht="16.5">
      <c r="A128" s="1410"/>
      <c r="B128" s="1410"/>
      <c r="C128" s="1410"/>
      <c r="D128" s="1410"/>
      <c r="E128" s="1410"/>
      <c r="F128" s="1410"/>
      <c r="G128" s="1410"/>
      <c r="H128" s="1410"/>
    </row>
    <row r="129" spans="1:8" ht="16.5">
      <c r="A129" s="1410"/>
      <c r="B129" s="1410"/>
      <c r="C129" s="1410"/>
      <c r="D129" s="1410"/>
      <c r="E129" s="1410"/>
      <c r="F129" s="1410"/>
      <c r="G129" s="1410"/>
      <c r="H129" s="1410"/>
    </row>
    <row r="130" spans="1:8" ht="16.5">
      <c r="A130" s="1410"/>
      <c r="B130" s="1410"/>
      <c r="C130" s="1410"/>
      <c r="D130" s="1410"/>
      <c r="E130" s="1410"/>
      <c r="F130" s="1410"/>
      <c r="G130" s="1410"/>
      <c r="H130" s="1410"/>
    </row>
    <row r="131" spans="1:8" ht="16.5">
      <c r="A131" s="1410"/>
      <c r="B131" s="1410"/>
      <c r="C131" s="1410"/>
      <c r="D131" s="1410"/>
      <c r="E131" s="1410"/>
      <c r="F131" s="1410"/>
      <c r="G131" s="1410"/>
      <c r="H131" s="1410"/>
    </row>
    <row r="132" spans="1:8" ht="16.5">
      <c r="A132" s="1410"/>
      <c r="B132" s="1410"/>
      <c r="C132" s="1410"/>
      <c r="D132" s="1410"/>
      <c r="E132" s="1410"/>
      <c r="F132" s="1410"/>
      <c r="G132" s="1410"/>
      <c r="H132" s="1410"/>
    </row>
    <row r="133" spans="1:8" ht="16.5">
      <c r="A133" s="1410"/>
      <c r="B133" s="1410"/>
      <c r="C133" s="1410"/>
      <c r="D133" s="1410"/>
      <c r="E133" s="1410"/>
      <c r="F133" s="1410"/>
      <c r="G133" s="1410"/>
      <c r="H133" s="1410"/>
    </row>
    <row r="134" spans="1:8" ht="16.5">
      <c r="A134" s="1410"/>
      <c r="B134" s="1410"/>
      <c r="C134" s="1410"/>
      <c r="D134" s="1410"/>
      <c r="E134" s="1410"/>
      <c r="F134" s="1410"/>
      <c r="G134" s="1410"/>
      <c r="H134" s="1410"/>
    </row>
    <row r="135" spans="1:8" ht="16.5">
      <c r="A135" s="1410"/>
      <c r="B135" s="1410"/>
      <c r="C135" s="1410"/>
      <c r="D135" s="1410"/>
      <c r="E135" s="1410"/>
      <c r="F135" s="1410"/>
      <c r="G135" s="1410"/>
      <c r="H135" s="1410"/>
    </row>
    <row r="136" spans="1:8" ht="16.5">
      <c r="A136" s="1410"/>
      <c r="B136" s="1410"/>
      <c r="C136" s="1410"/>
      <c r="D136" s="1410"/>
      <c r="E136" s="1410"/>
      <c r="F136" s="1410"/>
      <c r="G136" s="1410"/>
      <c r="H136" s="1410"/>
    </row>
    <row r="137" spans="1:8" ht="16.5">
      <c r="A137" s="1410"/>
      <c r="B137" s="1410"/>
      <c r="C137" s="1410"/>
      <c r="D137" s="1410"/>
      <c r="E137" s="1410"/>
      <c r="F137" s="1410"/>
      <c r="G137" s="1410"/>
      <c r="H137" s="1410"/>
    </row>
    <row r="138" spans="1:8" ht="16.5">
      <c r="A138" s="1410"/>
      <c r="B138" s="1410"/>
      <c r="C138" s="1410"/>
      <c r="D138" s="1410"/>
      <c r="E138" s="1410"/>
      <c r="F138" s="1410"/>
      <c r="G138" s="1410"/>
      <c r="H138" s="1410"/>
    </row>
    <row r="139" spans="1:8" ht="16.5">
      <c r="A139" s="1410"/>
      <c r="B139" s="1410"/>
      <c r="C139" s="1410"/>
      <c r="D139" s="1410"/>
      <c r="E139" s="1410"/>
      <c r="F139" s="1410"/>
      <c r="G139" s="1410"/>
      <c r="H139" s="1410"/>
    </row>
    <row r="140" spans="1:8" ht="16.5">
      <c r="A140" s="1410"/>
      <c r="B140" s="1410"/>
      <c r="C140" s="1410"/>
      <c r="D140" s="1410"/>
      <c r="E140" s="1410"/>
      <c r="F140" s="1410"/>
      <c r="G140" s="1410"/>
      <c r="H140" s="1410"/>
    </row>
    <row r="141" spans="1:8" ht="16.5">
      <c r="A141" s="1410"/>
      <c r="B141" s="1410"/>
      <c r="C141" s="1410"/>
      <c r="D141" s="1410"/>
      <c r="E141" s="1410"/>
      <c r="F141" s="1410"/>
      <c r="G141" s="1410"/>
      <c r="H141" s="1410"/>
    </row>
    <row r="142" spans="1:8" ht="16.5">
      <c r="A142" s="1410"/>
      <c r="B142" s="1410"/>
      <c r="C142" s="1410"/>
      <c r="D142" s="1410"/>
      <c r="E142" s="1410"/>
      <c r="F142" s="1410"/>
      <c r="G142" s="1410"/>
      <c r="H142" s="1410"/>
    </row>
    <row r="143" spans="1:8" ht="16.5">
      <c r="A143" s="1410"/>
      <c r="B143" s="1410"/>
      <c r="C143" s="1410"/>
      <c r="D143" s="1410"/>
      <c r="E143" s="1410"/>
      <c r="F143" s="1410"/>
      <c r="G143" s="1410"/>
      <c r="H143" s="1410"/>
    </row>
    <row r="144" spans="1:8" ht="16.5">
      <c r="A144" s="1410"/>
      <c r="B144" s="1410"/>
      <c r="C144" s="1410"/>
      <c r="D144" s="1410"/>
      <c r="E144" s="1410"/>
      <c r="F144" s="1410"/>
      <c r="G144" s="1410"/>
      <c r="H144" s="1410"/>
    </row>
    <row r="145" spans="1:8" ht="16.5">
      <c r="A145" s="1410"/>
      <c r="B145" s="1410"/>
      <c r="C145" s="1410"/>
      <c r="D145" s="1410"/>
      <c r="E145" s="1410"/>
      <c r="F145" s="1410"/>
      <c r="G145" s="1410"/>
      <c r="H145" s="1410"/>
    </row>
    <row r="146" spans="1:8" ht="16.5">
      <c r="A146" s="1410"/>
      <c r="B146" s="1410"/>
      <c r="C146" s="1410"/>
      <c r="D146" s="1410"/>
      <c r="E146" s="1410"/>
      <c r="F146" s="1410"/>
      <c r="G146" s="1410"/>
      <c r="H146" s="1410"/>
    </row>
    <row r="147" spans="1:8" ht="16.5">
      <c r="A147" s="1410"/>
      <c r="B147" s="1410"/>
      <c r="C147" s="1410"/>
      <c r="D147" s="1410"/>
      <c r="E147" s="1410"/>
      <c r="F147" s="1410"/>
      <c r="G147" s="1410"/>
      <c r="H147" s="1410"/>
    </row>
    <row r="148" spans="1:8" ht="16.5">
      <c r="A148" s="1410"/>
      <c r="B148" s="1410"/>
      <c r="C148" s="1410"/>
      <c r="D148" s="1410"/>
      <c r="E148" s="1410"/>
      <c r="F148" s="1410"/>
      <c r="G148" s="1410"/>
      <c r="H148" s="1410"/>
    </row>
    <row r="149" spans="1:8" ht="16.5">
      <c r="A149" s="1410"/>
      <c r="B149" s="1410"/>
      <c r="C149" s="1410"/>
      <c r="D149" s="1410"/>
      <c r="E149" s="1410"/>
      <c r="F149" s="1410"/>
      <c r="G149" s="1410"/>
      <c r="H149" s="1410"/>
    </row>
    <row r="150" spans="1:8" ht="16.5">
      <c r="A150" s="1410"/>
      <c r="B150" s="1410"/>
      <c r="C150" s="1410"/>
      <c r="D150" s="1410"/>
      <c r="E150" s="1410"/>
      <c r="F150" s="1410"/>
      <c r="G150" s="1410"/>
      <c r="H150" s="1410"/>
    </row>
    <row r="151" spans="1:8" ht="16.5">
      <c r="A151" s="1410"/>
      <c r="B151" s="1410"/>
      <c r="C151" s="1410"/>
      <c r="D151" s="1410"/>
      <c r="E151" s="1410"/>
      <c r="F151" s="1410"/>
      <c r="G151" s="1410"/>
      <c r="H151" s="1410"/>
    </row>
    <row r="152" spans="1:8" ht="16.5">
      <c r="A152" s="1410"/>
      <c r="B152" s="1410"/>
      <c r="C152" s="1410"/>
      <c r="D152" s="1410"/>
      <c r="E152" s="1410"/>
      <c r="F152" s="1410"/>
      <c r="G152" s="1410"/>
      <c r="H152" s="1410"/>
    </row>
    <row r="153" spans="1:8" ht="16.5">
      <c r="A153" s="1410"/>
      <c r="B153" s="1410"/>
      <c r="C153" s="1410"/>
      <c r="D153" s="1410"/>
      <c r="E153" s="1410"/>
      <c r="F153" s="1410"/>
      <c r="G153" s="1410"/>
      <c r="H153" s="1410"/>
    </row>
    <row r="154" spans="1:8" ht="16.5">
      <c r="A154" s="1410"/>
      <c r="B154" s="1410"/>
      <c r="C154" s="1410"/>
      <c r="D154" s="1410"/>
      <c r="E154" s="1410"/>
      <c r="F154" s="1410"/>
      <c r="G154" s="1410"/>
      <c r="H154" s="1410"/>
    </row>
    <row r="155" spans="1:8" ht="16.5">
      <c r="A155" s="1410"/>
      <c r="B155" s="1410"/>
      <c r="C155" s="1410"/>
      <c r="D155" s="1410"/>
      <c r="E155" s="1410"/>
      <c r="F155" s="1410"/>
      <c r="G155" s="1410"/>
      <c r="H155" s="1410"/>
    </row>
    <row r="156" spans="1:8" ht="16.5">
      <c r="A156" s="1410"/>
      <c r="B156" s="1410"/>
      <c r="C156" s="1410"/>
      <c r="D156" s="1410"/>
      <c r="E156" s="1410"/>
      <c r="F156" s="1410"/>
      <c r="G156" s="1410"/>
      <c r="H156" s="1410"/>
    </row>
    <row r="157" spans="1:8" ht="16.5">
      <c r="A157" s="1410"/>
      <c r="B157" s="1410"/>
      <c r="C157" s="1410"/>
      <c r="D157" s="1410"/>
      <c r="E157" s="1410"/>
      <c r="F157" s="1410"/>
      <c r="G157" s="1410"/>
      <c r="H157" s="1410"/>
    </row>
    <row r="158" spans="1:8" ht="16.5">
      <c r="A158" s="1410"/>
      <c r="B158" s="1410"/>
      <c r="C158" s="1410"/>
      <c r="D158" s="1410"/>
      <c r="E158" s="1410"/>
      <c r="F158" s="1410"/>
      <c r="G158" s="1410"/>
      <c r="H158" s="1410"/>
    </row>
    <row r="159" spans="1:8" ht="16.5">
      <c r="A159" s="1410"/>
      <c r="B159" s="1410"/>
      <c r="C159" s="1410"/>
      <c r="D159" s="1410"/>
      <c r="E159" s="1410"/>
      <c r="F159" s="1410"/>
      <c r="G159" s="1410"/>
      <c r="H159" s="1410"/>
    </row>
    <row r="160" spans="1:8" ht="16.5">
      <c r="A160" s="1410"/>
      <c r="B160" s="1410"/>
      <c r="C160" s="1410"/>
      <c r="D160" s="1410"/>
      <c r="E160" s="1410"/>
      <c r="F160" s="1410"/>
      <c r="G160" s="1410"/>
      <c r="H160" s="1410"/>
    </row>
    <row r="161" spans="1:8" ht="16.5">
      <c r="A161" s="1410"/>
      <c r="B161" s="1410"/>
      <c r="C161" s="1410"/>
      <c r="D161" s="1410"/>
      <c r="E161" s="1410"/>
      <c r="F161" s="1410"/>
      <c r="G161" s="1410"/>
      <c r="H161" s="1410"/>
    </row>
    <row r="162" spans="1:8" ht="16.5">
      <c r="A162" s="1410"/>
      <c r="B162" s="1410"/>
      <c r="C162" s="1410"/>
      <c r="D162" s="1410"/>
      <c r="E162" s="1410"/>
      <c r="F162" s="1410"/>
      <c r="G162" s="1410"/>
      <c r="H162" s="1410"/>
    </row>
    <row r="163" spans="1:8" ht="16.5">
      <c r="A163" s="1410"/>
      <c r="B163" s="1410"/>
      <c r="C163" s="1410"/>
      <c r="D163" s="1410"/>
      <c r="E163" s="1410"/>
      <c r="F163" s="1410"/>
      <c r="G163" s="1410"/>
      <c r="H163" s="1410"/>
    </row>
    <row r="164" spans="1:8" ht="16.5">
      <c r="A164" s="1410"/>
      <c r="B164" s="1410"/>
      <c r="C164" s="1410"/>
      <c r="D164" s="1410"/>
      <c r="E164" s="1410"/>
      <c r="F164" s="1410"/>
      <c r="G164" s="1410"/>
      <c r="H164" s="1410"/>
    </row>
    <row r="165" spans="1:8" ht="16.5">
      <c r="A165" s="1410"/>
      <c r="B165" s="1410"/>
      <c r="C165" s="1410"/>
      <c r="D165" s="1410"/>
      <c r="E165" s="1410"/>
      <c r="F165" s="1410"/>
      <c r="G165" s="1410"/>
      <c r="H165" s="1410"/>
    </row>
    <row r="166" spans="1:8" ht="16.5">
      <c r="A166" s="1410"/>
      <c r="B166" s="1410"/>
      <c r="C166" s="1410"/>
      <c r="D166" s="1410"/>
      <c r="E166" s="1410"/>
      <c r="F166" s="1410"/>
      <c r="G166" s="1410"/>
      <c r="H166" s="1410"/>
    </row>
    <row r="167" spans="1:8" ht="16.5">
      <c r="A167" s="1410"/>
      <c r="B167" s="1410"/>
      <c r="C167" s="1410"/>
      <c r="D167" s="1410"/>
      <c r="E167" s="1410"/>
      <c r="F167" s="1410"/>
      <c r="G167" s="1410"/>
      <c r="H167" s="1410"/>
    </row>
    <row r="168" spans="1:8" ht="16.5">
      <c r="A168" s="1410"/>
      <c r="B168" s="1410"/>
      <c r="C168" s="1410"/>
      <c r="D168" s="1410"/>
      <c r="E168" s="1410"/>
      <c r="F168" s="1410"/>
      <c r="G168" s="1410"/>
      <c r="H168" s="1410"/>
    </row>
    <row r="169" spans="1:8" ht="16.5">
      <c r="A169" s="1410"/>
      <c r="B169" s="1410"/>
      <c r="C169" s="1410"/>
      <c r="D169" s="1410"/>
      <c r="E169" s="1410"/>
      <c r="F169" s="1410"/>
      <c r="G169" s="1410"/>
      <c r="H169" s="1410"/>
    </row>
    <row r="170" spans="1:8" ht="16.5">
      <c r="A170" s="1410"/>
      <c r="B170" s="1410"/>
      <c r="C170" s="1410"/>
      <c r="D170" s="1410"/>
      <c r="E170" s="1410"/>
      <c r="F170" s="1410"/>
      <c r="G170" s="1410"/>
      <c r="H170" s="1410"/>
    </row>
    <row r="171" spans="1:8" ht="16.5">
      <c r="A171" s="1410"/>
      <c r="B171" s="1410"/>
      <c r="C171" s="1410"/>
      <c r="D171" s="1410"/>
      <c r="E171" s="1410"/>
      <c r="F171" s="1410"/>
      <c r="G171" s="1410"/>
      <c r="H171" s="1410"/>
    </row>
    <row r="172" spans="1:8" ht="16.5">
      <c r="A172" s="1410"/>
      <c r="B172" s="1410"/>
      <c r="C172" s="1410"/>
      <c r="D172" s="1410"/>
      <c r="E172" s="1410"/>
      <c r="F172" s="1410"/>
      <c r="G172" s="1410"/>
      <c r="H172" s="1410"/>
    </row>
    <row r="173" spans="1:8" ht="16.5">
      <c r="A173" s="1410"/>
      <c r="B173" s="1410"/>
      <c r="C173" s="1410"/>
      <c r="D173" s="1410"/>
      <c r="E173" s="1410"/>
      <c r="F173" s="1410"/>
      <c r="G173" s="1410"/>
      <c r="H173" s="1410"/>
    </row>
    <row r="174" spans="1:8" ht="16.5">
      <c r="A174" s="1410"/>
      <c r="B174" s="1410"/>
      <c r="C174" s="1410"/>
      <c r="D174" s="1410"/>
      <c r="E174" s="1410"/>
      <c r="F174" s="1410"/>
      <c r="G174" s="1410"/>
      <c r="H174" s="1410"/>
    </row>
    <row r="175" spans="1:8" ht="16.5">
      <c r="A175" s="1410"/>
      <c r="B175" s="1410"/>
      <c r="C175" s="1410"/>
      <c r="D175" s="1410"/>
      <c r="E175" s="1410"/>
      <c r="F175" s="1410"/>
      <c r="G175" s="1410"/>
      <c r="H175" s="1410"/>
    </row>
    <row r="176" spans="1:8" ht="16.5">
      <c r="A176" s="1410"/>
      <c r="B176" s="1410"/>
      <c r="C176" s="1410"/>
      <c r="D176" s="1410"/>
      <c r="E176" s="1410"/>
      <c r="F176" s="1410"/>
      <c r="G176" s="1410"/>
      <c r="H176" s="1410"/>
    </row>
    <row r="177" spans="1:8" ht="16.5">
      <c r="A177" s="1410"/>
      <c r="B177" s="1410"/>
      <c r="C177" s="1410"/>
      <c r="D177" s="1410"/>
      <c r="E177" s="1410"/>
      <c r="F177" s="1410"/>
      <c r="G177" s="1410"/>
      <c r="H177" s="1410"/>
    </row>
    <row r="178" spans="1:8" ht="16.5">
      <c r="A178" s="1410"/>
      <c r="B178" s="1410"/>
      <c r="C178" s="1410"/>
      <c r="D178" s="1410"/>
      <c r="E178" s="1410"/>
      <c r="F178" s="1410"/>
      <c r="G178" s="1410"/>
      <c r="H178" s="1410"/>
    </row>
    <row r="179" spans="1:8" ht="16.5">
      <c r="A179" s="1410"/>
      <c r="B179" s="1410"/>
      <c r="C179" s="1410"/>
      <c r="D179" s="1410"/>
      <c r="E179" s="1410"/>
      <c r="F179" s="1410"/>
      <c r="G179" s="1410"/>
      <c r="H179" s="1410"/>
    </row>
    <row r="180" spans="1:8" ht="16.5">
      <c r="A180" s="1410"/>
      <c r="B180" s="1410"/>
      <c r="C180" s="1410"/>
      <c r="D180" s="1410"/>
      <c r="E180" s="1410"/>
      <c r="F180" s="1410"/>
      <c r="G180" s="1410"/>
      <c r="H180" s="1410"/>
    </row>
    <row r="181" spans="1:8" ht="16.5">
      <c r="A181" s="1410"/>
      <c r="B181" s="1410"/>
      <c r="C181" s="1410"/>
      <c r="D181" s="1410"/>
      <c r="E181" s="1410"/>
      <c r="F181" s="1410"/>
      <c r="G181" s="1410"/>
      <c r="H181" s="1410"/>
    </row>
    <row r="182" spans="1:8" ht="16.5">
      <c r="A182" s="1410"/>
      <c r="B182" s="1410"/>
      <c r="C182" s="1410"/>
      <c r="D182" s="1410"/>
      <c r="E182" s="1410"/>
      <c r="F182" s="1410"/>
      <c r="G182" s="1410"/>
      <c r="H182" s="1410"/>
    </row>
    <row r="183" spans="1:8" ht="16.5">
      <c r="A183" s="1410"/>
      <c r="B183" s="1410"/>
      <c r="C183" s="1410"/>
      <c r="D183" s="1410"/>
      <c r="E183" s="1410"/>
      <c r="F183" s="1410"/>
      <c r="G183" s="1410"/>
      <c r="H183" s="1410"/>
    </row>
    <row r="184" spans="1:8" ht="16.5">
      <c r="A184" s="1410"/>
      <c r="B184" s="1410"/>
      <c r="C184" s="1410"/>
      <c r="D184" s="1410"/>
      <c r="E184" s="1410"/>
      <c r="F184" s="1410"/>
      <c r="G184" s="1410"/>
      <c r="H184" s="1410"/>
    </row>
    <row r="185" spans="1:8" ht="16.5">
      <c r="A185" s="1410"/>
      <c r="B185" s="1410"/>
      <c r="C185" s="1410"/>
      <c r="D185" s="1410"/>
      <c r="E185" s="1410"/>
      <c r="F185" s="1410"/>
      <c r="G185" s="1410"/>
      <c r="H185" s="1410"/>
    </row>
    <row r="186" spans="1:8" ht="16.5">
      <c r="A186" s="1410"/>
      <c r="B186" s="1410"/>
      <c r="C186" s="1410"/>
      <c r="D186" s="1410"/>
      <c r="E186" s="1410"/>
      <c r="F186" s="1410"/>
      <c r="G186" s="1410"/>
      <c r="H186" s="1410"/>
    </row>
    <row r="187" spans="1:8" ht="16.5">
      <c r="A187" s="1410"/>
      <c r="B187" s="1410"/>
      <c r="C187" s="1410"/>
      <c r="D187" s="1410"/>
      <c r="E187" s="1410"/>
      <c r="F187" s="1410"/>
      <c r="G187" s="1410"/>
      <c r="H187" s="1410"/>
    </row>
    <row r="188" spans="1:8" ht="16.5">
      <c r="A188" s="1410"/>
      <c r="B188" s="1410"/>
      <c r="C188" s="1410"/>
      <c r="D188" s="1410"/>
      <c r="E188" s="1410"/>
      <c r="F188" s="1410"/>
      <c r="G188" s="1410"/>
      <c r="H188" s="1410"/>
    </row>
    <row r="189" spans="1:8" ht="16.5">
      <c r="A189" s="1410"/>
      <c r="B189" s="1410"/>
      <c r="C189" s="1410"/>
      <c r="D189" s="1410"/>
      <c r="E189" s="1410"/>
      <c r="F189" s="1410"/>
      <c r="G189" s="1410"/>
      <c r="H189" s="1410"/>
    </row>
    <row r="190" spans="1:8" ht="16.5">
      <c r="A190" s="1410"/>
      <c r="B190" s="1410"/>
      <c r="C190" s="1410"/>
      <c r="D190" s="1410"/>
      <c r="E190" s="1410"/>
      <c r="F190" s="1410"/>
      <c r="G190" s="1410"/>
      <c r="H190" s="1410"/>
    </row>
    <row r="191" spans="1:8" ht="16.5">
      <c r="A191" s="1410"/>
      <c r="B191" s="1410"/>
      <c r="C191" s="1410"/>
      <c r="D191" s="1410"/>
      <c r="E191" s="1410"/>
      <c r="F191" s="1410"/>
      <c r="G191" s="1410"/>
      <c r="H191" s="1410"/>
    </row>
    <row r="192" spans="1:8" ht="16.5">
      <c r="A192" s="1410"/>
      <c r="B192" s="1410"/>
      <c r="C192" s="1410"/>
      <c r="D192" s="1410"/>
      <c r="E192" s="1410"/>
      <c r="F192" s="1410"/>
      <c r="G192" s="1410"/>
      <c r="H192" s="1410"/>
    </row>
    <row r="193" spans="1:8" ht="16.5">
      <c r="A193" s="1410"/>
      <c r="B193" s="1410"/>
      <c r="C193" s="1410"/>
      <c r="D193" s="1410"/>
      <c r="E193" s="1410"/>
      <c r="F193" s="1410"/>
      <c r="G193" s="1410"/>
      <c r="H193" s="1410"/>
    </row>
    <row r="194" spans="1:8" ht="16.5">
      <c r="A194" s="1410"/>
      <c r="B194" s="1410"/>
      <c r="C194" s="1410"/>
      <c r="D194" s="1410"/>
      <c r="E194" s="1410"/>
      <c r="F194" s="1410"/>
      <c r="G194" s="1410"/>
      <c r="H194" s="1410"/>
    </row>
    <row r="195" spans="1:8" ht="16.5">
      <c r="A195" s="1410"/>
      <c r="B195" s="1410"/>
      <c r="C195" s="1410"/>
      <c r="D195" s="1410"/>
      <c r="E195" s="1410"/>
      <c r="F195" s="1410"/>
      <c r="G195" s="1410"/>
      <c r="H195" s="1410"/>
    </row>
    <row r="196" spans="1:8" ht="16.5">
      <c r="A196" s="1410"/>
      <c r="B196" s="1410"/>
      <c r="C196" s="1410"/>
      <c r="D196" s="1410"/>
      <c r="E196" s="1410"/>
      <c r="F196" s="1410"/>
      <c r="G196" s="1410"/>
      <c r="H196" s="1410"/>
    </row>
    <row r="197" spans="1:8" ht="16.5">
      <c r="A197" s="1410"/>
      <c r="B197" s="1410"/>
      <c r="C197" s="1410"/>
      <c r="D197" s="1410"/>
      <c r="E197" s="1410"/>
      <c r="F197" s="1410"/>
      <c r="G197" s="1410"/>
      <c r="H197" s="1410"/>
    </row>
    <row r="198" spans="1:8" ht="16.5">
      <c r="A198" s="1410"/>
      <c r="B198" s="1410"/>
      <c r="C198" s="1410"/>
      <c r="D198" s="1410"/>
      <c r="E198" s="1410"/>
      <c r="F198" s="1410"/>
      <c r="G198" s="1410"/>
      <c r="H198" s="1410"/>
    </row>
    <row r="199" spans="1:8" ht="16.5">
      <c r="A199" s="1410"/>
      <c r="B199" s="1410"/>
      <c r="C199" s="1410"/>
      <c r="D199" s="1410"/>
      <c r="E199" s="1410"/>
      <c r="F199" s="1410"/>
      <c r="G199" s="1410"/>
      <c r="H199" s="1410"/>
    </row>
    <row r="200" spans="1:8" ht="16.5">
      <c r="A200" s="1410"/>
      <c r="B200" s="1410"/>
      <c r="C200" s="1410"/>
      <c r="D200" s="1410"/>
      <c r="E200" s="1410"/>
      <c r="F200" s="1410"/>
      <c r="G200" s="1410"/>
      <c r="H200" s="1410"/>
    </row>
    <row r="201" spans="1:8" ht="16.5">
      <c r="A201" s="1410"/>
      <c r="B201" s="1410"/>
      <c r="C201" s="1410"/>
      <c r="D201" s="1410"/>
      <c r="E201" s="1410"/>
      <c r="F201" s="1410"/>
      <c r="G201" s="1410"/>
      <c r="H201" s="1410"/>
    </row>
    <row r="202" spans="1:8" ht="16.5">
      <c r="A202" s="1410"/>
      <c r="B202" s="1410"/>
      <c r="C202" s="1410"/>
      <c r="D202" s="1410"/>
      <c r="E202" s="1410"/>
      <c r="F202" s="1410"/>
      <c r="G202" s="1410"/>
      <c r="H202" s="1410"/>
    </row>
    <row r="203" spans="1:8" ht="16.5">
      <c r="A203" s="1410"/>
      <c r="B203" s="1410"/>
      <c r="C203" s="1410"/>
      <c r="D203" s="1410"/>
      <c r="E203" s="1410"/>
      <c r="F203" s="1410"/>
      <c r="G203" s="1410"/>
      <c r="H203" s="1410"/>
    </row>
    <row r="204" spans="1:8" ht="16.5">
      <c r="A204" s="1410"/>
      <c r="B204" s="1410"/>
      <c r="C204" s="1410"/>
      <c r="D204" s="1410"/>
      <c r="E204" s="1410"/>
      <c r="F204" s="1410"/>
      <c r="G204" s="1410"/>
      <c r="H204" s="1410"/>
    </row>
    <row r="205" spans="1:8" ht="16.5">
      <c r="A205" s="1410"/>
      <c r="B205" s="1410"/>
      <c r="C205" s="1410"/>
      <c r="D205" s="1410"/>
      <c r="E205" s="1410"/>
      <c r="F205" s="1410"/>
      <c r="G205" s="1410"/>
      <c r="H205" s="1410"/>
    </row>
    <row r="206" spans="1:8" ht="16.5">
      <c r="A206" s="1410"/>
      <c r="B206" s="1410"/>
      <c r="C206" s="1410"/>
      <c r="D206" s="1410"/>
      <c r="E206" s="1410"/>
      <c r="F206" s="1410"/>
      <c r="G206" s="1410"/>
      <c r="H206" s="1410"/>
    </row>
    <row r="207" spans="1:8" ht="16.5">
      <c r="A207" s="1410"/>
      <c r="B207" s="1410"/>
      <c r="C207" s="1410"/>
      <c r="D207" s="1410"/>
      <c r="E207" s="1410"/>
      <c r="F207" s="1410"/>
      <c r="G207" s="1410"/>
      <c r="H207" s="1410"/>
    </row>
    <row r="208" spans="1:8" ht="16.5">
      <c r="A208" s="1410"/>
      <c r="B208" s="1410"/>
      <c r="C208" s="1410"/>
      <c r="D208" s="1410"/>
      <c r="E208" s="1410"/>
      <c r="F208" s="1410"/>
      <c r="G208" s="1410"/>
      <c r="H208" s="1410"/>
    </row>
    <row r="209" spans="1:8" ht="16.5">
      <c r="A209" s="1410"/>
      <c r="B209" s="1410"/>
      <c r="C209" s="1410"/>
      <c r="D209" s="1410"/>
      <c r="E209" s="1410"/>
      <c r="F209" s="1410"/>
      <c r="G209" s="1410"/>
      <c r="H209" s="1410"/>
    </row>
    <row r="210" spans="1:8" ht="16.5">
      <c r="A210" s="1410"/>
      <c r="B210" s="1410"/>
      <c r="C210" s="1410"/>
      <c r="D210" s="1410"/>
      <c r="E210" s="1410"/>
      <c r="F210" s="1410"/>
      <c r="G210" s="1410"/>
      <c r="H210" s="1410"/>
    </row>
    <row r="211" spans="1:8" ht="16.5">
      <c r="A211" s="1410"/>
      <c r="B211" s="1410"/>
      <c r="C211" s="1410"/>
      <c r="D211" s="1410"/>
      <c r="E211" s="1410"/>
      <c r="F211" s="1410"/>
      <c r="G211" s="1410"/>
      <c r="H211" s="1410"/>
    </row>
    <row r="212" spans="1:8" ht="16.5">
      <c r="A212" s="1410"/>
      <c r="B212" s="1410"/>
      <c r="C212" s="1410"/>
      <c r="D212" s="1410"/>
      <c r="E212" s="1410"/>
      <c r="F212" s="1410"/>
      <c r="G212" s="1410"/>
      <c r="H212" s="1410"/>
    </row>
    <row r="213" spans="1:8" ht="16.5">
      <c r="A213" s="1410"/>
      <c r="B213" s="1410"/>
      <c r="C213" s="1410"/>
      <c r="D213" s="1410"/>
      <c r="E213" s="1410"/>
      <c r="F213" s="1410"/>
      <c r="G213" s="1410"/>
      <c r="H213" s="1410"/>
    </row>
    <row r="214" spans="1:8" ht="16.5">
      <c r="A214" s="1410"/>
      <c r="B214" s="1410"/>
      <c r="C214" s="1410"/>
      <c r="D214" s="1410"/>
      <c r="E214" s="1410"/>
      <c r="F214" s="1410"/>
      <c r="G214" s="1410"/>
      <c r="H214" s="1410"/>
    </row>
    <row r="215" spans="1:8" ht="16.5">
      <c r="A215" s="1410"/>
      <c r="B215" s="1410"/>
      <c r="C215" s="1410"/>
      <c r="D215" s="1410"/>
      <c r="E215" s="1410"/>
      <c r="F215" s="1410"/>
      <c r="G215" s="1410"/>
      <c r="H215" s="1410"/>
    </row>
    <row r="216" spans="1:8" ht="16.5">
      <c r="A216" s="1410"/>
      <c r="B216" s="1410"/>
      <c r="C216" s="1410"/>
      <c r="D216" s="1410"/>
      <c r="E216" s="1410"/>
      <c r="F216" s="1410"/>
      <c r="G216" s="1410"/>
      <c r="H216" s="1410"/>
    </row>
    <row r="217" spans="1:8" ht="16.5">
      <c r="A217" s="1410"/>
      <c r="B217" s="1410"/>
      <c r="C217" s="1410"/>
      <c r="D217" s="1410"/>
      <c r="E217" s="1410"/>
      <c r="F217" s="1410"/>
      <c r="G217" s="1410"/>
      <c r="H217" s="1410"/>
    </row>
    <row r="218" spans="1:8" ht="16.5">
      <c r="A218" s="1410"/>
      <c r="B218" s="1410"/>
      <c r="C218" s="1410"/>
      <c r="D218" s="1410"/>
      <c r="E218" s="1410"/>
      <c r="F218" s="1410"/>
      <c r="G218" s="1410"/>
      <c r="H218" s="1410"/>
    </row>
    <row r="219" spans="1:8" ht="16.5">
      <c r="A219" s="1410"/>
      <c r="B219" s="1410"/>
      <c r="C219" s="1410"/>
      <c r="D219" s="1410"/>
      <c r="E219" s="1410"/>
      <c r="F219" s="1410"/>
      <c r="G219" s="1410"/>
      <c r="H219" s="1410"/>
    </row>
    <row r="220" spans="1:8" ht="16.5">
      <c r="A220" s="1410"/>
      <c r="B220" s="1410"/>
      <c r="C220" s="1410"/>
      <c r="D220" s="1410"/>
      <c r="E220" s="1410"/>
      <c r="F220" s="1410"/>
      <c r="G220" s="1410"/>
      <c r="H220" s="1410"/>
    </row>
    <row r="221" spans="1:8" ht="16.5">
      <c r="A221" s="1410"/>
      <c r="B221" s="1410"/>
      <c r="C221" s="1410"/>
      <c r="D221" s="1410"/>
      <c r="E221" s="1410"/>
      <c r="F221" s="1410"/>
      <c r="G221" s="1410"/>
      <c r="H221" s="1410"/>
    </row>
    <row r="222" spans="1:8" ht="16.5">
      <c r="A222" s="1410"/>
      <c r="B222" s="1410"/>
      <c r="C222" s="1410"/>
      <c r="D222" s="1410"/>
      <c r="E222" s="1410"/>
      <c r="F222" s="1410"/>
      <c r="G222" s="1410"/>
      <c r="H222" s="1410"/>
    </row>
    <row r="223" spans="1:8" ht="16.5">
      <c r="A223" s="1410"/>
      <c r="B223" s="1410"/>
      <c r="C223" s="1410"/>
      <c r="D223" s="1410"/>
      <c r="E223" s="1410"/>
      <c r="F223" s="1410"/>
      <c r="G223" s="1410"/>
      <c r="H223" s="1410"/>
    </row>
    <row r="224" spans="1:8" ht="16.5">
      <c r="A224" s="1410"/>
      <c r="B224" s="1410"/>
      <c r="C224" s="1410"/>
      <c r="D224" s="1410"/>
      <c r="E224" s="1410"/>
      <c r="F224" s="1410"/>
      <c r="G224" s="1410"/>
      <c r="H224" s="1410"/>
    </row>
    <row r="225" spans="1:8" ht="16.5">
      <c r="A225" s="1410"/>
      <c r="B225" s="1410"/>
      <c r="C225" s="1410"/>
      <c r="D225" s="1410"/>
      <c r="E225" s="1410"/>
      <c r="F225" s="1410"/>
      <c r="G225" s="1410"/>
      <c r="H225" s="1410"/>
    </row>
    <row r="226" spans="1:8" ht="16.5">
      <c r="A226" s="1410"/>
      <c r="B226" s="1410"/>
      <c r="C226" s="1410"/>
      <c r="D226" s="1410"/>
      <c r="E226" s="1410"/>
      <c r="F226" s="1410"/>
      <c r="G226" s="1410"/>
      <c r="H226" s="1410"/>
    </row>
    <row r="227" spans="1:8" ht="16.5">
      <c r="A227" s="1410"/>
      <c r="B227" s="1410"/>
      <c r="C227" s="1410"/>
      <c r="D227" s="1410"/>
      <c r="E227" s="1410"/>
      <c r="F227" s="1410"/>
      <c r="G227" s="1410"/>
      <c r="H227" s="1410"/>
    </row>
    <row r="228" spans="1:8" ht="16.5">
      <c r="A228" s="1410"/>
      <c r="B228" s="1410"/>
      <c r="C228" s="1410"/>
      <c r="D228" s="1410"/>
      <c r="E228" s="1410"/>
      <c r="F228" s="1410"/>
      <c r="G228" s="1410"/>
      <c r="H228" s="1410"/>
    </row>
    <row r="229" spans="1:8" ht="16.5">
      <c r="A229" s="1410"/>
      <c r="B229" s="1410"/>
      <c r="C229" s="1410"/>
      <c r="D229" s="1410"/>
      <c r="E229" s="1410"/>
      <c r="F229" s="1410"/>
      <c r="G229" s="1410"/>
      <c r="H229" s="1410"/>
    </row>
    <row r="230" spans="1:8" ht="16.5">
      <c r="A230" s="1410"/>
      <c r="B230" s="1410"/>
      <c r="C230" s="1410"/>
      <c r="D230" s="1410"/>
      <c r="E230" s="1410"/>
      <c r="F230" s="1410"/>
      <c r="G230" s="1410"/>
      <c r="H230" s="1410"/>
    </row>
    <row r="231" spans="1:8" ht="16.5">
      <c r="A231" s="1410"/>
      <c r="B231" s="1410"/>
      <c r="C231" s="1410"/>
      <c r="D231" s="1410"/>
      <c r="E231" s="1410"/>
      <c r="F231" s="1410"/>
      <c r="G231" s="1410"/>
      <c r="H231" s="1410"/>
    </row>
    <row r="232" spans="1:8" ht="16.5">
      <c r="A232" s="1410"/>
      <c r="B232" s="1410"/>
      <c r="C232" s="1410"/>
      <c r="D232" s="1410"/>
      <c r="E232" s="1410"/>
      <c r="F232" s="1410"/>
      <c r="G232" s="1410"/>
      <c r="H232" s="1410"/>
    </row>
    <row r="233" spans="1:8" ht="16.5">
      <c r="A233" s="1410"/>
      <c r="B233" s="1410"/>
      <c r="C233" s="1410"/>
      <c r="D233" s="1410"/>
      <c r="E233" s="1410"/>
      <c r="F233" s="1410"/>
      <c r="G233" s="1410"/>
      <c r="H233" s="1410"/>
    </row>
    <row r="234" spans="1:8" ht="16.5">
      <c r="A234" s="1410"/>
      <c r="B234" s="1410"/>
      <c r="C234" s="1410"/>
      <c r="D234" s="1410"/>
      <c r="E234" s="1410"/>
      <c r="F234" s="1410"/>
      <c r="G234" s="1410"/>
      <c r="H234" s="1410"/>
    </row>
    <row r="235" spans="1:8" ht="16.5">
      <c r="A235" s="1410"/>
      <c r="B235" s="1410"/>
      <c r="C235" s="1410"/>
      <c r="D235" s="1410"/>
      <c r="E235" s="1410"/>
      <c r="F235" s="1410"/>
      <c r="G235" s="1410"/>
      <c r="H235" s="1410"/>
    </row>
    <row r="236" spans="1:8" ht="16.5">
      <c r="A236" s="1410"/>
      <c r="B236" s="1410"/>
      <c r="C236" s="1410"/>
      <c r="D236" s="1410"/>
      <c r="E236" s="1410"/>
      <c r="F236" s="1410"/>
      <c r="G236" s="1410"/>
      <c r="H236" s="1410"/>
    </row>
    <row r="237" spans="1:8" ht="16.5">
      <c r="A237" s="1410"/>
      <c r="B237" s="1410"/>
      <c r="C237" s="1410"/>
      <c r="D237" s="1410"/>
      <c r="E237" s="1410"/>
      <c r="F237" s="1410"/>
      <c r="G237" s="1410"/>
      <c r="H237" s="1410"/>
    </row>
    <row r="238" spans="1:8" ht="16.5">
      <c r="A238" s="1410"/>
      <c r="B238" s="1410"/>
      <c r="C238" s="1410"/>
      <c r="D238" s="1410"/>
      <c r="E238" s="1410"/>
      <c r="F238" s="1410"/>
      <c r="G238" s="1410"/>
      <c r="H238" s="1410"/>
    </row>
    <row r="239" spans="1:8" ht="16.5">
      <c r="A239" s="1410"/>
      <c r="B239" s="1410"/>
      <c r="C239" s="1410"/>
      <c r="D239" s="1410"/>
      <c r="E239" s="1410"/>
      <c r="F239" s="1410"/>
      <c r="G239" s="1410"/>
      <c r="H239" s="1410"/>
    </row>
    <row r="240" spans="1:8" ht="16.5">
      <c r="A240" s="1410"/>
      <c r="B240" s="1410"/>
      <c r="C240" s="1410"/>
      <c r="D240" s="1410"/>
      <c r="E240" s="1410"/>
      <c r="F240" s="1410"/>
      <c r="G240" s="1410"/>
      <c r="H240" s="1410"/>
    </row>
    <row r="241" spans="1:8" ht="16.5">
      <c r="A241" s="1410"/>
      <c r="B241" s="1410"/>
      <c r="C241" s="1410"/>
      <c r="D241" s="1410"/>
      <c r="E241" s="1410"/>
      <c r="F241" s="1410"/>
      <c r="G241" s="1410"/>
      <c r="H241" s="1410"/>
    </row>
    <row r="242" spans="1:8" ht="16.5">
      <c r="A242" s="1410"/>
      <c r="B242" s="1410"/>
      <c r="C242" s="1410"/>
      <c r="D242" s="1410"/>
      <c r="E242" s="1410"/>
      <c r="F242" s="1410"/>
      <c r="G242" s="1410"/>
      <c r="H242" s="1410"/>
    </row>
    <row r="243" spans="1:8" ht="16.5">
      <c r="A243" s="1410"/>
      <c r="B243" s="1410"/>
      <c r="C243" s="1410"/>
      <c r="D243" s="1410"/>
      <c r="E243" s="1410"/>
      <c r="F243" s="1410"/>
      <c r="G243" s="1410"/>
      <c r="H243" s="1410"/>
    </row>
    <row r="244" spans="1:8" ht="16.5">
      <c r="A244" s="1410"/>
      <c r="B244" s="1410"/>
      <c r="C244" s="1410"/>
      <c r="D244" s="1410"/>
      <c r="E244" s="1410"/>
      <c r="F244" s="1410"/>
      <c r="G244" s="1410"/>
      <c r="H244" s="1410"/>
    </row>
    <row r="245" spans="1:8" ht="16.5">
      <c r="A245" s="1410"/>
      <c r="B245" s="1410"/>
      <c r="C245" s="1410"/>
      <c r="D245" s="1410"/>
      <c r="E245" s="1410"/>
      <c r="F245" s="1410"/>
      <c r="G245" s="1410"/>
      <c r="H245" s="1410"/>
    </row>
    <row r="246" spans="1:8" ht="16.5">
      <c r="A246" s="1410"/>
      <c r="B246" s="1410"/>
      <c r="C246" s="1410"/>
      <c r="D246" s="1410"/>
      <c r="E246" s="1410"/>
      <c r="F246" s="1410"/>
      <c r="G246" s="1410"/>
      <c r="H246" s="1410"/>
    </row>
    <row r="247" spans="1:8" ht="16.5">
      <c r="A247" s="1410"/>
      <c r="B247" s="1410"/>
      <c r="C247" s="1410"/>
      <c r="D247" s="1410"/>
      <c r="E247" s="1410"/>
      <c r="F247" s="1410"/>
      <c r="G247" s="1410"/>
      <c r="H247" s="1410"/>
    </row>
    <row r="248" spans="1:8" ht="16.5">
      <c r="A248" s="1410"/>
      <c r="B248" s="1410"/>
      <c r="C248" s="1410"/>
      <c r="D248" s="1410"/>
      <c r="E248" s="1410"/>
      <c r="F248" s="1410"/>
      <c r="G248" s="1410"/>
      <c r="H248" s="1410"/>
    </row>
    <row r="249" spans="1:8" ht="16.5">
      <c r="A249" s="1410"/>
      <c r="B249" s="1410"/>
      <c r="C249" s="1410"/>
      <c r="D249" s="1410"/>
      <c r="E249" s="1410"/>
      <c r="F249" s="1410"/>
      <c r="G249" s="1410"/>
      <c r="H249" s="1410"/>
    </row>
    <row r="250" spans="1:8" ht="16.5">
      <c r="A250" s="1410"/>
      <c r="B250" s="1410"/>
      <c r="C250" s="1410"/>
      <c r="D250" s="1410"/>
      <c r="E250" s="1410"/>
      <c r="F250" s="1410"/>
      <c r="G250" s="1410"/>
      <c r="H250" s="1410"/>
    </row>
    <row r="251" spans="1:8" ht="16.5">
      <c r="A251" s="1410"/>
      <c r="B251" s="1410"/>
      <c r="C251" s="1410"/>
      <c r="D251" s="1410"/>
      <c r="E251" s="1410"/>
      <c r="F251" s="1410"/>
      <c r="G251" s="1410"/>
      <c r="H251" s="1410"/>
    </row>
    <row r="252" spans="1:8" ht="16.5">
      <c r="A252" s="1410"/>
      <c r="B252" s="1410"/>
      <c r="C252" s="1410"/>
      <c r="D252" s="1410"/>
      <c r="E252" s="1410"/>
      <c r="F252" s="1410"/>
      <c r="G252" s="1410"/>
      <c r="H252" s="1410"/>
    </row>
    <row r="253" spans="1:8" ht="16.5">
      <c r="A253" s="1410"/>
      <c r="B253" s="1410"/>
      <c r="C253" s="1410"/>
      <c r="D253" s="1410"/>
      <c r="E253" s="1410"/>
      <c r="F253" s="1410"/>
      <c r="G253" s="1410"/>
      <c r="H253" s="1410"/>
    </row>
    <row r="254" spans="1:8" ht="16.5">
      <c r="A254" s="1410"/>
      <c r="B254" s="1410"/>
      <c r="C254" s="1410"/>
      <c r="D254" s="1410"/>
      <c r="E254" s="1410"/>
      <c r="F254" s="1410"/>
      <c r="G254" s="1410"/>
      <c r="H254" s="1410"/>
    </row>
    <row r="255" spans="1:8" ht="16.5">
      <c r="A255" s="1410"/>
      <c r="B255" s="1410"/>
      <c r="C255" s="1410"/>
      <c r="D255" s="1410"/>
      <c r="E255" s="1410"/>
      <c r="F255" s="1410"/>
      <c r="G255" s="1410"/>
      <c r="H255" s="1410"/>
    </row>
    <row r="256" spans="1:8" ht="16.5">
      <c r="A256" s="1410"/>
      <c r="B256" s="1410"/>
      <c r="C256" s="1410"/>
      <c r="D256" s="1410"/>
      <c r="E256" s="1410"/>
      <c r="F256" s="1410"/>
      <c r="G256" s="1410"/>
      <c r="H256" s="1410"/>
    </row>
    <row r="257" spans="1:8" ht="16.5">
      <c r="A257" s="1410"/>
      <c r="B257" s="1410"/>
      <c r="C257" s="1410"/>
      <c r="D257" s="1410"/>
      <c r="E257" s="1410"/>
      <c r="F257" s="1410"/>
      <c r="G257" s="1410"/>
      <c r="H257" s="1410"/>
    </row>
    <row r="258" spans="1:8" ht="16.5">
      <c r="A258" s="1410"/>
      <c r="B258" s="1410"/>
      <c r="C258" s="1410"/>
      <c r="D258" s="1410"/>
      <c r="E258" s="1410"/>
      <c r="F258" s="1410"/>
      <c r="G258" s="1410"/>
      <c r="H258" s="1410"/>
    </row>
    <row r="259" spans="1:8" ht="16.5">
      <c r="A259" s="1410"/>
      <c r="B259" s="1410"/>
      <c r="C259" s="1410"/>
      <c r="D259" s="1410"/>
      <c r="E259" s="1410"/>
      <c r="F259" s="1410"/>
      <c r="G259" s="1410"/>
      <c r="H259" s="1410"/>
    </row>
    <row r="260" spans="1:8" ht="16.5">
      <c r="A260" s="1410"/>
      <c r="B260" s="1410"/>
      <c r="C260" s="1410"/>
      <c r="D260" s="1410"/>
      <c r="E260" s="1410"/>
      <c r="F260" s="1410"/>
      <c r="G260" s="1410"/>
      <c r="H260" s="1410"/>
    </row>
    <row r="261" spans="1:8" ht="16.5">
      <c r="A261" s="1410"/>
      <c r="B261" s="1410"/>
      <c r="C261" s="1410"/>
      <c r="D261" s="1410"/>
      <c r="E261" s="1410"/>
      <c r="F261" s="1410"/>
      <c r="G261" s="1410"/>
      <c r="H261" s="1410"/>
    </row>
    <row r="262" spans="1:8" ht="16.5">
      <c r="A262" s="1410"/>
      <c r="B262" s="1410"/>
      <c r="C262" s="1410"/>
      <c r="D262" s="1410"/>
      <c r="E262" s="1410"/>
      <c r="F262" s="1410"/>
      <c r="G262" s="1410"/>
      <c r="H262" s="1410"/>
    </row>
    <row r="263" spans="1:8" ht="16.5">
      <c r="A263" s="1410"/>
      <c r="B263" s="1410"/>
      <c r="C263" s="1410"/>
      <c r="D263" s="1410"/>
      <c r="E263" s="1410"/>
      <c r="F263" s="1410"/>
      <c r="G263" s="1410"/>
      <c r="H263" s="1410"/>
    </row>
    <row r="264" spans="1:8" ht="16.5">
      <c r="A264" s="1410"/>
      <c r="B264" s="1410"/>
      <c r="C264" s="1410"/>
      <c r="D264" s="1410"/>
      <c r="E264" s="1410"/>
      <c r="F264" s="1410"/>
      <c r="G264" s="1410"/>
      <c r="H264" s="1410"/>
    </row>
    <row r="265" spans="1:8" ht="16.5">
      <c r="A265" s="1410"/>
      <c r="B265" s="1410"/>
      <c r="C265" s="1410"/>
      <c r="D265" s="1410"/>
      <c r="E265" s="1410"/>
      <c r="F265" s="1410"/>
      <c r="G265" s="1410"/>
      <c r="H265" s="1410"/>
    </row>
    <row r="266" spans="1:8" ht="16.5">
      <c r="A266" s="1410"/>
      <c r="B266" s="1410"/>
      <c r="C266" s="1410"/>
      <c r="D266" s="1410"/>
      <c r="E266" s="1410"/>
      <c r="F266" s="1410"/>
      <c r="G266" s="1410"/>
      <c r="H266" s="1410"/>
    </row>
    <row r="267" spans="1:8" ht="16.5">
      <c r="A267" s="1410"/>
      <c r="B267" s="1410"/>
      <c r="C267" s="1410"/>
      <c r="D267" s="1410"/>
      <c r="E267" s="1410"/>
      <c r="F267" s="1410"/>
      <c r="G267" s="1410"/>
      <c r="H267" s="1410"/>
    </row>
    <row r="268" spans="1:8" ht="16.5">
      <c r="A268" s="1410"/>
      <c r="B268" s="1410"/>
      <c r="C268" s="1410"/>
      <c r="D268" s="1410"/>
      <c r="E268" s="1410"/>
      <c r="F268" s="1410"/>
      <c r="G268" s="1410"/>
      <c r="H268" s="1410"/>
    </row>
    <row r="269" spans="1:8" ht="16.5">
      <c r="A269" s="1410"/>
      <c r="B269" s="1410"/>
      <c r="C269" s="1410"/>
      <c r="D269" s="1410"/>
      <c r="E269" s="1410"/>
      <c r="F269" s="1410"/>
      <c r="G269" s="1410"/>
      <c r="H269" s="1410"/>
    </row>
    <row r="270" spans="1:8" ht="16.5">
      <c r="A270" s="1410"/>
      <c r="B270" s="1410"/>
      <c r="C270" s="1410"/>
      <c r="D270" s="1410"/>
      <c r="E270" s="1410"/>
      <c r="F270" s="1410"/>
      <c r="G270" s="1410"/>
      <c r="H270" s="1410"/>
    </row>
    <row r="271" spans="1:8" ht="16.5">
      <c r="A271" s="1410"/>
      <c r="B271" s="1410"/>
      <c r="C271" s="1410"/>
      <c r="D271" s="1410"/>
      <c r="E271" s="1410"/>
      <c r="F271" s="1410"/>
      <c r="G271" s="1410"/>
      <c r="H271" s="1410"/>
    </row>
    <row r="272" spans="1:8" ht="16.5">
      <c r="A272" s="1410"/>
      <c r="B272" s="1410"/>
      <c r="C272" s="1410"/>
      <c r="D272" s="1410"/>
      <c r="E272" s="1410"/>
      <c r="F272" s="1410"/>
      <c r="G272" s="1410"/>
      <c r="H272" s="1410"/>
    </row>
    <row r="273" spans="1:8" ht="16.5">
      <c r="A273" s="1410"/>
      <c r="B273" s="1410"/>
      <c r="C273" s="1410"/>
      <c r="D273" s="1410"/>
      <c r="E273" s="1410"/>
      <c r="F273" s="1410"/>
      <c r="G273" s="1410"/>
      <c r="H273" s="1410"/>
    </row>
    <row r="274" spans="1:8" ht="16.5">
      <c r="A274" s="1410"/>
      <c r="B274" s="1410"/>
      <c r="C274" s="1410"/>
      <c r="D274" s="1410"/>
      <c r="E274" s="1410"/>
      <c r="F274" s="1410"/>
      <c r="G274" s="1410"/>
      <c r="H274" s="1410"/>
    </row>
    <row r="275" spans="1:8" ht="16.5">
      <c r="A275" s="1410"/>
      <c r="B275" s="1410"/>
      <c r="C275" s="1410"/>
      <c r="D275" s="1410"/>
      <c r="E275" s="1410"/>
      <c r="F275" s="1410"/>
      <c r="G275" s="1410"/>
      <c r="H275" s="1410"/>
    </row>
    <row r="276" spans="1:8" ht="16.5">
      <c r="A276" s="1410"/>
      <c r="B276" s="1410"/>
      <c r="C276" s="1410"/>
      <c r="D276" s="1410"/>
      <c r="E276" s="1410"/>
      <c r="F276" s="1410"/>
      <c r="G276" s="1410"/>
      <c r="H276" s="1410"/>
    </row>
    <row r="277" spans="1:8" ht="16.5">
      <c r="A277" s="1410"/>
      <c r="B277" s="1410"/>
      <c r="C277" s="1410"/>
      <c r="D277" s="1410"/>
      <c r="E277" s="1410"/>
      <c r="F277" s="1410"/>
      <c r="G277" s="1410"/>
      <c r="H277" s="1410"/>
    </row>
    <row r="278" spans="1:8" ht="16.5">
      <c r="A278" s="1410"/>
      <c r="B278" s="1410"/>
      <c r="C278" s="1410"/>
      <c r="D278" s="1410"/>
      <c r="E278" s="1410"/>
      <c r="F278" s="1410"/>
      <c r="G278" s="1410"/>
      <c r="H278" s="1410"/>
    </row>
    <row r="279" spans="1:8" ht="16.5">
      <c r="A279" s="1410"/>
      <c r="B279" s="1410"/>
      <c r="C279" s="1410"/>
      <c r="D279" s="1410"/>
      <c r="E279" s="1410"/>
      <c r="F279" s="1410"/>
      <c r="G279" s="1410"/>
      <c r="H279" s="1410"/>
    </row>
    <row r="280" spans="1:8" ht="16.5">
      <c r="A280" s="1410"/>
      <c r="B280" s="1410"/>
      <c r="C280" s="1410"/>
      <c r="D280" s="1410"/>
      <c r="E280" s="1410"/>
      <c r="F280" s="1410"/>
      <c r="G280" s="1410"/>
      <c r="H280" s="1410"/>
    </row>
    <row r="281" spans="1:8" ht="16.5">
      <c r="A281" s="1410"/>
      <c r="B281" s="1410"/>
      <c r="C281" s="1410"/>
      <c r="D281" s="1410"/>
      <c r="E281" s="1410"/>
      <c r="F281" s="1410"/>
      <c r="G281" s="1410"/>
      <c r="H281" s="1410"/>
    </row>
    <row r="282" spans="1:8" ht="16.5">
      <c r="A282" s="1410"/>
      <c r="B282" s="1410"/>
      <c r="C282" s="1410"/>
      <c r="D282" s="1410"/>
      <c r="E282" s="1410"/>
      <c r="F282" s="1410"/>
      <c r="G282" s="1410"/>
      <c r="H282" s="1410"/>
    </row>
    <row r="283" spans="1:8" ht="16.5">
      <c r="A283" s="1410"/>
      <c r="B283" s="1410"/>
      <c r="C283" s="1410"/>
      <c r="D283" s="1410"/>
      <c r="E283" s="1410"/>
      <c r="F283" s="1410"/>
      <c r="G283" s="1410"/>
      <c r="H283" s="1410"/>
    </row>
    <row r="284" spans="1:8" ht="16.5">
      <c r="A284" s="1410"/>
      <c r="B284" s="1410"/>
      <c r="C284" s="1410"/>
      <c r="D284" s="1410"/>
      <c r="E284" s="1410"/>
      <c r="F284" s="1410"/>
      <c r="G284" s="1410"/>
      <c r="H284" s="1410"/>
    </row>
    <row r="285" spans="1:8" ht="16.5">
      <c r="A285" s="1410"/>
      <c r="B285" s="1410"/>
      <c r="C285" s="1410"/>
      <c r="D285" s="1410"/>
      <c r="E285" s="1410"/>
      <c r="F285" s="1410"/>
      <c r="G285" s="1410"/>
      <c r="H285" s="1410"/>
    </row>
    <row r="286" spans="1:8" ht="16.5">
      <c r="A286" s="1410"/>
      <c r="B286" s="1410"/>
      <c r="C286" s="1410"/>
      <c r="D286" s="1410"/>
      <c r="E286" s="1410"/>
      <c r="F286" s="1410"/>
      <c r="G286" s="1410"/>
      <c r="H286" s="1410"/>
    </row>
    <row r="287" spans="1:8" ht="16.5">
      <c r="A287" s="1410"/>
      <c r="B287" s="1410"/>
      <c r="C287" s="1410"/>
      <c r="D287" s="1410"/>
      <c r="E287" s="1410"/>
      <c r="F287" s="1410"/>
      <c r="G287" s="1410"/>
      <c r="H287" s="1410"/>
    </row>
    <row r="288" spans="1:8" ht="16.5">
      <c r="A288" s="1410"/>
      <c r="B288" s="1410"/>
      <c r="C288" s="1410"/>
      <c r="D288" s="1410"/>
      <c r="E288" s="1410"/>
      <c r="F288" s="1410"/>
      <c r="G288" s="1410"/>
      <c r="H288" s="1410"/>
    </row>
    <row r="289" spans="1:8" ht="16.5">
      <c r="A289" s="1410"/>
      <c r="B289" s="1410"/>
      <c r="C289" s="1410"/>
      <c r="D289" s="1410"/>
      <c r="E289" s="1410"/>
      <c r="F289" s="1410"/>
      <c r="G289" s="1410"/>
      <c r="H289" s="1410"/>
    </row>
    <row r="290" spans="1:8" ht="16.5">
      <c r="A290" s="1410"/>
      <c r="B290" s="1410"/>
      <c r="C290" s="1410"/>
      <c r="D290" s="1410"/>
      <c r="E290" s="1410"/>
      <c r="F290" s="1410"/>
      <c r="G290" s="1410"/>
      <c r="H290" s="1410"/>
    </row>
    <row r="291" spans="1:8" ht="16.5">
      <c r="A291" s="1410"/>
      <c r="B291" s="1410"/>
      <c r="C291" s="1410"/>
      <c r="D291" s="1410"/>
      <c r="E291" s="1410"/>
      <c r="F291" s="1410"/>
      <c r="G291" s="1410"/>
      <c r="H291" s="1410"/>
    </row>
    <row r="292" spans="1:8" ht="16.5">
      <c r="A292" s="1410"/>
      <c r="B292" s="1410"/>
      <c r="C292" s="1410"/>
      <c r="D292" s="1410"/>
      <c r="E292" s="1410"/>
      <c r="F292" s="1410"/>
      <c r="G292" s="1410"/>
      <c r="H292" s="1410"/>
    </row>
    <row r="293" spans="1:8" ht="16.5">
      <c r="A293" s="1410"/>
      <c r="B293" s="1410"/>
      <c r="C293" s="1410"/>
      <c r="D293" s="1410"/>
      <c r="E293" s="1410"/>
      <c r="F293" s="1410"/>
      <c r="G293" s="1410"/>
      <c r="H293" s="1410"/>
    </row>
    <row r="294" spans="1:8" ht="16.5">
      <c r="A294" s="1410"/>
      <c r="B294" s="1410"/>
      <c r="C294" s="1410"/>
      <c r="D294" s="1410"/>
      <c r="E294" s="1410"/>
      <c r="F294" s="1410"/>
      <c r="G294" s="1410"/>
      <c r="H294" s="1410"/>
    </row>
    <row r="295" spans="1:8" ht="16.5">
      <c r="A295" s="1410"/>
      <c r="B295" s="1410"/>
      <c r="C295" s="1410"/>
      <c r="D295" s="1410"/>
      <c r="E295" s="1410"/>
      <c r="F295" s="1410"/>
      <c r="G295" s="1410"/>
      <c r="H295" s="1410"/>
    </row>
    <row r="296" spans="1:8" ht="16.5">
      <c r="A296" s="1410"/>
      <c r="B296" s="1410"/>
      <c r="C296" s="1410"/>
      <c r="D296" s="1410"/>
      <c r="E296" s="1410"/>
      <c r="F296" s="1410"/>
      <c r="G296" s="1410"/>
      <c r="H296" s="1410"/>
    </row>
    <row r="297" spans="1:8" ht="16.5">
      <c r="A297" s="1410"/>
      <c r="B297" s="1410"/>
      <c r="C297" s="1410"/>
      <c r="D297" s="1410"/>
      <c r="E297" s="1410"/>
      <c r="F297" s="1410"/>
      <c r="G297" s="1410"/>
      <c r="H297" s="1410"/>
    </row>
    <row r="298" spans="1:8" ht="16.5">
      <c r="A298" s="1410"/>
      <c r="B298" s="1410"/>
      <c r="C298" s="1410"/>
      <c r="D298" s="1410"/>
      <c r="E298" s="1410"/>
      <c r="F298" s="1410"/>
      <c r="G298" s="1410"/>
      <c r="H298" s="1410"/>
    </row>
    <row r="299" spans="1:8" ht="16.5">
      <c r="A299" s="1410"/>
      <c r="B299" s="1410"/>
      <c r="C299" s="1410"/>
      <c r="D299" s="1410"/>
      <c r="E299" s="1410"/>
      <c r="F299" s="1410"/>
      <c r="G299" s="1410"/>
      <c r="H299" s="1410"/>
    </row>
    <row r="300" spans="1:8" ht="16.5">
      <c r="A300" s="1410"/>
      <c r="B300" s="1410"/>
      <c r="C300" s="1410"/>
      <c r="D300" s="1410"/>
      <c r="E300" s="1410"/>
      <c r="F300" s="1410"/>
      <c r="G300" s="1410"/>
      <c r="H300" s="1410"/>
    </row>
    <row r="301" spans="1:8" ht="16.5">
      <c r="A301" s="1410"/>
      <c r="B301" s="1410"/>
      <c r="C301" s="1410"/>
      <c r="D301" s="1410"/>
      <c r="E301" s="1410"/>
      <c r="F301" s="1410"/>
      <c r="G301" s="1410"/>
      <c r="H301" s="1410"/>
    </row>
    <row r="302" spans="1:8" ht="16.5">
      <c r="A302" s="1410"/>
      <c r="B302" s="1410"/>
      <c r="C302" s="1410"/>
      <c r="D302" s="1410"/>
      <c r="E302" s="1410"/>
      <c r="F302" s="1410"/>
      <c r="G302" s="1410"/>
      <c r="H302" s="1410"/>
    </row>
    <row r="303" spans="1:8" ht="16.5">
      <c r="A303" s="1410"/>
      <c r="B303" s="1410"/>
      <c r="C303" s="1410"/>
      <c r="D303" s="1410"/>
      <c r="E303" s="1410"/>
      <c r="F303" s="1410"/>
      <c r="G303" s="1410"/>
      <c r="H303" s="1410"/>
    </row>
    <row r="304" spans="1:8" ht="16.5">
      <c r="A304" s="1410"/>
      <c r="B304" s="1410"/>
      <c r="C304" s="1410"/>
      <c r="D304" s="1410"/>
      <c r="E304" s="1410"/>
      <c r="F304" s="1410"/>
      <c r="G304" s="1410"/>
      <c r="H304" s="1410"/>
    </row>
    <row r="305" spans="1:8" ht="16.5">
      <c r="A305" s="1410"/>
      <c r="B305" s="1410"/>
      <c r="C305" s="1410"/>
      <c r="D305" s="1410"/>
      <c r="E305" s="1410"/>
      <c r="F305" s="1410"/>
      <c r="G305" s="1410"/>
      <c r="H305" s="1410"/>
    </row>
    <row r="306" spans="1:8" ht="16.5">
      <c r="A306" s="1410"/>
      <c r="B306" s="1410"/>
      <c r="C306" s="1410"/>
      <c r="D306" s="1410"/>
      <c r="E306" s="1410"/>
      <c r="F306" s="1410"/>
      <c r="G306" s="1410"/>
      <c r="H306" s="1410"/>
    </row>
    <row r="307" spans="1:8" ht="16.5">
      <c r="A307" s="1410"/>
      <c r="B307" s="1410"/>
      <c r="C307" s="1410"/>
      <c r="D307" s="1410"/>
      <c r="E307" s="1410"/>
      <c r="F307" s="1410"/>
      <c r="G307" s="1410"/>
      <c r="H307" s="1410"/>
    </row>
    <row r="308" spans="1:8" ht="16.5">
      <c r="A308" s="1410"/>
      <c r="B308" s="1410"/>
      <c r="C308" s="1410"/>
      <c r="D308" s="1410"/>
      <c r="E308" s="1410"/>
      <c r="F308" s="1410"/>
      <c r="G308" s="1410"/>
      <c r="H308" s="1410"/>
    </row>
    <row r="309" spans="1:8" ht="16.5">
      <c r="A309" s="1410"/>
      <c r="B309" s="1410"/>
      <c r="C309" s="1410"/>
      <c r="D309" s="1410"/>
      <c r="E309" s="1410"/>
      <c r="F309" s="1410"/>
      <c r="G309" s="1410"/>
      <c r="H309" s="1410"/>
    </row>
    <row r="310" spans="1:8" ht="16.5">
      <c r="A310" s="1410"/>
      <c r="B310" s="1410"/>
      <c r="C310" s="1410"/>
      <c r="D310" s="1410"/>
      <c r="E310" s="1410"/>
      <c r="F310" s="1410"/>
      <c r="G310" s="1410"/>
      <c r="H310" s="1410"/>
    </row>
    <row r="311" spans="1:8" ht="16.5">
      <c r="A311" s="1410"/>
      <c r="B311" s="1410"/>
      <c r="C311" s="1410"/>
      <c r="D311" s="1410"/>
      <c r="E311" s="1410"/>
      <c r="F311" s="1410"/>
      <c r="G311" s="1410"/>
      <c r="H311" s="1410"/>
    </row>
    <row r="312" spans="1:8" ht="16.5">
      <c r="A312" s="1410"/>
      <c r="B312" s="1410"/>
      <c r="C312" s="1410"/>
      <c r="D312" s="1410"/>
      <c r="E312" s="1410"/>
      <c r="F312" s="1410"/>
      <c r="G312" s="1410"/>
      <c r="H312" s="1410"/>
    </row>
    <row r="313" spans="1:8" ht="16.5">
      <c r="A313" s="1410"/>
      <c r="B313" s="1410"/>
      <c r="C313" s="1410"/>
      <c r="D313" s="1410"/>
      <c r="E313" s="1410"/>
      <c r="F313" s="1410"/>
      <c r="G313" s="1410"/>
      <c r="H313" s="1410"/>
    </row>
    <row r="314" spans="1:8" ht="16.5">
      <c r="A314" s="1410"/>
      <c r="B314" s="1410"/>
      <c r="C314" s="1410"/>
      <c r="D314" s="1410"/>
      <c r="E314" s="1410"/>
      <c r="F314" s="1410"/>
      <c r="G314" s="1410"/>
      <c r="H314" s="1410"/>
    </row>
    <row r="315" spans="1:8" ht="16.5">
      <c r="A315" s="1410"/>
      <c r="B315" s="1410"/>
      <c r="C315" s="1410"/>
      <c r="D315" s="1410"/>
      <c r="E315" s="1410"/>
      <c r="F315" s="1410"/>
      <c r="G315" s="1410"/>
      <c r="H315" s="1410"/>
    </row>
    <row r="316" spans="1:8" ht="16.5">
      <c r="A316" s="1410"/>
      <c r="B316" s="1410"/>
      <c r="C316" s="1410"/>
      <c r="D316" s="1410"/>
      <c r="E316" s="1410"/>
      <c r="F316" s="1410"/>
      <c r="G316" s="1410"/>
      <c r="H316" s="1410"/>
    </row>
    <row r="317" spans="1:8" ht="16.5">
      <c r="A317" s="1410"/>
      <c r="B317" s="1410"/>
      <c r="C317" s="1410"/>
      <c r="D317" s="1410"/>
      <c r="E317" s="1410"/>
      <c r="F317" s="1410"/>
      <c r="G317" s="1410"/>
      <c r="H317" s="1410"/>
    </row>
    <row r="318" spans="1:8" ht="16.5">
      <c r="A318" s="1410"/>
      <c r="B318" s="1410"/>
      <c r="C318" s="1410"/>
      <c r="D318" s="1410"/>
      <c r="E318" s="1410"/>
      <c r="F318" s="1410"/>
      <c r="G318" s="1410"/>
      <c r="H318" s="1410"/>
    </row>
    <row r="319" spans="1:8" ht="16.5">
      <c r="A319" s="1410"/>
      <c r="B319" s="1410"/>
      <c r="C319" s="1410"/>
      <c r="D319" s="1410"/>
      <c r="E319" s="1410"/>
      <c r="F319" s="1410"/>
      <c r="G319" s="1410"/>
      <c r="H319" s="1410"/>
    </row>
    <row r="320" spans="1:8" ht="16.5">
      <c r="A320" s="1410"/>
      <c r="B320" s="1410"/>
      <c r="C320" s="1410"/>
      <c r="D320" s="1410"/>
      <c r="E320" s="1410"/>
      <c r="F320" s="1410"/>
      <c r="G320" s="1410"/>
      <c r="H320" s="1410"/>
    </row>
    <row r="321" spans="1:8" ht="16.5">
      <c r="A321" s="1410"/>
      <c r="B321" s="1410"/>
      <c r="C321" s="1410"/>
      <c r="D321" s="1410"/>
      <c r="E321" s="1410"/>
      <c r="F321" s="1410"/>
      <c r="G321" s="1410"/>
      <c r="H321" s="1410"/>
    </row>
    <row r="322" spans="1:8" ht="16.5">
      <c r="A322" s="1410"/>
      <c r="B322" s="1410"/>
      <c r="C322" s="1410"/>
      <c r="D322" s="1410"/>
      <c r="E322" s="1410"/>
      <c r="F322" s="1410"/>
      <c r="G322" s="1410"/>
      <c r="H322" s="1410"/>
    </row>
    <row r="323" spans="1:8" ht="16.5">
      <c r="A323" s="1410"/>
      <c r="B323" s="1410"/>
      <c r="C323" s="1410"/>
      <c r="D323" s="1410"/>
      <c r="E323" s="1410"/>
      <c r="F323" s="1410"/>
      <c r="G323" s="1410"/>
      <c r="H323" s="1410"/>
    </row>
    <row r="324" spans="1:8" ht="16.5">
      <c r="A324" s="1410"/>
      <c r="B324" s="1410"/>
      <c r="C324" s="1410"/>
      <c r="D324" s="1410"/>
      <c r="E324" s="1410"/>
      <c r="F324" s="1410"/>
      <c r="G324" s="1410"/>
      <c r="H324" s="1410"/>
    </row>
    <row r="325" spans="1:8" ht="16.5">
      <c r="A325" s="1410"/>
      <c r="B325" s="1410"/>
      <c r="C325" s="1410"/>
      <c r="D325" s="1410"/>
      <c r="E325" s="1410"/>
      <c r="F325" s="1410"/>
      <c r="G325" s="1410"/>
      <c r="H325" s="1410"/>
    </row>
    <row r="326" spans="1:8" ht="16.5">
      <c r="A326" s="1410"/>
      <c r="B326" s="1410"/>
      <c r="C326" s="1410"/>
      <c r="D326" s="1410"/>
      <c r="E326" s="1410"/>
      <c r="F326" s="1410"/>
      <c r="G326" s="1410"/>
      <c r="H326" s="1410"/>
    </row>
    <row r="327" spans="1:8" ht="16.5">
      <c r="A327" s="1410"/>
      <c r="B327" s="1410"/>
      <c r="C327" s="1410"/>
      <c r="D327" s="1410"/>
      <c r="E327" s="1410"/>
      <c r="F327" s="1410"/>
      <c r="G327" s="1410"/>
      <c r="H327" s="1410"/>
    </row>
    <row r="328" spans="1:8" ht="16.5">
      <c r="A328" s="1410"/>
      <c r="B328" s="1410"/>
      <c r="C328" s="1410"/>
      <c r="D328" s="1410"/>
      <c r="E328" s="1410"/>
      <c r="F328" s="1410"/>
      <c r="G328" s="1410"/>
      <c r="H328" s="1410"/>
    </row>
    <row r="329" spans="1:8" ht="16.5">
      <c r="A329" s="1410"/>
      <c r="B329" s="1410"/>
      <c r="C329" s="1410"/>
      <c r="D329" s="1410"/>
      <c r="E329" s="1410"/>
      <c r="F329" s="1410"/>
      <c r="G329" s="1410"/>
      <c r="H329" s="1410"/>
    </row>
    <row r="330" spans="1:8" ht="16.5">
      <c r="A330" s="1410"/>
      <c r="B330" s="1410"/>
      <c r="C330" s="1410"/>
      <c r="D330" s="1410"/>
      <c r="E330" s="1410"/>
      <c r="F330" s="1410"/>
      <c r="G330" s="1410"/>
      <c r="H330" s="1410"/>
    </row>
    <row r="331" spans="1:8" ht="16.5">
      <c r="A331" s="1410"/>
      <c r="B331" s="1410"/>
      <c r="C331" s="1410"/>
      <c r="D331" s="1410"/>
      <c r="E331" s="1410"/>
      <c r="F331" s="1410"/>
      <c r="G331" s="1410"/>
      <c r="H331" s="1410"/>
    </row>
    <row r="332" spans="1:8" ht="16.5">
      <c r="A332" s="1410"/>
      <c r="B332" s="1410"/>
      <c r="C332" s="1410"/>
      <c r="D332" s="1410"/>
      <c r="E332" s="1410"/>
      <c r="F332" s="1410"/>
      <c r="G332" s="1410"/>
      <c r="H332" s="1410"/>
    </row>
    <row r="333" spans="1:8" ht="16.5">
      <c r="A333" s="1410"/>
      <c r="B333" s="1410"/>
      <c r="C333" s="1410"/>
      <c r="D333" s="1410"/>
      <c r="E333" s="1410"/>
      <c r="F333" s="1410"/>
      <c r="G333" s="1410"/>
      <c r="H333" s="1410"/>
    </row>
    <row r="334" spans="1:8" ht="16.5">
      <c r="A334" s="1410"/>
      <c r="B334" s="1410"/>
      <c r="C334" s="1410"/>
      <c r="D334" s="1410"/>
      <c r="E334" s="1410"/>
      <c r="F334" s="1410"/>
      <c r="G334" s="1410"/>
      <c r="H334" s="1410"/>
    </row>
    <row r="335" spans="1:8" ht="16.5">
      <c r="A335" s="1410"/>
      <c r="B335" s="1410"/>
      <c r="C335" s="1410"/>
      <c r="D335" s="1410"/>
      <c r="E335" s="1410"/>
      <c r="F335" s="1410"/>
      <c r="G335" s="1410"/>
      <c r="H335" s="1410"/>
    </row>
    <row r="336" spans="1:8" ht="16.5">
      <c r="A336" s="1410"/>
      <c r="B336" s="1410"/>
      <c r="C336" s="1410"/>
      <c r="D336" s="1410"/>
      <c r="E336" s="1410"/>
      <c r="F336" s="1410"/>
      <c r="G336" s="1410"/>
      <c r="H336" s="1410"/>
    </row>
    <row r="337" spans="1:8" ht="16.5">
      <c r="A337" s="1410"/>
      <c r="B337" s="1410"/>
      <c r="C337" s="1410"/>
      <c r="D337" s="1410"/>
      <c r="E337" s="1410"/>
      <c r="F337" s="1410"/>
      <c r="G337" s="1410"/>
      <c r="H337" s="1410"/>
    </row>
    <row r="338" spans="1:8" ht="16.5">
      <c r="A338" s="1410"/>
      <c r="B338" s="1410"/>
      <c r="C338" s="1410"/>
      <c r="D338" s="1410"/>
      <c r="E338" s="1410"/>
      <c r="F338" s="1410"/>
      <c r="G338" s="1410"/>
      <c r="H338" s="1410"/>
    </row>
    <row r="339" spans="1:8" ht="16.5">
      <c r="A339" s="1410"/>
      <c r="B339" s="1410"/>
      <c r="C339" s="1410"/>
      <c r="D339" s="1410"/>
      <c r="E339" s="1410"/>
      <c r="F339" s="1410"/>
      <c r="G339" s="1410"/>
      <c r="H339" s="1410"/>
    </row>
    <row r="340" spans="1:8" ht="16.5">
      <c r="A340" s="1410"/>
      <c r="B340" s="1410"/>
      <c r="C340" s="1410"/>
      <c r="D340" s="1410"/>
      <c r="E340" s="1410"/>
      <c r="F340" s="1410"/>
      <c r="G340" s="1410"/>
      <c r="H340" s="1410"/>
    </row>
    <row r="341" spans="1:8" ht="16.5">
      <c r="A341" s="1410"/>
      <c r="B341" s="1410"/>
      <c r="C341" s="1410"/>
      <c r="D341" s="1410"/>
      <c r="E341" s="1410"/>
      <c r="F341" s="1410"/>
      <c r="G341" s="1410"/>
      <c r="H341" s="1410"/>
    </row>
    <row r="342" spans="1:8" ht="16.5">
      <c r="A342" s="1410"/>
      <c r="B342" s="1410"/>
      <c r="C342" s="1410"/>
      <c r="D342" s="1410"/>
      <c r="E342" s="1410"/>
      <c r="F342" s="1410"/>
      <c r="G342" s="1410"/>
      <c r="H342" s="1410"/>
    </row>
    <row r="343" spans="1:8" ht="16.5">
      <c r="A343" s="1410"/>
      <c r="B343" s="1410"/>
      <c r="C343" s="1410"/>
      <c r="D343" s="1410"/>
      <c r="E343" s="1410"/>
      <c r="F343" s="1410"/>
      <c r="G343" s="1410"/>
      <c r="H343" s="1410"/>
    </row>
    <row r="344" spans="1:8" ht="16.5">
      <c r="A344" s="1410"/>
      <c r="B344" s="1410"/>
      <c r="C344" s="1410"/>
      <c r="D344" s="1410"/>
      <c r="E344" s="1410"/>
      <c r="F344" s="1410"/>
      <c r="G344" s="1410"/>
      <c r="H344" s="1410"/>
    </row>
    <row r="345" spans="1:8" ht="16.5">
      <c r="A345" s="1410"/>
      <c r="B345" s="1410"/>
      <c r="C345" s="1410"/>
      <c r="D345" s="1410"/>
      <c r="E345" s="1410"/>
      <c r="F345" s="1410"/>
      <c r="G345" s="1410"/>
      <c r="H345" s="1410"/>
    </row>
    <row r="346" spans="1:8" ht="16.5">
      <c r="A346" s="1410"/>
      <c r="B346" s="1410"/>
      <c r="C346" s="1410"/>
      <c r="D346" s="1410"/>
      <c r="E346" s="1410"/>
      <c r="F346" s="1410"/>
      <c r="G346" s="1410"/>
      <c r="H346" s="1410"/>
    </row>
    <row r="347" spans="1:8" ht="16.5">
      <c r="A347" s="1410"/>
      <c r="B347" s="1410"/>
      <c r="C347" s="1410"/>
      <c r="D347" s="1410"/>
      <c r="E347" s="1410"/>
      <c r="F347" s="1410"/>
      <c r="G347" s="1410"/>
      <c r="H347" s="1410"/>
    </row>
    <row r="348" spans="1:8" ht="16.5">
      <c r="A348" s="1410"/>
      <c r="B348" s="1410"/>
      <c r="C348" s="1410"/>
      <c r="D348" s="1410"/>
      <c r="E348" s="1410"/>
      <c r="F348" s="1410"/>
      <c r="G348" s="1410"/>
      <c r="H348" s="1410"/>
    </row>
    <row r="349" spans="1:8" ht="16.5">
      <c r="A349" s="1410"/>
      <c r="B349" s="1410"/>
      <c r="C349" s="1410"/>
      <c r="D349" s="1410"/>
      <c r="E349" s="1410"/>
      <c r="F349" s="1410"/>
      <c r="G349" s="1410"/>
      <c r="H349" s="1410"/>
    </row>
    <row r="350" spans="1:8" ht="16.5">
      <c r="A350" s="1410"/>
      <c r="B350" s="1410"/>
      <c r="C350" s="1410"/>
      <c r="D350" s="1410"/>
      <c r="E350" s="1410"/>
      <c r="F350" s="1410"/>
      <c r="G350" s="1410"/>
      <c r="H350" s="1410"/>
    </row>
    <row r="351" spans="1:8" ht="16.5">
      <c r="A351" s="1410"/>
      <c r="B351" s="1410"/>
      <c r="C351" s="1410"/>
      <c r="D351" s="1410"/>
      <c r="E351" s="1410"/>
      <c r="F351" s="1410"/>
      <c r="G351" s="1410"/>
      <c r="H351" s="1410"/>
    </row>
    <row r="352" spans="1:8" ht="16.5">
      <c r="A352" s="1410"/>
      <c r="B352" s="1410"/>
      <c r="C352" s="1410"/>
      <c r="D352" s="1410"/>
      <c r="E352" s="1410"/>
      <c r="F352" s="1410"/>
      <c r="G352" s="1410"/>
      <c r="H352" s="1410"/>
    </row>
    <row r="353" spans="1:8" ht="16.5">
      <c r="A353" s="1410"/>
      <c r="B353" s="1410"/>
      <c r="C353" s="1410"/>
      <c r="D353" s="1410"/>
      <c r="E353" s="1410"/>
      <c r="F353" s="1410"/>
      <c r="G353" s="1410"/>
      <c r="H353" s="1410"/>
    </row>
    <row r="354" spans="1:8" ht="16.5">
      <c r="A354" s="1410"/>
      <c r="B354" s="1410"/>
      <c r="C354" s="1410"/>
      <c r="D354" s="1410"/>
      <c r="E354" s="1410"/>
      <c r="F354" s="1410"/>
      <c r="G354" s="1410"/>
      <c r="H354" s="1410"/>
    </row>
    <row r="355" spans="1:8" ht="16.5">
      <c r="A355" s="1410"/>
      <c r="B355" s="1410"/>
      <c r="C355" s="1410"/>
      <c r="D355" s="1410"/>
      <c r="E355" s="1410"/>
      <c r="F355" s="1410"/>
      <c r="G355" s="1410"/>
      <c r="H355" s="1410"/>
    </row>
    <row r="356" spans="1:8" ht="16.5">
      <c r="A356" s="1410"/>
      <c r="B356" s="1410"/>
      <c r="C356" s="1410"/>
      <c r="D356" s="1410"/>
      <c r="E356" s="1410"/>
      <c r="F356" s="1410"/>
      <c r="G356" s="1410"/>
      <c r="H356" s="1410"/>
    </row>
    <row r="357" spans="1:8" ht="16.5">
      <c r="A357" s="1410"/>
      <c r="B357" s="1410"/>
      <c r="C357" s="1410"/>
      <c r="D357" s="1410"/>
      <c r="E357" s="1410"/>
      <c r="F357" s="1410"/>
      <c r="G357" s="1410"/>
      <c r="H357" s="1410"/>
    </row>
    <row r="358" spans="1:8" ht="16.5">
      <c r="A358" s="1410"/>
      <c r="B358" s="1410"/>
      <c r="C358" s="1410"/>
      <c r="D358" s="1410"/>
      <c r="E358" s="1410"/>
      <c r="F358" s="1410"/>
      <c r="G358" s="1410"/>
      <c r="H358" s="1410"/>
    </row>
    <row r="359" spans="1:8" ht="16.5">
      <c r="A359" s="1410"/>
      <c r="B359" s="1410"/>
      <c r="C359" s="1410"/>
      <c r="D359" s="1410"/>
      <c r="E359" s="1410"/>
      <c r="F359" s="1410"/>
      <c r="G359" s="1410"/>
      <c r="H359" s="1410"/>
    </row>
    <row r="360" spans="1:8" ht="16.5">
      <c r="A360" s="1410"/>
      <c r="B360" s="1410"/>
      <c r="C360" s="1410"/>
      <c r="D360" s="1410"/>
      <c r="E360" s="1410"/>
      <c r="F360" s="1410"/>
      <c r="G360" s="1410"/>
      <c r="H360" s="1410"/>
    </row>
    <row r="361" spans="1:8" ht="16.5">
      <c r="A361" s="1410"/>
      <c r="B361" s="1410"/>
      <c r="C361" s="1410"/>
      <c r="D361" s="1410"/>
      <c r="E361" s="1410"/>
      <c r="F361" s="1410"/>
      <c r="G361" s="1410"/>
      <c r="H361" s="1410"/>
    </row>
    <row r="362" spans="1:8" ht="16.5">
      <c r="A362" s="1410"/>
      <c r="B362" s="1410"/>
      <c r="C362" s="1410"/>
      <c r="D362" s="1410"/>
      <c r="E362" s="1410"/>
      <c r="F362" s="1410"/>
      <c r="G362" s="1410"/>
      <c r="H362" s="1410"/>
    </row>
    <row r="363" spans="1:8" ht="16.5">
      <c r="A363" s="1410"/>
      <c r="B363" s="1410"/>
      <c r="C363" s="1410"/>
      <c r="D363" s="1410"/>
      <c r="E363" s="1410"/>
      <c r="F363" s="1410"/>
      <c r="G363" s="1410"/>
      <c r="H363" s="1410"/>
    </row>
    <row r="364" spans="1:8" ht="16.5">
      <c r="A364" s="1410"/>
      <c r="B364" s="1410"/>
      <c r="C364" s="1410"/>
      <c r="D364" s="1410"/>
      <c r="E364" s="1410"/>
      <c r="F364" s="1410"/>
      <c r="G364" s="1410"/>
      <c r="H364" s="1410"/>
    </row>
    <row r="365" spans="1:8" ht="16.5">
      <c r="A365" s="1410"/>
      <c r="B365" s="1410"/>
      <c r="C365" s="1410"/>
      <c r="D365" s="1410"/>
      <c r="E365" s="1410"/>
      <c r="F365" s="1410"/>
      <c r="G365" s="1410"/>
      <c r="H365" s="1410"/>
    </row>
    <row r="366" spans="1:8" ht="16.5">
      <c r="A366" s="1410"/>
      <c r="B366" s="1410"/>
      <c r="C366" s="1410"/>
      <c r="D366" s="1410"/>
      <c r="E366" s="1410"/>
      <c r="F366" s="1410"/>
      <c r="G366" s="1410"/>
      <c r="H366" s="1410"/>
    </row>
    <row r="367" spans="1:8" ht="16.5">
      <c r="A367" s="1410"/>
      <c r="B367" s="1410"/>
      <c r="C367" s="1410"/>
      <c r="D367" s="1410"/>
      <c r="E367" s="1410"/>
      <c r="F367" s="1410"/>
      <c r="G367" s="1410"/>
      <c r="H367" s="1410"/>
    </row>
    <row r="368" spans="1:8" ht="16.5">
      <c r="A368" s="1410"/>
      <c r="B368" s="1410"/>
      <c r="C368" s="1410"/>
      <c r="D368" s="1410"/>
      <c r="E368" s="1410"/>
      <c r="F368" s="1410"/>
      <c r="G368" s="1410"/>
      <c r="H368" s="1410"/>
    </row>
    <row r="369" spans="1:8" ht="16.5">
      <c r="A369" s="1410"/>
      <c r="B369" s="1410"/>
      <c r="C369" s="1410"/>
      <c r="D369" s="1410"/>
      <c r="E369" s="1410"/>
      <c r="F369" s="1410"/>
      <c r="G369" s="1410"/>
      <c r="H369" s="1410"/>
    </row>
    <row r="370" spans="1:8" ht="16.5">
      <c r="A370" s="1410"/>
      <c r="B370" s="1410"/>
      <c r="C370" s="1410"/>
      <c r="D370" s="1410"/>
      <c r="E370" s="1410"/>
      <c r="F370" s="1410"/>
      <c r="G370" s="1410"/>
      <c r="H370" s="1410"/>
    </row>
    <row r="371" spans="1:8" ht="16.5">
      <c r="A371" s="1410"/>
      <c r="B371" s="1410"/>
      <c r="C371" s="1410"/>
      <c r="D371" s="1410"/>
      <c r="E371" s="1410"/>
      <c r="F371" s="1410"/>
      <c r="G371" s="1410"/>
      <c r="H371" s="1410"/>
    </row>
    <row r="372" spans="1:8" ht="16.5">
      <c r="A372" s="1410"/>
      <c r="B372" s="1410"/>
      <c r="C372" s="1410"/>
      <c r="D372" s="1410"/>
      <c r="E372" s="1410"/>
      <c r="F372" s="1410"/>
      <c r="G372" s="1410"/>
      <c r="H372" s="1410"/>
    </row>
    <row r="373" spans="1:8" ht="16.5">
      <c r="A373" s="1410"/>
      <c r="B373" s="1410"/>
      <c r="C373" s="1410"/>
      <c r="D373" s="1410"/>
      <c r="E373" s="1410"/>
      <c r="F373" s="1410"/>
      <c r="G373" s="1410"/>
      <c r="H373" s="1410"/>
    </row>
    <row r="374" spans="1:8" ht="16.5">
      <c r="A374" s="1410"/>
      <c r="B374" s="1410"/>
      <c r="C374" s="1410"/>
      <c r="D374" s="1410"/>
      <c r="E374" s="1410"/>
      <c r="F374" s="1410"/>
      <c r="G374" s="1410"/>
      <c r="H374" s="1410"/>
    </row>
    <row r="375" spans="1:8" ht="16.5">
      <c r="A375" s="1410"/>
      <c r="B375" s="1410"/>
      <c r="C375" s="1410"/>
      <c r="D375" s="1410"/>
      <c r="E375" s="1410"/>
      <c r="F375" s="1410"/>
      <c r="G375" s="1410"/>
      <c r="H375" s="1410"/>
    </row>
    <row r="376" spans="1:8" ht="16.5">
      <c r="A376" s="1410"/>
      <c r="B376" s="1410"/>
      <c r="C376" s="1410"/>
      <c r="D376" s="1410"/>
      <c r="E376" s="1410"/>
      <c r="F376" s="1410"/>
      <c r="G376" s="1410"/>
      <c r="H376" s="1410"/>
    </row>
    <row r="377" spans="1:8" ht="16.5">
      <c r="A377" s="1410"/>
      <c r="B377" s="1410"/>
      <c r="C377" s="1410"/>
      <c r="D377" s="1410"/>
      <c r="E377" s="1410"/>
      <c r="F377" s="1410"/>
      <c r="G377" s="1410"/>
      <c r="H377" s="1410"/>
    </row>
    <row r="378" spans="1:8" ht="16.5">
      <c r="A378" s="1410"/>
      <c r="B378" s="1410"/>
      <c r="C378" s="1410"/>
      <c r="D378" s="1410"/>
      <c r="E378" s="1410"/>
      <c r="F378" s="1410"/>
      <c r="G378" s="1410"/>
      <c r="H378" s="1410"/>
    </row>
    <row r="379" spans="1:8" ht="16.5">
      <c r="A379" s="1410"/>
      <c r="B379" s="1410"/>
      <c r="C379" s="1410"/>
      <c r="D379" s="1410"/>
      <c r="E379" s="1410"/>
      <c r="F379" s="1410"/>
      <c r="G379" s="1410"/>
      <c r="H379" s="1410"/>
    </row>
    <row r="380" spans="1:8" ht="16.5">
      <c r="A380" s="1410"/>
      <c r="B380" s="1410"/>
      <c r="C380" s="1410"/>
      <c r="D380" s="1410"/>
      <c r="E380" s="1410"/>
      <c r="F380" s="1410"/>
      <c r="G380" s="1410"/>
      <c r="H380" s="1410"/>
    </row>
    <row r="381" spans="1:8" ht="16.5">
      <c r="A381" s="1410"/>
      <c r="B381" s="1410"/>
      <c r="C381" s="1410"/>
      <c r="D381" s="1410"/>
      <c r="E381" s="1410"/>
      <c r="F381" s="1410"/>
      <c r="G381" s="1410"/>
      <c r="H381" s="1410"/>
    </row>
    <row r="382" spans="1:8" ht="16.5">
      <c r="A382" s="1410"/>
      <c r="B382" s="1410"/>
      <c r="C382" s="1410"/>
      <c r="D382" s="1410"/>
      <c r="E382" s="1410"/>
      <c r="F382" s="1410"/>
      <c r="G382" s="1410"/>
      <c r="H382" s="1410"/>
    </row>
    <row r="383" spans="1:8" ht="16.5">
      <c r="A383" s="1410"/>
      <c r="B383" s="1410"/>
      <c r="C383" s="1410"/>
      <c r="D383" s="1410"/>
      <c r="E383" s="1410"/>
      <c r="F383" s="1410"/>
      <c r="G383" s="1410"/>
      <c r="H383" s="1410"/>
    </row>
    <row r="384" spans="1:8" ht="16.5">
      <c r="A384" s="1410"/>
      <c r="B384" s="1410"/>
      <c r="C384" s="1410"/>
      <c r="D384" s="1410"/>
      <c r="E384" s="1410"/>
      <c r="F384" s="1410"/>
      <c r="G384" s="1410"/>
      <c r="H384" s="1410"/>
    </row>
    <row r="385" spans="1:8" ht="16.5">
      <c r="A385" s="1410"/>
      <c r="B385" s="1410"/>
      <c r="C385" s="1410"/>
      <c r="D385" s="1410"/>
      <c r="E385" s="1410"/>
      <c r="F385" s="1410"/>
      <c r="G385" s="1410"/>
      <c r="H385" s="1410"/>
    </row>
    <row r="386" spans="1:8" ht="16.5">
      <c r="A386" s="1410"/>
      <c r="B386" s="1410"/>
      <c r="C386" s="1410"/>
      <c r="D386" s="1410"/>
      <c r="E386" s="1410"/>
      <c r="F386" s="1410"/>
      <c r="G386" s="1410"/>
      <c r="H386" s="1410"/>
    </row>
    <row r="387" spans="1:8" ht="16.5">
      <c r="A387" s="1410"/>
      <c r="B387" s="1410"/>
      <c r="C387" s="1410"/>
      <c r="D387" s="1410"/>
      <c r="E387" s="1410"/>
      <c r="F387" s="1410"/>
      <c r="G387" s="1410"/>
      <c r="H387" s="1410"/>
    </row>
    <row r="388" spans="1:8" ht="16.5">
      <c r="A388" s="1410"/>
      <c r="B388" s="1410"/>
      <c r="C388" s="1410"/>
      <c r="D388" s="1410"/>
      <c r="E388" s="1410"/>
      <c r="F388" s="1410"/>
      <c r="G388" s="1410"/>
      <c r="H388" s="1410"/>
    </row>
    <row r="389" spans="1:8" ht="16.5">
      <c r="A389" s="1410"/>
      <c r="B389" s="1410"/>
      <c r="C389" s="1410"/>
      <c r="D389" s="1410"/>
      <c r="E389" s="1410"/>
      <c r="F389" s="1410"/>
      <c r="G389" s="1410"/>
      <c r="H389" s="1410"/>
    </row>
    <row r="390" spans="1:8" ht="16.5">
      <c r="A390" s="1410"/>
      <c r="B390" s="1410"/>
      <c r="C390" s="1410"/>
      <c r="D390" s="1410"/>
      <c r="E390" s="1410"/>
      <c r="F390" s="1410"/>
      <c r="G390" s="1410"/>
      <c r="H390" s="1410"/>
    </row>
    <row r="391" spans="1:8" ht="16.5">
      <c r="A391" s="1410"/>
      <c r="B391" s="1410"/>
      <c r="C391" s="1410"/>
      <c r="D391" s="1410"/>
      <c r="E391" s="1410"/>
      <c r="F391" s="1410"/>
      <c r="G391" s="1410"/>
      <c r="H391" s="1410"/>
    </row>
    <row r="392" spans="1:8" ht="16.5">
      <c r="A392" s="1410"/>
      <c r="B392" s="1410"/>
      <c r="C392" s="1410"/>
      <c r="D392" s="1410"/>
      <c r="E392" s="1410"/>
      <c r="F392" s="1410"/>
      <c r="G392" s="1410"/>
      <c r="H392" s="1410"/>
    </row>
    <row r="393" spans="1:8" ht="16.5">
      <c r="A393" s="1410"/>
      <c r="B393" s="1410"/>
      <c r="C393" s="1410"/>
      <c r="D393" s="1410"/>
      <c r="E393" s="1410"/>
      <c r="F393" s="1410"/>
      <c r="G393" s="1410"/>
      <c r="H393" s="1410"/>
    </row>
    <row r="394" spans="1:8" ht="16.5">
      <c r="A394" s="1410"/>
      <c r="B394" s="1410"/>
      <c r="C394" s="1410"/>
      <c r="D394" s="1410"/>
      <c r="E394" s="1410"/>
      <c r="F394" s="1410"/>
      <c r="G394" s="1410"/>
      <c r="H394" s="1410"/>
    </row>
    <row r="395" spans="1:8" ht="16.5">
      <c r="A395" s="1410"/>
      <c r="B395" s="1410"/>
      <c r="C395" s="1410"/>
      <c r="D395" s="1410"/>
      <c r="E395" s="1410"/>
      <c r="F395" s="1410"/>
      <c r="G395" s="1410"/>
      <c r="H395" s="1410"/>
    </row>
    <row r="396" spans="1:8" ht="16.5">
      <c r="A396" s="1410"/>
      <c r="B396" s="1410"/>
      <c r="C396" s="1410"/>
      <c r="D396" s="1410"/>
      <c r="E396" s="1410"/>
      <c r="F396" s="1410"/>
      <c r="G396" s="1410"/>
      <c r="H396" s="1410"/>
    </row>
    <row r="397" spans="1:8" ht="16.5">
      <c r="A397" s="1410"/>
      <c r="B397" s="1410"/>
      <c r="C397" s="1410"/>
      <c r="D397" s="1410"/>
      <c r="E397" s="1410"/>
      <c r="F397" s="1410"/>
      <c r="G397" s="1410"/>
      <c r="H397" s="1410"/>
    </row>
    <row r="398" spans="1:8" ht="16.5">
      <c r="A398" s="1410"/>
      <c r="B398" s="1410"/>
      <c r="C398" s="1410"/>
      <c r="D398" s="1410"/>
      <c r="E398" s="1410"/>
      <c r="F398" s="1410"/>
      <c r="G398" s="1410"/>
      <c r="H398" s="1410"/>
    </row>
    <row r="399" spans="1:8" ht="16.5">
      <c r="A399" s="1410"/>
      <c r="B399" s="1410"/>
      <c r="C399" s="1410"/>
      <c r="D399" s="1410"/>
      <c r="E399" s="1410"/>
      <c r="F399" s="1410"/>
      <c r="G399" s="1410"/>
      <c r="H399" s="1410"/>
    </row>
    <row r="400" spans="1:8" ht="16.5">
      <c r="A400" s="1410"/>
      <c r="B400" s="1410"/>
      <c r="C400" s="1410"/>
      <c r="D400" s="1410"/>
      <c r="E400" s="1410"/>
      <c r="F400" s="1410"/>
      <c r="G400" s="1410"/>
      <c r="H400" s="1410"/>
    </row>
    <row r="401" spans="1:8" ht="16.5">
      <c r="A401" s="1410"/>
      <c r="B401" s="1410"/>
      <c r="C401" s="1410"/>
      <c r="D401" s="1410"/>
      <c r="E401" s="1410"/>
      <c r="F401" s="1410"/>
      <c r="G401" s="1410"/>
      <c r="H401" s="1410"/>
    </row>
    <row r="402" spans="1:8" ht="16.5">
      <c r="A402" s="1410"/>
      <c r="B402" s="1410"/>
      <c r="C402" s="1410"/>
      <c r="D402" s="1410"/>
      <c r="E402" s="1410"/>
      <c r="F402" s="1410"/>
      <c r="G402" s="1410"/>
      <c r="H402" s="1410"/>
    </row>
    <row r="403" spans="1:8" ht="16.5">
      <c r="A403" s="1410"/>
      <c r="B403" s="1410"/>
      <c r="C403" s="1410"/>
      <c r="D403" s="1410"/>
      <c r="E403" s="1410"/>
      <c r="F403" s="1410"/>
      <c r="G403" s="1410"/>
      <c r="H403" s="1410"/>
    </row>
    <row r="404" spans="1:8" ht="16.5">
      <c r="A404" s="1410"/>
      <c r="B404" s="1410"/>
      <c r="C404" s="1410"/>
      <c r="D404" s="1410"/>
      <c r="E404" s="1410"/>
      <c r="F404" s="1410"/>
      <c r="G404" s="1410"/>
      <c r="H404" s="1410"/>
    </row>
    <row r="405" spans="1:8" ht="16.5">
      <c r="A405" s="1410"/>
      <c r="B405" s="1410"/>
      <c r="C405" s="1410"/>
      <c r="D405" s="1410"/>
      <c r="E405" s="1410"/>
      <c r="F405" s="1410"/>
      <c r="G405" s="1410"/>
      <c r="H405" s="1410"/>
    </row>
    <row r="406" spans="1:8" ht="16.5">
      <c r="A406" s="1410"/>
      <c r="B406" s="1410"/>
      <c r="C406" s="1410"/>
      <c r="D406" s="1410"/>
      <c r="E406" s="1410"/>
      <c r="F406" s="1410"/>
      <c r="G406" s="1410"/>
      <c r="H406" s="1410"/>
    </row>
    <row r="407" spans="1:8" ht="16.5">
      <c r="A407" s="1410"/>
      <c r="B407" s="1410"/>
      <c r="C407" s="1410"/>
      <c r="D407" s="1410"/>
      <c r="E407" s="1410"/>
      <c r="F407" s="1410"/>
      <c r="G407" s="1410"/>
      <c r="H407" s="1410"/>
    </row>
    <row r="408" spans="1:8" ht="16.5">
      <c r="A408" s="1410"/>
      <c r="B408" s="1410"/>
      <c r="C408" s="1410"/>
      <c r="D408" s="1410"/>
      <c r="E408" s="1410"/>
      <c r="F408" s="1410"/>
      <c r="G408" s="1410"/>
      <c r="H408" s="1410"/>
    </row>
    <row r="409" spans="1:8" ht="16.5">
      <c r="A409" s="1410"/>
      <c r="B409" s="1410"/>
      <c r="C409" s="1410"/>
      <c r="D409" s="1410"/>
      <c r="E409" s="1410"/>
      <c r="F409" s="1410"/>
      <c r="G409" s="1410"/>
      <c r="H409" s="1410"/>
    </row>
    <row r="410" spans="1:8" ht="16.5">
      <c r="A410" s="1410"/>
      <c r="B410" s="1410"/>
      <c r="C410" s="1410"/>
      <c r="D410" s="1410"/>
      <c r="E410" s="1410"/>
      <c r="F410" s="1410"/>
      <c r="G410" s="1410"/>
      <c r="H410" s="1410"/>
    </row>
    <row r="411" spans="1:8" ht="16.5">
      <c r="A411" s="1410"/>
      <c r="B411" s="1410"/>
      <c r="C411" s="1410"/>
      <c r="D411" s="1410"/>
      <c r="E411" s="1410"/>
      <c r="F411" s="1410"/>
      <c r="G411" s="1410"/>
      <c r="H411" s="1410"/>
    </row>
    <row r="412" spans="1:8" ht="16.5">
      <c r="A412" s="1410"/>
      <c r="B412" s="1410"/>
      <c r="C412" s="1410"/>
      <c r="D412" s="1410"/>
      <c r="E412" s="1410"/>
      <c r="F412" s="1410"/>
      <c r="G412" s="1410"/>
      <c r="H412" s="1410"/>
    </row>
    <row r="413" spans="1:8" ht="16.5">
      <c r="A413" s="1410"/>
      <c r="B413" s="1410"/>
      <c r="C413" s="1410"/>
      <c r="D413" s="1410"/>
      <c r="E413" s="1410"/>
      <c r="F413" s="1410"/>
      <c r="G413" s="1410"/>
      <c r="H413" s="1410"/>
    </row>
    <row r="414" spans="1:8" ht="16.5">
      <c r="A414" s="1410"/>
      <c r="B414" s="1410"/>
      <c r="C414" s="1410"/>
      <c r="D414" s="1410"/>
      <c r="E414" s="1410"/>
      <c r="F414" s="1410"/>
      <c r="G414" s="1410"/>
      <c r="H414" s="1410"/>
    </row>
    <row r="415" spans="1:8" ht="16.5">
      <c r="A415" s="1410"/>
      <c r="B415" s="1410"/>
      <c r="C415" s="1410"/>
      <c r="D415" s="1410"/>
      <c r="E415" s="1410"/>
      <c r="F415" s="1410"/>
      <c r="G415" s="1410"/>
      <c r="H415" s="1410"/>
    </row>
    <row r="416" spans="1:8" ht="16.5">
      <c r="A416" s="1410"/>
      <c r="B416" s="1410"/>
      <c r="C416" s="1410"/>
      <c r="D416" s="1410"/>
      <c r="E416" s="1410"/>
      <c r="F416" s="1410"/>
      <c r="G416" s="1410"/>
      <c r="H416" s="1410"/>
    </row>
    <row r="417" spans="1:8" ht="16.5">
      <c r="A417" s="1410"/>
      <c r="B417" s="1410"/>
      <c r="C417" s="1410"/>
      <c r="D417" s="1410"/>
      <c r="E417" s="1410"/>
      <c r="F417" s="1410"/>
      <c r="G417" s="1410"/>
      <c r="H417" s="1410"/>
    </row>
    <row r="418" spans="1:8" ht="16.5">
      <c r="A418" s="1410"/>
      <c r="B418" s="1410"/>
      <c r="C418" s="1410"/>
      <c r="D418" s="1410"/>
      <c r="E418" s="1410"/>
      <c r="F418" s="1410"/>
      <c r="G418" s="1410"/>
      <c r="H418" s="1410"/>
    </row>
    <row r="419" spans="1:8" ht="16.5">
      <c r="A419" s="1410"/>
      <c r="B419" s="1410"/>
      <c r="C419" s="1410"/>
      <c r="D419" s="1410"/>
      <c r="E419" s="1410"/>
      <c r="F419" s="1410"/>
      <c r="G419" s="1410"/>
      <c r="H419" s="1410"/>
    </row>
    <row r="420" spans="1:8" ht="16.5">
      <c r="A420" s="1410"/>
      <c r="B420" s="1410"/>
      <c r="C420" s="1410"/>
      <c r="D420" s="1410"/>
      <c r="E420" s="1410"/>
      <c r="F420" s="1410"/>
      <c r="G420" s="1410"/>
      <c r="H420" s="1410"/>
    </row>
    <row r="421" spans="1:8" ht="16.5">
      <c r="A421" s="1410"/>
      <c r="B421" s="1410"/>
      <c r="C421" s="1410"/>
      <c r="D421" s="1410"/>
      <c r="E421" s="1410"/>
      <c r="F421" s="1410"/>
      <c r="G421" s="1410"/>
      <c r="H421" s="1410"/>
    </row>
    <row r="422" spans="1:8" ht="16.5">
      <c r="A422" s="1410"/>
      <c r="B422" s="1410"/>
      <c r="C422" s="1410"/>
      <c r="D422" s="1410"/>
      <c r="E422" s="1410"/>
      <c r="F422" s="1410"/>
      <c r="G422" s="1410"/>
      <c r="H422" s="1410"/>
    </row>
    <row r="423" spans="1:8" ht="16.5">
      <c r="A423" s="1410"/>
      <c r="B423" s="1410"/>
      <c r="C423" s="1410"/>
      <c r="D423" s="1410"/>
      <c r="E423" s="1410"/>
      <c r="F423" s="1410"/>
      <c r="G423" s="1410"/>
      <c r="H423" s="1410"/>
    </row>
    <row r="424" spans="1:8" ht="16.5">
      <c r="A424" s="1410"/>
      <c r="B424" s="1410"/>
      <c r="C424" s="1410"/>
      <c r="D424" s="1410"/>
      <c r="E424" s="1410"/>
      <c r="F424" s="1410"/>
      <c r="G424" s="1410"/>
      <c r="H424" s="1410"/>
    </row>
    <row r="425" spans="1:8" ht="16.5">
      <c r="A425" s="1410"/>
      <c r="B425" s="1410"/>
      <c r="C425" s="1410"/>
      <c r="D425" s="1410"/>
      <c r="E425" s="1410"/>
      <c r="F425" s="1410"/>
      <c r="G425" s="1410"/>
      <c r="H425" s="1410"/>
    </row>
    <row r="426" spans="1:8" ht="16.5">
      <c r="A426" s="1410"/>
      <c r="B426" s="1410"/>
      <c r="C426" s="1410"/>
      <c r="D426" s="1410"/>
      <c r="E426" s="1410"/>
      <c r="F426" s="1410"/>
      <c r="G426" s="1410"/>
      <c r="H426" s="1410"/>
    </row>
    <row r="427" spans="1:8" ht="16.5">
      <c r="A427" s="1410"/>
      <c r="B427" s="1410"/>
      <c r="C427" s="1410"/>
      <c r="D427" s="1410"/>
      <c r="E427" s="1410"/>
      <c r="F427" s="1410"/>
      <c r="G427" s="1410"/>
      <c r="H427" s="1410"/>
    </row>
    <row r="428" spans="1:8" ht="16.5">
      <c r="A428" s="1410"/>
      <c r="B428" s="1410"/>
      <c r="C428" s="1410"/>
      <c r="D428" s="1410"/>
      <c r="E428" s="1410"/>
      <c r="F428" s="1410"/>
      <c r="G428" s="1410"/>
      <c r="H428" s="1410"/>
    </row>
    <row r="429" spans="1:8" ht="16.5">
      <c r="A429" s="1410"/>
      <c r="B429" s="1410"/>
      <c r="C429" s="1410"/>
      <c r="D429" s="1410"/>
      <c r="E429" s="1410"/>
      <c r="F429" s="1410"/>
      <c r="G429" s="1410"/>
      <c r="H429" s="1410"/>
    </row>
    <row r="430" spans="1:8" ht="16.5">
      <c r="A430" s="1410"/>
      <c r="B430" s="1410"/>
      <c r="C430" s="1410"/>
      <c r="D430" s="1410"/>
      <c r="E430" s="1410"/>
      <c r="F430" s="1410"/>
      <c r="G430" s="1410"/>
      <c r="H430" s="1410"/>
    </row>
    <row r="431" spans="1:8" ht="16.5">
      <c r="A431" s="1410"/>
      <c r="B431" s="1410"/>
      <c r="C431" s="1410"/>
      <c r="D431" s="1410"/>
      <c r="E431" s="1410"/>
      <c r="F431" s="1410"/>
      <c r="G431" s="1410"/>
      <c r="H431" s="1410"/>
    </row>
    <row r="432" spans="1:8" ht="16.5">
      <c r="A432" s="1410"/>
      <c r="B432" s="1410"/>
      <c r="C432" s="1410"/>
      <c r="D432" s="1410"/>
      <c r="E432" s="1410"/>
      <c r="F432" s="1410"/>
      <c r="G432" s="1410"/>
      <c r="H432" s="1410"/>
    </row>
    <row r="433" spans="1:8" ht="16.5">
      <c r="A433" s="1410"/>
      <c r="B433" s="1410"/>
      <c r="C433" s="1410"/>
      <c r="D433" s="1410"/>
      <c r="E433" s="1410"/>
      <c r="F433" s="1410"/>
      <c r="G433" s="1410"/>
      <c r="H433" s="1410"/>
    </row>
    <row r="434" spans="1:8" ht="16.5">
      <c r="A434" s="1410"/>
      <c r="B434" s="1410"/>
      <c r="C434" s="1410"/>
      <c r="D434" s="1410"/>
      <c r="E434" s="1410"/>
      <c r="F434" s="1410"/>
      <c r="G434" s="1410"/>
      <c r="H434" s="1410"/>
    </row>
    <row r="435" spans="1:8" ht="16.5">
      <c r="A435" s="1410"/>
      <c r="B435" s="1410"/>
      <c r="C435" s="1410"/>
      <c r="D435" s="1410"/>
      <c r="E435" s="1410"/>
      <c r="F435" s="1410"/>
      <c r="G435" s="1410"/>
      <c r="H435" s="1410"/>
    </row>
    <row r="436" spans="1:8" ht="16.5">
      <c r="A436" s="1410"/>
      <c r="B436" s="1410"/>
      <c r="C436" s="1410"/>
      <c r="D436" s="1410"/>
      <c r="E436" s="1410"/>
      <c r="F436" s="1410"/>
      <c r="G436" s="1410"/>
      <c r="H436" s="1410"/>
    </row>
    <row r="437" spans="1:8" ht="16.5">
      <c r="A437" s="1410"/>
      <c r="B437" s="1410"/>
      <c r="C437" s="1410"/>
      <c r="D437" s="1410"/>
      <c r="E437" s="1410"/>
      <c r="F437" s="1410"/>
      <c r="G437" s="1410"/>
      <c r="H437" s="1410"/>
    </row>
    <row r="438" spans="1:8" ht="16.5">
      <c r="A438" s="1410"/>
      <c r="B438" s="1410"/>
      <c r="C438" s="1410"/>
      <c r="D438" s="1410"/>
      <c r="E438" s="1410"/>
      <c r="F438" s="1410"/>
      <c r="G438" s="1410"/>
      <c r="H438" s="1410"/>
    </row>
    <row r="439" spans="1:8" ht="16.5">
      <c r="A439" s="1410"/>
      <c r="B439" s="1410"/>
      <c r="C439" s="1410"/>
      <c r="D439" s="1410"/>
      <c r="E439" s="1410"/>
      <c r="F439" s="1410"/>
      <c r="G439" s="1410"/>
      <c r="H439" s="1410"/>
    </row>
    <row r="440" spans="1:8" ht="16.5">
      <c r="A440" s="1410"/>
      <c r="B440" s="1410"/>
      <c r="C440" s="1410"/>
      <c r="D440" s="1410"/>
      <c r="E440" s="1410"/>
      <c r="F440" s="1410"/>
      <c r="G440" s="1410"/>
      <c r="H440" s="1410"/>
    </row>
    <row r="441" spans="1:8" ht="16.5">
      <c r="A441" s="1410"/>
      <c r="B441" s="1410"/>
      <c r="C441" s="1410"/>
      <c r="D441" s="1410"/>
      <c r="E441" s="1410"/>
      <c r="F441" s="1410"/>
      <c r="G441" s="1410"/>
      <c r="H441" s="1410"/>
    </row>
    <row r="442" spans="1:8" ht="16.5">
      <c r="A442" s="1410"/>
      <c r="B442" s="1410"/>
      <c r="C442" s="1410"/>
      <c r="D442" s="1410"/>
      <c r="E442" s="1410"/>
      <c r="F442" s="1410"/>
      <c r="G442" s="1410"/>
      <c r="H442" s="1410"/>
    </row>
    <row r="443" spans="1:8" ht="16.5">
      <c r="A443" s="1410"/>
      <c r="B443" s="1410"/>
      <c r="C443" s="1410"/>
      <c r="D443" s="1410"/>
      <c r="E443" s="1410"/>
      <c r="F443" s="1410"/>
      <c r="G443" s="1410"/>
      <c r="H443" s="1410"/>
    </row>
    <row r="444" spans="1:8" ht="16.5">
      <c r="A444" s="1410"/>
      <c r="B444" s="1410"/>
      <c r="C444" s="1410"/>
      <c r="D444" s="1410"/>
      <c r="E444" s="1410"/>
      <c r="F444" s="1410"/>
      <c r="G444" s="1410"/>
      <c r="H444" s="1410"/>
    </row>
    <row r="445" spans="1:8" ht="16.5">
      <c r="A445" s="1410"/>
      <c r="B445" s="1410"/>
      <c r="C445" s="1410"/>
      <c r="D445" s="1410"/>
      <c r="E445" s="1410"/>
      <c r="F445" s="1410"/>
      <c r="G445" s="1410"/>
      <c r="H445" s="1410"/>
    </row>
    <row r="446" spans="1:8" ht="16.5">
      <c r="A446" s="1410"/>
      <c r="B446" s="1410"/>
      <c r="C446" s="1410"/>
      <c r="D446" s="1410"/>
      <c r="E446" s="1410"/>
      <c r="F446" s="1410"/>
      <c r="G446" s="1410"/>
      <c r="H446" s="1410"/>
    </row>
    <row r="447" spans="1:8" ht="16.5">
      <c r="A447" s="1410"/>
      <c r="B447" s="1410"/>
      <c r="C447" s="1410"/>
      <c r="D447" s="1410"/>
      <c r="E447" s="1410"/>
      <c r="F447" s="1410"/>
      <c r="G447" s="1410"/>
      <c r="H447" s="1410"/>
    </row>
    <row r="448" spans="1:8" ht="16.5">
      <c r="A448" s="1410"/>
      <c r="B448" s="1410"/>
      <c r="C448" s="1410"/>
      <c r="D448" s="1410"/>
      <c r="E448" s="1410"/>
      <c r="F448" s="1410"/>
      <c r="G448" s="1410"/>
      <c r="H448" s="1410"/>
    </row>
    <row r="449" spans="1:8" ht="16.5">
      <c r="A449" s="1410"/>
      <c r="B449" s="1410"/>
      <c r="C449" s="1410"/>
      <c r="D449" s="1410"/>
      <c r="E449" s="1410"/>
      <c r="F449" s="1410"/>
      <c r="G449" s="1410"/>
      <c r="H449" s="1410"/>
    </row>
    <row r="450" spans="1:8" ht="16.5">
      <c r="A450" s="1410"/>
      <c r="B450" s="1410"/>
      <c r="C450" s="1410"/>
      <c r="D450" s="1410"/>
      <c r="E450" s="1410"/>
      <c r="F450" s="1410"/>
      <c r="G450" s="1410"/>
      <c r="H450" s="1410"/>
    </row>
    <row r="451" spans="1:8" ht="16.5">
      <c r="A451" s="1410"/>
      <c r="B451" s="1410"/>
      <c r="C451" s="1410"/>
      <c r="D451" s="1410"/>
      <c r="E451" s="1410"/>
      <c r="F451" s="1410"/>
      <c r="G451" s="1410"/>
      <c r="H451" s="1410"/>
    </row>
    <row r="452" spans="1:8" ht="16.5">
      <c r="A452" s="1410"/>
      <c r="B452" s="1410"/>
      <c r="C452" s="1410"/>
      <c r="D452" s="1410"/>
      <c r="E452" s="1410"/>
      <c r="F452" s="1410"/>
      <c r="G452" s="1410"/>
      <c r="H452" s="1410"/>
    </row>
    <row r="453" spans="1:8" ht="16.5">
      <c r="A453" s="1410"/>
      <c r="B453" s="1410"/>
      <c r="C453" s="1410"/>
      <c r="D453" s="1410"/>
      <c r="E453" s="1410"/>
      <c r="F453" s="1410"/>
      <c r="G453" s="1410"/>
      <c r="H453" s="1410"/>
    </row>
    <row r="454" spans="1:8" ht="16.5">
      <c r="A454" s="1410"/>
      <c r="B454" s="1410"/>
      <c r="C454" s="1410"/>
      <c r="D454" s="1410"/>
      <c r="E454" s="1410"/>
      <c r="F454" s="1410"/>
      <c r="G454" s="1410"/>
      <c r="H454" s="1410"/>
    </row>
    <row r="455" spans="1:8" ht="16.5">
      <c r="A455" s="1410"/>
      <c r="B455" s="1410"/>
      <c r="C455" s="1410"/>
      <c r="D455" s="1410"/>
      <c r="E455" s="1410"/>
      <c r="F455" s="1410"/>
      <c r="G455" s="1410"/>
      <c r="H455" s="1410"/>
    </row>
    <row r="456" spans="1:8" ht="16.5">
      <c r="A456" s="1410"/>
      <c r="B456" s="1410"/>
      <c r="C456" s="1410"/>
      <c r="D456" s="1410"/>
      <c r="E456" s="1410"/>
      <c r="F456" s="1410"/>
      <c r="G456" s="1410"/>
      <c r="H456" s="1410"/>
    </row>
    <row r="457" spans="1:8" ht="16.5">
      <c r="A457" s="1410"/>
      <c r="B457" s="1410"/>
      <c r="C457" s="1410"/>
      <c r="D457" s="1410"/>
      <c r="E457" s="1410"/>
      <c r="F457" s="1410"/>
      <c r="G457" s="1410"/>
      <c r="H457" s="1410"/>
    </row>
    <row r="458" spans="1:8" ht="16.5">
      <c r="A458" s="1410"/>
      <c r="B458" s="1410"/>
      <c r="C458" s="1410"/>
      <c r="D458" s="1410"/>
      <c r="E458" s="1410"/>
      <c r="F458" s="1410"/>
      <c r="G458" s="1410"/>
      <c r="H458" s="1410"/>
    </row>
    <row r="459" spans="1:8" ht="16.5">
      <c r="A459" s="1410"/>
      <c r="B459" s="1410"/>
      <c r="C459" s="1410"/>
      <c r="D459" s="1410"/>
      <c r="E459" s="1410"/>
      <c r="F459" s="1410"/>
      <c r="G459" s="1410"/>
      <c r="H459" s="1410"/>
    </row>
    <row r="460" spans="1:8" ht="16.5">
      <c r="A460" s="1410"/>
      <c r="B460" s="1410"/>
      <c r="C460" s="1410"/>
      <c r="D460" s="1410"/>
      <c r="E460" s="1410"/>
      <c r="F460" s="1410"/>
      <c r="G460" s="1410"/>
      <c r="H460" s="1410"/>
    </row>
    <row r="461" spans="1:8" ht="16.5">
      <c r="A461" s="1410"/>
      <c r="B461" s="1410"/>
      <c r="C461" s="1410"/>
      <c r="D461" s="1410"/>
      <c r="E461" s="1410"/>
      <c r="F461" s="1410"/>
      <c r="G461" s="1410"/>
      <c r="H461" s="1410"/>
    </row>
    <row r="462" spans="1:8" ht="16.5">
      <c r="A462" s="1410"/>
      <c r="B462" s="1410"/>
      <c r="C462" s="1410"/>
      <c r="D462" s="1410"/>
      <c r="E462" s="1410"/>
      <c r="F462" s="1410"/>
      <c r="G462" s="1410"/>
      <c r="H462" s="1410"/>
    </row>
    <row r="463" spans="1:8" ht="16.5">
      <c r="A463" s="1410"/>
      <c r="B463" s="1410"/>
      <c r="C463" s="1410"/>
      <c r="D463" s="1410"/>
      <c r="E463" s="1410"/>
      <c r="F463" s="1410"/>
      <c r="G463" s="1410"/>
      <c r="H463" s="1410"/>
    </row>
    <row r="464" spans="1:8" ht="16.5">
      <c r="A464" s="1410"/>
      <c r="B464" s="1410"/>
      <c r="C464" s="1410"/>
      <c r="D464" s="1410"/>
      <c r="E464" s="1410"/>
      <c r="F464" s="1410"/>
      <c r="G464" s="1410"/>
      <c r="H464" s="1410"/>
    </row>
    <row r="465" spans="1:8" ht="16.5">
      <c r="A465" s="1410"/>
      <c r="B465" s="1410"/>
      <c r="C465" s="1410"/>
      <c r="D465" s="1410"/>
      <c r="E465" s="1410"/>
      <c r="F465" s="1410"/>
      <c r="G465" s="1410"/>
      <c r="H465" s="1410"/>
    </row>
    <row r="466" spans="1:8" ht="16.5">
      <c r="A466" s="1410"/>
      <c r="B466" s="1410"/>
      <c r="C466" s="1410"/>
      <c r="D466" s="1410"/>
      <c r="E466" s="1410"/>
      <c r="F466" s="1410"/>
      <c r="G466" s="1410"/>
      <c r="H466" s="1410"/>
    </row>
    <row r="467" spans="1:8" ht="16.5">
      <c r="A467" s="1410"/>
      <c r="B467" s="1410"/>
      <c r="C467" s="1410"/>
      <c r="D467" s="1410"/>
      <c r="E467" s="1410"/>
      <c r="F467" s="1410"/>
      <c r="G467" s="1410"/>
      <c r="H467" s="1410"/>
    </row>
    <row r="468" spans="1:8" ht="16.5">
      <c r="A468" s="1410"/>
      <c r="B468" s="1410"/>
      <c r="C468" s="1410"/>
      <c r="D468" s="1410"/>
      <c r="E468" s="1410"/>
      <c r="F468" s="1410"/>
      <c r="G468" s="1410"/>
      <c r="H468" s="1410"/>
    </row>
    <row r="469" spans="1:8" ht="16.5">
      <c r="A469" s="1410"/>
      <c r="B469" s="1410"/>
      <c r="C469" s="1410"/>
      <c r="D469" s="1410"/>
      <c r="E469" s="1410"/>
      <c r="F469" s="1410"/>
      <c r="G469" s="1410"/>
      <c r="H469" s="1410"/>
    </row>
    <row r="470" spans="1:8" ht="16.5">
      <c r="A470" s="1410"/>
      <c r="B470" s="1410"/>
      <c r="C470" s="1410"/>
      <c r="D470" s="1410"/>
      <c r="E470" s="1410"/>
      <c r="F470" s="1410"/>
      <c r="G470" s="1410"/>
      <c r="H470" s="1410"/>
    </row>
    <row r="471" spans="1:8" ht="16.5">
      <c r="A471" s="1410"/>
      <c r="B471" s="1410"/>
      <c r="C471" s="1410"/>
      <c r="D471" s="1410"/>
      <c r="E471" s="1410"/>
      <c r="F471" s="1410"/>
      <c r="G471" s="1410"/>
      <c r="H471" s="1410"/>
    </row>
    <row r="472" spans="1:8" ht="16.5">
      <c r="A472" s="1410"/>
      <c r="B472" s="1410"/>
      <c r="C472" s="1410"/>
      <c r="D472" s="1410"/>
      <c r="E472" s="1410"/>
      <c r="F472" s="1410"/>
      <c r="G472" s="1410"/>
      <c r="H472" s="1410"/>
    </row>
    <row r="473" spans="1:8" ht="16.5">
      <c r="A473" s="1410"/>
      <c r="B473" s="1410"/>
      <c r="C473" s="1410"/>
      <c r="D473" s="1410"/>
      <c r="E473" s="1410"/>
      <c r="F473" s="1410"/>
      <c r="G473" s="1410"/>
      <c r="H473" s="1410"/>
    </row>
    <row r="474" spans="1:8" ht="16.5">
      <c r="A474" s="1410"/>
      <c r="B474" s="1410"/>
      <c r="C474" s="1410"/>
      <c r="D474" s="1410"/>
      <c r="E474" s="1410"/>
      <c r="F474" s="1410"/>
      <c r="G474" s="1410"/>
      <c r="H474" s="1410"/>
    </row>
    <row r="475" spans="1:8" ht="16.5">
      <c r="A475" s="1410"/>
      <c r="B475" s="1410"/>
      <c r="C475" s="1410"/>
      <c r="D475" s="1410"/>
      <c r="E475" s="1410"/>
      <c r="F475" s="1410"/>
      <c r="G475" s="1410"/>
      <c r="H475" s="1410"/>
    </row>
    <row r="476" spans="1:8" ht="16.5">
      <c r="A476" s="1410"/>
      <c r="B476" s="1410"/>
      <c r="C476" s="1410"/>
      <c r="D476" s="1410"/>
      <c r="E476" s="1410"/>
      <c r="F476" s="1410"/>
      <c r="G476" s="1410"/>
      <c r="H476" s="1410"/>
    </row>
    <row r="477" spans="1:8" ht="16.5">
      <c r="A477" s="1410"/>
      <c r="B477" s="1410"/>
      <c r="C477" s="1410"/>
      <c r="D477" s="1410"/>
      <c r="E477" s="1410"/>
      <c r="F477" s="1410"/>
      <c r="G477" s="1410"/>
      <c r="H477" s="1410"/>
    </row>
    <row r="478" spans="1:8" ht="16.5">
      <c r="A478" s="1410"/>
      <c r="B478" s="1410"/>
      <c r="C478" s="1410"/>
      <c r="D478" s="1410"/>
      <c r="E478" s="1410"/>
      <c r="F478" s="1410"/>
      <c r="G478" s="1410"/>
      <c r="H478" s="1410"/>
    </row>
    <row r="479" spans="1:8" ht="16.5">
      <c r="A479" s="1410"/>
      <c r="B479" s="1410"/>
      <c r="C479" s="1410"/>
      <c r="D479" s="1410"/>
      <c r="E479" s="1410"/>
      <c r="F479" s="1410"/>
      <c r="G479" s="1410"/>
      <c r="H479" s="1410"/>
    </row>
    <row r="480" spans="1:8" ht="16.5">
      <c r="A480" s="1410"/>
      <c r="B480" s="1410"/>
      <c r="C480" s="1410"/>
      <c r="D480" s="1410"/>
      <c r="E480" s="1410"/>
      <c r="F480" s="1410"/>
      <c r="G480" s="1410"/>
      <c r="H480" s="1410"/>
    </row>
    <row r="481" spans="1:8" ht="16.5">
      <c r="A481" s="1410"/>
      <c r="B481" s="1410"/>
      <c r="C481" s="1410"/>
      <c r="D481" s="1410"/>
      <c r="E481" s="1410"/>
      <c r="F481" s="1410"/>
      <c r="G481" s="1410"/>
      <c r="H481" s="1410"/>
    </row>
    <row r="482" spans="1:8" ht="16.5">
      <c r="A482" s="1410"/>
      <c r="B482" s="1410"/>
      <c r="C482" s="1410"/>
      <c r="D482" s="1410"/>
      <c r="E482" s="1410"/>
      <c r="F482" s="1410"/>
      <c r="G482" s="1410"/>
      <c r="H482" s="1410"/>
    </row>
    <row r="483" spans="1:8" ht="16.5">
      <c r="A483" s="1410"/>
      <c r="B483" s="1410"/>
      <c r="C483" s="1410"/>
      <c r="D483" s="1410"/>
      <c r="E483" s="1410"/>
      <c r="F483" s="1410"/>
      <c r="G483" s="1410"/>
      <c r="H483" s="1410"/>
    </row>
    <row r="484" spans="1:8" ht="16.5">
      <c r="A484" s="1410"/>
      <c r="B484" s="1410"/>
      <c r="C484" s="1410"/>
      <c r="D484" s="1410"/>
      <c r="E484" s="1410"/>
      <c r="F484" s="1410"/>
      <c r="G484" s="1410"/>
      <c r="H484" s="1410"/>
    </row>
    <row r="485" spans="1:8" ht="16.5">
      <c r="A485" s="1410"/>
      <c r="B485" s="1410"/>
      <c r="C485" s="1410"/>
      <c r="D485" s="1410"/>
      <c r="E485" s="1410"/>
      <c r="F485" s="1410"/>
      <c r="G485" s="1410"/>
      <c r="H485" s="1410"/>
    </row>
    <row r="486" spans="1:8" ht="16.5">
      <c r="A486" s="1410"/>
      <c r="B486" s="1410"/>
      <c r="C486" s="1410"/>
      <c r="D486" s="1410"/>
      <c r="E486" s="1410"/>
      <c r="F486" s="1410"/>
      <c r="G486" s="1410"/>
      <c r="H486" s="1410"/>
    </row>
    <row r="487" spans="1:8" ht="16.5">
      <c r="A487" s="1410"/>
      <c r="B487" s="1410"/>
      <c r="C487" s="1410"/>
      <c r="D487" s="1410"/>
      <c r="E487" s="1410"/>
      <c r="F487" s="1410"/>
      <c r="G487" s="1410"/>
      <c r="H487" s="1410"/>
    </row>
    <row r="488" spans="1:8" ht="16.5">
      <c r="A488" s="1410"/>
      <c r="B488" s="1410"/>
      <c r="C488" s="1410"/>
      <c r="D488" s="1410"/>
      <c r="E488" s="1410"/>
      <c r="F488" s="1410"/>
      <c r="G488" s="1410"/>
      <c r="H488" s="1410"/>
    </row>
    <row r="489" spans="1:8" ht="16.5">
      <c r="A489" s="1410"/>
      <c r="B489" s="1410"/>
      <c r="C489" s="1410"/>
      <c r="D489" s="1410"/>
      <c r="E489" s="1410"/>
      <c r="F489" s="1410"/>
      <c r="G489" s="1410"/>
      <c r="H489" s="1410"/>
    </row>
    <row r="490" spans="1:8" ht="16.5">
      <c r="A490" s="1410"/>
      <c r="B490" s="1410"/>
      <c r="C490" s="1410"/>
      <c r="D490" s="1410"/>
      <c r="E490" s="1410"/>
      <c r="F490" s="1410"/>
      <c r="G490" s="1410"/>
      <c r="H490" s="1410"/>
    </row>
    <row r="491" spans="1:8" ht="16.5">
      <c r="A491" s="1410"/>
      <c r="B491" s="1410"/>
      <c r="C491" s="1410"/>
      <c r="D491" s="1410"/>
      <c r="E491" s="1410"/>
      <c r="F491" s="1410"/>
      <c r="G491" s="1410"/>
      <c r="H491" s="1410"/>
    </row>
    <row r="492" spans="1:8" ht="16.5">
      <c r="A492" s="1410"/>
      <c r="B492" s="1410"/>
      <c r="C492" s="1410"/>
      <c r="D492" s="1410"/>
      <c r="E492" s="1410"/>
      <c r="F492" s="1410"/>
      <c r="G492" s="1410"/>
      <c r="H492" s="1410"/>
    </row>
    <row r="493" spans="1:8" ht="16.5">
      <c r="A493" s="1410"/>
      <c r="B493" s="1410"/>
      <c r="C493" s="1410"/>
      <c r="D493" s="1410"/>
      <c r="E493" s="1410"/>
      <c r="F493" s="1410"/>
      <c r="G493" s="1410"/>
      <c r="H493" s="1410"/>
    </row>
    <row r="494" spans="1:8" ht="16.5">
      <c r="A494" s="1410"/>
      <c r="B494" s="1410"/>
      <c r="C494" s="1410"/>
      <c r="D494" s="1410"/>
      <c r="E494" s="1410"/>
      <c r="F494" s="1410"/>
      <c r="G494" s="1410"/>
      <c r="H494" s="1410"/>
    </row>
    <row r="495" spans="1:8" ht="16.5">
      <c r="A495" s="1410"/>
      <c r="B495" s="1410"/>
      <c r="C495" s="1410"/>
      <c r="D495" s="1410"/>
      <c r="E495" s="1410"/>
      <c r="F495" s="1410"/>
      <c r="G495" s="1410"/>
      <c r="H495" s="1410"/>
    </row>
    <row r="496" spans="1:8" ht="16.5">
      <c r="A496" s="1410"/>
      <c r="B496" s="1410"/>
      <c r="C496" s="1410"/>
      <c r="D496" s="1410"/>
      <c r="E496" s="1410"/>
      <c r="F496" s="1410"/>
      <c r="G496" s="1410"/>
      <c r="H496" s="1410"/>
    </row>
    <row r="497" spans="1:8" ht="16.5">
      <c r="A497" s="1410"/>
      <c r="B497" s="1410"/>
      <c r="C497" s="1410"/>
      <c r="D497" s="1410"/>
      <c r="E497" s="1410"/>
      <c r="F497" s="1410"/>
      <c r="G497" s="1410"/>
      <c r="H497" s="1410"/>
    </row>
    <row r="498" spans="1:8" ht="16.5">
      <c r="A498" s="1410"/>
      <c r="B498" s="1410"/>
      <c r="C498" s="1410"/>
      <c r="D498" s="1410"/>
      <c r="E498" s="1410"/>
      <c r="F498" s="1410"/>
      <c r="G498" s="1410"/>
      <c r="H498" s="1410"/>
    </row>
    <row r="499" spans="1:8" ht="16.5">
      <c r="A499" s="1410"/>
      <c r="B499" s="1410"/>
      <c r="C499" s="1410"/>
      <c r="D499" s="1410"/>
      <c r="E499" s="1410"/>
      <c r="F499" s="1410"/>
      <c r="G499" s="1410"/>
      <c r="H499" s="1410"/>
    </row>
    <row r="500" spans="1:8" ht="16.5">
      <c r="A500" s="1410"/>
      <c r="B500" s="1410"/>
      <c r="C500" s="1410"/>
      <c r="D500" s="1410"/>
      <c r="E500" s="1410"/>
      <c r="F500" s="1410"/>
      <c r="G500" s="1410"/>
      <c r="H500" s="1410"/>
    </row>
    <row r="501" spans="1:8" ht="16.5">
      <c r="A501" s="1410"/>
      <c r="B501" s="1410"/>
      <c r="C501" s="1410"/>
      <c r="D501" s="1410"/>
      <c r="E501" s="1410"/>
      <c r="F501" s="1410"/>
      <c r="G501" s="1410"/>
      <c r="H501" s="1410"/>
    </row>
    <row r="502" spans="1:8" ht="16.5">
      <c r="A502" s="1410"/>
      <c r="B502" s="1410"/>
      <c r="C502" s="1410"/>
      <c r="D502" s="1410"/>
      <c r="E502" s="1410"/>
      <c r="F502" s="1410"/>
      <c r="G502" s="1410"/>
      <c r="H502" s="1410"/>
    </row>
    <row r="503" spans="1:8" ht="16.5">
      <c r="A503" s="1410"/>
      <c r="B503" s="1410"/>
      <c r="C503" s="1410"/>
      <c r="D503" s="1410"/>
      <c r="E503" s="1410"/>
      <c r="F503" s="1410"/>
      <c r="G503" s="1410"/>
      <c r="H503" s="1410"/>
    </row>
    <row r="504" spans="1:8" ht="16.5">
      <c r="A504" s="1410"/>
      <c r="B504" s="1410"/>
      <c r="C504" s="1410"/>
      <c r="D504" s="1410"/>
      <c r="E504" s="1410"/>
      <c r="F504" s="1410"/>
      <c r="G504" s="1410"/>
      <c r="H504" s="1410"/>
    </row>
    <row r="505" spans="1:8" ht="16.5">
      <c r="A505" s="1410"/>
      <c r="B505" s="1410"/>
      <c r="C505" s="1410"/>
      <c r="D505" s="1410"/>
      <c r="E505" s="1410"/>
      <c r="F505" s="1410"/>
      <c r="G505" s="1410"/>
      <c r="H505" s="1410"/>
    </row>
    <row r="506" spans="1:8" ht="16.5">
      <c r="A506" s="1410"/>
      <c r="B506" s="1410"/>
      <c r="C506" s="1410"/>
      <c r="D506" s="1410"/>
      <c r="E506" s="1410"/>
      <c r="F506" s="1410"/>
      <c r="G506" s="1410"/>
      <c r="H506" s="1410"/>
    </row>
  </sheetData>
  <mergeCells count="19">
    <mergeCell ref="A51:H51"/>
    <mergeCell ref="A45:H45"/>
    <mergeCell ref="A46:H46"/>
    <mergeCell ref="A47:H47"/>
    <mergeCell ref="A48:H48"/>
    <mergeCell ref="A49:H49"/>
    <mergeCell ref="A50:H50"/>
    <mergeCell ref="A44:H44"/>
    <mergeCell ref="D1:H1"/>
    <mergeCell ref="D2:H2"/>
    <mergeCell ref="A35:H35"/>
    <mergeCell ref="A36:H36"/>
    <mergeCell ref="A37:H37"/>
    <mergeCell ref="A38:H38"/>
    <mergeCell ref="A39:H39"/>
    <mergeCell ref="A40:H40"/>
    <mergeCell ref="A41:H41"/>
    <mergeCell ref="A42:H42"/>
    <mergeCell ref="A43:H43"/>
  </mergeCells>
  <phoneticPr fontId="26" type="noConversion"/>
  <dataValidations count="3">
    <dataValidation type="list" allowBlank="1" showInputMessage="1" showErrorMessage="1" sqref="F10:G15 JB10:JC15 SX10:SY15 ACT10:ACU15 AMP10:AMQ15 AWL10:AWM15 BGH10:BGI15 BQD10:BQE15 BZZ10:CAA15 CJV10:CJW15 CTR10:CTS15 DDN10:DDO15 DNJ10:DNK15 DXF10:DXG15 EHB10:EHC15 EQX10:EQY15 FAT10:FAU15 FKP10:FKQ15 FUL10:FUM15 GEH10:GEI15 GOD10:GOE15 GXZ10:GYA15 HHV10:HHW15 HRR10:HRS15 IBN10:IBO15 ILJ10:ILK15 IVF10:IVG15 JFB10:JFC15 JOX10:JOY15 JYT10:JYU15 KIP10:KIQ15 KSL10:KSM15 LCH10:LCI15 LMD10:LME15 LVZ10:LWA15 MFV10:MFW15 MPR10:MPS15 MZN10:MZO15 NJJ10:NJK15 NTF10:NTG15 ODB10:ODC15 OMX10:OMY15 OWT10:OWU15 PGP10:PGQ15 PQL10:PQM15 QAH10:QAI15 QKD10:QKE15 QTZ10:QUA15 RDV10:RDW15 RNR10:RNS15 RXN10:RXO15 SHJ10:SHK15 SRF10:SRG15 TBB10:TBC15 TKX10:TKY15 TUT10:TUU15 UEP10:UEQ15 UOL10:UOM15 UYH10:UYI15 VID10:VIE15 VRZ10:VSA15 WBV10:WBW15 WLR10:WLS15 WVN10:WVO15 F65546:G65551 JB65546:JC65551 SX65546:SY65551 ACT65546:ACU65551 AMP65546:AMQ65551 AWL65546:AWM65551 BGH65546:BGI65551 BQD65546:BQE65551 BZZ65546:CAA65551 CJV65546:CJW65551 CTR65546:CTS65551 DDN65546:DDO65551 DNJ65546:DNK65551 DXF65546:DXG65551 EHB65546:EHC65551 EQX65546:EQY65551 FAT65546:FAU65551 FKP65546:FKQ65551 FUL65546:FUM65551 GEH65546:GEI65551 GOD65546:GOE65551 GXZ65546:GYA65551 HHV65546:HHW65551 HRR65546:HRS65551 IBN65546:IBO65551 ILJ65546:ILK65551 IVF65546:IVG65551 JFB65546:JFC65551 JOX65546:JOY65551 JYT65546:JYU65551 KIP65546:KIQ65551 KSL65546:KSM65551 LCH65546:LCI65551 LMD65546:LME65551 LVZ65546:LWA65551 MFV65546:MFW65551 MPR65546:MPS65551 MZN65546:MZO65551 NJJ65546:NJK65551 NTF65546:NTG65551 ODB65546:ODC65551 OMX65546:OMY65551 OWT65546:OWU65551 PGP65546:PGQ65551 PQL65546:PQM65551 QAH65546:QAI65551 QKD65546:QKE65551 QTZ65546:QUA65551 RDV65546:RDW65551 RNR65546:RNS65551 RXN65546:RXO65551 SHJ65546:SHK65551 SRF65546:SRG65551 TBB65546:TBC65551 TKX65546:TKY65551 TUT65546:TUU65551 UEP65546:UEQ65551 UOL65546:UOM65551 UYH65546:UYI65551 VID65546:VIE65551 VRZ65546:VSA65551 WBV65546:WBW65551 WLR65546:WLS65551 WVN65546:WVO65551 F131082:G131087 JB131082:JC131087 SX131082:SY131087 ACT131082:ACU131087 AMP131082:AMQ131087 AWL131082:AWM131087 BGH131082:BGI131087 BQD131082:BQE131087 BZZ131082:CAA131087 CJV131082:CJW131087 CTR131082:CTS131087 DDN131082:DDO131087 DNJ131082:DNK131087 DXF131082:DXG131087 EHB131082:EHC131087 EQX131082:EQY131087 FAT131082:FAU131087 FKP131082:FKQ131087 FUL131082:FUM131087 GEH131082:GEI131087 GOD131082:GOE131087 GXZ131082:GYA131087 HHV131082:HHW131087 HRR131082:HRS131087 IBN131082:IBO131087 ILJ131082:ILK131087 IVF131082:IVG131087 JFB131082:JFC131087 JOX131082:JOY131087 JYT131082:JYU131087 KIP131082:KIQ131087 KSL131082:KSM131087 LCH131082:LCI131087 LMD131082:LME131087 LVZ131082:LWA131087 MFV131082:MFW131087 MPR131082:MPS131087 MZN131082:MZO131087 NJJ131082:NJK131087 NTF131082:NTG131087 ODB131082:ODC131087 OMX131082:OMY131087 OWT131082:OWU131087 PGP131082:PGQ131087 PQL131082:PQM131087 QAH131082:QAI131087 QKD131082:QKE131087 QTZ131082:QUA131087 RDV131082:RDW131087 RNR131082:RNS131087 RXN131082:RXO131087 SHJ131082:SHK131087 SRF131082:SRG131087 TBB131082:TBC131087 TKX131082:TKY131087 TUT131082:TUU131087 UEP131082:UEQ131087 UOL131082:UOM131087 UYH131082:UYI131087 VID131082:VIE131087 VRZ131082:VSA131087 WBV131082:WBW131087 WLR131082:WLS131087 WVN131082:WVO131087 F196618:G196623 JB196618:JC196623 SX196618:SY196623 ACT196618:ACU196623 AMP196618:AMQ196623 AWL196618:AWM196623 BGH196618:BGI196623 BQD196618:BQE196623 BZZ196618:CAA196623 CJV196618:CJW196623 CTR196618:CTS196623 DDN196618:DDO196623 DNJ196618:DNK196623 DXF196618:DXG196623 EHB196618:EHC196623 EQX196618:EQY196623 FAT196618:FAU196623 FKP196618:FKQ196623 FUL196618:FUM196623 GEH196618:GEI196623 GOD196618:GOE196623 GXZ196618:GYA196623 HHV196618:HHW196623 HRR196618:HRS196623 IBN196618:IBO196623 ILJ196618:ILK196623 IVF196618:IVG196623 JFB196618:JFC196623 JOX196618:JOY196623 JYT196618:JYU196623 KIP196618:KIQ196623 KSL196618:KSM196623 LCH196618:LCI196623 LMD196618:LME196623 LVZ196618:LWA196623 MFV196618:MFW196623 MPR196618:MPS196623 MZN196618:MZO196623 NJJ196618:NJK196623 NTF196618:NTG196623 ODB196618:ODC196623 OMX196618:OMY196623 OWT196618:OWU196623 PGP196618:PGQ196623 PQL196618:PQM196623 QAH196618:QAI196623 QKD196618:QKE196623 QTZ196618:QUA196623 RDV196618:RDW196623 RNR196618:RNS196623 RXN196618:RXO196623 SHJ196618:SHK196623 SRF196618:SRG196623 TBB196618:TBC196623 TKX196618:TKY196623 TUT196618:TUU196623 UEP196618:UEQ196623 UOL196618:UOM196623 UYH196618:UYI196623 VID196618:VIE196623 VRZ196618:VSA196623 WBV196618:WBW196623 WLR196618:WLS196623 WVN196618:WVO196623 F262154:G262159 JB262154:JC262159 SX262154:SY262159 ACT262154:ACU262159 AMP262154:AMQ262159 AWL262154:AWM262159 BGH262154:BGI262159 BQD262154:BQE262159 BZZ262154:CAA262159 CJV262154:CJW262159 CTR262154:CTS262159 DDN262154:DDO262159 DNJ262154:DNK262159 DXF262154:DXG262159 EHB262154:EHC262159 EQX262154:EQY262159 FAT262154:FAU262159 FKP262154:FKQ262159 FUL262154:FUM262159 GEH262154:GEI262159 GOD262154:GOE262159 GXZ262154:GYA262159 HHV262154:HHW262159 HRR262154:HRS262159 IBN262154:IBO262159 ILJ262154:ILK262159 IVF262154:IVG262159 JFB262154:JFC262159 JOX262154:JOY262159 JYT262154:JYU262159 KIP262154:KIQ262159 KSL262154:KSM262159 LCH262154:LCI262159 LMD262154:LME262159 LVZ262154:LWA262159 MFV262154:MFW262159 MPR262154:MPS262159 MZN262154:MZO262159 NJJ262154:NJK262159 NTF262154:NTG262159 ODB262154:ODC262159 OMX262154:OMY262159 OWT262154:OWU262159 PGP262154:PGQ262159 PQL262154:PQM262159 QAH262154:QAI262159 QKD262154:QKE262159 QTZ262154:QUA262159 RDV262154:RDW262159 RNR262154:RNS262159 RXN262154:RXO262159 SHJ262154:SHK262159 SRF262154:SRG262159 TBB262154:TBC262159 TKX262154:TKY262159 TUT262154:TUU262159 UEP262154:UEQ262159 UOL262154:UOM262159 UYH262154:UYI262159 VID262154:VIE262159 VRZ262154:VSA262159 WBV262154:WBW262159 WLR262154:WLS262159 WVN262154:WVO262159 F327690:G327695 JB327690:JC327695 SX327690:SY327695 ACT327690:ACU327695 AMP327690:AMQ327695 AWL327690:AWM327695 BGH327690:BGI327695 BQD327690:BQE327695 BZZ327690:CAA327695 CJV327690:CJW327695 CTR327690:CTS327695 DDN327690:DDO327695 DNJ327690:DNK327695 DXF327690:DXG327695 EHB327690:EHC327695 EQX327690:EQY327695 FAT327690:FAU327695 FKP327690:FKQ327695 FUL327690:FUM327695 GEH327690:GEI327695 GOD327690:GOE327695 GXZ327690:GYA327695 HHV327690:HHW327695 HRR327690:HRS327695 IBN327690:IBO327695 ILJ327690:ILK327695 IVF327690:IVG327695 JFB327690:JFC327695 JOX327690:JOY327695 JYT327690:JYU327695 KIP327690:KIQ327695 KSL327690:KSM327695 LCH327690:LCI327695 LMD327690:LME327695 LVZ327690:LWA327695 MFV327690:MFW327695 MPR327690:MPS327695 MZN327690:MZO327695 NJJ327690:NJK327695 NTF327690:NTG327695 ODB327690:ODC327695 OMX327690:OMY327695 OWT327690:OWU327695 PGP327690:PGQ327695 PQL327690:PQM327695 QAH327690:QAI327695 QKD327690:QKE327695 QTZ327690:QUA327695 RDV327690:RDW327695 RNR327690:RNS327695 RXN327690:RXO327695 SHJ327690:SHK327695 SRF327690:SRG327695 TBB327690:TBC327695 TKX327690:TKY327695 TUT327690:TUU327695 UEP327690:UEQ327695 UOL327690:UOM327695 UYH327690:UYI327695 VID327690:VIE327695 VRZ327690:VSA327695 WBV327690:WBW327695 WLR327690:WLS327695 WVN327690:WVO327695 F393226:G393231 JB393226:JC393231 SX393226:SY393231 ACT393226:ACU393231 AMP393226:AMQ393231 AWL393226:AWM393231 BGH393226:BGI393231 BQD393226:BQE393231 BZZ393226:CAA393231 CJV393226:CJW393231 CTR393226:CTS393231 DDN393226:DDO393231 DNJ393226:DNK393231 DXF393226:DXG393231 EHB393226:EHC393231 EQX393226:EQY393231 FAT393226:FAU393231 FKP393226:FKQ393231 FUL393226:FUM393231 GEH393226:GEI393231 GOD393226:GOE393231 GXZ393226:GYA393231 HHV393226:HHW393231 HRR393226:HRS393231 IBN393226:IBO393231 ILJ393226:ILK393231 IVF393226:IVG393231 JFB393226:JFC393231 JOX393226:JOY393231 JYT393226:JYU393231 KIP393226:KIQ393231 KSL393226:KSM393231 LCH393226:LCI393231 LMD393226:LME393231 LVZ393226:LWA393231 MFV393226:MFW393231 MPR393226:MPS393231 MZN393226:MZO393231 NJJ393226:NJK393231 NTF393226:NTG393231 ODB393226:ODC393231 OMX393226:OMY393231 OWT393226:OWU393231 PGP393226:PGQ393231 PQL393226:PQM393231 QAH393226:QAI393231 QKD393226:QKE393231 QTZ393226:QUA393231 RDV393226:RDW393231 RNR393226:RNS393231 RXN393226:RXO393231 SHJ393226:SHK393231 SRF393226:SRG393231 TBB393226:TBC393231 TKX393226:TKY393231 TUT393226:TUU393231 UEP393226:UEQ393231 UOL393226:UOM393231 UYH393226:UYI393231 VID393226:VIE393231 VRZ393226:VSA393231 WBV393226:WBW393231 WLR393226:WLS393231 WVN393226:WVO393231 F458762:G458767 JB458762:JC458767 SX458762:SY458767 ACT458762:ACU458767 AMP458762:AMQ458767 AWL458762:AWM458767 BGH458762:BGI458767 BQD458762:BQE458767 BZZ458762:CAA458767 CJV458762:CJW458767 CTR458762:CTS458767 DDN458762:DDO458767 DNJ458762:DNK458767 DXF458762:DXG458767 EHB458762:EHC458767 EQX458762:EQY458767 FAT458762:FAU458767 FKP458762:FKQ458767 FUL458762:FUM458767 GEH458762:GEI458767 GOD458762:GOE458767 GXZ458762:GYA458767 HHV458762:HHW458767 HRR458762:HRS458767 IBN458762:IBO458767 ILJ458762:ILK458767 IVF458762:IVG458767 JFB458762:JFC458767 JOX458762:JOY458767 JYT458762:JYU458767 KIP458762:KIQ458767 KSL458762:KSM458767 LCH458762:LCI458767 LMD458762:LME458767 LVZ458762:LWA458767 MFV458762:MFW458767 MPR458762:MPS458767 MZN458762:MZO458767 NJJ458762:NJK458767 NTF458762:NTG458767 ODB458762:ODC458767 OMX458762:OMY458767 OWT458762:OWU458767 PGP458762:PGQ458767 PQL458762:PQM458767 QAH458762:QAI458767 QKD458762:QKE458767 QTZ458762:QUA458767 RDV458762:RDW458767 RNR458762:RNS458767 RXN458762:RXO458767 SHJ458762:SHK458767 SRF458762:SRG458767 TBB458762:TBC458767 TKX458762:TKY458767 TUT458762:TUU458767 UEP458762:UEQ458767 UOL458762:UOM458767 UYH458762:UYI458767 VID458762:VIE458767 VRZ458762:VSA458767 WBV458762:WBW458767 WLR458762:WLS458767 WVN458762:WVO458767 F524298:G524303 JB524298:JC524303 SX524298:SY524303 ACT524298:ACU524303 AMP524298:AMQ524303 AWL524298:AWM524303 BGH524298:BGI524303 BQD524298:BQE524303 BZZ524298:CAA524303 CJV524298:CJW524303 CTR524298:CTS524303 DDN524298:DDO524303 DNJ524298:DNK524303 DXF524298:DXG524303 EHB524298:EHC524303 EQX524298:EQY524303 FAT524298:FAU524303 FKP524298:FKQ524303 FUL524298:FUM524303 GEH524298:GEI524303 GOD524298:GOE524303 GXZ524298:GYA524303 HHV524298:HHW524303 HRR524298:HRS524303 IBN524298:IBO524303 ILJ524298:ILK524303 IVF524298:IVG524303 JFB524298:JFC524303 JOX524298:JOY524303 JYT524298:JYU524303 KIP524298:KIQ524303 KSL524298:KSM524303 LCH524298:LCI524303 LMD524298:LME524303 LVZ524298:LWA524303 MFV524298:MFW524303 MPR524298:MPS524303 MZN524298:MZO524303 NJJ524298:NJK524303 NTF524298:NTG524303 ODB524298:ODC524303 OMX524298:OMY524303 OWT524298:OWU524303 PGP524298:PGQ524303 PQL524298:PQM524303 QAH524298:QAI524303 QKD524298:QKE524303 QTZ524298:QUA524303 RDV524298:RDW524303 RNR524298:RNS524303 RXN524298:RXO524303 SHJ524298:SHK524303 SRF524298:SRG524303 TBB524298:TBC524303 TKX524298:TKY524303 TUT524298:TUU524303 UEP524298:UEQ524303 UOL524298:UOM524303 UYH524298:UYI524303 VID524298:VIE524303 VRZ524298:VSA524303 WBV524298:WBW524303 WLR524298:WLS524303 WVN524298:WVO524303 F589834:G589839 JB589834:JC589839 SX589834:SY589839 ACT589834:ACU589839 AMP589834:AMQ589839 AWL589834:AWM589839 BGH589834:BGI589839 BQD589834:BQE589839 BZZ589834:CAA589839 CJV589834:CJW589839 CTR589834:CTS589839 DDN589834:DDO589839 DNJ589834:DNK589839 DXF589834:DXG589839 EHB589834:EHC589839 EQX589834:EQY589839 FAT589834:FAU589839 FKP589834:FKQ589839 FUL589834:FUM589839 GEH589834:GEI589839 GOD589834:GOE589839 GXZ589834:GYA589839 HHV589834:HHW589839 HRR589834:HRS589839 IBN589834:IBO589839 ILJ589834:ILK589839 IVF589834:IVG589839 JFB589834:JFC589839 JOX589834:JOY589839 JYT589834:JYU589839 KIP589834:KIQ589839 KSL589834:KSM589839 LCH589834:LCI589839 LMD589834:LME589839 LVZ589834:LWA589839 MFV589834:MFW589839 MPR589834:MPS589839 MZN589834:MZO589839 NJJ589834:NJK589839 NTF589834:NTG589839 ODB589834:ODC589839 OMX589834:OMY589839 OWT589834:OWU589839 PGP589834:PGQ589839 PQL589834:PQM589839 QAH589834:QAI589839 QKD589834:QKE589839 QTZ589834:QUA589839 RDV589834:RDW589839 RNR589834:RNS589839 RXN589834:RXO589839 SHJ589834:SHK589839 SRF589834:SRG589839 TBB589834:TBC589839 TKX589834:TKY589839 TUT589834:TUU589839 UEP589834:UEQ589839 UOL589834:UOM589839 UYH589834:UYI589839 VID589834:VIE589839 VRZ589834:VSA589839 WBV589834:WBW589839 WLR589834:WLS589839 WVN589834:WVO589839 F655370:G655375 JB655370:JC655375 SX655370:SY655375 ACT655370:ACU655375 AMP655370:AMQ655375 AWL655370:AWM655375 BGH655370:BGI655375 BQD655370:BQE655375 BZZ655370:CAA655375 CJV655370:CJW655375 CTR655370:CTS655375 DDN655370:DDO655375 DNJ655370:DNK655375 DXF655370:DXG655375 EHB655370:EHC655375 EQX655370:EQY655375 FAT655370:FAU655375 FKP655370:FKQ655375 FUL655370:FUM655375 GEH655370:GEI655375 GOD655370:GOE655375 GXZ655370:GYA655375 HHV655370:HHW655375 HRR655370:HRS655375 IBN655370:IBO655375 ILJ655370:ILK655375 IVF655370:IVG655375 JFB655370:JFC655375 JOX655370:JOY655375 JYT655370:JYU655375 KIP655370:KIQ655375 KSL655370:KSM655375 LCH655370:LCI655375 LMD655370:LME655375 LVZ655370:LWA655375 MFV655370:MFW655375 MPR655370:MPS655375 MZN655370:MZO655375 NJJ655370:NJK655375 NTF655370:NTG655375 ODB655370:ODC655375 OMX655370:OMY655375 OWT655370:OWU655375 PGP655370:PGQ655375 PQL655370:PQM655375 QAH655370:QAI655375 QKD655370:QKE655375 QTZ655370:QUA655375 RDV655370:RDW655375 RNR655370:RNS655375 RXN655370:RXO655375 SHJ655370:SHK655375 SRF655370:SRG655375 TBB655370:TBC655375 TKX655370:TKY655375 TUT655370:TUU655375 UEP655370:UEQ655375 UOL655370:UOM655375 UYH655370:UYI655375 VID655370:VIE655375 VRZ655370:VSA655375 WBV655370:WBW655375 WLR655370:WLS655375 WVN655370:WVO655375 F720906:G720911 JB720906:JC720911 SX720906:SY720911 ACT720906:ACU720911 AMP720906:AMQ720911 AWL720906:AWM720911 BGH720906:BGI720911 BQD720906:BQE720911 BZZ720906:CAA720911 CJV720906:CJW720911 CTR720906:CTS720911 DDN720906:DDO720911 DNJ720906:DNK720911 DXF720906:DXG720911 EHB720906:EHC720911 EQX720906:EQY720911 FAT720906:FAU720911 FKP720906:FKQ720911 FUL720906:FUM720911 GEH720906:GEI720911 GOD720906:GOE720911 GXZ720906:GYA720911 HHV720906:HHW720911 HRR720906:HRS720911 IBN720906:IBO720911 ILJ720906:ILK720911 IVF720906:IVG720911 JFB720906:JFC720911 JOX720906:JOY720911 JYT720906:JYU720911 KIP720906:KIQ720911 KSL720906:KSM720911 LCH720906:LCI720911 LMD720906:LME720911 LVZ720906:LWA720911 MFV720906:MFW720911 MPR720906:MPS720911 MZN720906:MZO720911 NJJ720906:NJK720911 NTF720906:NTG720911 ODB720906:ODC720911 OMX720906:OMY720911 OWT720906:OWU720911 PGP720906:PGQ720911 PQL720906:PQM720911 QAH720906:QAI720911 QKD720906:QKE720911 QTZ720906:QUA720911 RDV720906:RDW720911 RNR720906:RNS720911 RXN720906:RXO720911 SHJ720906:SHK720911 SRF720906:SRG720911 TBB720906:TBC720911 TKX720906:TKY720911 TUT720906:TUU720911 UEP720906:UEQ720911 UOL720906:UOM720911 UYH720906:UYI720911 VID720906:VIE720911 VRZ720906:VSA720911 WBV720906:WBW720911 WLR720906:WLS720911 WVN720906:WVO720911 F786442:G786447 JB786442:JC786447 SX786442:SY786447 ACT786442:ACU786447 AMP786442:AMQ786447 AWL786442:AWM786447 BGH786442:BGI786447 BQD786442:BQE786447 BZZ786442:CAA786447 CJV786442:CJW786447 CTR786442:CTS786447 DDN786442:DDO786447 DNJ786442:DNK786447 DXF786442:DXG786447 EHB786442:EHC786447 EQX786442:EQY786447 FAT786442:FAU786447 FKP786442:FKQ786447 FUL786442:FUM786447 GEH786442:GEI786447 GOD786442:GOE786447 GXZ786442:GYA786447 HHV786442:HHW786447 HRR786442:HRS786447 IBN786442:IBO786447 ILJ786442:ILK786447 IVF786442:IVG786447 JFB786442:JFC786447 JOX786442:JOY786447 JYT786442:JYU786447 KIP786442:KIQ786447 KSL786442:KSM786447 LCH786442:LCI786447 LMD786442:LME786447 LVZ786442:LWA786447 MFV786442:MFW786447 MPR786442:MPS786447 MZN786442:MZO786447 NJJ786442:NJK786447 NTF786442:NTG786447 ODB786442:ODC786447 OMX786442:OMY786447 OWT786442:OWU786447 PGP786442:PGQ786447 PQL786442:PQM786447 QAH786442:QAI786447 QKD786442:QKE786447 QTZ786442:QUA786447 RDV786442:RDW786447 RNR786442:RNS786447 RXN786442:RXO786447 SHJ786442:SHK786447 SRF786442:SRG786447 TBB786442:TBC786447 TKX786442:TKY786447 TUT786442:TUU786447 UEP786442:UEQ786447 UOL786442:UOM786447 UYH786442:UYI786447 VID786442:VIE786447 VRZ786442:VSA786447 WBV786442:WBW786447 WLR786442:WLS786447 WVN786442:WVO786447 F851978:G851983 JB851978:JC851983 SX851978:SY851983 ACT851978:ACU851983 AMP851978:AMQ851983 AWL851978:AWM851983 BGH851978:BGI851983 BQD851978:BQE851983 BZZ851978:CAA851983 CJV851978:CJW851983 CTR851978:CTS851983 DDN851978:DDO851983 DNJ851978:DNK851983 DXF851978:DXG851983 EHB851978:EHC851983 EQX851978:EQY851983 FAT851978:FAU851983 FKP851978:FKQ851983 FUL851978:FUM851983 GEH851978:GEI851983 GOD851978:GOE851983 GXZ851978:GYA851983 HHV851978:HHW851983 HRR851978:HRS851983 IBN851978:IBO851983 ILJ851978:ILK851983 IVF851978:IVG851983 JFB851978:JFC851983 JOX851978:JOY851983 JYT851978:JYU851983 KIP851978:KIQ851983 KSL851978:KSM851983 LCH851978:LCI851983 LMD851978:LME851983 LVZ851978:LWA851983 MFV851978:MFW851983 MPR851978:MPS851983 MZN851978:MZO851983 NJJ851978:NJK851983 NTF851978:NTG851983 ODB851978:ODC851983 OMX851978:OMY851983 OWT851978:OWU851983 PGP851978:PGQ851983 PQL851978:PQM851983 QAH851978:QAI851983 QKD851978:QKE851983 QTZ851978:QUA851983 RDV851978:RDW851983 RNR851978:RNS851983 RXN851978:RXO851983 SHJ851978:SHK851983 SRF851978:SRG851983 TBB851978:TBC851983 TKX851978:TKY851983 TUT851978:TUU851983 UEP851978:UEQ851983 UOL851978:UOM851983 UYH851978:UYI851983 VID851978:VIE851983 VRZ851978:VSA851983 WBV851978:WBW851983 WLR851978:WLS851983 WVN851978:WVO851983 F917514:G917519 JB917514:JC917519 SX917514:SY917519 ACT917514:ACU917519 AMP917514:AMQ917519 AWL917514:AWM917519 BGH917514:BGI917519 BQD917514:BQE917519 BZZ917514:CAA917519 CJV917514:CJW917519 CTR917514:CTS917519 DDN917514:DDO917519 DNJ917514:DNK917519 DXF917514:DXG917519 EHB917514:EHC917519 EQX917514:EQY917519 FAT917514:FAU917519 FKP917514:FKQ917519 FUL917514:FUM917519 GEH917514:GEI917519 GOD917514:GOE917519 GXZ917514:GYA917519 HHV917514:HHW917519 HRR917514:HRS917519 IBN917514:IBO917519 ILJ917514:ILK917519 IVF917514:IVG917519 JFB917514:JFC917519 JOX917514:JOY917519 JYT917514:JYU917519 KIP917514:KIQ917519 KSL917514:KSM917519 LCH917514:LCI917519 LMD917514:LME917519 LVZ917514:LWA917519 MFV917514:MFW917519 MPR917514:MPS917519 MZN917514:MZO917519 NJJ917514:NJK917519 NTF917514:NTG917519 ODB917514:ODC917519 OMX917514:OMY917519 OWT917514:OWU917519 PGP917514:PGQ917519 PQL917514:PQM917519 QAH917514:QAI917519 QKD917514:QKE917519 QTZ917514:QUA917519 RDV917514:RDW917519 RNR917514:RNS917519 RXN917514:RXO917519 SHJ917514:SHK917519 SRF917514:SRG917519 TBB917514:TBC917519 TKX917514:TKY917519 TUT917514:TUU917519 UEP917514:UEQ917519 UOL917514:UOM917519 UYH917514:UYI917519 VID917514:VIE917519 VRZ917514:VSA917519 WBV917514:WBW917519 WLR917514:WLS917519 WVN917514:WVO917519 F983050:G983055 JB983050:JC983055 SX983050:SY983055 ACT983050:ACU983055 AMP983050:AMQ983055 AWL983050:AWM983055 BGH983050:BGI983055 BQD983050:BQE983055 BZZ983050:CAA983055 CJV983050:CJW983055 CTR983050:CTS983055 DDN983050:DDO983055 DNJ983050:DNK983055 DXF983050:DXG983055 EHB983050:EHC983055 EQX983050:EQY983055 FAT983050:FAU983055 FKP983050:FKQ983055 FUL983050:FUM983055 GEH983050:GEI983055 GOD983050:GOE983055 GXZ983050:GYA983055 HHV983050:HHW983055 HRR983050:HRS983055 IBN983050:IBO983055 ILJ983050:ILK983055 IVF983050:IVG983055 JFB983050:JFC983055 JOX983050:JOY983055 JYT983050:JYU983055 KIP983050:KIQ983055 KSL983050:KSM983055 LCH983050:LCI983055 LMD983050:LME983055 LVZ983050:LWA983055 MFV983050:MFW983055 MPR983050:MPS983055 MZN983050:MZO983055 NJJ983050:NJK983055 NTF983050:NTG983055 ODB983050:ODC983055 OMX983050:OMY983055 OWT983050:OWU983055 PGP983050:PGQ983055 PQL983050:PQM983055 QAH983050:QAI983055 QKD983050:QKE983055 QTZ983050:QUA983055 RDV983050:RDW983055 RNR983050:RNS983055 RXN983050:RXO983055 SHJ983050:SHK983055 SRF983050:SRG983055 TBB983050:TBC983055 TKX983050:TKY983055 TUT983050:TUU983055 UEP983050:UEQ983055 UOL983050:UOM983055 UYH983050:UYI983055 VID983050:VIE983055 VRZ983050:VSA983055 WBV983050:WBW983055 WLR983050:WLS983055 WVN983050:WVO983055">
      <formula1>"/,10+0,15+0,20+0,25+0,30+0,35+0,40+0"</formula1>
    </dataValidation>
    <dataValidation type="list" showInputMessage="1" showErrorMessage="1" sqref="D10:D15 IZ10:IZ15 SV10:SV15 ACR10:ACR15 AMN10:AMN15 AWJ10:AWJ15 BGF10:BGF15 BQB10:BQB15 BZX10:BZX15 CJT10:CJT15 CTP10:CTP15 DDL10:DDL15 DNH10:DNH15 DXD10:DXD15 EGZ10:EGZ15 EQV10:EQV15 FAR10:FAR15 FKN10:FKN15 FUJ10:FUJ15 GEF10:GEF15 GOB10:GOB15 GXX10:GXX15 HHT10:HHT15 HRP10:HRP15 IBL10:IBL15 ILH10:ILH15 IVD10:IVD15 JEZ10:JEZ15 JOV10:JOV15 JYR10:JYR15 KIN10:KIN15 KSJ10:KSJ15 LCF10:LCF15 LMB10:LMB15 LVX10:LVX15 MFT10:MFT15 MPP10:MPP15 MZL10:MZL15 NJH10:NJH15 NTD10:NTD15 OCZ10:OCZ15 OMV10:OMV15 OWR10:OWR15 PGN10:PGN15 PQJ10:PQJ15 QAF10:QAF15 QKB10:QKB15 QTX10:QTX15 RDT10:RDT15 RNP10:RNP15 RXL10:RXL15 SHH10:SHH15 SRD10:SRD15 TAZ10:TAZ15 TKV10:TKV15 TUR10:TUR15 UEN10:UEN15 UOJ10:UOJ15 UYF10:UYF15 VIB10:VIB15 VRX10:VRX15 WBT10:WBT15 WLP10:WLP15 WVL10:WVL15 D65546:D65551 IZ65546:IZ65551 SV65546:SV65551 ACR65546:ACR65551 AMN65546:AMN65551 AWJ65546:AWJ65551 BGF65546:BGF65551 BQB65546:BQB65551 BZX65546:BZX65551 CJT65546:CJT65551 CTP65546:CTP65551 DDL65546:DDL65551 DNH65546:DNH65551 DXD65546:DXD65551 EGZ65546:EGZ65551 EQV65546:EQV65551 FAR65546:FAR65551 FKN65546:FKN65551 FUJ65546:FUJ65551 GEF65546:GEF65551 GOB65546:GOB65551 GXX65546:GXX65551 HHT65546:HHT65551 HRP65546:HRP65551 IBL65546:IBL65551 ILH65546:ILH65551 IVD65546:IVD65551 JEZ65546:JEZ65551 JOV65546:JOV65551 JYR65546:JYR65551 KIN65546:KIN65551 KSJ65546:KSJ65551 LCF65546:LCF65551 LMB65546:LMB65551 LVX65546:LVX65551 MFT65546:MFT65551 MPP65546:MPP65551 MZL65546:MZL65551 NJH65546:NJH65551 NTD65546:NTD65551 OCZ65546:OCZ65551 OMV65546:OMV65551 OWR65546:OWR65551 PGN65546:PGN65551 PQJ65546:PQJ65551 QAF65546:QAF65551 QKB65546:QKB65551 QTX65546:QTX65551 RDT65546:RDT65551 RNP65546:RNP65551 RXL65546:RXL65551 SHH65546:SHH65551 SRD65546:SRD65551 TAZ65546:TAZ65551 TKV65546:TKV65551 TUR65546:TUR65551 UEN65546:UEN65551 UOJ65546:UOJ65551 UYF65546:UYF65551 VIB65546:VIB65551 VRX65546:VRX65551 WBT65546:WBT65551 WLP65546:WLP65551 WVL65546:WVL65551 D131082:D131087 IZ131082:IZ131087 SV131082:SV131087 ACR131082:ACR131087 AMN131082:AMN131087 AWJ131082:AWJ131087 BGF131082:BGF131087 BQB131082:BQB131087 BZX131082:BZX131087 CJT131082:CJT131087 CTP131082:CTP131087 DDL131082:DDL131087 DNH131082:DNH131087 DXD131082:DXD131087 EGZ131082:EGZ131087 EQV131082:EQV131087 FAR131082:FAR131087 FKN131082:FKN131087 FUJ131082:FUJ131087 GEF131082:GEF131087 GOB131082:GOB131087 GXX131082:GXX131087 HHT131082:HHT131087 HRP131082:HRP131087 IBL131082:IBL131087 ILH131082:ILH131087 IVD131082:IVD131087 JEZ131082:JEZ131087 JOV131082:JOV131087 JYR131082:JYR131087 KIN131082:KIN131087 KSJ131082:KSJ131087 LCF131082:LCF131087 LMB131082:LMB131087 LVX131082:LVX131087 MFT131082:MFT131087 MPP131082:MPP131087 MZL131082:MZL131087 NJH131082:NJH131087 NTD131082:NTD131087 OCZ131082:OCZ131087 OMV131082:OMV131087 OWR131082:OWR131087 PGN131082:PGN131087 PQJ131082:PQJ131087 QAF131082:QAF131087 QKB131082:QKB131087 QTX131082:QTX131087 RDT131082:RDT131087 RNP131082:RNP131087 RXL131082:RXL131087 SHH131082:SHH131087 SRD131082:SRD131087 TAZ131082:TAZ131087 TKV131082:TKV131087 TUR131082:TUR131087 UEN131082:UEN131087 UOJ131082:UOJ131087 UYF131082:UYF131087 VIB131082:VIB131087 VRX131082:VRX131087 WBT131082:WBT131087 WLP131082:WLP131087 WVL131082:WVL131087 D196618:D196623 IZ196618:IZ196623 SV196618:SV196623 ACR196618:ACR196623 AMN196618:AMN196623 AWJ196618:AWJ196623 BGF196618:BGF196623 BQB196618:BQB196623 BZX196618:BZX196623 CJT196618:CJT196623 CTP196618:CTP196623 DDL196618:DDL196623 DNH196618:DNH196623 DXD196618:DXD196623 EGZ196618:EGZ196623 EQV196618:EQV196623 FAR196618:FAR196623 FKN196618:FKN196623 FUJ196618:FUJ196623 GEF196618:GEF196623 GOB196618:GOB196623 GXX196618:GXX196623 HHT196618:HHT196623 HRP196618:HRP196623 IBL196618:IBL196623 ILH196618:ILH196623 IVD196618:IVD196623 JEZ196618:JEZ196623 JOV196618:JOV196623 JYR196618:JYR196623 KIN196618:KIN196623 KSJ196618:KSJ196623 LCF196618:LCF196623 LMB196618:LMB196623 LVX196618:LVX196623 MFT196618:MFT196623 MPP196618:MPP196623 MZL196618:MZL196623 NJH196618:NJH196623 NTD196618:NTD196623 OCZ196618:OCZ196623 OMV196618:OMV196623 OWR196618:OWR196623 PGN196618:PGN196623 PQJ196618:PQJ196623 QAF196618:QAF196623 QKB196618:QKB196623 QTX196618:QTX196623 RDT196618:RDT196623 RNP196618:RNP196623 RXL196618:RXL196623 SHH196618:SHH196623 SRD196618:SRD196623 TAZ196618:TAZ196623 TKV196618:TKV196623 TUR196618:TUR196623 UEN196618:UEN196623 UOJ196618:UOJ196623 UYF196618:UYF196623 VIB196618:VIB196623 VRX196618:VRX196623 WBT196618:WBT196623 WLP196618:WLP196623 WVL196618:WVL196623 D262154:D262159 IZ262154:IZ262159 SV262154:SV262159 ACR262154:ACR262159 AMN262154:AMN262159 AWJ262154:AWJ262159 BGF262154:BGF262159 BQB262154:BQB262159 BZX262154:BZX262159 CJT262154:CJT262159 CTP262154:CTP262159 DDL262154:DDL262159 DNH262154:DNH262159 DXD262154:DXD262159 EGZ262154:EGZ262159 EQV262154:EQV262159 FAR262154:FAR262159 FKN262154:FKN262159 FUJ262154:FUJ262159 GEF262154:GEF262159 GOB262154:GOB262159 GXX262154:GXX262159 HHT262154:HHT262159 HRP262154:HRP262159 IBL262154:IBL262159 ILH262154:ILH262159 IVD262154:IVD262159 JEZ262154:JEZ262159 JOV262154:JOV262159 JYR262154:JYR262159 KIN262154:KIN262159 KSJ262154:KSJ262159 LCF262154:LCF262159 LMB262154:LMB262159 LVX262154:LVX262159 MFT262154:MFT262159 MPP262154:MPP262159 MZL262154:MZL262159 NJH262154:NJH262159 NTD262154:NTD262159 OCZ262154:OCZ262159 OMV262154:OMV262159 OWR262154:OWR262159 PGN262154:PGN262159 PQJ262154:PQJ262159 QAF262154:QAF262159 QKB262154:QKB262159 QTX262154:QTX262159 RDT262154:RDT262159 RNP262154:RNP262159 RXL262154:RXL262159 SHH262154:SHH262159 SRD262154:SRD262159 TAZ262154:TAZ262159 TKV262154:TKV262159 TUR262154:TUR262159 UEN262154:UEN262159 UOJ262154:UOJ262159 UYF262154:UYF262159 VIB262154:VIB262159 VRX262154:VRX262159 WBT262154:WBT262159 WLP262154:WLP262159 WVL262154:WVL262159 D327690:D327695 IZ327690:IZ327695 SV327690:SV327695 ACR327690:ACR327695 AMN327690:AMN327695 AWJ327690:AWJ327695 BGF327690:BGF327695 BQB327690:BQB327695 BZX327690:BZX327695 CJT327690:CJT327695 CTP327690:CTP327695 DDL327690:DDL327695 DNH327690:DNH327695 DXD327690:DXD327695 EGZ327690:EGZ327695 EQV327690:EQV327695 FAR327690:FAR327695 FKN327690:FKN327695 FUJ327690:FUJ327695 GEF327690:GEF327695 GOB327690:GOB327695 GXX327690:GXX327695 HHT327690:HHT327695 HRP327690:HRP327695 IBL327690:IBL327695 ILH327690:ILH327695 IVD327690:IVD327695 JEZ327690:JEZ327695 JOV327690:JOV327695 JYR327690:JYR327695 KIN327690:KIN327695 KSJ327690:KSJ327695 LCF327690:LCF327695 LMB327690:LMB327695 LVX327690:LVX327695 MFT327690:MFT327695 MPP327690:MPP327695 MZL327690:MZL327695 NJH327690:NJH327695 NTD327690:NTD327695 OCZ327690:OCZ327695 OMV327690:OMV327695 OWR327690:OWR327695 PGN327690:PGN327695 PQJ327690:PQJ327695 QAF327690:QAF327695 QKB327690:QKB327695 QTX327690:QTX327695 RDT327690:RDT327695 RNP327690:RNP327695 RXL327690:RXL327695 SHH327690:SHH327695 SRD327690:SRD327695 TAZ327690:TAZ327695 TKV327690:TKV327695 TUR327690:TUR327695 UEN327690:UEN327695 UOJ327690:UOJ327695 UYF327690:UYF327695 VIB327690:VIB327695 VRX327690:VRX327695 WBT327690:WBT327695 WLP327690:WLP327695 WVL327690:WVL327695 D393226:D393231 IZ393226:IZ393231 SV393226:SV393231 ACR393226:ACR393231 AMN393226:AMN393231 AWJ393226:AWJ393231 BGF393226:BGF393231 BQB393226:BQB393231 BZX393226:BZX393231 CJT393226:CJT393231 CTP393226:CTP393231 DDL393226:DDL393231 DNH393226:DNH393231 DXD393226:DXD393231 EGZ393226:EGZ393231 EQV393226:EQV393231 FAR393226:FAR393231 FKN393226:FKN393231 FUJ393226:FUJ393231 GEF393226:GEF393231 GOB393226:GOB393231 GXX393226:GXX393231 HHT393226:HHT393231 HRP393226:HRP393231 IBL393226:IBL393231 ILH393226:ILH393231 IVD393226:IVD393231 JEZ393226:JEZ393231 JOV393226:JOV393231 JYR393226:JYR393231 KIN393226:KIN393231 KSJ393226:KSJ393231 LCF393226:LCF393231 LMB393226:LMB393231 LVX393226:LVX393231 MFT393226:MFT393231 MPP393226:MPP393231 MZL393226:MZL393231 NJH393226:NJH393231 NTD393226:NTD393231 OCZ393226:OCZ393231 OMV393226:OMV393231 OWR393226:OWR393231 PGN393226:PGN393231 PQJ393226:PQJ393231 QAF393226:QAF393231 QKB393226:QKB393231 QTX393226:QTX393231 RDT393226:RDT393231 RNP393226:RNP393231 RXL393226:RXL393231 SHH393226:SHH393231 SRD393226:SRD393231 TAZ393226:TAZ393231 TKV393226:TKV393231 TUR393226:TUR393231 UEN393226:UEN393231 UOJ393226:UOJ393231 UYF393226:UYF393231 VIB393226:VIB393231 VRX393226:VRX393231 WBT393226:WBT393231 WLP393226:WLP393231 WVL393226:WVL393231 D458762:D458767 IZ458762:IZ458767 SV458762:SV458767 ACR458762:ACR458767 AMN458762:AMN458767 AWJ458762:AWJ458767 BGF458762:BGF458767 BQB458762:BQB458767 BZX458762:BZX458767 CJT458762:CJT458767 CTP458762:CTP458767 DDL458762:DDL458767 DNH458762:DNH458767 DXD458762:DXD458767 EGZ458762:EGZ458767 EQV458762:EQV458767 FAR458762:FAR458767 FKN458762:FKN458767 FUJ458762:FUJ458767 GEF458762:GEF458767 GOB458762:GOB458767 GXX458762:GXX458767 HHT458762:HHT458767 HRP458762:HRP458767 IBL458762:IBL458767 ILH458762:ILH458767 IVD458762:IVD458767 JEZ458762:JEZ458767 JOV458762:JOV458767 JYR458762:JYR458767 KIN458762:KIN458767 KSJ458762:KSJ458767 LCF458762:LCF458767 LMB458762:LMB458767 LVX458762:LVX458767 MFT458762:MFT458767 MPP458762:MPP458767 MZL458762:MZL458767 NJH458762:NJH458767 NTD458762:NTD458767 OCZ458762:OCZ458767 OMV458762:OMV458767 OWR458762:OWR458767 PGN458762:PGN458767 PQJ458762:PQJ458767 QAF458762:QAF458767 QKB458762:QKB458767 QTX458762:QTX458767 RDT458762:RDT458767 RNP458762:RNP458767 RXL458762:RXL458767 SHH458762:SHH458767 SRD458762:SRD458767 TAZ458762:TAZ458767 TKV458762:TKV458767 TUR458762:TUR458767 UEN458762:UEN458767 UOJ458762:UOJ458767 UYF458762:UYF458767 VIB458762:VIB458767 VRX458762:VRX458767 WBT458762:WBT458767 WLP458762:WLP458767 WVL458762:WVL458767 D524298:D524303 IZ524298:IZ524303 SV524298:SV524303 ACR524298:ACR524303 AMN524298:AMN524303 AWJ524298:AWJ524303 BGF524298:BGF524303 BQB524298:BQB524303 BZX524298:BZX524303 CJT524298:CJT524303 CTP524298:CTP524303 DDL524298:DDL524303 DNH524298:DNH524303 DXD524298:DXD524303 EGZ524298:EGZ524303 EQV524298:EQV524303 FAR524298:FAR524303 FKN524298:FKN524303 FUJ524298:FUJ524303 GEF524298:GEF524303 GOB524298:GOB524303 GXX524298:GXX524303 HHT524298:HHT524303 HRP524298:HRP524303 IBL524298:IBL524303 ILH524298:ILH524303 IVD524298:IVD524303 JEZ524298:JEZ524303 JOV524298:JOV524303 JYR524298:JYR524303 KIN524298:KIN524303 KSJ524298:KSJ524303 LCF524298:LCF524303 LMB524298:LMB524303 LVX524298:LVX524303 MFT524298:MFT524303 MPP524298:MPP524303 MZL524298:MZL524303 NJH524298:NJH524303 NTD524298:NTD524303 OCZ524298:OCZ524303 OMV524298:OMV524303 OWR524298:OWR524303 PGN524298:PGN524303 PQJ524298:PQJ524303 QAF524298:QAF524303 QKB524298:QKB524303 QTX524298:QTX524303 RDT524298:RDT524303 RNP524298:RNP524303 RXL524298:RXL524303 SHH524298:SHH524303 SRD524298:SRD524303 TAZ524298:TAZ524303 TKV524298:TKV524303 TUR524298:TUR524303 UEN524298:UEN524303 UOJ524298:UOJ524303 UYF524298:UYF524303 VIB524298:VIB524303 VRX524298:VRX524303 WBT524298:WBT524303 WLP524298:WLP524303 WVL524298:WVL524303 D589834:D589839 IZ589834:IZ589839 SV589834:SV589839 ACR589834:ACR589839 AMN589834:AMN589839 AWJ589834:AWJ589839 BGF589834:BGF589839 BQB589834:BQB589839 BZX589834:BZX589839 CJT589834:CJT589839 CTP589834:CTP589839 DDL589834:DDL589839 DNH589834:DNH589839 DXD589834:DXD589839 EGZ589834:EGZ589839 EQV589834:EQV589839 FAR589834:FAR589839 FKN589834:FKN589839 FUJ589834:FUJ589839 GEF589834:GEF589839 GOB589834:GOB589839 GXX589834:GXX589839 HHT589834:HHT589839 HRP589834:HRP589839 IBL589834:IBL589839 ILH589834:ILH589839 IVD589834:IVD589839 JEZ589834:JEZ589839 JOV589834:JOV589839 JYR589834:JYR589839 KIN589834:KIN589839 KSJ589834:KSJ589839 LCF589834:LCF589839 LMB589834:LMB589839 LVX589834:LVX589839 MFT589834:MFT589839 MPP589834:MPP589839 MZL589834:MZL589839 NJH589834:NJH589839 NTD589834:NTD589839 OCZ589834:OCZ589839 OMV589834:OMV589839 OWR589834:OWR589839 PGN589834:PGN589839 PQJ589834:PQJ589839 QAF589834:QAF589839 QKB589834:QKB589839 QTX589834:QTX589839 RDT589834:RDT589839 RNP589834:RNP589839 RXL589834:RXL589839 SHH589834:SHH589839 SRD589834:SRD589839 TAZ589834:TAZ589839 TKV589834:TKV589839 TUR589834:TUR589839 UEN589834:UEN589839 UOJ589834:UOJ589839 UYF589834:UYF589839 VIB589834:VIB589839 VRX589834:VRX589839 WBT589834:WBT589839 WLP589834:WLP589839 WVL589834:WVL589839 D655370:D655375 IZ655370:IZ655375 SV655370:SV655375 ACR655370:ACR655375 AMN655370:AMN655375 AWJ655370:AWJ655375 BGF655370:BGF655375 BQB655370:BQB655375 BZX655370:BZX655375 CJT655370:CJT655375 CTP655370:CTP655375 DDL655370:DDL655375 DNH655370:DNH655375 DXD655370:DXD655375 EGZ655370:EGZ655375 EQV655370:EQV655375 FAR655370:FAR655375 FKN655370:FKN655375 FUJ655370:FUJ655375 GEF655370:GEF655375 GOB655370:GOB655375 GXX655370:GXX655375 HHT655370:HHT655375 HRP655370:HRP655375 IBL655370:IBL655375 ILH655370:ILH655375 IVD655370:IVD655375 JEZ655370:JEZ655375 JOV655370:JOV655375 JYR655370:JYR655375 KIN655370:KIN655375 KSJ655370:KSJ655375 LCF655370:LCF655375 LMB655370:LMB655375 LVX655370:LVX655375 MFT655370:MFT655375 MPP655370:MPP655375 MZL655370:MZL655375 NJH655370:NJH655375 NTD655370:NTD655375 OCZ655370:OCZ655375 OMV655370:OMV655375 OWR655370:OWR655375 PGN655370:PGN655375 PQJ655370:PQJ655375 QAF655370:QAF655375 QKB655370:QKB655375 QTX655370:QTX655375 RDT655370:RDT655375 RNP655370:RNP655375 RXL655370:RXL655375 SHH655370:SHH655375 SRD655370:SRD655375 TAZ655370:TAZ655375 TKV655370:TKV655375 TUR655370:TUR655375 UEN655370:UEN655375 UOJ655370:UOJ655375 UYF655370:UYF655375 VIB655370:VIB655375 VRX655370:VRX655375 WBT655370:WBT655375 WLP655370:WLP655375 WVL655370:WVL655375 D720906:D720911 IZ720906:IZ720911 SV720906:SV720911 ACR720906:ACR720911 AMN720906:AMN720911 AWJ720906:AWJ720911 BGF720906:BGF720911 BQB720906:BQB720911 BZX720906:BZX720911 CJT720906:CJT720911 CTP720906:CTP720911 DDL720906:DDL720911 DNH720906:DNH720911 DXD720906:DXD720911 EGZ720906:EGZ720911 EQV720906:EQV720911 FAR720906:FAR720911 FKN720906:FKN720911 FUJ720906:FUJ720911 GEF720906:GEF720911 GOB720906:GOB720911 GXX720906:GXX720911 HHT720906:HHT720911 HRP720906:HRP720911 IBL720906:IBL720911 ILH720906:ILH720911 IVD720906:IVD720911 JEZ720906:JEZ720911 JOV720906:JOV720911 JYR720906:JYR720911 KIN720906:KIN720911 KSJ720906:KSJ720911 LCF720906:LCF720911 LMB720906:LMB720911 LVX720906:LVX720911 MFT720906:MFT720911 MPP720906:MPP720911 MZL720906:MZL720911 NJH720906:NJH720911 NTD720906:NTD720911 OCZ720906:OCZ720911 OMV720906:OMV720911 OWR720906:OWR720911 PGN720906:PGN720911 PQJ720906:PQJ720911 QAF720906:QAF720911 QKB720906:QKB720911 QTX720906:QTX720911 RDT720906:RDT720911 RNP720906:RNP720911 RXL720906:RXL720911 SHH720906:SHH720911 SRD720906:SRD720911 TAZ720906:TAZ720911 TKV720906:TKV720911 TUR720906:TUR720911 UEN720906:UEN720911 UOJ720906:UOJ720911 UYF720906:UYF720911 VIB720906:VIB720911 VRX720906:VRX720911 WBT720906:WBT720911 WLP720906:WLP720911 WVL720906:WVL720911 D786442:D786447 IZ786442:IZ786447 SV786442:SV786447 ACR786442:ACR786447 AMN786442:AMN786447 AWJ786442:AWJ786447 BGF786442:BGF786447 BQB786442:BQB786447 BZX786442:BZX786447 CJT786442:CJT786447 CTP786442:CTP786447 DDL786442:DDL786447 DNH786442:DNH786447 DXD786442:DXD786447 EGZ786442:EGZ786447 EQV786442:EQV786447 FAR786442:FAR786447 FKN786442:FKN786447 FUJ786442:FUJ786447 GEF786442:GEF786447 GOB786442:GOB786447 GXX786442:GXX786447 HHT786442:HHT786447 HRP786442:HRP786447 IBL786442:IBL786447 ILH786442:ILH786447 IVD786442:IVD786447 JEZ786442:JEZ786447 JOV786442:JOV786447 JYR786442:JYR786447 KIN786442:KIN786447 KSJ786442:KSJ786447 LCF786442:LCF786447 LMB786442:LMB786447 LVX786442:LVX786447 MFT786442:MFT786447 MPP786442:MPP786447 MZL786442:MZL786447 NJH786442:NJH786447 NTD786442:NTD786447 OCZ786442:OCZ786447 OMV786442:OMV786447 OWR786442:OWR786447 PGN786442:PGN786447 PQJ786442:PQJ786447 QAF786442:QAF786447 QKB786442:QKB786447 QTX786442:QTX786447 RDT786442:RDT786447 RNP786442:RNP786447 RXL786442:RXL786447 SHH786442:SHH786447 SRD786442:SRD786447 TAZ786442:TAZ786447 TKV786442:TKV786447 TUR786442:TUR786447 UEN786442:UEN786447 UOJ786442:UOJ786447 UYF786442:UYF786447 VIB786442:VIB786447 VRX786442:VRX786447 WBT786442:WBT786447 WLP786442:WLP786447 WVL786442:WVL786447 D851978:D851983 IZ851978:IZ851983 SV851978:SV851983 ACR851978:ACR851983 AMN851978:AMN851983 AWJ851978:AWJ851983 BGF851978:BGF851983 BQB851978:BQB851983 BZX851978:BZX851983 CJT851978:CJT851983 CTP851978:CTP851983 DDL851978:DDL851983 DNH851978:DNH851983 DXD851978:DXD851983 EGZ851978:EGZ851983 EQV851978:EQV851983 FAR851978:FAR851983 FKN851978:FKN851983 FUJ851978:FUJ851983 GEF851978:GEF851983 GOB851978:GOB851983 GXX851978:GXX851983 HHT851978:HHT851983 HRP851978:HRP851983 IBL851978:IBL851983 ILH851978:ILH851983 IVD851978:IVD851983 JEZ851978:JEZ851983 JOV851978:JOV851983 JYR851978:JYR851983 KIN851978:KIN851983 KSJ851978:KSJ851983 LCF851978:LCF851983 LMB851978:LMB851983 LVX851978:LVX851983 MFT851978:MFT851983 MPP851978:MPP851983 MZL851978:MZL851983 NJH851978:NJH851983 NTD851978:NTD851983 OCZ851978:OCZ851983 OMV851978:OMV851983 OWR851978:OWR851983 PGN851978:PGN851983 PQJ851978:PQJ851983 QAF851978:QAF851983 QKB851978:QKB851983 QTX851978:QTX851983 RDT851978:RDT851983 RNP851978:RNP851983 RXL851978:RXL851983 SHH851978:SHH851983 SRD851978:SRD851983 TAZ851978:TAZ851983 TKV851978:TKV851983 TUR851978:TUR851983 UEN851978:UEN851983 UOJ851978:UOJ851983 UYF851978:UYF851983 VIB851978:VIB851983 VRX851978:VRX851983 WBT851978:WBT851983 WLP851978:WLP851983 WVL851978:WVL851983 D917514:D917519 IZ917514:IZ917519 SV917514:SV917519 ACR917514:ACR917519 AMN917514:AMN917519 AWJ917514:AWJ917519 BGF917514:BGF917519 BQB917514:BQB917519 BZX917514:BZX917519 CJT917514:CJT917519 CTP917514:CTP917519 DDL917514:DDL917519 DNH917514:DNH917519 DXD917514:DXD917519 EGZ917514:EGZ917519 EQV917514:EQV917519 FAR917514:FAR917519 FKN917514:FKN917519 FUJ917514:FUJ917519 GEF917514:GEF917519 GOB917514:GOB917519 GXX917514:GXX917519 HHT917514:HHT917519 HRP917514:HRP917519 IBL917514:IBL917519 ILH917514:ILH917519 IVD917514:IVD917519 JEZ917514:JEZ917519 JOV917514:JOV917519 JYR917514:JYR917519 KIN917514:KIN917519 KSJ917514:KSJ917519 LCF917514:LCF917519 LMB917514:LMB917519 LVX917514:LVX917519 MFT917514:MFT917519 MPP917514:MPP917519 MZL917514:MZL917519 NJH917514:NJH917519 NTD917514:NTD917519 OCZ917514:OCZ917519 OMV917514:OMV917519 OWR917514:OWR917519 PGN917514:PGN917519 PQJ917514:PQJ917519 QAF917514:QAF917519 QKB917514:QKB917519 QTX917514:QTX917519 RDT917514:RDT917519 RNP917514:RNP917519 RXL917514:RXL917519 SHH917514:SHH917519 SRD917514:SRD917519 TAZ917514:TAZ917519 TKV917514:TKV917519 TUR917514:TUR917519 UEN917514:UEN917519 UOJ917514:UOJ917519 UYF917514:UYF917519 VIB917514:VIB917519 VRX917514:VRX917519 WBT917514:WBT917519 WLP917514:WLP917519 WVL917514:WVL917519 D983050:D983055 IZ983050:IZ983055 SV983050:SV983055 ACR983050:ACR983055 AMN983050:AMN983055 AWJ983050:AWJ983055 BGF983050:BGF983055 BQB983050:BQB983055 BZX983050:BZX983055 CJT983050:CJT983055 CTP983050:CTP983055 DDL983050:DDL983055 DNH983050:DNH983055 DXD983050:DXD983055 EGZ983050:EGZ983055 EQV983050:EQV983055 FAR983050:FAR983055 FKN983050:FKN983055 FUJ983050:FUJ983055 GEF983050:GEF983055 GOB983050:GOB983055 GXX983050:GXX983055 HHT983050:HHT983055 HRP983050:HRP983055 IBL983050:IBL983055 ILH983050:ILH983055 IVD983050:IVD983055 JEZ983050:JEZ983055 JOV983050:JOV983055 JYR983050:JYR983055 KIN983050:KIN983055 KSJ983050:KSJ983055 LCF983050:LCF983055 LMB983050:LMB983055 LVX983050:LVX983055 MFT983050:MFT983055 MPP983050:MPP983055 MZL983050:MZL983055 NJH983050:NJH983055 NTD983050:NTD983055 OCZ983050:OCZ983055 OMV983050:OMV983055 OWR983050:OWR983055 PGN983050:PGN983055 PQJ983050:PQJ983055 QAF983050:QAF983055 QKB983050:QKB983055 QTX983050:QTX983055 RDT983050:RDT983055 RNP983050:RNP983055 RXL983050:RXL983055 SHH983050:SHH983055 SRD983050:SRD983055 TAZ983050:TAZ983055 TKV983050:TKV983055 TUR983050:TUR983055 UEN983050:UEN983055 UOJ983050:UOJ983055 UYF983050:UYF983055 VIB983050:VIB983055 VRX983050:VRX983055 WBT983050:WBT983055 WLP983050:WLP983055 WVL983050:WVL983055">
      <formula1>"/,10+2,15+2,20+2,25+2,30+2,35+2,40+2"</formula1>
    </dataValidation>
    <dataValidation type="list" allowBlank="1" showInputMessage="1" showErrorMessage="1" sqref="A10:A15 IW10:IW15 SS10:SS15 ACO10:ACO15 AMK10:AMK15 AWG10:AWG15 BGC10:BGC15 BPY10:BPY15 BZU10:BZU15 CJQ10:CJQ15 CTM10:CTM15 DDI10:DDI15 DNE10:DNE15 DXA10:DXA15 EGW10:EGW15 EQS10:EQS15 FAO10:FAO15 FKK10:FKK15 FUG10:FUG15 GEC10:GEC15 GNY10:GNY15 GXU10:GXU15 HHQ10:HHQ15 HRM10:HRM15 IBI10:IBI15 ILE10:ILE15 IVA10:IVA15 JEW10:JEW15 JOS10:JOS15 JYO10:JYO15 KIK10:KIK15 KSG10:KSG15 LCC10:LCC15 LLY10:LLY15 LVU10:LVU15 MFQ10:MFQ15 MPM10:MPM15 MZI10:MZI15 NJE10:NJE15 NTA10:NTA15 OCW10:OCW15 OMS10:OMS15 OWO10:OWO15 PGK10:PGK15 PQG10:PQG15 QAC10:QAC15 QJY10:QJY15 QTU10:QTU15 RDQ10:RDQ15 RNM10:RNM15 RXI10:RXI15 SHE10:SHE15 SRA10:SRA15 TAW10:TAW15 TKS10:TKS15 TUO10:TUO15 UEK10:UEK15 UOG10:UOG15 UYC10:UYC15 VHY10:VHY15 VRU10:VRU15 WBQ10:WBQ15 WLM10:WLM15 WVI10:WVI15 A65546:A65551 IW65546:IW65551 SS65546:SS65551 ACO65546:ACO65551 AMK65546:AMK65551 AWG65546:AWG65551 BGC65546:BGC65551 BPY65546:BPY65551 BZU65546:BZU65551 CJQ65546:CJQ65551 CTM65546:CTM65551 DDI65546:DDI65551 DNE65546:DNE65551 DXA65546:DXA65551 EGW65546:EGW65551 EQS65546:EQS65551 FAO65546:FAO65551 FKK65546:FKK65551 FUG65546:FUG65551 GEC65546:GEC65551 GNY65546:GNY65551 GXU65546:GXU65551 HHQ65546:HHQ65551 HRM65546:HRM65551 IBI65546:IBI65551 ILE65546:ILE65551 IVA65546:IVA65551 JEW65546:JEW65551 JOS65546:JOS65551 JYO65546:JYO65551 KIK65546:KIK65551 KSG65546:KSG65551 LCC65546:LCC65551 LLY65546:LLY65551 LVU65546:LVU65551 MFQ65546:MFQ65551 MPM65546:MPM65551 MZI65546:MZI65551 NJE65546:NJE65551 NTA65546:NTA65551 OCW65546:OCW65551 OMS65546:OMS65551 OWO65546:OWO65551 PGK65546:PGK65551 PQG65546:PQG65551 QAC65546:QAC65551 QJY65546:QJY65551 QTU65546:QTU65551 RDQ65546:RDQ65551 RNM65546:RNM65551 RXI65546:RXI65551 SHE65546:SHE65551 SRA65546:SRA65551 TAW65546:TAW65551 TKS65546:TKS65551 TUO65546:TUO65551 UEK65546:UEK65551 UOG65546:UOG65551 UYC65546:UYC65551 VHY65546:VHY65551 VRU65546:VRU65551 WBQ65546:WBQ65551 WLM65546:WLM65551 WVI65546:WVI65551 A131082:A131087 IW131082:IW131087 SS131082:SS131087 ACO131082:ACO131087 AMK131082:AMK131087 AWG131082:AWG131087 BGC131082:BGC131087 BPY131082:BPY131087 BZU131082:BZU131087 CJQ131082:CJQ131087 CTM131082:CTM131087 DDI131082:DDI131087 DNE131082:DNE131087 DXA131082:DXA131087 EGW131082:EGW131087 EQS131082:EQS131087 FAO131082:FAO131087 FKK131082:FKK131087 FUG131082:FUG131087 GEC131082:GEC131087 GNY131082:GNY131087 GXU131082:GXU131087 HHQ131082:HHQ131087 HRM131082:HRM131087 IBI131082:IBI131087 ILE131082:ILE131087 IVA131082:IVA131087 JEW131082:JEW131087 JOS131082:JOS131087 JYO131082:JYO131087 KIK131082:KIK131087 KSG131082:KSG131087 LCC131082:LCC131087 LLY131082:LLY131087 LVU131082:LVU131087 MFQ131082:MFQ131087 MPM131082:MPM131087 MZI131082:MZI131087 NJE131082:NJE131087 NTA131082:NTA131087 OCW131082:OCW131087 OMS131082:OMS131087 OWO131082:OWO131087 PGK131082:PGK131087 PQG131082:PQG131087 QAC131082:QAC131087 QJY131082:QJY131087 QTU131082:QTU131087 RDQ131082:RDQ131087 RNM131082:RNM131087 RXI131082:RXI131087 SHE131082:SHE131087 SRA131082:SRA131087 TAW131082:TAW131087 TKS131082:TKS131087 TUO131082:TUO131087 UEK131082:UEK131087 UOG131082:UOG131087 UYC131082:UYC131087 VHY131082:VHY131087 VRU131082:VRU131087 WBQ131082:WBQ131087 WLM131082:WLM131087 WVI131082:WVI131087 A196618:A196623 IW196618:IW196623 SS196618:SS196623 ACO196618:ACO196623 AMK196618:AMK196623 AWG196618:AWG196623 BGC196618:BGC196623 BPY196618:BPY196623 BZU196618:BZU196623 CJQ196618:CJQ196623 CTM196618:CTM196623 DDI196618:DDI196623 DNE196618:DNE196623 DXA196618:DXA196623 EGW196618:EGW196623 EQS196618:EQS196623 FAO196618:FAO196623 FKK196618:FKK196623 FUG196618:FUG196623 GEC196618:GEC196623 GNY196618:GNY196623 GXU196618:GXU196623 HHQ196618:HHQ196623 HRM196618:HRM196623 IBI196618:IBI196623 ILE196618:ILE196623 IVA196618:IVA196623 JEW196618:JEW196623 JOS196618:JOS196623 JYO196618:JYO196623 KIK196618:KIK196623 KSG196618:KSG196623 LCC196618:LCC196623 LLY196618:LLY196623 LVU196618:LVU196623 MFQ196618:MFQ196623 MPM196618:MPM196623 MZI196618:MZI196623 NJE196618:NJE196623 NTA196618:NTA196623 OCW196618:OCW196623 OMS196618:OMS196623 OWO196618:OWO196623 PGK196618:PGK196623 PQG196618:PQG196623 QAC196618:QAC196623 QJY196618:QJY196623 QTU196618:QTU196623 RDQ196618:RDQ196623 RNM196618:RNM196623 RXI196618:RXI196623 SHE196618:SHE196623 SRA196618:SRA196623 TAW196618:TAW196623 TKS196618:TKS196623 TUO196618:TUO196623 UEK196618:UEK196623 UOG196618:UOG196623 UYC196618:UYC196623 VHY196618:VHY196623 VRU196618:VRU196623 WBQ196618:WBQ196623 WLM196618:WLM196623 WVI196618:WVI196623 A262154:A262159 IW262154:IW262159 SS262154:SS262159 ACO262154:ACO262159 AMK262154:AMK262159 AWG262154:AWG262159 BGC262154:BGC262159 BPY262154:BPY262159 BZU262154:BZU262159 CJQ262154:CJQ262159 CTM262154:CTM262159 DDI262154:DDI262159 DNE262154:DNE262159 DXA262154:DXA262159 EGW262154:EGW262159 EQS262154:EQS262159 FAO262154:FAO262159 FKK262154:FKK262159 FUG262154:FUG262159 GEC262154:GEC262159 GNY262154:GNY262159 GXU262154:GXU262159 HHQ262154:HHQ262159 HRM262154:HRM262159 IBI262154:IBI262159 ILE262154:ILE262159 IVA262154:IVA262159 JEW262154:JEW262159 JOS262154:JOS262159 JYO262154:JYO262159 KIK262154:KIK262159 KSG262154:KSG262159 LCC262154:LCC262159 LLY262154:LLY262159 LVU262154:LVU262159 MFQ262154:MFQ262159 MPM262154:MPM262159 MZI262154:MZI262159 NJE262154:NJE262159 NTA262154:NTA262159 OCW262154:OCW262159 OMS262154:OMS262159 OWO262154:OWO262159 PGK262154:PGK262159 PQG262154:PQG262159 QAC262154:QAC262159 QJY262154:QJY262159 QTU262154:QTU262159 RDQ262154:RDQ262159 RNM262154:RNM262159 RXI262154:RXI262159 SHE262154:SHE262159 SRA262154:SRA262159 TAW262154:TAW262159 TKS262154:TKS262159 TUO262154:TUO262159 UEK262154:UEK262159 UOG262154:UOG262159 UYC262154:UYC262159 VHY262154:VHY262159 VRU262154:VRU262159 WBQ262154:WBQ262159 WLM262154:WLM262159 WVI262154:WVI262159 A327690:A327695 IW327690:IW327695 SS327690:SS327695 ACO327690:ACO327695 AMK327690:AMK327695 AWG327690:AWG327695 BGC327690:BGC327695 BPY327690:BPY327695 BZU327690:BZU327695 CJQ327690:CJQ327695 CTM327690:CTM327695 DDI327690:DDI327695 DNE327690:DNE327695 DXA327690:DXA327695 EGW327690:EGW327695 EQS327690:EQS327695 FAO327690:FAO327695 FKK327690:FKK327695 FUG327690:FUG327695 GEC327690:GEC327695 GNY327690:GNY327695 GXU327690:GXU327695 HHQ327690:HHQ327695 HRM327690:HRM327695 IBI327690:IBI327695 ILE327690:ILE327695 IVA327690:IVA327695 JEW327690:JEW327695 JOS327690:JOS327695 JYO327690:JYO327695 KIK327690:KIK327695 KSG327690:KSG327695 LCC327690:LCC327695 LLY327690:LLY327695 LVU327690:LVU327695 MFQ327690:MFQ327695 MPM327690:MPM327695 MZI327690:MZI327695 NJE327690:NJE327695 NTA327690:NTA327695 OCW327690:OCW327695 OMS327690:OMS327695 OWO327690:OWO327695 PGK327690:PGK327695 PQG327690:PQG327695 QAC327690:QAC327695 QJY327690:QJY327695 QTU327690:QTU327695 RDQ327690:RDQ327695 RNM327690:RNM327695 RXI327690:RXI327695 SHE327690:SHE327695 SRA327690:SRA327695 TAW327690:TAW327695 TKS327690:TKS327695 TUO327690:TUO327695 UEK327690:UEK327695 UOG327690:UOG327695 UYC327690:UYC327695 VHY327690:VHY327695 VRU327690:VRU327695 WBQ327690:WBQ327695 WLM327690:WLM327695 WVI327690:WVI327695 A393226:A393231 IW393226:IW393231 SS393226:SS393231 ACO393226:ACO393231 AMK393226:AMK393231 AWG393226:AWG393231 BGC393226:BGC393231 BPY393226:BPY393231 BZU393226:BZU393231 CJQ393226:CJQ393231 CTM393226:CTM393231 DDI393226:DDI393231 DNE393226:DNE393231 DXA393226:DXA393231 EGW393226:EGW393231 EQS393226:EQS393231 FAO393226:FAO393231 FKK393226:FKK393231 FUG393226:FUG393231 GEC393226:GEC393231 GNY393226:GNY393231 GXU393226:GXU393231 HHQ393226:HHQ393231 HRM393226:HRM393231 IBI393226:IBI393231 ILE393226:ILE393231 IVA393226:IVA393231 JEW393226:JEW393231 JOS393226:JOS393231 JYO393226:JYO393231 KIK393226:KIK393231 KSG393226:KSG393231 LCC393226:LCC393231 LLY393226:LLY393231 LVU393226:LVU393231 MFQ393226:MFQ393231 MPM393226:MPM393231 MZI393226:MZI393231 NJE393226:NJE393231 NTA393226:NTA393231 OCW393226:OCW393231 OMS393226:OMS393231 OWO393226:OWO393231 PGK393226:PGK393231 PQG393226:PQG393231 QAC393226:QAC393231 QJY393226:QJY393231 QTU393226:QTU393231 RDQ393226:RDQ393231 RNM393226:RNM393231 RXI393226:RXI393231 SHE393226:SHE393231 SRA393226:SRA393231 TAW393226:TAW393231 TKS393226:TKS393231 TUO393226:TUO393231 UEK393226:UEK393231 UOG393226:UOG393231 UYC393226:UYC393231 VHY393226:VHY393231 VRU393226:VRU393231 WBQ393226:WBQ393231 WLM393226:WLM393231 WVI393226:WVI393231 A458762:A458767 IW458762:IW458767 SS458762:SS458767 ACO458762:ACO458767 AMK458762:AMK458767 AWG458762:AWG458767 BGC458762:BGC458767 BPY458762:BPY458767 BZU458762:BZU458767 CJQ458762:CJQ458767 CTM458762:CTM458767 DDI458762:DDI458767 DNE458762:DNE458767 DXA458762:DXA458767 EGW458762:EGW458767 EQS458762:EQS458767 FAO458762:FAO458767 FKK458762:FKK458767 FUG458762:FUG458767 GEC458762:GEC458767 GNY458762:GNY458767 GXU458762:GXU458767 HHQ458762:HHQ458767 HRM458762:HRM458767 IBI458762:IBI458767 ILE458762:ILE458767 IVA458762:IVA458767 JEW458762:JEW458767 JOS458762:JOS458767 JYO458762:JYO458767 KIK458762:KIK458767 KSG458762:KSG458767 LCC458762:LCC458767 LLY458762:LLY458767 LVU458762:LVU458767 MFQ458762:MFQ458767 MPM458762:MPM458767 MZI458762:MZI458767 NJE458762:NJE458767 NTA458762:NTA458767 OCW458762:OCW458767 OMS458762:OMS458767 OWO458762:OWO458767 PGK458762:PGK458767 PQG458762:PQG458767 QAC458762:QAC458767 QJY458762:QJY458767 QTU458762:QTU458767 RDQ458762:RDQ458767 RNM458762:RNM458767 RXI458762:RXI458767 SHE458762:SHE458767 SRA458762:SRA458767 TAW458762:TAW458767 TKS458762:TKS458767 TUO458762:TUO458767 UEK458762:UEK458767 UOG458762:UOG458767 UYC458762:UYC458767 VHY458762:VHY458767 VRU458762:VRU458767 WBQ458762:WBQ458767 WLM458762:WLM458767 WVI458762:WVI458767 A524298:A524303 IW524298:IW524303 SS524298:SS524303 ACO524298:ACO524303 AMK524298:AMK524303 AWG524298:AWG524303 BGC524298:BGC524303 BPY524298:BPY524303 BZU524298:BZU524303 CJQ524298:CJQ524303 CTM524298:CTM524303 DDI524298:DDI524303 DNE524298:DNE524303 DXA524298:DXA524303 EGW524298:EGW524303 EQS524298:EQS524303 FAO524298:FAO524303 FKK524298:FKK524303 FUG524298:FUG524303 GEC524298:GEC524303 GNY524298:GNY524303 GXU524298:GXU524303 HHQ524298:HHQ524303 HRM524298:HRM524303 IBI524298:IBI524303 ILE524298:ILE524303 IVA524298:IVA524303 JEW524298:JEW524303 JOS524298:JOS524303 JYO524298:JYO524303 KIK524298:KIK524303 KSG524298:KSG524303 LCC524298:LCC524303 LLY524298:LLY524303 LVU524298:LVU524303 MFQ524298:MFQ524303 MPM524298:MPM524303 MZI524298:MZI524303 NJE524298:NJE524303 NTA524298:NTA524303 OCW524298:OCW524303 OMS524298:OMS524303 OWO524298:OWO524303 PGK524298:PGK524303 PQG524298:PQG524303 QAC524298:QAC524303 QJY524298:QJY524303 QTU524298:QTU524303 RDQ524298:RDQ524303 RNM524298:RNM524303 RXI524298:RXI524303 SHE524298:SHE524303 SRA524298:SRA524303 TAW524298:TAW524303 TKS524298:TKS524303 TUO524298:TUO524303 UEK524298:UEK524303 UOG524298:UOG524303 UYC524298:UYC524303 VHY524298:VHY524303 VRU524298:VRU524303 WBQ524298:WBQ524303 WLM524298:WLM524303 WVI524298:WVI524303 A589834:A589839 IW589834:IW589839 SS589834:SS589839 ACO589834:ACO589839 AMK589834:AMK589839 AWG589834:AWG589839 BGC589834:BGC589839 BPY589834:BPY589839 BZU589834:BZU589839 CJQ589834:CJQ589839 CTM589834:CTM589839 DDI589834:DDI589839 DNE589834:DNE589839 DXA589834:DXA589839 EGW589834:EGW589839 EQS589834:EQS589839 FAO589834:FAO589839 FKK589834:FKK589839 FUG589834:FUG589839 GEC589834:GEC589839 GNY589834:GNY589839 GXU589834:GXU589839 HHQ589834:HHQ589839 HRM589834:HRM589839 IBI589834:IBI589839 ILE589834:ILE589839 IVA589834:IVA589839 JEW589834:JEW589839 JOS589834:JOS589839 JYO589834:JYO589839 KIK589834:KIK589839 KSG589834:KSG589839 LCC589834:LCC589839 LLY589834:LLY589839 LVU589834:LVU589839 MFQ589834:MFQ589839 MPM589834:MPM589839 MZI589834:MZI589839 NJE589834:NJE589839 NTA589834:NTA589839 OCW589834:OCW589839 OMS589834:OMS589839 OWO589834:OWO589839 PGK589834:PGK589839 PQG589834:PQG589839 QAC589834:QAC589839 QJY589834:QJY589839 QTU589834:QTU589839 RDQ589834:RDQ589839 RNM589834:RNM589839 RXI589834:RXI589839 SHE589834:SHE589839 SRA589834:SRA589839 TAW589834:TAW589839 TKS589834:TKS589839 TUO589834:TUO589839 UEK589834:UEK589839 UOG589834:UOG589839 UYC589834:UYC589839 VHY589834:VHY589839 VRU589834:VRU589839 WBQ589834:WBQ589839 WLM589834:WLM589839 WVI589834:WVI589839 A655370:A655375 IW655370:IW655375 SS655370:SS655375 ACO655370:ACO655375 AMK655370:AMK655375 AWG655370:AWG655375 BGC655370:BGC655375 BPY655370:BPY655375 BZU655370:BZU655375 CJQ655370:CJQ655375 CTM655370:CTM655375 DDI655370:DDI655375 DNE655370:DNE655375 DXA655370:DXA655375 EGW655370:EGW655375 EQS655370:EQS655375 FAO655370:FAO655375 FKK655370:FKK655375 FUG655370:FUG655375 GEC655370:GEC655375 GNY655370:GNY655375 GXU655370:GXU655375 HHQ655370:HHQ655375 HRM655370:HRM655375 IBI655370:IBI655375 ILE655370:ILE655375 IVA655370:IVA655375 JEW655370:JEW655375 JOS655370:JOS655375 JYO655370:JYO655375 KIK655370:KIK655375 KSG655370:KSG655375 LCC655370:LCC655375 LLY655370:LLY655375 LVU655370:LVU655375 MFQ655370:MFQ655375 MPM655370:MPM655375 MZI655370:MZI655375 NJE655370:NJE655375 NTA655370:NTA655375 OCW655370:OCW655375 OMS655370:OMS655375 OWO655370:OWO655375 PGK655370:PGK655375 PQG655370:PQG655375 QAC655370:QAC655375 QJY655370:QJY655375 QTU655370:QTU655375 RDQ655370:RDQ655375 RNM655370:RNM655375 RXI655370:RXI655375 SHE655370:SHE655375 SRA655370:SRA655375 TAW655370:TAW655375 TKS655370:TKS655375 TUO655370:TUO655375 UEK655370:UEK655375 UOG655370:UOG655375 UYC655370:UYC655375 VHY655370:VHY655375 VRU655370:VRU655375 WBQ655370:WBQ655375 WLM655370:WLM655375 WVI655370:WVI655375 A720906:A720911 IW720906:IW720911 SS720906:SS720911 ACO720906:ACO720911 AMK720906:AMK720911 AWG720906:AWG720911 BGC720906:BGC720911 BPY720906:BPY720911 BZU720906:BZU720911 CJQ720906:CJQ720911 CTM720906:CTM720911 DDI720906:DDI720911 DNE720906:DNE720911 DXA720906:DXA720911 EGW720906:EGW720911 EQS720906:EQS720911 FAO720906:FAO720911 FKK720906:FKK720911 FUG720906:FUG720911 GEC720906:GEC720911 GNY720906:GNY720911 GXU720906:GXU720911 HHQ720906:HHQ720911 HRM720906:HRM720911 IBI720906:IBI720911 ILE720906:ILE720911 IVA720906:IVA720911 JEW720906:JEW720911 JOS720906:JOS720911 JYO720906:JYO720911 KIK720906:KIK720911 KSG720906:KSG720911 LCC720906:LCC720911 LLY720906:LLY720911 LVU720906:LVU720911 MFQ720906:MFQ720911 MPM720906:MPM720911 MZI720906:MZI720911 NJE720906:NJE720911 NTA720906:NTA720911 OCW720906:OCW720911 OMS720906:OMS720911 OWO720906:OWO720911 PGK720906:PGK720911 PQG720906:PQG720911 QAC720906:QAC720911 QJY720906:QJY720911 QTU720906:QTU720911 RDQ720906:RDQ720911 RNM720906:RNM720911 RXI720906:RXI720911 SHE720906:SHE720911 SRA720906:SRA720911 TAW720906:TAW720911 TKS720906:TKS720911 TUO720906:TUO720911 UEK720906:UEK720911 UOG720906:UOG720911 UYC720906:UYC720911 VHY720906:VHY720911 VRU720906:VRU720911 WBQ720906:WBQ720911 WLM720906:WLM720911 WVI720906:WVI720911 A786442:A786447 IW786442:IW786447 SS786442:SS786447 ACO786442:ACO786447 AMK786442:AMK786447 AWG786442:AWG786447 BGC786442:BGC786447 BPY786442:BPY786447 BZU786442:BZU786447 CJQ786442:CJQ786447 CTM786442:CTM786447 DDI786442:DDI786447 DNE786442:DNE786447 DXA786442:DXA786447 EGW786442:EGW786447 EQS786442:EQS786447 FAO786442:FAO786447 FKK786442:FKK786447 FUG786442:FUG786447 GEC786442:GEC786447 GNY786442:GNY786447 GXU786442:GXU786447 HHQ786442:HHQ786447 HRM786442:HRM786447 IBI786442:IBI786447 ILE786442:ILE786447 IVA786442:IVA786447 JEW786442:JEW786447 JOS786442:JOS786447 JYO786442:JYO786447 KIK786442:KIK786447 KSG786442:KSG786447 LCC786442:LCC786447 LLY786442:LLY786447 LVU786442:LVU786447 MFQ786442:MFQ786447 MPM786442:MPM786447 MZI786442:MZI786447 NJE786442:NJE786447 NTA786442:NTA786447 OCW786442:OCW786447 OMS786442:OMS786447 OWO786442:OWO786447 PGK786442:PGK786447 PQG786442:PQG786447 QAC786442:QAC786447 QJY786442:QJY786447 QTU786442:QTU786447 RDQ786442:RDQ786447 RNM786442:RNM786447 RXI786442:RXI786447 SHE786442:SHE786447 SRA786442:SRA786447 TAW786442:TAW786447 TKS786442:TKS786447 TUO786442:TUO786447 UEK786442:UEK786447 UOG786442:UOG786447 UYC786442:UYC786447 VHY786442:VHY786447 VRU786442:VRU786447 WBQ786442:WBQ786447 WLM786442:WLM786447 WVI786442:WVI786447 A851978:A851983 IW851978:IW851983 SS851978:SS851983 ACO851978:ACO851983 AMK851978:AMK851983 AWG851978:AWG851983 BGC851978:BGC851983 BPY851978:BPY851983 BZU851978:BZU851983 CJQ851978:CJQ851983 CTM851978:CTM851983 DDI851978:DDI851983 DNE851978:DNE851983 DXA851978:DXA851983 EGW851978:EGW851983 EQS851978:EQS851983 FAO851978:FAO851983 FKK851978:FKK851983 FUG851978:FUG851983 GEC851978:GEC851983 GNY851978:GNY851983 GXU851978:GXU851983 HHQ851978:HHQ851983 HRM851978:HRM851983 IBI851978:IBI851983 ILE851978:ILE851983 IVA851978:IVA851983 JEW851978:JEW851983 JOS851978:JOS851983 JYO851978:JYO851983 KIK851978:KIK851983 KSG851978:KSG851983 LCC851978:LCC851983 LLY851978:LLY851983 LVU851978:LVU851983 MFQ851978:MFQ851983 MPM851978:MPM851983 MZI851978:MZI851983 NJE851978:NJE851983 NTA851978:NTA851983 OCW851978:OCW851983 OMS851978:OMS851983 OWO851978:OWO851983 PGK851978:PGK851983 PQG851978:PQG851983 QAC851978:QAC851983 QJY851978:QJY851983 QTU851978:QTU851983 RDQ851978:RDQ851983 RNM851978:RNM851983 RXI851978:RXI851983 SHE851978:SHE851983 SRA851978:SRA851983 TAW851978:TAW851983 TKS851978:TKS851983 TUO851978:TUO851983 UEK851978:UEK851983 UOG851978:UOG851983 UYC851978:UYC851983 VHY851978:VHY851983 VRU851978:VRU851983 WBQ851978:WBQ851983 WLM851978:WLM851983 WVI851978:WVI851983 A917514:A917519 IW917514:IW917519 SS917514:SS917519 ACO917514:ACO917519 AMK917514:AMK917519 AWG917514:AWG917519 BGC917514:BGC917519 BPY917514:BPY917519 BZU917514:BZU917519 CJQ917514:CJQ917519 CTM917514:CTM917519 DDI917514:DDI917519 DNE917514:DNE917519 DXA917514:DXA917519 EGW917514:EGW917519 EQS917514:EQS917519 FAO917514:FAO917519 FKK917514:FKK917519 FUG917514:FUG917519 GEC917514:GEC917519 GNY917514:GNY917519 GXU917514:GXU917519 HHQ917514:HHQ917519 HRM917514:HRM917519 IBI917514:IBI917519 ILE917514:ILE917519 IVA917514:IVA917519 JEW917514:JEW917519 JOS917514:JOS917519 JYO917514:JYO917519 KIK917514:KIK917519 KSG917514:KSG917519 LCC917514:LCC917519 LLY917514:LLY917519 LVU917514:LVU917519 MFQ917514:MFQ917519 MPM917514:MPM917519 MZI917514:MZI917519 NJE917514:NJE917519 NTA917514:NTA917519 OCW917514:OCW917519 OMS917514:OMS917519 OWO917514:OWO917519 PGK917514:PGK917519 PQG917514:PQG917519 QAC917514:QAC917519 QJY917514:QJY917519 QTU917514:QTU917519 RDQ917514:RDQ917519 RNM917514:RNM917519 RXI917514:RXI917519 SHE917514:SHE917519 SRA917514:SRA917519 TAW917514:TAW917519 TKS917514:TKS917519 TUO917514:TUO917519 UEK917514:UEK917519 UOG917514:UOG917519 UYC917514:UYC917519 VHY917514:VHY917519 VRU917514:VRU917519 WBQ917514:WBQ917519 WLM917514:WLM917519 WVI917514:WVI917519 A983050:A983055 IW983050:IW983055 SS983050:SS983055 ACO983050:ACO983055 AMK983050:AMK983055 AWG983050:AWG983055 BGC983050:BGC983055 BPY983050:BPY983055 BZU983050:BZU983055 CJQ983050:CJQ983055 CTM983050:CTM983055 DDI983050:DDI983055 DNE983050:DNE983055 DXA983050:DXA983055 EGW983050:EGW983055 EQS983050:EQS983055 FAO983050:FAO983055 FKK983050:FKK983055 FUG983050:FUG983055 GEC983050:GEC983055 GNY983050:GNY983055 GXU983050:GXU983055 HHQ983050:HHQ983055 HRM983050:HRM983055 IBI983050:IBI983055 ILE983050:ILE983055 IVA983050:IVA983055 JEW983050:JEW983055 JOS983050:JOS983055 JYO983050:JYO983055 KIK983050:KIK983055 KSG983050:KSG983055 LCC983050:LCC983055 LLY983050:LLY983055 LVU983050:LVU983055 MFQ983050:MFQ983055 MPM983050:MPM983055 MZI983050:MZI983055 NJE983050:NJE983055 NTA983050:NTA983055 OCW983050:OCW983055 OMS983050:OMS983055 OWO983050:OWO983055 PGK983050:PGK983055 PQG983050:PQG983055 QAC983050:QAC983055 QJY983050:QJY983055 QTU983050:QTU983055 RDQ983050:RDQ983055 RNM983050:RNM983055 RXI983050:RXI983055 SHE983050:SHE983055 SRA983050:SRA983055 TAW983050:TAW983055 TKS983050:TKS983055 TUO983050:TUO983055 UEK983050:UEK983055 UOG983050:UOG983055 UYC983050:UYC983055 VHY983050:VHY983055 VRU983050:VRU983055 WBQ983050:WBQ983055 WLM983050:WLM983055 WVI983050:WVI983055">
      <formula1>"/,10+1,15+1,20+1,25+1,30+1,35+1,40+1"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11"/>
  <sheetViews>
    <sheetView tabSelected="1" zoomScaleNormal="100" workbookViewId="0">
      <selection activeCell="C8" sqref="C8"/>
    </sheetView>
  </sheetViews>
  <sheetFormatPr defaultColWidth="9" defaultRowHeight="15.5"/>
  <cols>
    <col min="1" max="1" width="8.58203125" style="19" customWidth="1"/>
    <col min="2" max="2" width="12.83203125" style="19" customWidth="1"/>
    <col min="3" max="3" width="9.83203125" style="19" customWidth="1"/>
    <col min="4" max="4" width="9" style="19"/>
    <col min="5" max="5" width="10.5" style="19" customWidth="1"/>
    <col min="6" max="6" width="9" style="19"/>
    <col min="7" max="7" width="8.83203125" style="19" customWidth="1"/>
    <col min="8" max="8" width="12.08203125" style="19" customWidth="1"/>
    <col min="9" max="9" width="9" style="19"/>
    <col min="10" max="10" width="13.33203125" style="19" customWidth="1"/>
    <col min="11" max="16384" width="9" style="19"/>
  </cols>
  <sheetData>
    <row r="1" spans="1:10" ht="17.5">
      <c r="A1" s="25"/>
      <c r="B1" s="26"/>
      <c r="C1" s="26"/>
      <c r="D1" s="26"/>
      <c r="E1" s="26"/>
      <c r="F1" s="139" t="s">
        <v>700</v>
      </c>
      <c r="G1" s="26"/>
      <c r="H1" s="26"/>
      <c r="I1" s="26"/>
      <c r="J1" s="140"/>
    </row>
    <row r="2" spans="1:10" ht="17.5">
      <c r="A2" s="27"/>
      <c r="B2" s="1"/>
      <c r="C2" s="1"/>
      <c r="D2" s="1"/>
      <c r="E2" s="1"/>
      <c r="F2" s="141" t="s">
        <v>701</v>
      </c>
      <c r="G2" s="1"/>
      <c r="H2" s="1"/>
      <c r="I2" s="1"/>
      <c r="J2" s="142"/>
    </row>
    <row r="3" spans="1:10">
      <c r="A3" s="27"/>
      <c r="B3" s="1"/>
      <c r="C3" s="1"/>
      <c r="D3" s="1"/>
      <c r="E3" s="1"/>
      <c r="F3" s="2" t="s">
        <v>702</v>
      </c>
      <c r="G3" s="1"/>
      <c r="H3" s="1"/>
      <c r="I3" s="1"/>
      <c r="J3" s="142"/>
    </row>
    <row r="4" spans="1:10">
      <c r="A4" s="27"/>
      <c r="B4" s="1"/>
      <c r="C4" s="1"/>
      <c r="D4" s="1"/>
      <c r="E4" s="1"/>
      <c r="F4" s="67" t="s">
        <v>703</v>
      </c>
      <c r="G4" s="1"/>
      <c r="H4" s="1"/>
      <c r="I4" s="1"/>
      <c r="J4" s="142"/>
    </row>
    <row r="5" spans="1:10" ht="20" thickBot="1">
      <c r="A5" s="143"/>
      <c r="B5" s="144"/>
      <c r="C5" s="145"/>
      <c r="D5" s="145"/>
      <c r="E5" s="145"/>
      <c r="F5" s="146" t="s">
        <v>704</v>
      </c>
      <c r="G5" s="145"/>
      <c r="H5" s="145"/>
      <c r="I5" s="145"/>
      <c r="J5" s="147"/>
    </row>
    <row r="6" spans="1:10">
      <c r="A6" s="27"/>
      <c r="B6" s="2" t="s">
        <v>75</v>
      </c>
      <c r="C6" s="148" t="s">
        <v>4802</v>
      </c>
      <c r="D6" s="148"/>
      <c r="E6" s="148"/>
      <c r="F6" s="148"/>
      <c r="G6" s="148"/>
      <c r="H6" s="148"/>
      <c r="I6" s="148"/>
      <c r="J6" s="149"/>
    </row>
    <row r="7" spans="1:10">
      <c r="A7" s="27"/>
      <c r="B7" s="2" t="s">
        <v>76</v>
      </c>
      <c r="C7" s="150" t="s">
        <v>4803</v>
      </c>
      <c r="D7" s="150"/>
      <c r="E7" s="2" t="s">
        <v>4804</v>
      </c>
      <c r="F7" s="151" t="s">
        <v>4850</v>
      </c>
      <c r="G7" s="44"/>
      <c r="H7" s="1"/>
      <c r="I7" s="1"/>
      <c r="J7" s="142"/>
    </row>
    <row r="8" spans="1:10">
      <c r="A8" s="28"/>
      <c r="B8" s="3" t="s">
        <v>78</v>
      </c>
      <c r="C8" s="152" t="s">
        <v>4849</v>
      </c>
      <c r="D8" s="152"/>
      <c r="E8" s="152"/>
      <c r="F8" s="152"/>
      <c r="G8" s="152"/>
      <c r="H8" s="3" t="s">
        <v>79</v>
      </c>
      <c r="I8" s="152">
        <v>2</v>
      </c>
      <c r="J8" s="153" t="s">
        <v>80</v>
      </c>
    </row>
    <row r="9" spans="1:10">
      <c r="A9" s="29" t="s">
        <v>132</v>
      </c>
      <c r="B9" s="29" t="s">
        <v>133</v>
      </c>
      <c r="C9" s="154" t="s">
        <v>81</v>
      </c>
      <c r="D9" s="155"/>
      <c r="E9" s="156"/>
      <c r="F9" s="26"/>
      <c r="G9" s="26"/>
      <c r="H9" s="156"/>
      <c r="I9" s="155"/>
      <c r="J9" s="140"/>
    </row>
    <row r="10" spans="1:10">
      <c r="A10" s="30" t="s">
        <v>82</v>
      </c>
      <c r="B10" s="31"/>
      <c r="C10" s="157" t="s">
        <v>83</v>
      </c>
      <c r="D10" s="60"/>
      <c r="E10" s="60"/>
      <c r="F10" s="60"/>
      <c r="G10" s="60"/>
      <c r="H10" s="60"/>
      <c r="I10" s="3" t="s">
        <v>84</v>
      </c>
      <c r="J10" s="158"/>
    </row>
    <row r="11" spans="1:10">
      <c r="A11" s="34" t="str">
        <f>+計價表!A2</f>
        <v xml:space="preserve">  14 / 4</v>
      </c>
      <c r="B11" s="35" t="str">
        <f>+計價表!B2</f>
        <v>/LJU</v>
      </c>
      <c r="C11" s="589" t="s">
        <v>4764</v>
      </c>
      <c r="D11" s="590"/>
      <c r="E11" s="591"/>
      <c r="F11" s="155"/>
      <c r="G11" s="591"/>
      <c r="H11" s="591"/>
      <c r="I11" s="2751" t="s">
        <v>4868</v>
      </c>
      <c r="J11" s="2786"/>
    </row>
    <row r="12" spans="1:10">
      <c r="A12" s="36" t="str">
        <f>+計價表!C2</f>
        <v xml:space="preserve">Grand Plaza 5* or similar </v>
      </c>
      <c r="B12" s="37"/>
      <c r="C12" s="594" t="s">
        <v>4765</v>
      </c>
      <c r="D12" s="402"/>
      <c r="E12" s="3"/>
      <c r="F12" s="402"/>
      <c r="G12" s="402"/>
      <c r="H12" s="402"/>
      <c r="I12" s="2759" t="s">
        <v>4840</v>
      </c>
      <c r="J12" s="3067"/>
    </row>
    <row r="13" spans="1:10">
      <c r="A13" s="34" t="str">
        <f>+計價表!A3</f>
        <v xml:space="preserve">  15 / 4</v>
      </c>
      <c r="B13" s="35" t="str">
        <f>+計價表!B3</f>
        <v xml:space="preserve">Bled </v>
      </c>
      <c r="C13" s="2735" t="s">
        <v>4805</v>
      </c>
      <c r="D13" s="2736"/>
      <c r="E13" s="352"/>
      <c r="F13" s="352"/>
      <c r="G13" s="352"/>
      <c r="H13" s="352" t="s">
        <v>4836</v>
      </c>
      <c r="I13" s="2753" t="s">
        <v>4837</v>
      </c>
      <c r="J13" s="2787"/>
    </row>
    <row r="14" spans="1:10">
      <c r="A14" s="36" t="str">
        <f>+計價表!C3</f>
        <v xml:space="preserve">Rikli 4* ( Lake View ) or similar </v>
      </c>
      <c r="B14" s="37"/>
      <c r="C14" s="594" t="s">
        <v>4835</v>
      </c>
      <c r="D14" s="352"/>
      <c r="E14" s="352"/>
      <c r="F14" s="352"/>
      <c r="G14" s="352" t="s">
        <v>4838</v>
      </c>
      <c r="H14" s="2739"/>
      <c r="I14" s="2763" t="s">
        <v>4839</v>
      </c>
      <c r="J14" s="2787"/>
    </row>
    <row r="15" spans="1:10">
      <c r="A15" s="34" t="str">
        <f>+計價表!A4</f>
        <v xml:space="preserve">  16 / 4</v>
      </c>
      <c r="B15" s="36" t="str">
        <f>+計價表!B4</f>
        <v xml:space="preserve">Opatija </v>
      </c>
      <c r="C15" s="2740" t="s">
        <v>4775</v>
      </c>
      <c r="D15" s="590"/>
      <c r="E15" s="591"/>
      <c r="F15" s="2741"/>
      <c r="G15" s="591"/>
      <c r="H15" s="591" t="s">
        <v>4828</v>
      </c>
      <c r="I15" s="2751"/>
      <c r="J15" s="593"/>
    </row>
    <row r="16" spans="1:10">
      <c r="A16" s="36" t="str">
        <f>+計價表!C4</f>
        <v xml:space="preserve">Grand Adriatici 4* or similar </v>
      </c>
      <c r="B16" s="64"/>
      <c r="C16" s="595" t="s">
        <v>4766</v>
      </c>
      <c r="D16" s="402"/>
      <c r="E16" s="402"/>
      <c r="F16" s="2742"/>
      <c r="G16" s="402"/>
      <c r="H16" s="402"/>
      <c r="I16" s="402" t="s">
        <v>4806</v>
      </c>
      <c r="J16" s="2743"/>
    </row>
    <row r="17" spans="1:12" ht="17">
      <c r="A17" s="34" t="str">
        <f>+計價表!A5</f>
        <v xml:space="preserve">  17 / 4</v>
      </c>
      <c r="B17" s="35" t="str">
        <f>+計價表!B5</f>
        <v xml:space="preserve">Plitvice </v>
      </c>
      <c r="C17" s="52" t="s">
        <v>4810</v>
      </c>
      <c r="D17" s="590"/>
      <c r="E17" s="591"/>
      <c r="F17" s="591"/>
      <c r="G17" s="591"/>
      <c r="H17" s="591"/>
      <c r="I17" s="2737" t="s">
        <v>4830</v>
      </c>
      <c r="J17" s="2738"/>
      <c r="L17" s="2752" t="s">
        <v>42</v>
      </c>
    </row>
    <row r="18" spans="1:12">
      <c r="A18" s="36" t="str">
        <f>+計價表!C5</f>
        <v xml:space="preserve">Jezero 3* or similar </v>
      </c>
      <c r="B18" s="37"/>
      <c r="C18" s="2517" t="s">
        <v>4807</v>
      </c>
      <c r="D18" s="402"/>
      <c r="E18" s="402"/>
      <c r="F18" s="2742"/>
      <c r="G18" s="402"/>
      <c r="H18" s="2756" t="s">
        <v>135</v>
      </c>
      <c r="I18" s="402" t="s">
        <v>4749</v>
      </c>
      <c r="J18" s="2743"/>
    </row>
    <row r="19" spans="1:12">
      <c r="A19" s="34" t="str">
        <f>+計價表!A6</f>
        <v xml:space="preserve">  18 / 4</v>
      </c>
      <c r="B19" s="35" t="str">
        <f>+計價表!B6</f>
        <v xml:space="preserve">Zadar </v>
      </c>
      <c r="C19" s="2740" t="s">
        <v>4808</v>
      </c>
      <c r="D19" s="591"/>
      <c r="E19" s="2739"/>
      <c r="F19" s="597"/>
      <c r="G19" s="591"/>
      <c r="H19" s="591"/>
      <c r="I19" s="2737" t="s">
        <v>4770</v>
      </c>
      <c r="J19" s="593"/>
    </row>
    <row r="20" spans="1:12">
      <c r="A20" s="36" t="str">
        <f>+計價表!C6</f>
        <v xml:space="preserve">Falkensteiner Diadora 5* or Iadera 5* or similar </v>
      </c>
      <c r="B20" s="37"/>
      <c r="C20" s="596" t="s">
        <v>4767</v>
      </c>
      <c r="D20" s="352"/>
      <c r="E20" s="2739"/>
      <c r="F20" s="352"/>
      <c r="G20" s="352"/>
      <c r="H20" s="402" t="s">
        <v>107</v>
      </c>
      <c r="I20" s="402" t="s">
        <v>4753</v>
      </c>
      <c r="J20" s="2743"/>
    </row>
    <row r="21" spans="1:12">
      <c r="A21" s="34" t="str">
        <f>+計價表!A7</f>
        <v xml:space="preserve">  19 / 4</v>
      </c>
      <c r="B21" s="36" t="str">
        <f>+計價表!B7</f>
        <v xml:space="preserve">Split </v>
      </c>
      <c r="C21" s="52" t="s">
        <v>4776</v>
      </c>
      <c r="D21" s="591"/>
      <c r="E21" s="591"/>
      <c r="F21" s="597"/>
      <c r="G21" s="597"/>
      <c r="H21" s="591" t="s">
        <v>107</v>
      </c>
      <c r="I21" s="2751" t="s">
        <v>4771</v>
      </c>
      <c r="J21" s="2786"/>
    </row>
    <row r="22" spans="1:12">
      <c r="A22" s="36" t="str">
        <f>+計價表!C7</f>
        <v xml:space="preserve">AC by Marriott 4*, Amphora 4* or similar </v>
      </c>
      <c r="B22" s="64"/>
      <c r="C22" s="170" t="s">
        <v>4793</v>
      </c>
      <c r="D22" s="352"/>
      <c r="E22" s="352"/>
      <c r="F22" s="2737"/>
      <c r="G22" s="352"/>
      <c r="H22" s="352"/>
      <c r="I22" s="2759" t="s">
        <v>4841</v>
      </c>
      <c r="J22" s="2787"/>
    </row>
    <row r="23" spans="1:12">
      <c r="A23" s="34" t="str">
        <f>+計價表!A8</f>
        <v xml:space="preserve">  20 / 4</v>
      </c>
      <c r="B23" s="36" t="str">
        <f>+計價表!B8</f>
        <v>Hvar</v>
      </c>
      <c r="C23" s="52" t="s">
        <v>4777</v>
      </c>
      <c r="D23" s="590"/>
      <c r="E23" s="591"/>
      <c r="F23" s="591"/>
      <c r="G23" s="591"/>
      <c r="H23" s="591" t="s">
        <v>4838</v>
      </c>
      <c r="I23" s="592" t="s">
        <v>4842</v>
      </c>
      <c r="J23" s="593"/>
      <c r="L23" s="19" t="s">
        <v>4758</v>
      </c>
    </row>
    <row r="24" spans="1:12">
      <c r="A24" s="36" t="str">
        <f>+計價表!C8</f>
        <v xml:space="preserve">Amfora 4* or similar </v>
      </c>
      <c r="B24" s="64"/>
      <c r="C24" s="2766" t="s">
        <v>4792</v>
      </c>
      <c r="D24" s="402"/>
      <c r="E24" s="402"/>
      <c r="F24" s="2742"/>
      <c r="G24" s="402"/>
      <c r="H24" s="402" t="s">
        <v>4772</v>
      </c>
      <c r="I24" s="402" t="s">
        <v>4773</v>
      </c>
      <c r="J24" s="2743"/>
      <c r="L24" s="19" t="s">
        <v>4814</v>
      </c>
    </row>
    <row r="25" spans="1:12" ht="17">
      <c r="A25" s="34" t="str">
        <f>+計價表!A9</f>
        <v xml:space="preserve">  21 / 4</v>
      </c>
      <c r="B25" s="35" t="str">
        <f>+計價表!B9</f>
        <v xml:space="preserve">Dubrovnik </v>
      </c>
      <c r="C25" s="596" t="s">
        <v>4778</v>
      </c>
      <c r="D25" s="352"/>
      <c r="E25" s="352"/>
      <c r="F25" s="352"/>
      <c r="G25" s="352"/>
      <c r="H25" s="352" t="s">
        <v>4831</v>
      </c>
      <c r="I25" s="2753" t="s">
        <v>4843</v>
      </c>
      <c r="J25" s="2764"/>
      <c r="L25" s="2752" t="s">
        <v>4813</v>
      </c>
    </row>
    <row r="26" spans="1:12">
      <c r="A26" s="36" t="str">
        <f>+計價表!C9</f>
        <v xml:space="preserve">Sun Garden 5*, President Valamar 5* or similar </v>
      </c>
      <c r="B26" s="37"/>
      <c r="C26" s="2735" t="s">
        <v>4769</v>
      </c>
      <c r="D26" s="402"/>
      <c r="E26" s="402"/>
      <c r="F26" s="402"/>
      <c r="G26" s="402"/>
      <c r="H26" s="2759"/>
      <c r="I26" s="2759" t="s">
        <v>4844</v>
      </c>
      <c r="J26" s="2760"/>
    </row>
    <row r="27" spans="1:12">
      <c r="A27" s="34" t="str">
        <f>+計價表!A10</f>
        <v xml:space="preserve">  22 / 4</v>
      </c>
      <c r="B27" s="35" t="str">
        <f>+計價表!B10</f>
        <v xml:space="preserve">Dubrovnik </v>
      </c>
      <c r="C27" s="2740" t="s">
        <v>4779</v>
      </c>
      <c r="D27" s="591"/>
      <c r="E27" s="2739"/>
      <c r="F27" s="597"/>
      <c r="G27" s="591"/>
      <c r="H27" s="2761"/>
      <c r="I27" s="2753" t="s">
        <v>4847</v>
      </c>
      <c r="J27" s="2762"/>
    </row>
    <row r="28" spans="1:12">
      <c r="A28" s="36" t="str">
        <f>+計價表!C10</f>
        <v xml:space="preserve">Sun Garden 5*, President Valamar 5* or similar </v>
      </c>
      <c r="B28" s="37"/>
      <c r="C28" s="2754" t="s">
        <v>4809</v>
      </c>
      <c r="D28" s="2744"/>
      <c r="E28" s="2745"/>
      <c r="F28" s="2744"/>
      <c r="G28" s="2744"/>
      <c r="H28" s="2763" t="s">
        <v>4845</v>
      </c>
      <c r="I28" s="2759" t="s">
        <v>4846</v>
      </c>
      <c r="J28" s="2760"/>
    </row>
    <row r="29" spans="1:12">
      <c r="A29" s="34" t="str">
        <f>+計價表!A11</f>
        <v xml:space="preserve">  23 / 4</v>
      </c>
      <c r="B29" s="36" t="str">
        <f>+計價表!B11</f>
        <v xml:space="preserve">Podgorica/ </v>
      </c>
      <c r="C29" s="2757" t="s">
        <v>4811</v>
      </c>
      <c r="D29" s="2746"/>
      <c r="E29" s="2746"/>
      <c r="F29" s="2747"/>
      <c r="G29" s="2747"/>
      <c r="H29" s="2761"/>
      <c r="I29" s="2753" t="s">
        <v>4848</v>
      </c>
      <c r="J29" s="2764"/>
    </row>
    <row r="30" spans="1:12">
      <c r="A30" s="36" t="str">
        <f>+計價表!C11</f>
        <v>END OF SERVICE</v>
      </c>
      <c r="B30" s="64"/>
      <c r="C30" s="2758" t="s">
        <v>4812</v>
      </c>
      <c r="D30" s="2744"/>
      <c r="E30" s="2744"/>
      <c r="F30" s="2748"/>
      <c r="G30" s="2744"/>
      <c r="H30" s="2763"/>
      <c r="I30" s="2763" t="s">
        <v>4774</v>
      </c>
      <c r="J30" s="2764"/>
    </row>
    <row r="31" spans="1:12">
      <c r="A31" s="34" t="str">
        <f>+計價表!A12</f>
        <v xml:space="preserve"> D 12</v>
      </c>
      <c r="B31" s="36" t="str">
        <f>+計價表!B12</f>
        <v xml:space="preserve"> </v>
      </c>
      <c r="C31" s="70"/>
      <c r="D31" s="2749"/>
      <c r="E31" s="155"/>
      <c r="F31" s="155"/>
      <c r="G31" s="155"/>
      <c r="H31" s="155"/>
      <c r="I31" s="401"/>
      <c r="J31" s="396"/>
    </row>
    <row r="32" spans="1:12">
      <c r="A32" s="36" t="str">
        <f>+計價表!C12</f>
        <v xml:space="preserve"> </v>
      </c>
      <c r="B32" s="64"/>
      <c r="C32" s="2735" t="s">
        <v>4797</v>
      </c>
      <c r="D32" s="352"/>
      <c r="E32" s="352"/>
      <c r="F32" s="352"/>
      <c r="G32" s="352"/>
      <c r="H32" s="352"/>
      <c r="I32" s="352"/>
      <c r="J32" s="2767"/>
    </row>
    <row r="33" spans="1:10" ht="17">
      <c r="A33" s="34" t="str">
        <f>+計價表!A13</f>
        <v xml:space="preserve"> D 13</v>
      </c>
      <c r="B33" s="36" t="str">
        <f>+計價表!B13</f>
        <v xml:space="preserve">      </v>
      </c>
      <c r="C33" s="2735" t="s">
        <v>4815</v>
      </c>
      <c r="D33" s="352"/>
      <c r="E33" s="352"/>
      <c r="F33" s="352"/>
      <c r="G33" s="352"/>
      <c r="H33" s="352"/>
      <c r="I33" s="352"/>
      <c r="J33" s="2738"/>
    </row>
    <row r="34" spans="1:10" ht="17">
      <c r="A34" s="36" t="str">
        <f>+計價表!C13</f>
        <v xml:space="preserve">      </v>
      </c>
      <c r="B34" s="64"/>
      <c r="C34" s="596" t="s">
        <v>4816</v>
      </c>
      <c r="D34" s="2768"/>
      <c r="E34" s="352"/>
      <c r="F34" s="352"/>
      <c r="G34" s="352"/>
      <c r="H34" s="352"/>
      <c r="I34" s="352"/>
      <c r="J34" s="2738"/>
    </row>
    <row r="35" spans="1:10" ht="17">
      <c r="A35" s="34" t="str">
        <f>+計價表!A14</f>
        <v xml:space="preserve"> D 14</v>
      </c>
      <c r="B35" s="36" t="str">
        <f>+計價表!B14</f>
        <v xml:space="preserve">   </v>
      </c>
      <c r="C35" s="2735" t="s">
        <v>4817</v>
      </c>
      <c r="D35" s="352"/>
      <c r="E35" s="352"/>
      <c r="F35" s="2739"/>
      <c r="G35" s="2739"/>
      <c r="H35" s="352"/>
      <c r="I35" s="2737"/>
      <c r="J35" s="2738"/>
    </row>
    <row r="36" spans="1:10">
      <c r="A36" s="36" t="str">
        <f>+計價表!C14</f>
        <v xml:space="preserve">     </v>
      </c>
      <c r="B36" s="64"/>
      <c r="C36" s="2735"/>
      <c r="D36" s="352"/>
      <c r="E36" s="352"/>
      <c r="F36" s="352"/>
      <c r="G36" s="352"/>
      <c r="H36" s="352"/>
      <c r="I36" s="352"/>
      <c r="J36" s="2738"/>
    </row>
    <row r="37" spans="1:10">
      <c r="A37" s="38" t="str">
        <f>+計價表!A15</f>
        <v xml:space="preserve"> D 15</v>
      </c>
      <c r="B37" s="34" t="str">
        <f>+計價表!B15</f>
        <v xml:space="preserve"> </v>
      </c>
      <c r="C37" s="2735" t="s">
        <v>4798</v>
      </c>
      <c r="D37" s="352"/>
      <c r="E37" s="352"/>
      <c r="F37" s="352"/>
      <c r="G37" s="352"/>
      <c r="H37" s="352"/>
      <c r="I37" s="352"/>
      <c r="J37" s="2738"/>
    </row>
    <row r="38" spans="1:10" ht="17">
      <c r="A38" s="36" t="str">
        <f>+計價表!C15</f>
        <v xml:space="preserve"> </v>
      </c>
      <c r="B38" s="37"/>
      <c r="C38" s="2735" t="s">
        <v>4818</v>
      </c>
      <c r="D38" s="352"/>
      <c r="E38" s="2737"/>
      <c r="F38" s="352"/>
      <c r="G38" s="352"/>
      <c r="H38" s="352"/>
      <c r="I38" s="352"/>
      <c r="J38" s="2738"/>
    </row>
    <row r="39" spans="1:10">
      <c r="A39" s="34" t="str">
        <f>+計價表!A16</f>
        <v xml:space="preserve"> D 16</v>
      </c>
      <c r="B39" s="35" t="str">
        <f>+計價表!B16</f>
        <v xml:space="preserve"> </v>
      </c>
      <c r="C39" s="2735" t="s">
        <v>4799</v>
      </c>
      <c r="D39" s="2736"/>
      <c r="E39" s="352"/>
      <c r="F39" s="352"/>
      <c r="G39" s="352"/>
      <c r="H39" s="352"/>
      <c r="I39" s="2737"/>
      <c r="J39" s="2738"/>
    </row>
    <row r="40" spans="1:10" ht="17">
      <c r="A40" s="36" t="str">
        <f>+計價表!C16</f>
        <v xml:space="preserve"> </v>
      </c>
      <c r="B40" s="37"/>
      <c r="C40" s="2735" t="s">
        <v>4819</v>
      </c>
      <c r="D40" s="352"/>
      <c r="E40" s="352"/>
      <c r="F40" s="352"/>
      <c r="G40" s="352"/>
      <c r="H40" s="352"/>
      <c r="I40" s="352"/>
      <c r="J40" s="2767"/>
    </row>
    <row r="41" spans="1:10">
      <c r="A41" s="34" t="str">
        <f>+計價表!A17</f>
        <v xml:space="preserve"> D 17</v>
      </c>
      <c r="B41" s="35" t="str">
        <f>+計價表!B17</f>
        <v xml:space="preserve">    </v>
      </c>
      <c r="C41" s="2735"/>
      <c r="D41" s="352"/>
      <c r="E41" s="352"/>
      <c r="F41" s="352"/>
      <c r="G41" s="352"/>
      <c r="H41" s="352"/>
      <c r="I41" s="352"/>
      <c r="J41" s="2767"/>
    </row>
    <row r="42" spans="1:10">
      <c r="A42" s="36" t="str">
        <f>+計價表!C17</f>
        <v xml:space="preserve"> </v>
      </c>
      <c r="B42" s="37"/>
      <c r="C42" s="2735" t="s">
        <v>4763</v>
      </c>
      <c r="D42" s="352"/>
      <c r="E42" s="352"/>
      <c r="F42" s="352"/>
      <c r="G42" s="352"/>
      <c r="H42" s="352"/>
      <c r="I42" s="352"/>
      <c r="J42" s="2767"/>
    </row>
    <row r="43" spans="1:10" ht="17">
      <c r="A43" s="34" t="str">
        <f>+計價表!A18</f>
        <v xml:space="preserve"> D 18</v>
      </c>
      <c r="B43" s="35" t="str">
        <f>+計價表!B18</f>
        <v xml:space="preserve"> </v>
      </c>
      <c r="C43" s="2735" t="s">
        <v>4874</v>
      </c>
      <c r="D43" s="352"/>
      <c r="E43" s="352"/>
      <c r="F43" s="352"/>
      <c r="G43" s="352"/>
      <c r="H43" s="352"/>
      <c r="I43" s="352"/>
      <c r="J43" s="2738"/>
    </row>
    <row r="44" spans="1:10">
      <c r="A44" s="36" t="str">
        <f>+計價表!C18</f>
        <v xml:space="preserve"> </v>
      </c>
      <c r="B44" s="37"/>
      <c r="C44" s="2735" t="s">
        <v>4845</v>
      </c>
      <c r="D44" s="352"/>
      <c r="E44" s="352"/>
      <c r="F44" s="2739"/>
      <c r="G44" s="2739"/>
      <c r="H44" s="352"/>
      <c r="I44" s="2737"/>
      <c r="J44" s="2738"/>
    </row>
    <row r="45" spans="1:10">
      <c r="A45" s="34" t="str">
        <f>+計價表!A19</f>
        <v xml:space="preserve"> D 19</v>
      </c>
      <c r="B45" s="35" t="str">
        <f>+計價表!B19</f>
        <v xml:space="preserve"> </v>
      </c>
      <c r="C45" s="2735" t="s">
        <v>42</v>
      </c>
      <c r="D45" s="352"/>
      <c r="E45" s="352"/>
      <c r="F45" s="2737"/>
      <c r="G45" s="352"/>
      <c r="H45" s="352"/>
      <c r="I45" s="352"/>
      <c r="J45" s="2738"/>
    </row>
    <row r="46" spans="1:10" ht="17">
      <c r="A46" s="36" t="str">
        <f>+計價表!C19</f>
        <v xml:space="preserve"> </v>
      </c>
      <c r="B46" s="64"/>
      <c r="C46" s="2735" t="s">
        <v>4838</v>
      </c>
      <c r="D46" s="352"/>
      <c r="E46" s="352"/>
      <c r="F46" s="2737"/>
      <c r="G46" s="352"/>
      <c r="H46" s="352"/>
      <c r="I46" s="352"/>
      <c r="J46" s="2738"/>
    </row>
    <row r="47" spans="1:10" ht="17">
      <c r="A47" s="34" t="str">
        <f>+計價表!A20</f>
        <v xml:space="preserve"> D 20</v>
      </c>
      <c r="B47" s="36" t="str">
        <f>+計價表!B20</f>
        <v xml:space="preserve"> </v>
      </c>
      <c r="C47" s="2781" t="s">
        <v>4845</v>
      </c>
      <c r="D47" s="352"/>
      <c r="E47" s="352"/>
      <c r="F47" s="2737"/>
      <c r="G47" s="352"/>
      <c r="H47" s="352"/>
      <c r="I47" s="352"/>
      <c r="J47" s="2738"/>
    </row>
    <row r="48" spans="1:10">
      <c r="A48" s="36" t="str">
        <f>+計價表!C20</f>
        <v xml:space="preserve"> </v>
      </c>
      <c r="B48" s="64"/>
      <c r="C48" s="2735"/>
      <c r="D48" s="352"/>
      <c r="E48" s="352"/>
      <c r="F48" s="2737"/>
      <c r="G48" s="352"/>
      <c r="H48" s="352"/>
      <c r="I48" s="352"/>
      <c r="J48" s="2738"/>
    </row>
    <row r="49" spans="1:10">
      <c r="A49" s="34" t="str">
        <f>+計價表!A21</f>
        <v xml:space="preserve"> D 21</v>
      </c>
      <c r="B49" s="36" t="str">
        <f>+計價表!B21</f>
        <v xml:space="preserve"> </v>
      </c>
      <c r="C49" s="172"/>
      <c r="D49" s="44"/>
      <c r="E49" s="44"/>
      <c r="F49" s="66"/>
      <c r="G49" s="66"/>
      <c r="H49" s="44"/>
      <c r="I49" s="65"/>
      <c r="J49" s="164"/>
    </row>
    <row r="50" spans="1:10">
      <c r="A50" s="36" t="str">
        <f>+計價表!C21</f>
        <v xml:space="preserve"> </v>
      </c>
      <c r="B50" s="37"/>
      <c r="C50" s="161"/>
      <c r="D50" s="44"/>
      <c r="E50" s="44"/>
      <c r="F50" s="65"/>
      <c r="G50" s="44"/>
      <c r="H50" s="44"/>
      <c r="I50" s="2"/>
      <c r="J50" s="164"/>
    </row>
    <row r="51" spans="1:10" ht="17.5">
      <c r="A51" s="25"/>
      <c r="B51" s="26"/>
      <c r="C51" s="26"/>
      <c r="D51" s="26"/>
      <c r="E51" s="26"/>
      <c r="F51" s="139" t="s">
        <v>700</v>
      </c>
      <c r="G51" s="26"/>
      <c r="H51" s="26"/>
      <c r="I51" s="26"/>
      <c r="J51" s="140"/>
    </row>
    <row r="52" spans="1:10" ht="17.5">
      <c r="A52" s="27"/>
      <c r="B52" s="1"/>
      <c r="C52" s="1"/>
      <c r="D52" s="1"/>
      <c r="E52" s="1"/>
      <c r="F52" s="141" t="s">
        <v>701</v>
      </c>
      <c r="G52" s="1"/>
      <c r="H52" s="1"/>
      <c r="I52" s="1"/>
      <c r="J52" s="142"/>
    </row>
    <row r="53" spans="1:10">
      <c r="A53" s="27"/>
      <c r="B53" s="1"/>
      <c r="C53" s="1"/>
      <c r="D53" s="1"/>
      <c r="E53" s="1"/>
      <c r="F53" s="2" t="s">
        <v>702</v>
      </c>
      <c r="G53" s="1"/>
      <c r="H53" s="1"/>
      <c r="I53" s="1"/>
      <c r="J53" s="142"/>
    </row>
    <row r="54" spans="1:10">
      <c r="A54" s="27"/>
      <c r="B54" s="1"/>
      <c r="C54" s="1"/>
      <c r="D54" s="1"/>
      <c r="E54" s="1"/>
      <c r="F54" s="67" t="s">
        <v>703</v>
      </c>
      <c r="G54" s="1"/>
      <c r="H54" s="1"/>
      <c r="I54" s="1"/>
      <c r="J54" s="142"/>
    </row>
    <row r="55" spans="1:10" ht="20" thickBot="1">
      <c r="A55" s="143"/>
      <c r="B55" s="144"/>
      <c r="C55" s="145"/>
      <c r="D55" s="145"/>
      <c r="E55" s="145"/>
      <c r="F55" s="146" t="s">
        <v>704</v>
      </c>
      <c r="G55" s="145"/>
      <c r="H55" s="145"/>
      <c r="I55" s="145"/>
      <c r="J55" s="147"/>
    </row>
    <row r="56" spans="1:10">
      <c r="A56" s="12"/>
      <c r="B56" s="32" t="s">
        <v>75</v>
      </c>
      <c r="C56" s="383" t="str">
        <f>+C6</f>
        <v>Cola / Ms.Sue                                   TEL : 02-2567-2898 #1882</v>
      </c>
      <c r="D56" s="383"/>
      <c r="E56" s="383"/>
      <c r="F56" s="383"/>
      <c r="G56" s="383"/>
      <c r="H56" s="384"/>
      <c r="I56" s="384"/>
      <c r="J56" s="15"/>
    </row>
    <row r="57" spans="1:10">
      <c r="A57" s="12"/>
      <c r="B57" s="10" t="s">
        <v>76</v>
      </c>
      <c r="C57" s="385" t="str">
        <f>+C7</f>
        <v xml:space="preserve">EETS/TPE/Jerry </v>
      </c>
      <c r="D57" s="385"/>
      <c r="E57" s="385"/>
      <c r="F57" s="385"/>
      <c r="G57" s="386"/>
      <c r="H57" s="386"/>
      <c r="I57" s="386"/>
      <c r="J57" s="15"/>
    </row>
    <row r="58" spans="1:10">
      <c r="A58" s="12"/>
      <c r="B58" s="32" t="s">
        <v>77</v>
      </c>
      <c r="C58" s="387" t="str">
        <f>+F7</f>
        <v>2023/DEC/21</v>
      </c>
      <c r="D58" s="385"/>
      <c r="E58" s="385"/>
      <c r="F58" s="385"/>
      <c r="G58" s="386"/>
      <c r="H58" s="386"/>
      <c r="I58" s="386"/>
      <c r="J58" s="15"/>
    </row>
    <row r="59" spans="1:10">
      <c r="A59" s="12"/>
      <c r="B59" s="12"/>
      <c r="C59" s="15"/>
      <c r="D59" s="15"/>
      <c r="E59" s="12"/>
      <c r="F59" s="12"/>
      <c r="G59" s="12"/>
      <c r="H59" s="12"/>
      <c r="I59" s="12"/>
      <c r="J59" s="12"/>
    </row>
    <row r="60" spans="1:10" ht="16" thickBot="1">
      <c r="A60" s="12"/>
      <c r="B60" s="13" t="s">
        <v>85</v>
      </c>
      <c r="C60" s="388" t="str">
        <f>+C8</f>
        <v xml:space="preserve">#0413 Zagreb-Podgorica 12D TK CSM </v>
      </c>
      <c r="D60" s="388"/>
      <c r="E60" s="388"/>
      <c r="F60" s="388"/>
      <c r="G60" s="388"/>
      <c r="H60" s="388">
        <f>+I8</f>
        <v>2</v>
      </c>
      <c r="I60" s="33" t="str">
        <f>+J8</f>
        <v>PAGE(S)</v>
      </c>
      <c r="J60" s="12"/>
    </row>
    <row r="61" spans="1:10" ht="17">
      <c r="A61" s="12"/>
      <c r="B61" s="10" t="s">
        <v>344</v>
      </c>
      <c r="C61" s="10"/>
      <c r="D61" s="11" t="s">
        <v>173</v>
      </c>
      <c r="E61" s="11"/>
      <c r="F61" s="12"/>
      <c r="G61" s="12"/>
      <c r="H61" s="12"/>
      <c r="I61" s="12"/>
      <c r="J61" s="12"/>
    </row>
    <row r="62" spans="1:10">
      <c r="A62" s="12"/>
      <c r="B62" s="12"/>
      <c r="C62" s="12" t="s">
        <v>159</v>
      </c>
      <c r="D62" s="12" t="s">
        <v>160</v>
      </c>
      <c r="E62" s="12" t="s">
        <v>65</v>
      </c>
      <c r="F62" s="12" t="s">
        <v>66</v>
      </c>
      <c r="G62" s="12" t="s">
        <v>4876</v>
      </c>
      <c r="H62" s="12"/>
      <c r="I62" s="12"/>
    </row>
    <row r="63" spans="1:10" ht="17">
      <c r="A63" s="12"/>
      <c r="B63" s="10" t="s">
        <v>172</v>
      </c>
      <c r="C63" s="389" t="str">
        <f>+計價表!C31</f>
        <v>2279.-</v>
      </c>
      <c r="D63" s="389" t="str">
        <f>+計價表!D31</f>
        <v>2056.-</v>
      </c>
      <c r="E63" s="389" t="str">
        <f>+計價表!E31</f>
        <v>1970.-</v>
      </c>
      <c r="F63" s="389" t="str">
        <f>+計價表!F31</f>
        <v>1942.-</v>
      </c>
      <c r="G63" s="389" t="str">
        <f>+計價表!G31</f>
        <v xml:space="preserve"> </v>
      </c>
      <c r="H63" s="389" t="str">
        <f>+計價表!H31</f>
        <v xml:space="preserve"> </v>
      </c>
      <c r="I63" s="389" t="str">
        <f>+計價表!I31</f>
        <v xml:space="preserve"> </v>
      </c>
    </row>
    <row r="64" spans="1:10" ht="17.5" thickBot="1">
      <c r="A64" s="12"/>
      <c r="B64" s="11"/>
      <c r="C64" s="12" t="s">
        <v>349</v>
      </c>
      <c r="D64" s="22"/>
      <c r="E64" s="22"/>
      <c r="F64" s="390" t="str">
        <f>+計價表!M31</f>
        <v>642.-</v>
      </c>
      <c r="G64" s="10" t="s">
        <v>172</v>
      </c>
      <c r="H64" s="10" t="s">
        <v>106</v>
      </c>
      <c r="I64" s="12"/>
      <c r="J64" s="12"/>
    </row>
    <row r="65" spans="1:10">
      <c r="A65" s="12"/>
      <c r="C65" s="12"/>
      <c r="E65" s="173"/>
      <c r="F65" s="17"/>
      <c r="G65" s="12"/>
      <c r="J65" s="17"/>
    </row>
    <row r="66" spans="1:10" ht="17">
      <c r="A66" s="12"/>
      <c r="B66" s="10" t="s">
        <v>172</v>
      </c>
      <c r="C66" s="389" t="str">
        <f>+計價表!J31</f>
        <v xml:space="preserve"> </v>
      </c>
      <c r="D66" s="389" t="str">
        <f>+計價表!C38</f>
        <v xml:space="preserve"> </v>
      </c>
      <c r="E66" s="389" t="str">
        <f>+計價表!D38</f>
        <v xml:space="preserve"> </v>
      </c>
      <c r="F66" s="389" t="str">
        <f>+計價表!E38</f>
        <v xml:space="preserve"> </v>
      </c>
      <c r="G66" s="389" t="str">
        <f>+計價表!F38</f>
        <v xml:space="preserve"> </v>
      </c>
      <c r="H66" s="389" t="str">
        <f>+計價表!G38</f>
        <v xml:space="preserve"> </v>
      </c>
      <c r="I66" s="389" t="str">
        <f>+計價表!H38</f>
        <v xml:space="preserve"> </v>
      </c>
    </row>
    <row r="67" spans="1:10">
      <c r="A67" s="12"/>
      <c r="B67" s="18"/>
      <c r="C67" s="174" t="s">
        <v>345</v>
      </c>
      <c r="D67" s="12"/>
      <c r="E67" s="175" t="s">
        <v>4875</v>
      </c>
      <c r="F67" s="12" t="s">
        <v>347</v>
      </c>
      <c r="G67" s="175" t="s">
        <v>4877</v>
      </c>
      <c r="H67" s="18"/>
      <c r="I67" s="18"/>
      <c r="J67" s="12"/>
    </row>
    <row r="68" spans="1:10">
      <c r="A68" s="12"/>
      <c r="B68" s="12" t="s">
        <v>350</v>
      </c>
      <c r="C68" s="12"/>
      <c r="D68" s="12"/>
      <c r="E68" s="12"/>
      <c r="F68" s="12"/>
      <c r="G68" s="12"/>
      <c r="H68" s="12"/>
      <c r="I68" s="12"/>
      <c r="J68" s="12"/>
    </row>
    <row r="69" spans="1:10" ht="18.5" thickBot="1">
      <c r="A69" s="12"/>
      <c r="B69" s="236" t="s">
        <v>351</v>
      </c>
      <c r="C69" s="12"/>
      <c r="D69" s="12"/>
      <c r="E69" s="12"/>
      <c r="F69" s="12"/>
      <c r="G69" s="39">
        <v>9</v>
      </c>
      <c r="H69" s="21" t="s">
        <v>697</v>
      </c>
      <c r="I69" s="12"/>
      <c r="J69" s="12"/>
    </row>
    <row r="70" spans="1:10">
      <c r="A70" s="12"/>
      <c r="B70" s="391" t="str">
        <f>+計價表!B2</f>
        <v>/LJU</v>
      </c>
      <c r="C70" s="391" t="str">
        <f>+計價表!C2</f>
        <v xml:space="preserve">Grand Plaza 5* or similar </v>
      </c>
      <c r="D70" s="391"/>
      <c r="E70" s="391" t="str">
        <f>+計價表!B3</f>
        <v xml:space="preserve">Bled </v>
      </c>
      <c r="F70" s="391" t="str">
        <f>+計價表!C3</f>
        <v xml:space="preserve">Rikli 4* ( Lake View ) or similar </v>
      </c>
      <c r="G70" s="391"/>
      <c r="H70" s="391" t="str">
        <f>+計價表!B4</f>
        <v xml:space="preserve">Opatija </v>
      </c>
      <c r="I70" s="391" t="str">
        <f>+計價表!C4</f>
        <v xml:space="preserve">Grand Adriatici 4* or similar </v>
      </c>
      <c r="J70" s="385"/>
    </row>
    <row r="71" spans="1:10">
      <c r="A71" s="12"/>
      <c r="B71" s="391" t="str">
        <f>+計價表!B5</f>
        <v xml:space="preserve">Plitvice </v>
      </c>
      <c r="C71" s="391" t="str">
        <f>+計價表!C5</f>
        <v xml:space="preserve">Jezero 3* or similar </v>
      </c>
      <c r="D71" s="391"/>
      <c r="E71" s="392" t="str">
        <f>+計價表!B6</f>
        <v xml:space="preserve">Zadar </v>
      </c>
      <c r="F71" s="391" t="str">
        <f>+計價表!C6</f>
        <v xml:space="preserve">Falkensteiner Diadora 5* or Iadera 5* or similar </v>
      </c>
      <c r="G71" s="391"/>
      <c r="H71" s="391" t="str">
        <f>+計價表!B7</f>
        <v xml:space="preserve">Split </v>
      </c>
      <c r="I71" s="391" t="str">
        <f>+計價表!C7</f>
        <v xml:space="preserve">AC by Marriott 4*, Amphora 4* or similar </v>
      </c>
      <c r="J71" s="385"/>
    </row>
    <row r="72" spans="1:10">
      <c r="A72" s="12"/>
      <c r="B72" s="391" t="str">
        <f>+計價表!B8</f>
        <v>Hvar</v>
      </c>
      <c r="C72" s="391" t="str">
        <f>+計價表!C8</f>
        <v xml:space="preserve">Amfora 4* or similar </v>
      </c>
      <c r="D72" s="391"/>
      <c r="E72" s="391" t="str">
        <f>+計價表!B9</f>
        <v xml:space="preserve">Dubrovnik </v>
      </c>
      <c r="F72" s="391" t="str">
        <f>+計價表!C9</f>
        <v xml:space="preserve">Sun Garden 5*, President Valamar 5* or similar </v>
      </c>
      <c r="G72" s="391"/>
      <c r="H72" s="391" t="str">
        <f>+計價表!B10</f>
        <v xml:space="preserve">Dubrovnik </v>
      </c>
      <c r="I72" s="391" t="str">
        <f>+計價表!C10</f>
        <v xml:space="preserve">Sun Garden 5*, President Valamar 5* or similar </v>
      </c>
      <c r="J72" s="385"/>
    </row>
    <row r="73" spans="1:10">
      <c r="A73" s="12"/>
      <c r="B73" s="391" t="str">
        <f>+計價表!B11</f>
        <v xml:space="preserve">Podgorica/ </v>
      </c>
      <c r="C73" s="391" t="str">
        <f>+計價表!C11</f>
        <v>END OF SERVICE</v>
      </c>
      <c r="D73" s="391"/>
      <c r="E73" s="391" t="str">
        <f>+計價表!B12</f>
        <v xml:space="preserve"> </v>
      </c>
      <c r="F73" s="391" t="str">
        <f>+計價表!C12</f>
        <v xml:space="preserve"> </v>
      </c>
      <c r="G73" s="391"/>
      <c r="H73" s="391" t="str">
        <f>+計價表!B13</f>
        <v xml:space="preserve">      </v>
      </c>
      <c r="I73" s="391" t="str">
        <f>+計價表!C13</f>
        <v xml:space="preserve">      </v>
      </c>
      <c r="J73" s="385"/>
    </row>
    <row r="74" spans="1:10">
      <c r="A74" s="12"/>
      <c r="B74" s="391" t="str">
        <f>+計價表!B14</f>
        <v xml:space="preserve">   </v>
      </c>
      <c r="C74" s="391" t="str">
        <f>+計價表!C14</f>
        <v xml:space="preserve">     </v>
      </c>
      <c r="D74" s="391"/>
      <c r="E74" s="391" t="str">
        <f>+計價表!B15</f>
        <v xml:space="preserve"> </v>
      </c>
      <c r="F74" s="391" t="str">
        <f>+計價表!C15</f>
        <v xml:space="preserve"> </v>
      </c>
      <c r="G74" s="391"/>
      <c r="H74" s="391" t="str">
        <f>+計價表!B16</f>
        <v xml:space="preserve"> </v>
      </c>
      <c r="I74" s="391" t="str">
        <f>+計價表!C16</f>
        <v xml:space="preserve"> </v>
      </c>
      <c r="J74" s="385"/>
    </row>
    <row r="75" spans="1:10">
      <c r="A75" s="12"/>
      <c r="B75" s="391" t="str">
        <f>+計價表!B17</f>
        <v xml:space="preserve">    </v>
      </c>
      <c r="C75" s="391" t="str">
        <f>+計價表!C17</f>
        <v xml:space="preserve"> </v>
      </c>
      <c r="D75" s="391"/>
      <c r="E75" s="391" t="str">
        <f>+計價表!B18</f>
        <v xml:space="preserve"> </v>
      </c>
      <c r="F75" s="391" t="str">
        <f>+計價表!C18</f>
        <v xml:space="preserve"> </v>
      </c>
      <c r="G75" s="391"/>
      <c r="H75" s="391" t="str">
        <f>+計價表!B19</f>
        <v xml:space="preserve"> </v>
      </c>
      <c r="I75" s="391" t="str">
        <f>+計價表!C19</f>
        <v xml:space="preserve"> </v>
      </c>
      <c r="J75" s="385"/>
    </row>
    <row r="76" spans="1:10">
      <c r="A76" s="12"/>
      <c r="B76" s="391" t="str">
        <f>+計價表!B20</f>
        <v xml:space="preserve"> </v>
      </c>
      <c r="C76" s="391" t="str">
        <f>+計價表!C20</f>
        <v xml:space="preserve"> </v>
      </c>
      <c r="D76" s="391"/>
      <c r="E76" s="391" t="str">
        <f>+計價表!B21</f>
        <v xml:space="preserve"> </v>
      </c>
      <c r="F76" s="391" t="str">
        <f>+計價表!C21</f>
        <v xml:space="preserve"> </v>
      </c>
      <c r="G76" s="391"/>
      <c r="H76" s="391"/>
      <c r="I76" s="391" t="s">
        <v>135</v>
      </c>
      <c r="J76" s="385"/>
    </row>
    <row r="77" spans="1:10" ht="16" thickBot="1">
      <c r="A77" s="12"/>
      <c r="B77" s="19" t="s">
        <v>311</v>
      </c>
      <c r="D77" s="176" t="s">
        <v>86</v>
      </c>
      <c r="E77" s="12" t="s">
        <v>312</v>
      </c>
      <c r="F77" s="12"/>
      <c r="H77" s="177">
        <v>9</v>
      </c>
      <c r="I77" s="19" t="s">
        <v>313</v>
      </c>
    </row>
    <row r="78" spans="1:10" ht="16" thickBot="1">
      <c r="A78" s="12"/>
      <c r="D78" s="2755">
        <v>10</v>
      </c>
      <c r="E78" s="19" t="s">
        <v>720</v>
      </c>
      <c r="H78" s="177">
        <v>9</v>
      </c>
      <c r="I78" s="19" t="s">
        <v>315</v>
      </c>
    </row>
    <row r="79" spans="1:10">
      <c r="A79" s="12" t="s">
        <v>96</v>
      </c>
      <c r="B79" s="12" t="s">
        <v>40</v>
      </c>
      <c r="C79" s="12"/>
      <c r="D79" s="12"/>
      <c r="E79" s="12"/>
      <c r="F79" s="12"/>
      <c r="G79" s="12"/>
      <c r="H79" s="12"/>
      <c r="I79" s="12"/>
      <c r="J79" s="12"/>
    </row>
    <row r="80" spans="1:10" ht="16" thickBot="1">
      <c r="A80" s="12"/>
      <c r="B80" s="20" t="s">
        <v>41</v>
      </c>
      <c r="C80" s="12" t="s">
        <v>316</v>
      </c>
      <c r="D80" s="39" t="s">
        <v>4800</v>
      </c>
      <c r="E80" s="174" t="s">
        <v>317</v>
      </c>
      <c r="G80" s="39" t="s">
        <v>4762</v>
      </c>
      <c r="H80" s="12" t="s">
        <v>318</v>
      </c>
      <c r="I80" s="12"/>
      <c r="J80" s="12"/>
    </row>
    <row r="81" spans="1:10" ht="16" thickBot="1">
      <c r="A81" s="12"/>
      <c r="B81" s="12" t="s">
        <v>319</v>
      </c>
      <c r="C81" s="12"/>
      <c r="D81" s="12"/>
      <c r="E81" s="12"/>
      <c r="F81" s="39" t="s">
        <v>4761</v>
      </c>
      <c r="G81" s="12" t="s">
        <v>320</v>
      </c>
      <c r="H81" s="176" t="s">
        <v>321</v>
      </c>
      <c r="I81" s="12" t="s">
        <v>87</v>
      </c>
      <c r="J81" s="176" t="s">
        <v>322</v>
      </c>
    </row>
    <row r="82" spans="1:10">
      <c r="A82" s="12"/>
      <c r="B82" s="12" t="s">
        <v>342</v>
      </c>
      <c r="C82" s="12"/>
      <c r="D82" s="12"/>
      <c r="E82" s="12"/>
      <c r="F82" s="12"/>
      <c r="G82" s="12"/>
      <c r="H82" s="12"/>
      <c r="I82" s="12"/>
      <c r="J82" s="12"/>
    </row>
    <row r="83" spans="1:10">
      <c r="A83" s="12"/>
      <c r="B83" s="12" t="s">
        <v>88</v>
      </c>
      <c r="C83" s="12"/>
      <c r="D83" s="12"/>
      <c r="E83" s="12" t="s">
        <v>343</v>
      </c>
      <c r="F83" s="12"/>
      <c r="G83" s="12"/>
      <c r="H83" s="12"/>
      <c r="I83" s="15"/>
      <c r="J83" s="12"/>
    </row>
    <row r="84" spans="1:10">
      <c r="A84" s="12"/>
      <c r="B84" s="243" t="s">
        <v>408</v>
      </c>
      <c r="C84" s="180"/>
      <c r="D84" s="180"/>
      <c r="F84" s="180"/>
      <c r="G84" s="180"/>
      <c r="H84" s="180"/>
      <c r="I84" s="181"/>
      <c r="J84" s="180"/>
    </row>
    <row r="85" spans="1:10">
      <c r="A85" s="12"/>
      <c r="B85" s="244"/>
      <c r="C85" s="245"/>
      <c r="D85" s="246"/>
      <c r="E85" s="247"/>
      <c r="F85" s="42"/>
      <c r="G85" s="42"/>
      <c r="H85" s="248"/>
      <c r="I85" s="249"/>
      <c r="J85" s="250"/>
    </row>
    <row r="86" spans="1:10">
      <c r="A86" s="12"/>
      <c r="B86" s="251"/>
      <c r="C86" s="45"/>
      <c r="D86" s="252"/>
      <c r="E86" s="253"/>
      <c r="F86" s="254"/>
      <c r="G86" s="255"/>
      <c r="H86" s="43"/>
      <c r="I86" s="256"/>
      <c r="J86" s="257"/>
    </row>
    <row r="87" spans="1:10">
      <c r="A87" s="12"/>
      <c r="B87" s="32" t="s">
        <v>705</v>
      </c>
      <c r="C87" s="32"/>
      <c r="D87" s="32"/>
      <c r="E87" s="182"/>
      <c r="F87" s="182"/>
      <c r="G87" s="182"/>
      <c r="H87" s="182"/>
      <c r="I87" s="258"/>
      <c r="J87" s="181"/>
    </row>
    <row r="88" spans="1:10">
      <c r="A88" s="12"/>
      <c r="B88" s="2" t="s">
        <v>706</v>
      </c>
      <c r="C88" s="44"/>
      <c r="D88" s="44"/>
      <c r="E88" s="66"/>
      <c r="F88" s="66"/>
      <c r="G88" s="44"/>
      <c r="H88" s="259"/>
      <c r="I88" s="44"/>
      <c r="J88" s="183"/>
    </row>
    <row r="89" spans="1:10">
      <c r="A89" s="12"/>
      <c r="B89" s="67" t="s">
        <v>707</v>
      </c>
      <c r="C89" s="44"/>
      <c r="D89" s="44"/>
      <c r="E89" s="44"/>
      <c r="F89" s="260"/>
      <c r="G89" s="44"/>
      <c r="H89" s="259"/>
      <c r="I89" s="260"/>
      <c r="J89" s="181"/>
    </row>
    <row r="90" spans="1:10">
      <c r="A90" s="12"/>
      <c r="B90" s="184" t="s">
        <v>708</v>
      </c>
      <c r="F90" s="185"/>
      <c r="G90" s="394"/>
    </row>
    <row r="91" spans="1:10">
      <c r="A91" s="12"/>
      <c r="B91" s="67"/>
      <c r="C91" s="44"/>
      <c r="D91" s="44"/>
      <c r="E91" s="44"/>
      <c r="F91" s="2" t="s">
        <v>709</v>
      </c>
      <c r="G91" s="395"/>
      <c r="H91" s="10" t="s">
        <v>89</v>
      </c>
      <c r="I91" s="395"/>
      <c r="J91" s="181"/>
    </row>
    <row r="92" spans="1:10">
      <c r="A92" s="12"/>
      <c r="B92" s="184" t="s">
        <v>710</v>
      </c>
    </row>
    <row r="93" spans="1:10">
      <c r="A93" s="12"/>
      <c r="F93" s="60"/>
      <c r="G93" s="60"/>
      <c r="H93" s="60"/>
      <c r="I93" s="61"/>
      <c r="J93" s="181"/>
    </row>
    <row r="94" spans="1:10">
      <c r="A94" s="12"/>
      <c r="G94" s="19" t="s">
        <v>711</v>
      </c>
      <c r="I94" s="12"/>
    </row>
    <row r="95" spans="1:10">
      <c r="A95" s="12"/>
      <c r="J95" s="181"/>
    </row>
    <row r="96" spans="1:10">
      <c r="A96" s="12"/>
      <c r="B96" s="185"/>
      <c r="C96" s="1"/>
      <c r="D96" s="1"/>
      <c r="E96" s="1"/>
      <c r="F96" s="1"/>
      <c r="G96" s="393"/>
      <c r="H96" s="1"/>
      <c r="I96" s="393"/>
    </row>
    <row r="97" spans="1:10">
      <c r="A97" s="12"/>
      <c r="B97" s="32"/>
      <c r="C97" s="18"/>
      <c r="D97" s="1"/>
      <c r="E97" s="1"/>
      <c r="F97" s="2"/>
      <c r="G97" s="1"/>
      <c r="H97" s="32"/>
      <c r="I97" s="1"/>
      <c r="J97" s="12"/>
    </row>
    <row r="98" spans="1:10">
      <c r="A98" s="12"/>
      <c r="B98" s="1"/>
      <c r="C98" s="1"/>
      <c r="D98" s="18"/>
      <c r="E98" s="18"/>
      <c r="F98" s="1"/>
      <c r="G98" s="1"/>
      <c r="H98" s="1"/>
      <c r="I98" s="18"/>
      <c r="J98" s="12"/>
    </row>
    <row r="99" spans="1:10">
      <c r="B99" s="1"/>
      <c r="C99" s="1"/>
      <c r="D99" s="1"/>
      <c r="E99" s="1"/>
      <c r="F99" s="1"/>
      <c r="G99" s="1"/>
      <c r="H99" s="1"/>
      <c r="I99" s="18"/>
    </row>
    <row r="102" spans="1:10">
      <c r="A102"/>
      <c r="B102"/>
      <c r="C102"/>
      <c r="D102"/>
      <c r="E102"/>
      <c r="F102"/>
      <c r="G102"/>
      <c r="H102"/>
      <c r="I102"/>
      <c r="J102"/>
    </row>
    <row r="103" spans="1:10">
      <c r="A103"/>
      <c r="B103"/>
      <c r="C103"/>
      <c r="D103"/>
      <c r="E103"/>
      <c r="F103"/>
      <c r="G103"/>
      <c r="H103"/>
      <c r="I103"/>
      <c r="J103"/>
    </row>
    <row r="104" spans="1:10">
      <c r="A104"/>
      <c r="B104"/>
      <c r="C104"/>
      <c r="D104"/>
      <c r="E104"/>
      <c r="F104"/>
      <c r="G104"/>
      <c r="H104"/>
      <c r="I104"/>
      <c r="J104"/>
    </row>
    <row r="105" spans="1:10">
      <c r="A105"/>
      <c r="B105"/>
      <c r="C105"/>
      <c r="D105"/>
      <c r="E105"/>
      <c r="F105"/>
      <c r="G105"/>
      <c r="H105"/>
      <c r="I105"/>
      <c r="J105"/>
    </row>
    <row r="106" spans="1:10">
      <c r="A106"/>
      <c r="B106"/>
      <c r="C106"/>
      <c r="D106"/>
      <c r="E106"/>
      <c r="F106"/>
      <c r="G106"/>
      <c r="H106"/>
      <c r="I106"/>
      <c r="J106"/>
    </row>
    <row r="107" spans="1:10">
      <c r="A107"/>
      <c r="B107"/>
      <c r="C107"/>
      <c r="D107"/>
      <c r="E107"/>
      <c r="F107"/>
      <c r="G107"/>
      <c r="H107"/>
      <c r="I107"/>
      <c r="J107"/>
    </row>
    <row r="108" spans="1:10">
      <c r="A108"/>
      <c r="B108"/>
      <c r="C108"/>
      <c r="D108"/>
      <c r="E108"/>
      <c r="F108"/>
      <c r="G108"/>
      <c r="H108"/>
      <c r="I108"/>
      <c r="J108"/>
    </row>
    <row r="109" spans="1:10">
      <c r="A109"/>
      <c r="B109"/>
      <c r="C109"/>
      <c r="D109"/>
      <c r="E109"/>
      <c r="F109"/>
      <c r="G109"/>
      <c r="H109"/>
      <c r="I109"/>
      <c r="J109"/>
    </row>
    <row r="110" spans="1:10">
      <c r="A110"/>
      <c r="B110"/>
      <c r="C110"/>
      <c r="D110"/>
      <c r="E110"/>
      <c r="F110"/>
      <c r="G110"/>
      <c r="H110"/>
      <c r="I110"/>
      <c r="J110"/>
    </row>
    <row r="111" spans="1:10">
      <c r="A111"/>
      <c r="B111"/>
      <c r="C111"/>
      <c r="D111"/>
      <c r="E111"/>
      <c r="F111"/>
      <c r="G111"/>
      <c r="H111"/>
      <c r="I111"/>
      <c r="J111"/>
    </row>
  </sheetData>
  <sheetProtection password="C69B" sheet="1" formatCells="0" formatColumns="0" formatRows="0" insertColumns="0" insertRows="0" insertHyperlinks="0" deleteColumns="0" deleteRows="0" sort="0" autoFilter="0" pivotTables="0"/>
  <phoneticPr fontId="26" type="noConversion"/>
  <printOptions horizontalCentered="1" verticalCentered="1"/>
  <pageMargins left="0" right="0" top="0" bottom="0" header="0" footer="0"/>
  <pageSetup scale="94" orientation="portrait" blackAndWhite="1" r:id="rId1"/>
  <headerFooter alignWithMargins="0"/>
  <rowBreaks count="1" manualBreakCount="1">
    <brk id="50" max="9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5"/>
  <sheetViews>
    <sheetView workbookViewId="0">
      <selection activeCell="F26" sqref="F26"/>
    </sheetView>
  </sheetViews>
  <sheetFormatPr defaultRowHeight="15.5"/>
  <cols>
    <col min="1" max="1" width="9.75" style="557" customWidth="1"/>
    <col min="2" max="2" width="9" style="557"/>
    <col min="3" max="3" width="8.08203125" style="557" customWidth="1"/>
    <col min="4" max="4" width="9.08203125" style="557" bestFit="1" customWidth="1"/>
    <col min="5" max="256" width="9" style="557"/>
    <col min="257" max="257" width="9.75" style="557" customWidth="1"/>
    <col min="258" max="258" width="9" style="557"/>
    <col min="259" max="259" width="8.08203125" style="557" customWidth="1"/>
    <col min="260" max="260" width="9.08203125" style="557" bestFit="1" customWidth="1"/>
    <col min="261" max="512" width="9" style="557"/>
    <col min="513" max="513" width="9.75" style="557" customWidth="1"/>
    <col min="514" max="514" width="9" style="557"/>
    <col min="515" max="515" width="8.08203125" style="557" customWidth="1"/>
    <col min="516" max="516" width="9.08203125" style="557" bestFit="1" customWidth="1"/>
    <col min="517" max="768" width="9" style="557"/>
    <col min="769" max="769" width="9.75" style="557" customWidth="1"/>
    <col min="770" max="770" width="9" style="557"/>
    <col min="771" max="771" width="8.08203125" style="557" customWidth="1"/>
    <col min="772" max="772" width="9.08203125" style="557" bestFit="1" customWidth="1"/>
    <col min="773" max="1024" width="9" style="557"/>
    <col min="1025" max="1025" width="9.75" style="557" customWidth="1"/>
    <col min="1026" max="1026" width="9" style="557"/>
    <col min="1027" max="1027" width="8.08203125" style="557" customWidth="1"/>
    <col min="1028" max="1028" width="9.08203125" style="557" bestFit="1" customWidth="1"/>
    <col min="1029" max="1280" width="9" style="557"/>
    <col min="1281" max="1281" width="9.75" style="557" customWidth="1"/>
    <col min="1282" max="1282" width="9" style="557"/>
    <col min="1283" max="1283" width="8.08203125" style="557" customWidth="1"/>
    <col min="1284" max="1284" width="9.08203125" style="557" bestFit="1" customWidth="1"/>
    <col min="1285" max="1536" width="9" style="557"/>
    <col min="1537" max="1537" width="9.75" style="557" customWidth="1"/>
    <col min="1538" max="1538" width="9" style="557"/>
    <col min="1539" max="1539" width="8.08203125" style="557" customWidth="1"/>
    <col min="1540" max="1540" width="9.08203125" style="557" bestFit="1" customWidth="1"/>
    <col min="1541" max="1792" width="9" style="557"/>
    <col min="1793" max="1793" width="9.75" style="557" customWidth="1"/>
    <col min="1794" max="1794" width="9" style="557"/>
    <col min="1795" max="1795" width="8.08203125" style="557" customWidth="1"/>
    <col min="1796" max="1796" width="9.08203125" style="557" bestFit="1" customWidth="1"/>
    <col min="1797" max="2048" width="9" style="557"/>
    <col min="2049" max="2049" width="9.75" style="557" customWidth="1"/>
    <col min="2050" max="2050" width="9" style="557"/>
    <col min="2051" max="2051" width="8.08203125" style="557" customWidth="1"/>
    <col min="2052" max="2052" width="9.08203125" style="557" bestFit="1" customWidth="1"/>
    <col min="2053" max="2304" width="9" style="557"/>
    <col min="2305" max="2305" width="9.75" style="557" customWidth="1"/>
    <col min="2306" max="2306" width="9" style="557"/>
    <col min="2307" max="2307" width="8.08203125" style="557" customWidth="1"/>
    <col min="2308" max="2308" width="9.08203125" style="557" bestFit="1" customWidth="1"/>
    <col min="2309" max="2560" width="9" style="557"/>
    <col min="2561" max="2561" width="9.75" style="557" customWidth="1"/>
    <col min="2562" max="2562" width="9" style="557"/>
    <col min="2563" max="2563" width="8.08203125" style="557" customWidth="1"/>
    <col min="2564" max="2564" width="9.08203125" style="557" bestFit="1" customWidth="1"/>
    <col min="2565" max="2816" width="9" style="557"/>
    <col min="2817" max="2817" width="9.75" style="557" customWidth="1"/>
    <col min="2818" max="2818" width="9" style="557"/>
    <col min="2819" max="2819" width="8.08203125" style="557" customWidth="1"/>
    <col min="2820" max="2820" width="9.08203125" style="557" bestFit="1" customWidth="1"/>
    <col min="2821" max="3072" width="9" style="557"/>
    <col min="3073" max="3073" width="9.75" style="557" customWidth="1"/>
    <col min="3074" max="3074" width="9" style="557"/>
    <col min="3075" max="3075" width="8.08203125" style="557" customWidth="1"/>
    <col min="3076" max="3076" width="9.08203125" style="557" bestFit="1" customWidth="1"/>
    <col min="3077" max="3328" width="9" style="557"/>
    <col min="3329" max="3329" width="9.75" style="557" customWidth="1"/>
    <col min="3330" max="3330" width="9" style="557"/>
    <col min="3331" max="3331" width="8.08203125" style="557" customWidth="1"/>
    <col min="3332" max="3332" width="9.08203125" style="557" bestFit="1" customWidth="1"/>
    <col min="3333" max="3584" width="9" style="557"/>
    <col min="3585" max="3585" width="9.75" style="557" customWidth="1"/>
    <col min="3586" max="3586" width="9" style="557"/>
    <col min="3587" max="3587" width="8.08203125" style="557" customWidth="1"/>
    <col min="3588" max="3588" width="9.08203125" style="557" bestFit="1" customWidth="1"/>
    <col min="3589" max="3840" width="9" style="557"/>
    <col min="3841" max="3841" width="9.75" style="557" customWidth="1"/>
    <col min="3842" max="3842" width="9" style="557"/>
    <col min="3843" max="3843" width="8.08203125" style="557" customWidth="1"/>
    <col min="3844" max="3844" width="9.08203125" style="557" bestFit="1" customWidth="1"/>
    <col min="3845" max="4096" width="9" style="557"/>
    <col min="4097" max="4097" width="9.75" style="557" customWidth="1"/>
    <col min="4098" max="4098" width="9" style="557"/>
    <col min="4099" max="4099" width="8.08203125" style="557" customWidth="1"/>
    <col min="4100" max="4100" width="9.08203125" style="557" bestFit="1" customWidth="1"/>
    <col min="4101" max="4352" width="9" style="557"/>
    <col min="4353" max="4353" width="9.75" style="557" customWidth="1"/>
    <col min="4354" max="4354" width="9" style="557"/>
    <col min="4355" max="4355" width="8.08203125" style="557" customWidth="1"/>
    <col min="4356" max="4356" width="9.08203125" style="557" bestFit="1" customWidth="1"/>
    <col min="4357" max="4608" width="9" style="557"/>
    <col min="4609" max="4609" width="9.75" style="557" customWidth="1"/>
    <col min="4610" max="4610" width="9" style="557"/>
    <col min="4611" max="4611" width="8.08203125" style="557" customWidth="1"/>
    <col min="4612" max="4612" width="9.08203125" style="557" bestFit="1" customWidth="1"/>
    <col min="4613" max="4864" width="9" style="557"/>
    <col min="4865" max="4865" width="9.75" style="557" customWidth="1"/>
    <col min="4866" max="4866" width="9" style="557"/>
    <col min="4867" max="4867" width="8.08203125" style="557" customWidth="1"/>
    <col min="4868" max="4868" width="9.08203125" style="557" bestFit="1" customWidth="1"/>
    <col min="4869" max="5120" width="9" style="557"/>
    <col min="5121" max="5121" width="9.75" style="557" customWidth="1"/>
    <col min="5122" max="5122" width="9" style="557"/>
    <col min="5123" max="5123" width="8.08203125" style="557" customWidth="1"/>
    <col min="5124" max="5124" width="9.08203125" style="557" bestFit="1" customWidth="1"/>
    <col min="5125" max="5376" width="9" style="557"/>
    <col min="5377" max="5377" width="9.75" style="557" customWidth="1"/>
    <col min="5378" max="5378" width="9" style="557"/>
    <col min="5379" max="5379" width="8.08203125" style="557" customWidth="1"/>
    <col min="5380" max="5380" width="9.08203125" style="557" bestFit="1" customWidth="1"/>
    <col min="5381" max="5632" width="9" style="557"/>
    <col min="5633" max="5633" width="9.75" style="557" customWidth="1"/>
    <col min="5634" max="5634" width="9" style="557"/>
    <col min="5635" max="5635" width="8.08203125" style="557" customWidth="1"/>
    <col min="5636" max="5636" width="9.08203125" style="557" bestFit="1" customWidth="1"/>
    <col min="5637" max="5888" width="9" style="557"/>
    <col min="5889" max="5889" width="9.75" style="557" customWidth="1"/>
    <col min="5890" max="5890" width="9" style="557"/>
    <col min="5891" max="5891" width="8.08203125" style="557" customWidth="1"/>
    <col min="5892" max="5892" width="9.08203125" style="557" bestFit="1" customWidth="1"/>
    <col min="5893" max="6144" width="9" style="557"/>
    <col min="6145" max="6145" width="9.75" style="557" customWidth="1"/>
    <col min="6146" max="6146" width="9" style="557"/>
    <col min="6147" max="6147" width="8.08203125" style="557" customWidth="1"/>
    <col min="6148" max="6148" width="9.08203125" style="557" bestFit="1" customWidth="1"/>
    <col min="6149" max="6400" width="9" style="557"/>
    <col min="6401" max="6401" width="9.75" style="557" customWidth="1"/>
    <col min="6402" max="6402" width="9" style="557"/>
    <col min="6403" max="6403" width="8.08203125" style="557" customWidth="1"/>
    <col min="6404" max="6404" width="9.08203125" style="557" bestFit="1" customWidth="1"/>
    <col min="6405" max="6656" width="9" style="557"/>
    <col min="6657" max="6657" width="9.75" style="557" customWidth="1"/>
    <col min="6658" max="6658" width="9" style="557"/>
    <col min="6659" max="6659" width="8.08203125" style="557" customWidth="1"/>
    <col min="6660" max="6660" width="9.08203125" style="557" bestFit="1" customWidth="1"/>
    <col min="6661" max="6912" width="9" style="557"/>
    <col min="6913" max="6913" width="9.75" style="557" customWidth="1"/>
    <col min="6914" max="6914" width="9" style="557"/>
    <col min="6915" max="6915" width="8.08203125" style="557" customWidth="1"/>
    <col min="6916" max="6916" width="9.08203125" style="557" bestFit="1" customWidth="1"/>
    <col min="6917" max="7168" width="9" style="557"/>
    <col min="7169" max="7169" width="9.75" style="557" customWidth="1"/>
    <col min="7170" max="7170" width="9" style="557"/>
    <col min="7171" max="7171" width="8.08203125" style="557" customWidth="1"/>
    <col min="7172" max="7172" width="9.08203125" style="557" bestFit="1" customWidth="1"/>
    <col min="7173" max="7424" width="9" style="557"/>
    <col min="7425" max="7425" width="9.75" style="557" customWidth="1"/>
    <col min="7426" max="7426" width="9" style="557"/>
    <col min="7427" max="7427" width="8.08203125" style="557" customWidth="1"/>
    <col min="7428" max="7428" width="9.08203125" style="557" bestFit="1" customWidth="1"/>
    <col min="7429" max="7680" width="9" style="557"/>
    <col min="7681" max="7681" width="9.75" style="557" customWidth="1"/>
    <col min="7682" max="7682" width="9" style="557"/>
    <col min="7683" max="7683" width="8.08203125" style="557" customWidth="1"/>
    <col min="7684" max="7684" width="9.08203125" style="557" bestFit="1" customWidth="1"/>
    <col min="7685" max="7936" width="9" style="557"/>
    <col min="7937" max="7937" width="9.75" style="557" customWidth="1"/>
    <col min="7938" max="7938" width="9" style="557"/>
    <col min="7939" max="7939" width="8.08203125" style="557" customWidth="1"/>
    <col min="7940" max="7940" width="9.08203125" style="557" bestFit="1" customWidth="1"/>
    <col min="7941" max="8192" width="9" style="557"/>
    <col min="8193" max="8193" width="9.75" style="557" customWidth="1"/>
    <col min="8194" max="8194" width="9" style="557"/>
    <col min="8195" max="8195" width="8.08203125" style="557" customWidth="1"/>
    <col min="8196" max="8196" width="9.08203125" style="557" bestFit="1" customWidth="1"/>
    <col min="8197" max="8448" width="9" style="557"/>
    <col min="8449" max="8449" width="9.75" style="557" customWidth="1"/>
    <col min="8450" max="8450" width="9" style="557"/>
    <col min="8451" max="8451" width="8.08203125" style="557" customWidth="1"/>
    <col min="8452" max="8452" width="9.08203125" style="557" bestFit="1" customWidth="1"/>
    <col min="8453" max="8704" width="9" style="557"/>
    <col min="8705" max="8705" width="9.75" style="557" customWidth="1"/>
    <col min="8706" max="8706" width="9" style="557"/>
    <col min="8707" max="8707" width="8.08203125" style="557" customWidth="1"/>
    <col min="8708" max="8708" width="9.08203125" style="557" bestFit="1" customWidth="1"/>
    <col min="8709" max="8960" width="9" style="557"/>
    <col min="8961" max="8961" width="9.75" style="557" customWidth="1"/>
    <col min="8962" max="8962" width="9" style="557"/>
    <col min="8963" max="8963" width="8.08203125" style="557" customWidth="1"/>
    <col min="8964" max="8964" width="9.08203125" style="557" bestFit="1" customWidth="1"/>
    <col min="8965" max="9216" width="9" style="557"/>
    <col min="9217" max="9217" width="9.75" style="557" customWidth="1"/>
    <col min="9218" max="9218" width="9" style="557"/>
    <col min="9219" max="9219" width="8.08203125" style="557" customWidth="1"/>
    <col min="9220" max="9220" width="9.08203125" style="557" bestFit="1" customWidth="1"/>
    <col min="9221" max="9472" width="9" style="557"/>
    <col min="9473" max="9473" width="9.75" style="557" customWidth="1"/>
    <col min="9474" max="9474" width="9" style="557"/>
    <col min="9475" max="9475" width="8.08203125" style="557" customWidth="1"/>
    <col min="9476" max="9476" width="9.08203125" style="557" bestFit="1" customWidth="1"/>
    <col min="9477" max="9728" width="9" style="557"/>
    <col min="9729" max="9729" width="9.75" style="557" customWidth="1"/>
    <col min="9730" max="9730" width="9" style="557"/>
    <col min="9731" max="9731" width="8.08203125" style="557" customWidth="1"/>
    <col min="9732" max="9732" width="9.08203125" style="557" bestFit="1" customWidth="1"/>
    <col min="9733" max="9984" width="9" style="557"/>
    <col min="9985" max="9985" width="9.75" style="557" customWidth="1"/>
    <col min="9986" max="9986" width="9" style="557"/>
    <col min="9987" max="9987" width="8.08203125" style="557" customWidth="1"/>
    <col min="9988" max="9988" width="9.08203125" style="557" bestFit="1" customWidth="1"/>
    <col min="9989" max="10240" width="9" style="557"/>
    <col min="10241" max="10241" width="9.75" style="557" customWidth="1"/>
    <col min="10242" max="10242" width="9" style="557"/>
    <col min="10243" max="10243" width="8.08203125" style="557" customWidth="1"/>
    <col min="10244" max="10244" width="9.08203125" style="557" bestFit="1" customWidth="1"/>
    <col min="10245" max="10496" width="9" style="557"/>
    <col min="10497" max="10497" width="9.75" style="557" customWidth="1"/>
    <col min="10498" max="10498" width="9" style="557"/>
    <col min="10499" max="10499" width="8.08203125" style="557" customWidth="1"/>
    <col min="10500" max="10500" width="9.08203125" style="557" bestFit="1" customWidth="1"/>
    <col min="10501" max="10752" width="9" style="557"/>
    <col min="10753" max="10753" width="9.75" style="557" customWidth="1"/>
    <col min="10754" max="10754" width="9" style="557"/>
    <col min="10755" max="10755" width="8.08203125" style="557" customWidth="1"/>
    <col min="10756" max="10756" width="9.08203125" style="557" bestFit="1" customWidth="1"/>
    <col min="10757" max="11008" width="9" style="557"/>
    <col min="11009" max="11009" width="9.75" style="557" customWidth="1"/>
    <col min="11010" max="11010" width="9" style="557"/>
    <col min="11011" max="11011" width="8.08203125" style="557" customWidth="1"/>
    <col min="11012" max="11012" width="9.08203125" style="557" bestFit="1" customWidth="1"/>
    <col min="11013" max="11264" width="9" style="557"/>
    <col min="11265" max="11265" width="9.75" style="557" customWidth="1"/>
    <col min="11266" max="11266" width="9" style="557"/>
    <col min="11267" max="11267" width="8.08203125" style="557" customWidth="1"/>
    <col min="11268" max="11268" width="9.08203125" style="557" bestFit="1" customWidth="1"/>
    <col min="11269" max="11520" width="9" style="557"/>
    <col min="11521" max="11521" width="9.75" style="557" customWidth="1"/>
    <col min="11522" max="11522" width="9" style="557"/>
    <col min="11523" max="11523" width="8.08203125" style="557" customWidth="1"/>
    <col min="11524" max="11524" width="9.08203125" style="557" bestFit="1" customWidth="1"/>
    <col min="11525" max="11776" width="9" style="557"/>
    <col min="11777" max="11777" width="9.75" style="557" customWidth="1"/>
    <col min="11778" max="11778" width="9" style="557"/>
    <col min="11779" max="11779" width="8.08203125" style="557" customWidth="1"/>
    <col min="11780" max="11780" width="9.08203125" style="557" bestFit="1" customWidth="1"/>
    <col min="11781" max="12032" width="9" style="557"/>
    <col min="12033" max="12033" width="9.75" style="557" customWidth="1"/>
    <col min="12034" max="12034" width="9" style="557"/>
    <col min="12035" max="12035" width="8.08203125" style="557" customWidth="1"/>
    <col min="12036" max="12036" width="9.08203125" style="557" bestFit="1" customWidth="1"/>
    <col min="12037" max="12288" width="9" style="557"/>
    <col min="12289" max="12289" width="9.75" style="557" customWidth="1"/>
    <col min="12290" max="12290" width="9" style="557"/>
    <col min="12291" max="12291" width="8.08203125" style="557" customWidth="1"/>
    <col min="12292" max="12292" width="9.08203125" style="557" bestFit="1" customWidth="1"/>
    <col min="12293" max="12544" width="9" style="557"/>
    <col min="12545" max="12545" width="9.75" style="557" customWidth="1"/>
    <col min="12546" max="12546" width="9" style="557"/>
    <col min="12547" max="12547" width="8.08203125" style="557" customWidth="1"/>
    <col min="12548" max="12548" width="9.08203125" style="557" bestFit="1" customWidth="1"/>
    <col min="12549" max="12800" width="9" style="557"/>
    <col min="12801" max="12801" width="9.75" style="557" customWidth="1"/>
    <col min="12802" max="12802" width="9" style="557"/>
    <col min="12803" max="12803" width="8.08203125" style="557" customWidth="1"/>
    <col min="12804" max="12804" width="9.08203125" style="557" bestFit="1" customWidth="1"/>
    <col min="12805" max="13056" width="9" style="557"/>
    <col min="13057" max="13057" width="9.75" style="557" customWidth="1"/>
    <col min="13058" max="13058" width="9" style="557"/>
    <col min="13059" max="13059" width="8.08203125" style="557" customWidth="1"/>
    <col min="13060" max="13060" width="9.08203125" style="557" bestFit="1" customWidth="1"/>
    <col min="13061" max="13312" width="9" style="557"/>
    <col min="13313" max="13313" width="9.75" style="557" customWidth="1"/>
    <col min="13314" max="13314" width="9" style="557"/>
    <col min="13315" max="13315" width="8.08203125" style="557" customWidth="1"/>
    <col min="13316" max="13316" width="9.08203125" style="557" bestFit="1" customWidth="1"/>
    <col min="13317" max="13568" width="9" style="557"/>
    <col min="13569" max="13569" width="9.75" style="557" customWidth="1"/>
    <col min="13570" max="13570" width="9" style="557"/>
    <col min="13571" max="13571" width="8.08203125" style="557" customWidth="1"/>
    <col min="13572" max="13572" width="9.08203125" style="557" bestFit="1" customWidth="1"/>
    <col min="13573" max="13824" width="9" style="557"/>
    <col min="13825" max="13825" width="9.75" style="557" customWidth="1"/>
    <col min="13826" max="13826" width="9" style="557"/>
    <col min="13827" max="13827" width="8.08203125" style="557" customWidth="1"/>
    <col min="13828" max="13828" width="9.08203125" style="557" bestFit="1" customWidth="1"/>
    <col min="13829" max="14080" width="9" style="557"/>
    <col min="14081" max="14081" width="9.75" style="557" customWidth="1"/>
    <col min="14082" max="14082" width="9" style="557"/>
    <col min="14083" max="14083" width="8.08203125" style="557" customWidth="1"/>
    <col min="14084" max="14084" width="9.08203125" style="557" bestFit="1" customWidth="1"/>
    <col min="14085" max="14336" width="9" style="557"/>
    <col min="14337" max="14337" width="9.75" style="557" customWidth="1"/>
    <col min="14338" max="14338" width="9" style="557"/>
    <col min="14339" max="14339" width="8.08203125" style="557" customWidth="1"/>
    <col min="14340" max="14340" width="9.08203125" style="557" bestFit="1" customWidth="1"/>
    <col min="14341" max="14592" width="9" style="557"/>
    <col min="14593" max="14593" width="9.75" style="557" customWidth="1"/>
    <col min="14594" max="14594" width="9" style="557"/>
    <col min="14595" max="14595" width="8.08203125" style="557" customWidth="1"/>
    <col min="14596" max="14596" width="9.08203125" style="557" bestFit="1" customWidth="1"/>
    <col min="14597" max="14848" width="9" style="557"/>
    <col min="14849" max="14849" width="9.75" style="557" customWidth="1"/>
    <col min="14850" max="14850" width="9" style="557"/>
    <col min="14851" max="14851" width="8.08203125" style="557" customWidth="1"/>
    <col min="14852" max="14852" width="9.08203125" style="557" bestFit="1" customWidth="1"/>
    <col min="14853" max="15104" width="9" style="557"/>
    <col min="15105" max="15105" width="9.75" style="557" customWidth="1"/>
    <col min="15106" max="15106" width="9" style="557"/>
    <col min="15107" max="15107" width="8.08203125" style="557" customWidth="1"/>
    <col min="15108" max="15108" width="9.08203125" style="557" bestFit="1" customWidth="1"/>
    <col min="15109" max="15360" width="9" style="557"/>
    <col min="15361" max="15361" width="9.75" style="557" customWidth="1"/>
    <col min="15362" max="15362" width="9" style="557"/>
    <col min="15363" max="15363" width="8.08203125" style="557" customWidth="1"/>
    <col min="15364" max="15364" width="9.08203125" style="557" bestFit="1" customWidth="1"/>
    <col min="15365" max="15616" width="9" style="557"/>
    <col min="15617" max="15617" width="9.75" style="557" customWidth="1"/>
    <col min="15618" max="15618" width="9" style="557"/>
    <col min="15619" max="15619" width="8.08203125" style="557" customWidth="1"/>
    <col min="15620" max="15620" width="9.08203125" style="557" bestFit="1" customWidth="1"/>
    <col min="15621" max="15872" width="9" style="557"/>
    <col min="15873" max="15873" width="9.75" style="557" customWidth="1"/>
    <col min="15874" max="15874" width="9" style="557"/>
    <col min="15875" max="15875" width="8.08203125" style="557" customWidth="1"/>
    <col min="15876" max="15876" width="9.08203125" style="557" bestFit="1" customWidth="1"/>
    <col min="15877" max="16128" width="9" style="557"/>
    <col min="16129" max="16129" width="9.75" style="557" customWidth="1"/>
    <col min="16130" max="16130" width="9" style="557"/>
    <col min="16131" max="16131" width="8.08203125" style="557" customWidth="1"/>
    <col min="16132" max="16132" width="9.08203125" style="557" bestFit="1" customWidth="1"/>
    <col min="16133" max="16384" width="9" style="557"/>
  </cols>
  <sheetData>
    <row r="1" spans="1:10" ht="16.5">
      <c r="D1" s="3059" t="s">
        <v>2874</v>
      </c>
      <c r="E1" s="3060"/>
      <c r="F1" s="3060"/>
      <c r="G1" s="3060"/>
      <c r="H1" s="3060"/>
    </row>
    <row r="2" spans="1:10">
      <c r="D2" s="3061" t="s">
        <v>2875</v>
      </c>
      <c r="E2" s="3058"/>
      <c r="F2" s="3058"/>
      <c r="G2" s="3058"/>
      <c r="H2" s="3058"/>
    </row>
    <row r="3" spans="1:10">
      <c r="D3" s="1405" t="s">
        <v>2876</v>
      </c>
      <c r="E3" s="1406"/>
      <c r="F3" s="1406"/>
      <c r="G3" s="1406"/>
      <c r="H3" s="1406"/>
    </row>
    <row r="4" spans="1:10">
      <c r="D4" s="1405" t="s">
        <v>2877</v>
      </c>
      <c r="E4" s="1406"/>
      <c r="F4" s="1406"/>
      <c r="G4" s="1406"/>
      <c r="H4" s="1406"/>
    </row>
    <row r="5" spans="1:10">
      <c r="D5" s="1407" t="s">
        <v>2878</v>
      </c>
      <c r="E5" s="1408"/>
      <c r="F5" s="1408"/>
      <c r="G5" s="1408"/>
      <c r="H5" s="1408"/>
    </row>
    <row r="6" spans="1:10">
      <c r="D6" s="1409"/>
    </row>
    <row r="8" spans="1:10" ht="16.5">
      <c r="A8" s="1410" t="s">
        <v>2879</v>
      </c>
      <c r="B8" s="1410"/>
      <c r="C8" s="1410"/>
      <c r="D8" s="1410"/>
      <c r="E8" s="1410"/>
      <c r="F8" s="1410" t="s">
        <v>2880</v>
      </c>
      <c r="G8" s="1410"/>
      <c r="H8" s="1410"/>
      <c r="I8" s="1410"/>
      <c r="J8" s="1410"/>
    </row>
    <row r="9" spans="1:10" ht="16.5">
      <c r="A9" s="1410"/>
      <c r="B9" s="1410"/>
      <c r="C9" s="1410"/>
      <c r="D9" s="1410"/>
      <c r="E9" s="1410"/>
      <c r="F9" s="1410"/>
      <c r="G9" s="1410"/>
      <c r="H9" s="1410"/>
      <c r="I9" s="1410"/>
      <c r="J9" s="1410"/>
    </row>
    <row r="10" spans="1:10" ht="16.5">
      <c r="A10" s="1410" t="s">
        <v>2881</v>
      </c>
      <c r="B10" s="1410"/>
      <c r="C10" s="1410"/>
      <c r="D10" s="1411">
        <f>[2]计价表!AD31</f>
        <v>0</v>
      </c>
      <c r="E10" s="1410" t="s">
        <v>2882</v>
      </c>
      <c r="F10" s="1410"/>
      <c r="G10" s="1410"/>
      <c r="H10" s="1410"/>
      <c r="I10" s="1410"/>
      <c r="J10" s="1410"/>
    </row>
    <row r="11" spans="1:10" ht="16">
      <c r="A11" s="1412" t="s">
        <v>2883</v>
      </c>
      <c r="B11" s="1413">
        <f>HLOOKUP(A11,[2]计价表!$T$30:$AI$31,2,0)</f>
        <v>0</v>
      </c>
      <c r="C11" s="1412"/>
      <c r="D11" s="1412" t="s">
        <v>513</v>
      </c>
      <c r="E11" s="1413">
        <f>HLOOKUP(D11,[2]计价表!$T$30:$AI$31,2,0)</f>
        <v>0</v>
      </c>
      <c r="F11" s="1412"/>
      <c r="G11" s="1412"/>
      <c r="H11" s="1413"/>
      <c r="I11" s="1412"/>
      <c r="J11" s="1412"/>
    </row>
    <row r="12" spans="1:10" ht="16">
      <c r="A12" s="1412" t="s">
        <v>2884</v>
      </c>
      <c r="B12" s="1413">
        <f>HLOOKUP(A12,[2]计价表!$T$30:$AI$31,2,0)</f>
        <v>0</v>
      </c>
      <c r="C12" s="1412"/>
      <c r="D12" s="1412" t="s">
        <v>514</v>
      </c>
      <c r="E12" s="1413">
        <f>HLOOKUP(D12,[2]计价表!$T$30:$AI$31,2,0)</f>
        <v>0</v>
      </c>
      <c r="F12" s="1412"/>
      <c r="G12" s="1412"/>
      <c r="H12" s="1413"/>
      <c r="I12" s="1412"/>
      <c r="J12" s="1412"/>
    </row>
    <row r="13" spans="1:10" ht="16">
      <c r="A13" s="1412" t="s">
        <v>2885</v>
      </c>
      <c r="B13" s="1413">
        <f>HLOOKUP(A13,[2]计价表!$T$30:$AI$31,2,0)</f>
        <v>0</v>
      </c>
      <c r="C13" s="1412"/>
      <c r="D13" s="1412" t="s">
        <v>532</v>
      </c>
      <c r="E13" s="1413">
        <f>HLOOKUP(D13,[2]计价表!$T$30:$AI$31,2,0)</f>
        <v>0</v>
      </c>
      <c r="F13" s="1412"/>
      <c r="G13" s="1412"/>
      <c r="H13" s="1413"/>
      <c r="I13" s="1412"/>
      <c r="J13" s="1412"/>
    </row>
    <row r="14" spans="1:10" ht="16">
      <c r="A14" s="1412" t="s">
        <v>524</v>
      </c>
      <c r="B14" s="1413">
        <f>HLOOKUP(A14,[2]计价表!$T$30:$AI$31,2,0)</f>
        <v>0</v>
      </c>
      <c r="C14" s="1412"/>
      <c r="D14" s="1412" t="s">
        <v>531</v>
      </c>
      <c r="E14" s="1413">
        <f>HLOOKUP(D14,[2]计价表!$T$30:$AI$31,2,0)</f>
        <v>0</v>
      </c>
      <c r="F14" s="1412"/>
      <c r="G14" s="1412"/>
      <c r="H14" s="1413"/>
      <c r="I14" s="1412"/>
      <c r="J14" s="1412"/>
    </row>
    <row r="15" spans="1:10" ht="16">
      <c r="A15" s="1412" t="s">
        <v>523</v>
      </c>
      <c r="B15" s="1413">
        <f>HLOOKUP(A15,[2]计价表!$T$30:$AI$31,2,0)</f>
        <v>0</v>
      </c>
      <c r="C15" s="1412"/>
      <c r="D15" s="1412" t="s">
        <v>530</v>
      </c>
      <c r="E15" s="1413">
        <f>HLOOKUP(D15,[2]计价表!$T$30:$AI$31,2,0)</f>
        <v>0</v>
      </c>
      <c r="F15" s="1412"/>
      <c r="G15" s="1412"/>
      <c r="H15" s="1413"/>
      <c r="I15" s="1412"/>
      <c r="J15" s="1412"/>
    </row>
    <row r="16" spans="1:10" ht="16">
      <c r="A16" s="1412" t="s">
        <v>522</v>
      </c>
      <c r="B16" s="1413">
        <f>HLOOKUP(A16,[2]计价表!$T$30:$AI$31,2,0)</f>
        <v>0</v>
      </c>
      <c r="C16" s="1412"/>
      <c r="D16" s="1412" t="s">
        <v>69</v>
      </c>
      <c r="E16" s="1413">
        <f>HLOOKUP(D16,[2]计价表!$T$30:$AI$31,2,0)</f>
        <v>0</v>
      </c>
      <c r="F16" s="1412"/>
      <c r="G16" s="1412"/>
      <c r="H16" s="1413"/>
      <c r="I16" s="1412"/>
      <c r="J16" s="1412"/>
    </row>
    <row r="17" spans="1:10" ht="16">
      <c r="A17" s="1412" t="s">
        <v>521</v>
      </c>
      <c r="B17" s="1413">
        <f>HLOOKUP(A17,[2]计价表!$T$30:$AI$31,2,0)</f>
        <v>0</v>
      </c>
      <c r="C17" s="1412"/>
      <c r="D17" s="1412"/>
      <c r="E17" s="1412"/>
      <c r="F17" s="1412"/>
      <c r="G17" s="1412"/>
      <c r="H17" s="1412"/>
      <c r="I17" s="1412"/>
      <c r="J17" s="1412"/>
    </row>
    <row r="18" spans="1:10" ht="16">
      <c r="A18" s="1412" t="s">
        <v>520</v>
      </c>
      <c r="B18" s="1413">
        <f>HLOOKUP(A18,[2]计价表!$T$30:$AI$31,2,0)</f>
        <v>0</v>
      </c>
      <c r="C18" s="1412"/>
      <c r="D18" s="1412"/>
      <c r="E18" s="1412"/>
      <c r="F18" s="1412"/>
      <c r="G18" s="1412"/>
      <c r="H18" s="1412"/>
      <c r="I18" s="1412"/>
      <c r="J18" s="1412"/>
    </row>
    <row r="19" spans="1:10" ht="16">
      <c r="A19" s="1412"/>
      <c r="B19" s="1413"/>
      <c r="C19" s="1412"/>
      <c r="D19" s="1412"/>
      <c r="E19" s="1412"/>
      <c r="F19" s="1412"/>
      <c r="G19" s="1412"/>
      <c r="H19" s="1412"/>
      <c r="I19" s="1412"/>
      <c r="J19" s="1412"/>
    </row>
    <row r="20" spans="1:10" ht="16.5">
      <c r="A20" s="1410"/>
      <c r="B20" s="1410"/>
      <c r="C20" s="1410"/>
      <c r="D20" s="1410"/>
      <c r="E20" s="1410"/>
      <c r="F20" s="1410"/>
      <c r="G20" s="1410"/>
      <c r="H20" s="1410"/>
      <c r="I20" s="1410"/>
      <c r="J20" s="1410"/>
    </row>
    <row r="21" spans="1:10" ht="16.5">
      <c r="A21" s="1410" t="s">
        <v>2886</v>
      </c>
      <c r="B21" s="1410"/>
      <c r="C21" s="1410"/>
      <c r="D21" s="1410"/>
      <c r="E21" s="1410"/>
      <c r="F21" s="1410"/>
      <c r="G21" s="1410"/>
      <c r="H21" s="1410"/>
      <c r="I21" s="1410"/>
      <c r="J21" s="1410"/>
    </row>
    <row r="22" spans="1:10" ht="16">
      <c r="A22" s="1414" t="str">
        <f>[2]计价表!R2</f>
        <v>D1</v>
      </c>
      <c r="B22" s="1412">
        <f>VLOOKUP(A22,[2]计价表!$R$2:$S$21,2,0)</f>
        <v>0</v>
      </c>
      <c r="C22" s="1412">
        <f>VLOOKUP(A22,[2]计价表!$R$2:$U$21,3,0)</f>
        <v>0</v>
      </c>
      <c r="D22" s="1412"/>
      <c r="E22" s="1414" t="str">
        <f>[2]计价表!R14</f>
        <v>D13</v>
      </c>
      <c r="F22" s="1412" t="str">
        <f>VLOOKUP(E22,[2]计价表!$R$2:$S$21,2,0)</f>
        <v xml:space="preserve"> </v>
      </c>
      <c r="G22" s="1412" t="str">
        <f>VLOOKUP(E22,[2]计价表!$R$2:$U$21,3,0)</f>
        <v xml:space="preserve"> </v>
      </c>
      <c r="H22" s="1412"/>
      <c r="I22" s="1412"/>
      <c r="J22" s="1412"/>
    </row>
    <row r="23" spans="1:10" ht="16">
      <c r="A23" s="1414" t="str">
        <f>[2]计价表!R3</f>
        <v>D2</v>
      </c>
      <c r="B23" s="1412" t="str">
        <f>VLOOKUP(A23,[2]计价表!$R$2:$S$21,2,0)</f>
        <v xml:space="preserve"> </v>
      </c>
      <c r="C23" s="1412" t="str">
        <f>VLOOKUP(A23,[2]计价表!$R$2:$U$21,3,0)</f>
        <v xml:space="preserve"> </v>
      </c>
      <c r="D23" s="1412"/>
      <c r="E23" s="1414" t="str">
        <f>[2]计价表!R15</f>
        <v>D14</v>
      </c>
      <c r="F23" s="1412" t="str">
        <f>VLOOKUP(E23,[2]计价表!$R$2:$S$21,2,0)</f>
        <v xml:space="preserve"> </v>
      </c>
      <c r="G23" s="1412" t="str">
        <f>VLOOKUP(E23,[2]计价表!$R$2:$U$21,3,0)</f>
        <v xml:space="preserve"> </v>
      </c>
      <c r="H23" s="1412"/>
      <c r="I23" s="1412"/>
      <c r="J23" s="1412"/>
    </row>
    <row r="24" spans="1:10" ht="16">
      <c r="A24" s="1414" t="str">
        <f>[2]计价表!R4</f>
        <v>D3</v>
      </c>
      <c r="B24" s="1412" t="str">
        <f>VLOOKUP(A24,[2]计价表!$R$2:$S$21,2,0)</f>
        <v xml:space="preserve"> </v>
      </c>
      <c r="C24" s="1412" t="str">
        <f>VLOOKUP(A24,[2]计价表!$R$2:$U$21,3,0)</f>
        <v xml:space="preserve"> </v>
      </c>
      <c r="D24" s="1412"/>
      <c r="E24" s="1414" t="str">
        <f>[2]计价表!R16</f>
        <v>D15</v>
      </c>
      <c r="F24" s="1412" t="str">
        <f>VLOOKUP(E24,[2]计价表!$R$2:$S$21,2,0)</f>
        <v xml:space="preserve"> </v>
      </c>
      <c r="G24" s="1412" t="str">
        <f>VLOOKUP(E24,[2]计价表!$R$2:$U$21,3,0)</f>
        <v xml:space="preserve"> </v>
      </c>
      <c r="H24" s="1412"/>
      <c r="I24" s="1412"/>
      <c r="J24" s="1412"/>
    </row>
    <row r="25" spans="1:10" ht="16">
      <c r="A25" s="1414" t="str">
        <f>[2]计价表!R5</f>
        <v>D4</v>
      </c>
      <c r="B25" s="1412" t="str">
        <f>VLOOKUP(A25,[2]计价表!$R$2:$S$21,2,0)</f>
        <v xml:space="preserve"> </v>
      </c>
      <c r="C25" s="1412" t="str">
        <f>VLOOKUP(A25,[2]计价表!$R$2:$U$21,3,0)</f>
        <v xml:space="preserve"> </v>
      </c>
      <c r="D25" s="1412"/>
      <c r="E25" s="1414" t="str">
        <f>[2]计价表!R17</f>
        <v>D16</v>
      </c>
      <c r="F25" s="1412" t="str">
        <f>VLOOKUP(E25,[2]计价表!$R$2:$S$21,2,0)</f>
        <v xml:space="preserve"> </v>
      </c>
      <c r="G25" s="1412" t="str">
        <f>VLOOKUP(E25,[2]计价表!$R$2:$U$21,3,0)</f>
        <v xml:space="preserve"> </v>
      </c>
      <c r="H25" s="1412"/>
      <c r="I25" s="1412"/>
      <c r="J25" s="1412"/>
    </row>
    <row r="26" spans="1:10" ht="16">
      <c r="A26" s="1414" t="str">
        <f>[2]计价表!R6</f>
        <v>D5</v>
      </c>
      <c r="B26" s="1412" t="str">
        <f>VLOOKUP(A26,[2]计价表!$R$2:$S$21,2,0)</f>
        <v xml:space="preserve">  </v>
      </c>
      <c r="C26" s="1412" t="str">
        <f>VLOOKUP(A26,[2]计价表!$R$2:$U$21,3,0)</f>
        <v xml:space="preserve"> </v>
      </c>
      <c r="D26" s="1412"/>
      <c r="E26" s="1414" t="str">
        <f>[2]计价表!R18</f>
        <v>D17</v>
      </c>
      <c r="F26" s="1412" t="str">
        <f>VLOOKUP(E26,[2]计价表!$R$2:$S$21,2,0)</f>
        <v xml:space="preserve"> </v>
      </c>
      <c r="G26" s="1412" t="str">
        <f>VLOOKUP(E26,[2]计价表!$R$2:$U$21,3,0)</f>
        <v xml:space="preserve"> </v>
      </c>
      <c r="H26" s="1412"/>
      <c r="I26" s="1412"/>
      <c r="J26" s="1412"/>
    </row>
    <row r="27" spans="1:10" ht="16">
      <c r="A27" s="1414" t="str">
        <f>[2]计价表!R7</f>
        <v>D6</v>
      </c>
      <c r="B27" s="1412" t="str">
        <f>VLOOKUP(A27,[2]计价表!$R$2:$S$21,2,0)</f>
        <v xml:space="preserve"> </v>
      </c>
      <c r="C27" s="1412" t="str">
        <f>VLOOKUP(A27,[2]计价表!$R$2:$U$21,3,0)</f>
        <v xml:space="preserve"> </v>
      </c>
      <c r="D27" s="1412"/>
      <c r="E27" s="1414" t="str">
        <f>[2]计价表!R19</f>
        <v>D18</v>
      </c>
      <c r="F27" s="1412" t="str">
        <f>VLOOKUP(E27,[2]计价表!$R$2:$S$21,2,0)</f>
        <v xml:space="preserve"> </v>
      </c>
      <c r="G27" s="1412" t="str">
        <f>VLOOKUP(E27,[2]计价表!$R$2:$U$21,3,0)</f>
        <v xml:space="preserve"> </v>
      </c>
      <c r="H27" s="1412"/>
      <c r="I27" s="1412"/>
      <c r="J27" s="1412"/>
    </row>
    <row r="28" spans="1:10" ht="16">
      <c r="A28" s="1414" t="str">
        <f>[2]计价表!R8</f>
        <v>D7</v>
      </c>
      <c r="B28" s="1412" t="str">
        <f>VLOOKUP(A28,[2]计价表!$R$2:$S$21,2,0)</f>
        <v xml:space="preserve"> </v>
      </c>
      <c r="C28" s="1412" t="str">
        <f>VLOOKUP(A28,[2]计价表!$R$2:$U$21,3,0)</f>
        <v xml:space="preserve"> </v>
      </c>
      <c r="D28" s="1412"/>
      <c r="E28" s="1414" t="str">
        <f>[2]计价表!R20</f>
        <v>D19</v>
      </c>
      <c r="F28" s="1412" t="str">
        <f>VLOOKUP(E28,[2]计价表!$R$2:$S$21,2,0)</f>
        <v xml:space="preserve"> </v>
      </c>
      <c r="G28" s="1412" t="str">
        <f>VLOOKUP(E28,[2]计价表!$R$2:$U$21,3,0)</f>
        <v xml:space="preserve"> </v>
      </c>
      <c r="H28" s="1412"/>
      <c r="I28" s="1412"/>
      <c r="J28" s="1412"/>
    </row>
    <row r="29" spans="1:10" ht="16">
      <c r="A29" s="1414" t="str">
        <f>[2]计价表!R9</f>
        <v>D8</v>
      </c>
      <c r="B29" s="1412" t="str">
        <f>VLOOKUP(A29,[2]计价表!$R$2:$S$21,2,0)</f>
        <v xml:space="preserve"> </v>
      </c>
      <c r="C29" s="1412" t="str">
        <f>VLOOKUP(A29,[2]计价表!$R$2:$U$21,3,0)</f>
        <v xml:space="preserve"> </v>
      </c>
      <c r="D29" s="1412"/>
      <c r="E29" s="1414" t="str">
        <f>[2]计价表!R21</f>
        <v>D20</v>
      </c>
      <c r="F29" s="1412" t="str">
        <f>VLOOKUP(E29,[2]计价表!$R$2:$S$21,2,0)</f>
        <v>VIE</v>
      </c>
      <c r="G29" s="1412" t="str">
        <f>VLOOKUP(E29,[2]计价表!$R$2:$U$21,3,0)</f>
        <v>SOFITEL</v>
      </c>
      <c r="H29" s="1412"/>
      <c r="I29" s="1412"/>
      <c r="J29" s="1412"/>
    </row>
    <row r="30" spans="1:10" ht="16">
      <c r="A30" s="1414" t="str">
        <f>[2]计价表!R10</f>
        <v>D9</v>
      </c>
      <c r="B30" s="1412" t="str">
        <f>VLOOKUP(A30,[2]计价表!$R$2:$S$21,2,0)</f>
        <v xml:space="preserve"> </v>
      </c>
      <c r="C30" s="1412" t="str">
        <f>VLOOKUP(A30,[2]计价表!$R$2:$U$21,3,0)</f>
        <v xml:space="preserve"> </v>
      </c>
      <c r="D30" s="1412"/>
      <c r="E30" s="1414"/>
      <c r="F30" s="1412"/>
      <c r="G30" s="1412"/>
      <c r="H30" s="1412"/>
      <c r="I30" s="1412"/>
      <c r="J30" s="1412"/>
    </row>
    <row r="31" spans="1:10" ht="16">
      <c r="A31" s="1414" t="str">
        <f>[2]计价表!R11</f>
        <v>D10</v>
      </c>
      <c r="B31" s="1412" t="str">
        <f>VLOOKUP(A31,[2]计价表!$R$2:$S$21,2,0)</f>
        <v xml:space="preserve"> </v>
      </c>
      <c r="C31" s="1412" t="str">
        <f>VLOOKUP(A31,[2]计价表!$R$2:$U$21,3,0)</f>
        <v xml:space="preserve"> </v>
      </c>
      <c r="D31" s="1412"/>
      <c r="E31" s="1412"/>
      <c r="F31" s="1412"/>
      <c r="G31" s="1412"/>
      <c r="H31" s="1412"/>
      <c r="I31" s="1412"/>
      <c r="J31" s="1412"/>
    </row>
    <row r="32" spans="1:10" ht="16">
      <c r="A32" s="1414" t="str">
        <f>[2]计价表!R12</f>
        <v>D11</v>
      </c>
      <c r="B32" s="1412" t="str">
        <f>VLOOKUP(A32,[2]计价表!$R$2:$S$21,2,0)</f>
        <v xml:space="preserve"> </v>
      </c>
      <c r="C32" s="1412" t="str">
        <f>VLOOKUP(A32,[2]计价表!$R$2:$U$21,3,0)</f>
        <v xml:space="preserve"> </v>
      </c>
      <c r="D32" s="1412"/>
      <c r="E32" s="1412"/>
      <c r="F32" s="1412"/>
      <c r="G32" s="1412"/>
      <c r="H32" s="1412"/>
      <c r="I32" s="1412"/>
      <c r="J32" s="1412"/>
    </row>
    <row r="33" spans="1:10" ht="16">
      <c r="A33" s="1414" t="str">
        <f>[2]计价表!R13</f>
        <v>D12</v>
      </c>
      <c r="B33" s="1412" t="str">
        <f>VLOOKUP(A33,[2]计价表!$R$2:$S$21,2,0)</f>
        <v xml:space="preserve"> </v>
      </c>
      <c r="C33" s="1412" t="str">
        <f>VLOOKUP(A33,[2]计价表!$R$2:$U$21,3,0)</f>
        <v xml:space="preserve"> </v>
      </c>
      <c r="D33" s="1412"/>
      <c r="E33" s="1412"/>
      <c r="F33" s="1412"/>
      <c r="G33" s="1412"/>
      <c r="H33" s="1412"/>
      <c r="I33" s="1412"/>
      <c r="J33" s="1412"/>
    </row>
    <row r="34" spans="1:10" ht="16.5">
      <c r="C34" s="1410"/>
      <c r="D34" s="1410"/>
      <c r="E34" s="1410"/>
      <c r="F34" s="1410"/>
      <c r="G34" s="1410"/>
      <c r="H34" s="1410"/>
      <c r="I34" s="1410"/>
      <c r="J34" s="1410"/>
    </row>
    <row r="35" spans="1:10" ht="17.25" customHeight="1">
      <c r="A35" s="1410" t="s">
        <v>2887</v>
      </c>
      <c r="B35" s="1415"/>
      <c r="C35" s="1410"/>
      <c r="D35" s="1410"/>
      <c r="E35" s="1410"/>
      <c r="F35" s="1410"/>
      <c r="G35" s="1410"/>
      <c r="H35" s="1410"/>
      <c r="I35" s="1410"/>
      <c r="J35" s="1410"/>
    </row>
    <row r="36" spans="1:10" ht="17.25" customHeight="1">
      <c r="A36" s="3062" t="s">
        <v>2888</v>
      </c>
      <c r="B36" s="3062"/>
      <c r="C36" s="3062"/>
      <c r="D36" s="3062"/>
      <c r="E36" s="3062"/>
      <c r="F36" s="3062"/>
      <c r="G36" s="3062"/>
      <c r="H36" s="3062"/>
      <c r="I36" s="3062"/>
      <c r="J36" s="1416"/>
    </row>
    <row r="37" spans="1:10" ht="45" customHeight="1">
      <c r="A37" s="3062" t="s">
        <v>2889</v>
      </c>
      <c r="B37" s="3062"/>
      <c r="C37" s="3062"/>
      <c r="D37" s="3062"/>
      <c r="E37" s="3062"/>
      <c r="F37" s="3062"/>
      <c r="G37" s="3062"/>
      <c r="H37" s="3062"/>
      <c r="I37" s="3062"/>
      <c r="J37" s="1416"/>
    </row>
    <row r="38" spans="1:10" ht="34.5" customHeight="1">
      <c r="A38" s="3062" t="s">
        <v>2890</v>
      </c>
      <c r="B38" s="3062"/>
      <c r="C38" s="3062"/>
      <c r="D38" s="3062"/>
      <c r="E38" s="3062"/>
      <c r="F38" s="3062"/>
      <c r="G38" s="3062"/>
      <c r="H38" s="3062"/>
      <c r="I38" s="3062"/>
      <c r="J38" s="1412"/>
    </row>
    <row r="39" spans="1:10" ht="17.25" customHeight="1">
      <c r="A39" s="3062" t="s">
        <v>2891</v>
      </c>
      <c r="B39" s="3062"/>
      <c r="C39" s="3062"/>
      <c r="D39" s="3062"/>
      <c r="E39" s="3062"/>
      <c r="F39" s="3062"/>
      <c r="G39" s="3062"/>
      <c r="H39" s="3062"/>
      <c r="I39" s="3062"/>
      <c r="J39" s="1416"/>
    </row>
    <row r="40" spans="1:10" ht="17.25" customHeight="1">
      <c r="A40" s="3062" t="s">
        <v>2892</v>
      </c>
      <c r="B40" s="3062"/>
      <c r="C40" s="3062"/>
      <c r="D40" s="3062"/>
      <c r="E40" s="3062"/>
      <c r="F40" s="3062"/>
      <c r="G40" s="3062"/>
      <c r="H40" s="3062"/>
      <c r="I40" s="3062"/>
      <c r="J40" s="1416"/>
    </row>
    <row r="41" spans="1:10" ht="17.25" customHeight="1">
      <c r="A41" s="3062" t="s">
        <v>2892</v>
      </c>
      <c r="B41" s="3062"/>
      <c r="C41" s="3062"/>
      <c r="D41" s="3062"/>
      <c r="E41" s="3062"/>
      <c r="F41" s="3062"/>
      <c r="G41" s="3062"/>
      <c r="H41" s="3062"/>
      <c r="I41" s="3062"/>
      <c r="J41" s="1416"/>
    </row>
    <row r="42" spans="1:10" ht="17.25" customHeight="1">
      <c r="A42" s="3065" t="s">
        <v>2893</v>
      </c>
      <c r="B42" s="3065"/>
      <c r="C42" s="3065"/>
      <c r="D42" s="3065"/>
      <c r="E42" s="3065"/>
      <c r="F42" s="3065"/>
      <c r="G42" s="3065"/>
      <c r="H42" s="3065"/>
      <c r="I42" s="3065"/>
      <c r="J42" s="3065"/>
    </row>
    <row r="43" spans="1:10" ht="17.25" customHeight="1">
      <c r="A43" s="3065" t="s">
        <v>2894</v>
      </c>
      <c r="B43" s="3065"/>
      <c r="C43" s="3065"/>
      <c r="D43" s="3065"/>
      <c r="E43" s="3065"/>
      <c r="F43" s="3065"/>
      <c r="G43" s="3065"/>
      <c r="H43" s="3065"/>
      <c r="I43" s="3065"/>
      <c r="J43" s="3065"/>
    </row>
    <row r="44" spans="1:10" ht="16.5">
      <c r="A44" s="1410" t="s">
        <v>2895</v>
      </c>
      <c r="B44" s="1410"/>
      <c r="C44" s="1410"/>
      <c r="D44" s="1410"/>
      <c r="E44" s="1410"/>
      <c r="F44" s="1410"/>
      <c r="G44" s="1410"/>
      <c r="H44" s="1410"/>
      <c r="I44" s="1410"/>
      <c r="J44" s="1410"/>
    </row>
    <row r="45" spans="1:10" ht="17.25" customHeight="1">
      <c r="A45" s="3062" t="s">
        <v>2896</v>
      </c>
      <c r="B45" s="3062"/>
      <c r="C45" s="3062"/>
      <c r="D45" s="3062"/>
      <c r="E45" s="3062"/>
      <c r="F45" s="3062"/>
      <c r="G45" s="3062"/>
      <c r="H45" s="3062"/>
      <c r="I45" s="1412"/>
      <c r="J45" s="1412"/>
    </row>
    <row r="46" spans="1:10" ht="17.25" customHeight="1">
      <c r="A46" s="3062" t="s">
        <v>2897</v>
      </c>
      <c r="B46" s="3062"/>
      <c r="C46" s="3062"/>
      <c r="D46" s="3062"/>
      <c r="E46" s="3062"/>
      <c r="F46" s="3062"/>
      <c r="G46" s="3062"/>
      <c r="H46" s="3062"/>
      <c r="I46" s="1412"/>
      <c r="J46" s="1412"/>
    </row>
    <row r="47" spans="1:10" ht="17.25" customHeight="1">
      <c r="A47" s="3062" t="s">
        <v>2898</v>
      </c>
      <c r="B47" s="3062"/>
      <c r="C47" s="3062"/>
      <c r="D47" s="3062"/>
      <c r="E47" s="3062"/>
      <c r="F47" s="3062"/>
      <c r="G47" s="3062"/>
      <c r="H47" s="3062"/>
      <c r="I47" s="1412"/>
      <c r="J47" s="1412"/>
    </row>
    <row r="48" spans="1:10" ht="36.75" customHeight="1">
      <c r="A48" s="3062" t="s">
        <v>2899</v>
      </c>
      <c r="B48" s="3062"/>
      <c r="C48" s="3062"/>
      <c r="D48" s="3062"/>
      <c r="E48" s="3062"/>
      <c r="F48" s="3062"/>
      <c r="G48" s="3062"/>
      <c r="H48" s="3062"/>
      <c r="I48" s="1412"/>
      <c r="J48" s="1412"/>
    </row>
    <row r="49" spans="1:10" ht="17.25" customHeight="1">
      <c r="A49" s="3062" t="s">
        <v>2900</v>
      </c>
      <c r="B49" s="3062"/>
      <c r="C49" s="3062"/>
      <c r="D49" s="3062"/>
      <c r="E49" s="3062"/>
      <c r="F49" s="3062"/>
      <c r="G49" s="3062"/>
      <c r="H49" s="3062"/>
      <c r="I49" s="1412"/>
      <c r="J49" s="1412"/>
    </row>
    <row r="50" spans="1:10" ht="17.25" customHeight="1">
      <c r="A50" s="3062" t="s">
        <v>2901</v>
      </c>
      <c r="B50" s="3062"/>
      <c r="C50" s="3062"/>
      <c r="D50" s="3062"/>
      <c r="E50" s="3062"/>
      <c r="F50" s="3062"/>
      <c r="G50" s="3062"/>
      <c r="H50" s="3062"/>
      <c r="I50" s="1412"/>
      <c r="J50" s="1412"/>
    </row>
    <row r="51" spans="1:10" ht="33" customHeight="1">
      <c r="A51" s="3066" t="s">
        <v>2902</v>
      </c>
      <c r="B51" s="3066"/>
      <c r="C51" s="3066"/>
      <c r="D51" s="3066"/>
      <c r="E51" s="3066"/>
      <c r="F51" s="3066"/>
      <c r="G51" s="3066"/>
      <c r="H51" s="3066"/>
      <c r="I51" s="1410"/>
      <c r="J51" s="1410"/>
    </row>
    <row r="52" spans="1:10" ht="16.5">
      <c r="A52" s="1410"/>
      <c r="B52" s="1410"/>
      <c r="C52" s="1410"/>
      <c r="D52" s="1410"/>
      <c r="E52" s="1410"/>
      <c r="F52" s="1410"/>
      <c r="G52" s="1410"/>
      <c r="H52" s="1410"/>
      <c r="I52" s="1410"/>
      <c r="J52" s="1410"/>
    </row>
    <row r="53" spans="1:10" ht="16.5">
      <c r="A53" s="1410"/>
      <c r="B53" s="1410"/>
      <c r="C53" s="1410"/>
      <c r="D53" s="1410"/>
      <c r="E53" s="1410"/>
      <c r="F53" s="1410"/>
      <c r="G53" s="1410"/>
      <c r="H53" s="1410"/>
      <c r="I53" s="1410"/>
      <c r="J53" s="1410"/>
    </row>
    <row r="54" spans="1:10" ht="16.5">
      <c r="A54" s="1410"/>
      <c r="B54" s="1410"/>
      <c r="C54" s="1410"/>
      <c r="D54" s="1410"/>
      <c r="E54" s="1410"/>
      <c r="F54" s="3064" t="s">
        <v>2903</v>
      </c>
      <c r="G54" s="3064"/>
      <c r="H54" s="1410"/>
      <c r="I54" s="1410"/>
      <c r="J54" s="1410"/>
    </row>
    <row r="55" spans="1:10" ht="16.5">
      <c r="A55" s="1410"/>
      <c r="B55" s="1410"/>
      <c r="C55" s="1410"/>
      <c r="D55" s="1410"/>
      <c r="E55" s="1410"/>
      <c r="F55" s="1410"/>
      <c r="G55" s="1410"/>
      <c r="H55" s="1410"/>
      <c r="I55" s="1410"/>
      <c r="J55" s="1410"/>
    </row>
    <row r="56" spans="1:10" ht="16.5">
      <c r="A56" s="1410"/>
      <c r="B56" s="1410"/>
      <c r="C56" s="1410"/>
      <c r="D56" s="1410"/>
      <c r="E56" s="1410"/>
      <c r="F56" s="1410"/>
      <c r="G56" s="1410"/>
      <c r="H56" s="1410"/>
      <c r="I56" s="1410"/>
      <c r="J56" s="1410"/>
    </row>
    <row r="57" spans="1:10" ht="16.5">
      <c r="A57" s="1410"/>
      <c r="B57" s="1410"/>
      <c r="C57" s="1410"/>
      <c r="D57" s="1410"/>
      <c r="E57" s="1410"/>
      <c r="F57" s="1410"/>
      <c r="G57" s="1410"/>
      <c r="H57" s="1410"/>
      <c r="I57" s="1410"/>
      <c r="J57" s="1410"/>
    </row>
    <row r="58" spans="1:10" ht="16.5">
      <c r="A58" s="1410"/>
      <c r="B58" s="1410"/>
      <c r="C58" s="1410"/>
      <c r="D58" s="1410"/>
      <c r="E58" s="1410"/>
      <c r="F58" s="1410"/>
      <c r="G58" s="1410"/>
      <c r="H58" s="1410"/>
      <c r="I58" s="1410"/>
      <c r="J58" s="1410"/>
    </row>
    <row r="59" spans="1:10" ht="16.5">
      <c r="A59" s="1410"/>
      <c r="B59" s="1410"/>
      <c r="C59" s="1410"/>
      <c r="D59" s="1410"/>
      <c r="E59" s="1410"/>
      <c r="F59" s="1410"/>
      <c r="G59" s="1410"/>
      <c r="H59" s="1410"/>
      <c r="I59" s="1410"/>
      <c r="J59" s="1410"/>
    </row>
    <row r="60" spans="1:10" ht="16.5">
      <c r="A60" s="1410"/>
      <c r="B60" s="1410"/>
      <c r="C60" s="1410"/>
      <c r="D60" s="1410"/>
      <c r="E60" s="1410"/>
      <c r="F60" s="1410"/>
      <c r="G60" s="1410"/>
      <c r="H60" s="1410"/>
      <c r="I60" s="1410"/>
      <c r="J60" s="1410"/>
    </row>
    <row r="61" spans="1:10" ht="16.5">
      <c r="A61" s="1410"/>
      <c r="B61" s="1410"/>
      <c r="C61" s="1410"/>
      <c r="D61" s="1410"/>
      <c r="E61" s="1410"/>
      <c r="F61" s="1410"/>
      <c r="G61" s="1410"/>
      <c r="H61" s="1410"/>
      <c r="I61" s="1410"/>
      <c r="J61" s="1410"/>
    </row>
    <row r="62" spans="1:10" ht="16.5">
      <c r="A62" s="1410"/>
      <c r="B62" s="1410"/>
      <c r="C62" s="1410"/>
      <c r="D62" s="1410"/>
      <c r="E62" s="1410"/>
      <c r="F62" s="1410"/>
      <c r="G62" s="1410"/>
      <c r="H62" s="1410"/>
      <c r="I62" s="1410"/>
      <c r="J62" s="1410"/>
    </row>
    <row r="63" spans="1:10" ht="16.5">
      <c r="A63" s="1410"/>
      <c r="B63" s="1410"/>
      <c r="C63" s="1410"/>
      <c r="D63" s="1410"/>
      <c r="E63" s="1410"/>
      <c r="F63" s="1410"/>
      <c r="G63" s="1410"/>
      <c r="H63" s="1410"/>
      <c r="I63" s="1410"/>
      <c r="J63" s="1410"/>
    </row>
    <row r="64" spans="1:10" ht="16.5">
      <c r="A64" s="1410"/>
      <c r="B64" s="1410"/>
      <c r="C64" s="1410"/>
      <c r="D64" s="1410"/>
      <c r="E64" s="1410"/>
      <c r="F64" s="1410"/>
      <c r="G64" s="1410"/>
      <c r="H64" s="1410"/>
      <c r="I64" s="1410"/>
      <c r="J64" s="1410"/>
    </row>
    <row r="65" spans="1:10" ht="16.5">
      <c r="A65" s="1410"/>
      <c r="B65" s="1410"/>
      <c r="C65" s="1410"/>
      <c r="D65" s="1410"/>
      <c r="E65" s="1410"/>
      <c r="F65" s="1410"/>
      <c r="G65" s="1410"/>
      <c r="H65" s="1410"/>
      <c r="I65" s="1410"/>
      <c r="J65" s="1410"/>
    </row>
    <row r="66" spans="1:10" ht="16.5">
      <c r="A66" s="1410"/>
      <c r="B66" s="1410"/>
      <c r="C66" s="1410"/>
      <c r="D66" s="1410"/>
      <c r="E66" s="1410"/>
      <c r="F66" s="1410"/>
      <c r="G66" s="1410"/>
      <c r="H66" s="1410"/>
      <c r="I66" s="1410"/>
      <c r="J66" s="1410"/>
    </row>
    <row r="67" spans="1:10" ht="16.5">
      <c r="A67" s="1410"/>
      <c r="B67" s="1410"/>
      <c r="C67" s="1410"/>
      <c r="D67" s="1410"/>
      <c r="E67" s="1410"/>
      <c r="F67" s="1410"/>
      <c r="G67" s="1410"/>
      <c r="H67" s="1410"/>
      <c r="I67" s="1410"/>
      <c r="J67" s="1410"/>
    </row>
    <row r="68" spans="1:10" ht="16.5">
      <c r="A68" s="1410"/>
      <c r="B68" s="1410"/>
      <c r="C68" s="1410"/>
      <c r="D68" s="1410"/>
      <c r="E68" s="1410"/>
      <c r="F68" s="1410"/>
      <c r="G68" s="1410"/>
      <c r="H68" s="1410"/>
      <c r="I68" s="1410"/>
      <c r="J68" s="1410"/>
    </row>
    <row r="69" spans="1:10" ht="16.5">
      <c r="A69" s="1410"/>
      <c r="B69" s="1410"/>
      <c r="C69" s="1410"/>
      <c r="D69" s="1410"/>
      <c r="E69" s="1410"/>
      <c r="F69" s="1410"/>
      <c r="G69" s="1410"/>
      <c r="H69" s="1410"/>
      <c r="I69" s="1410"/>
      <c r="J69" s="1410"/>
    </row>
    <row r="70" spans="1:10" ht="16.5">
      <c r="A70" s="1410"/>
      <c r="B70" s="1410"/>
      <c r="C70" s="1410"/>
      <c r="D70" s="1410"/>
      <c r="E70" s="1410"/>
      <c r="F70" s="1410"/>
      <c r="G70" s="1410"/>
      <c r="H70" s="1410"/>
      <c r="I70" s="1410"/>
      <c r="J70" s="1410"/>
    </row>
    <row r="71" spans="1:10" ht="16.5">
      <c r="A71" s="1410"/>
      <c r="B71" s="1410"/>
      <c r="C71" s="1410"/>
      <c r="D71" s="1410"/>
      <c r="E71" s="1410"/>
      <c r="F71" s="1410"/>
      <c r="G71" s="1410"/>
      <c r="H71" s="1410"/>
      <c r="I71" s="1410"/>
      <c r="J71" s="1410"/>
    </row>
    <row r="72" spans="1:10" ht="16.5">
      <c r="A72" s="1410"/>
      <c r="B72" s="1410"/>
      <c r="C72" s="1410"/>
      <c r="D72" s="1410"/>
      <c r="E72" s="1410"/>
      <c r="F72" s="1410"/>
      <c r="G72" s="1410"/>
      <c r="H72" s="1410"/>
      <c r="I72" s="1410"/>
      <c r="J72" s="1410"/>
    </row>
    <row r="73" spans="1:10" ht="16.5">
      <c r="A73" s="1410"/>
      <c r="B73" s="1410"/>
      <c r="C73" s="1410"/>
      <c r="D73" s="1410"/>
      <c r="E73" s="1410"/>
      <c r="F73" s="1410"/>
      <c r="G73" s="1410"/>
      <c r="H73" s="1410"/>
      <c r="I73" s="1410"/>
      <c r="J73" s="1410"/>
    </row>
    <row r="74" spans="1:10" ht="16.5">
      <c r="A74" s="1410"/>
      <c r="B74" s="1410"/>
      <c r="C74" s="1410"/>
      <c r="D74" s="1410"/>
      <c r="E74" s="1410"/>
      <c r="F74" s="1410"/>
      <c r="G74" s="1410"/>
      <c r="H74" s="1410"/>
      <c r="I74" s="1410"/>
      <c r="J74" s="1410"/>
    </row>
    <row r="75" spans="1:10" ht="16.5">
      <c r="A75" s="1410"/>
      <c r="B75" s="1410"/>
      <c r="C75" s="1410"/>
      <c r="D75" s="1410"/>
      <c r="E75" s="1410"/>
      <c r="F75" s="1410"/>
      <c r="G75" s="1410"/>
      <c r="H75" s="1410"/>
      <c r="I75" s="1410"/>
      <c r="J75" s="1410"/>
    </row>
    <row r="76" spans="1:10" ht="16.5">
      <c r="A76" s="1410"/>
      <c r="B76" s="1410"/>
      <c r="C76" s="1410"/>
      <c r="D76" s="1410"/>
      <c r="E76" s="1410"/>
      <c r="F76" s="1410"/>
      <c r="G76" s="1410"/>
      <c r="H76" s="1410"/>
      <c r="I76" s="1410"/>
      <c r="J76" s="1410"/>
    </row>
    <row r="77" spans="1:10" ht="16.5">
      <c r="A77" s="1410"/>
      <c r="B77" s="1410"/>
      <c r="C77" s="1410"/>
      <c r="D77" s="1410"/>
      <c r="E77" s="1410"/>
      <c r="F77" s="1410"/>
      <c r="G77" s="1410"/>
      <c r="H77" s="1410"/>
      <c r="I77" s="1410"/>
      <c r="J77" s="1410"/>
    </row>
    <row r="78" spans="1:10" ht="16.5">
      <c r="A78" s="1410"/>
      <c r="B78" s="1410"/>
      <c r="C78" s="1410"/>
      <c r="D78" s="1410"/>
      <c r="E78" s="1410"/>
      <c r="F78" s="1410"/>
      <c r="G78" s="1410"/>
      <c r="H78" s="1410"/>
      <c r="I78" s="1410"/>
      <c r="J78" s="1410"/>
    </row>
    <row r="79" spans="1:10" ht="16.5">
      <c r="A79" s="1410"/>
      <c r="B79" s="1410"/>
      <c r="C79" s="1410"/>
      <c r="D79" s="1410"/>
      <c r="E79" s="1410"/>
      <c r="F79" s="1410"/>
      <c r="G79" s="1410"/>
      <c r="H79" s="1410"/>
      <c r="I79" s="1410"/>
      <c r="J79" s="1410"/>
    </row>
    <row r="80" spans="1:10" ht="16.5">
      <c r="A80" s="1410"/>
      <c r="B80" s="1410"/>
      <c r="C80" s="1410"/>
      <c r="D80" s="1410"/>
      <c r="E80" s="1410"/>
      <c r="F80" s="1410"/>
      <c r="G80" s="1410"/>
      <c r="H80" s="1410"/>
      <c r="I80" s="1410"/>
      <c r="J80" s="1410"/>
    </row>
    <row r="81" spans="1:10" ht="16.5">
      <c r="A81" s="1410"/>
      <c r="B81" s="1410"/>
      <c r="C81" s="1410"/>
      <c r="D81" s="1410"/>
      <c r="E81" s="1410"/>
      <c r="F81" s="1410"/>
      <c r="G81" s="1410"/>
      <c r="H81" s="1410"/>
      <c r="I81" s="1410"/>
      <c r="J81" s="1410"/>
    </row>
    <row r="82" spans="1:10" ht="16.5">
      <c r="A82" s="1410"/>
      <c r="B82" s="1410"/>
      <c r="C82" s="1410"/>
      <c r="D82" s="1410"/>
      <c r="E82" s="1410"/>
      <c r="F82" s="1410"/>
      <c r="G82" s="1410"/>
      <c r="H82" s="1410"/>
      <c r="I82" s="1410"/>
      <c r="J82" s="1410"/>
    </row>
    <row r="83" spans="1:10" ht="16.5">
      <c r="A83" s="1410"/>
      <c r="B83" s="1410"/>
      <c r="C83" s="1410"/>
      <c r="D83" s="1410"/>
      <c r="E83" s="1410"/>
      <c r="F83" s="1410"/>
      <c r="G83" s="1410"/>
      <c r="H83" s="1410"/>
      <c r="I83" s="1410"/>
      <c r="J83" s="1410"/>
    </row>
    <row r="84" spans="1:10" ht="16.5">
      <c r="A84" s="1410"/>
      <c r="B84" s="1410"/>
      <c r="C84" s="1410"/>
      <c r="D84" s="1410"/>
      <c r="E84" s="1410"/>
      <c r="F84" s="1410"/>
      <c r="G84" s="1410"/>
      <c r="H84" s="1410"/>
      <c r="I84" s="1410"/>
      <c r="J84" s="1410"/>
    </row>
    <row r="85" spans="1:10" ht="16.5">
      <c r="A85" s="1410"/>
      <c r="B85" s="1410"/>
      <c r="C85" s="1410"/>
      <c r="D85" s="1410"/>
      <c r="E85" s="1410"/>
      <c r="F85" s="1410"/>
      <c r="G85" s="1410"/>
      <c r="H85" s="1410"/>
      <c r="I85" s="1410"/>
      <c r="J85" s="1410"/>
    </row>
    <row r="86" spans="1:10" ht="16.5">
      <c r="A86" s="1410"/>
      <c r="B86" s="1410"/>
      <c r="C86" s="1410"/>
      <c r="D86" s="1410"/>
      <c r="E86" s="1410"/>
      <c r="F86" s="1410"/>
      <c r="G86" s="1410"/>
      <c r="H86" s="1410"/>
      <c r="I86" s="1410"/>
      <c r="J86" s="1410"/>
    </row>
    <row r="87" spans="1:10" ht="16.5">
      <c r="A87" s="1410"/>
      <c r="B87" s="1410"/>
      <c r="C87" s="1410"/>
      <c r="D87" s="1410"/>
      <c r="E87" s="1410"/>
      <c r="F87" s="1410"/>
      <c r="G87" s="1410"/>
      <c r="H87" s="1410"/>
      <c r="I87" s="1410"/>
      <c r="J87" s="1410"/>
    </row>
    <row r="88" spans="1:10" ht="16.5">
      <c r="A88" s="1410"/>
      <c r="B88" s="1410"/>
      <c r="C88" s="1410"/>
      <c r="D88" s="1410"/>
      <c r="E88" s="1410"/>
      <c r="F88" s="1410"/>
      <c r="G88" s="1410"/>
      <c r="H88" s="1410"/>
      <c r="I88" s="1410"/>
      <c r="J88" s="1410"/>
    </row>
    <row r="89" spans="1:10" ht="16.5">
      <c r="A89" s="1410"/>
      <c r="B89" s="1410"/>
      <c r="C89" s="1410"/>
      <c r="D89" s="1410"/>
      <c r="E89" s="1410"/>
      <c r="F89" s="1410"/>
      <c r="G89" s="1410"/>
      <c r="H89" s="1410"/>
      <c r="I89" s="1410"/>
      <c r="J89" s="1410"/>
    </row>
    <row r="90" spans="1:10" ht="16.5">
      <c r="A90" s="1410"/>
      <c r="B90" s="1410"/>
      <c r="C90" s="1410"/>
      <c r="D90" s="1410"/>
      <c r="E90" s="1410"/>
      <c r="F90" s="1410"/>
      <c r="G90" s="1410"/>
      <c r="H90" s="1410"/>
      <c r="I90" s="1410"/>
      <c r="J90" s="1410"/>
    </row>
    <row r="91" spans="1:10" ht="16.5">
      <c r="A91" s="1410"/>
      <c r="B91" s="1410"/>
      <c r="C91" s="1410"/>
      <c r="D91" s="1410"/>
      <c r="E91" s="1410"/>
      <c r="F91" s="1410"/>
      <c r="G91" s="1410"/>
      <c r="H91" s="1410"/>
      <c r="I91" s="1410"/>
      <c r="J91" s="1410"/>
    </row>
    <row r="92" spans="1:10" ht="16.5">
      <c r="A92" s="1410"/>
      <c r="B92" s="1410"/>
      <c r="C92" s="1410"/>
      <c r="D92" s="1410"/>
      <c r="E92" s="1410"/>
      <c r="F92" s="1410"/>
      <c r="G92" s="1410"/>
      <c r="H92" s="1410"/>
      <c r="I92" s="1410"/>
      <c r="J92" s="1410"/>
    </row>
    <row r="93" spans="1:10" ht="16.5">
      <c r="A93" s="1410"/>
      <c r="B93" s="1410"/>
      <c r="C93" s="1410"/>
      <c r="D93" s="1410"/>
      <c r="E93" s="1410"/>
      <c r="F93" s="1410"/>
      <c r="G93" s="1410"/>
      <c r="H93" s="1410"/>
      <c r="I93" s="1410"/>
      <c r="J93" s="1410"/>
    </row>
    <row r="94" spans="1:10" ht="16.5">
      <c r="A94" s="1410"/>
      <c r="B94" s="1410"/>
      <c r="C94" s="1410"/>
      <c r="D94" s="1410"/>
      <c r="E94" s="1410"/>
      <c r="F94" s="1410"/>
      <c r="G94" s="1410"/>
      <c r="H94" s="1410"/>
      <c r="I94" s="1410"/>
      <c r="J94" s="1410"/>
    </row>
    <row r="95" spans="1:10" ht="16.5">
      <c r="A95" s="1410"/>
      <c r="B95" s="1410"/>
      <c r="C95" s="1410"/>
      <c r="D95" s="1410"/>
      <c r="E95" s="1410"/>
      <c r="F95" s="1410"/>
      <c r="G95" s="1410"/>
      <c r="H95" s="1410"/>
      <c r="I95" s="1410"/>
      <c r="J95" s="1410"/>
    </row>
    <row r="96" spans="1:10" ht="16.5">
      <c r="A96" s="1410"/>
      <c r="B96" s="1410"/>
      <c r="C96" s="1410"/>
      <c r="D96" s="1410"/>
      <c r="E96" s="1410"/>
      <c r="F96" s="1410"/>
      <c r="G96" s="1410"/>
      <c r="H96" s="1410"/>
      <c r="I96" s="1410"/>
      <c r="J96" s="1410"/>
    </row>
    <row r="97" spans="1:10" ht="16.5">
      <c r="A97" s="1410"/>
      <c r="B97" s="1410"/>
      <c r="C97" s="1410"/>
      <c r="D97" s="1410"/>
      <c r="E97" s="1410"/>
      <c r="F97" s="1410"/>
      <c r="G97" s="1410"/>
      <c r="H97" s="1410"/>
      <c r="I97" s="1410"/>
      <c r="J97" s="1410"/>
    </row>
    <row r="98" spans="1:10" ht="16.5">
      <c r="A98" s="1410"/>
      <c r="B98" s="1410"/>
      <c r="C98" s="1410"/>
      <c r="D98" s="1410"/>
      <c r="E98" s="1410"/>
      <c r="F98" s="1410"/>
      <c r="G98" s="1410"/>
      <c r="H98" s="1410"/>
      <c r="I98" s="1410"/>
      <c r="J98" s="1410"/>
    </row>
    <row r="99" spans="1:10" ht="16.5">
      <c r="A99" s="1410"/>
      <c r="B99" s="1410"/>
      <c r="C99" s="1410"/>
      <c r="D99" s="1410"/>
      <c r="E99" s="1410"/>
      <c r="F99" s="1410"/>
      <c r="G99" s="1410"/>
      <c r="H99" s="1410"/>
      <c r="I99" s="1410"/>
      <c r="J99" s="1410"/>
    </row>
    <row r="100" spans="1:10" ht="16.5">
      <c r="A100" s="1410"/>
      <c r="B100" s="1410"/>
      <c r="C100" s="1410"/>
      <c r="D100" s="1410"/>
      <c r="E100" s="1410"/>
      <c r="F100" s="1410"/>
      <c r="G100" s="1410"/>
      <c r="H100" s="1410"/>
      <c r="I100" s="1410"/>
      <c r="J100" s="1410"/>
    </row>
    <row r="101" spans="1:10" ht="16.5">
      <c r="A101" s="1410"/>
      <c r="B101" s="1410"/>
      <c r="C101" s="1410"/>
      <c r="D101" s="1410"/>
      <c r="E101" s="1410"/>
      <c r="F101" s="1410"/>
      <c r="G101" s="1410"/>
      <c r="H101" s="1410"/>
      <c r="I101" s="1410"/>
      <c r="J101" s="1410"/>
    </row>
    <row r="102" spans="1:10" ht="16.5">
      <c r="A102" s="1410"/>
      <c r="B102" s="1410"/>
      <c r="C102" s="1410"/>
      <c r="D102" s="1410"/>
      <c r="E102" s="1410"/>
      <c r="F102" s="1410"/>
      <c r="G102" s="1410"/>
      <c r="H102" s="1410"/>
      <c r="I102" s="1410"/>
      <c r="J102" s="1410"/>
    </row>
    <row r="103" spans="1:10" ht="16.5">
      <c r="A103" s="1410"/>
      <c r="B103" s="1410"/>
      <c r="C103" s="1410"/>
      <c r="D103" s="1410"/>
      <c r="E103" s="1410"/>
      <c r="F103" s="1410"/>
      <c r="G103" s="1410"/>
      <c r="H103" s="1410"/>
      <c r="I103" s="1410"/>
      <c r="J103" s="1410"/>
    </row>
    <row r="104" spans="1:10" ht="16.5">
      <c r="A104" s="1410"/>
      <c r="B104" s="1410"/>
      <c r="C104" s="1410"/>
      <c r="D104" s="1410"/>
      <c r="E104" s="1410"/>
      <c r="F104" s="1410"/>
      <c r="G104" s="1410"/>
      <c r="H104" s="1410"/>
      <c r="I104" s="1410"/>
      <c r="J104" s="1410"/>
    </row>
    <row r="105" spans="1:10" ht="16.5">
      <c r="A105" s="1410"/>
      <c r="B105" s="1410"/>
      <c r="C105" s="1410"/>
      <c r="D105" s="1410"/>
      <c r="E105" s="1410"/>
      <c r="F105" s="1410"/>
      <c r="G105" s="1410"/>
      <c r="H105" s="1410"/>
      <c r="I105" s="1410"/>
      <c r="J105" s="1410"/>
    </row>
    <row r="106" spans="1:10" ht="16.5">
      <c r="A106" s="1410"/>
      <c r="B106" s="1410"/>
      <c r="C106" s="1410"/>
      <c r="D106" s="1410"/>
      <c r="E106" s="1410"/>
      <c r="F106" s="1410"/>
      <c r="G106" s="1410"/>
      <c r="H106" s="1410"/>
      <c r="I106" s="1410"/>
      <c r="J106" s="1410"/>
    </row>
    <row r="107" spans="1:10" ht="16.5">
      <c r="A107" s="1410"/>
      <c r="B107" s="1410"/>
      <c r="C107" s="1410"/>
      <c r="D107" s="1410"/>
      <c r="E107" s="1410"/>
      <c r="F107" s="1410"/>
      <c r="G107" s="1410"/>
      <c r="H107" s="1410"/>
      <c r="I107" s="1410"/>
      <c r="J107" s="1410"/>
    </row>
    <row r="108" spans="1:10" ht="16.5">
      <c r="A108" s="1410"/>
      <c r="B108" s="1410"/>
      <c r="C108" s="1410"/>
      <c r="D108" s="1410"/>
      <c r="E108" s="1410"/>
      <c r="F108" s="1410"/>
      <c r="G108" s="1410"/>
      <c r="H108" s="1410"/>
      <c r="I108" s="1410"/>
      <c r="J108" s="1410"/>
    </row>
    <row r="109" spans="1:10" ht="16.5">
      <c r="A109" s="1410"/>
      <c r="B109" s="1410"/>
      <c r="C109" s="1410"/>
      <c r="D109" s="1410"/>
      <c r="E109" s="1410"/>
      <c r="F109" s="1410"/>
      <c r="G109" s="1410"/>
      <c r="H109" s="1410"/>
      <c r="I109" s="1410"/>
      <c r="J109" s="1410"/>
    </row>
    <row r="110" spans="1:10" ht="16.5">
      <c r="A110" s="1410"/>
      <c r="B110" s="1410"/>
      <c r="C110" s="1410"/>
      <c r="D110" s="1410"/>
      <c r="E110" s="1410"/>
      <c r="F110" s="1410"/>
      <c r="G110" s="1410"/>
      <c r="H110" s="1410"/>
      <c r="I110" s="1410"/>
      <c r="J110" s="1410"/>
    </row>
    <row r="111" spans="1:10" ht="16.5">
      <c r="A111" s="1410"/>
      <c r="B111" s="1410"/>
      <c r="C111" s="1410"/>
      <c r="D111" s="1410"/>
      <c r="E111" s="1410"/>
      <c r="F111" s="1410"/>
      <c r="G111" s="1410"/>
      <c r="H111" s="1410"/>
      <c r="I111" s="1410"/>
      <c r="J111" s="1410"/>
    </row>
    <row r="112" spans="1:10" ht="16.5">
      <c r="A112" s="1410"/>
      <c r="B112" s="1410"/>
      <c r="C112" s="1410"/>
      <c r="D112" s="1410"/>
      <c r="E112" s="1410"/>
      <c r="F112" s="1410"/>
      <c r="G112" s="1410"/>
      <c r="H112" s="1410"/>
      <c r="I112" s="1410"/>
      <c r="J112" s="1410"/>
    </row>
    <row r="113" spans="1:10" ht="16.5">
      <c r="A113" s="1410"/>
      <c r="B113" s="1410"/>
      <c r="C113" s="1410"/>
      <c r="D113" s="1410"/>
      <c r="E113" s="1410"/>
      <c r="F113" s="1410"/>
      <c r="G113" s="1410"/>
      <c r="H113" s="1410"/>
      <c r="I113" s="1410"/>
      <c r="J113" s="1410"/>
    </row>
    <row r="114" spans="1:10" ht="16.5">
      <c r="A114" s="1410"/>
      <c r="B114" s="1410"/>
      <c r="C114" s="1410"/>
      <c r="D114" s="1410"/>
      <c r="E114" s="1410"/>
      <c r="F114" s="1410"/>
      <c r="G114" s="1410"/>
      <c r="H114" s="1410"/>
      <c r="I114" s="1410"/>
      <c r="J114" s="1410"/>
    </row>
    <row r="115" spans="1:10" ht="16.5">
      <c r="A115" s="1410"/>
      <c r="B115" s="1410"/>
      <c r="C115" s="1410"/>
      <c r="D115" s="1410"/>
      <c r="E115" s="1410"/>
      <c r="F115" s="1410"/>
      <c r="G115" s="1410"/>
      <c r="H115" s="1410"/>
      <c r="I115" s="1410"/>
      <c r="J115" s="1410"/>
    </row>
    <row r="116" spans="1:10" ht="16.5">
      <c r="A116" s="1410"/>
      <c r="B116" s="1410"/>
      <c r="C116" s="1410"/>
      <c r="D116" s="1410"/>
      <c r="E116" s="1410"/>
      <c r="F116" s="1410"/>
      <c r="G116" s="1410"/>
      <c r="H116" s="1410"/>
      <c r="I116" s="1410"/>
      <c r="J116" s="1410"/>
    </row>
    <row r="117" spans="1:10" ht="16.5">
      <c r="A117" s="1410"/>
      <c r="B117" s="1410"/>
      <c r="C117" s="1410"/>
      <c r="D117" s="1410"/>
      <c r="E117" s="1410"/>
      <c r="F117" s="1410"/>
      <c r="G117" s="1410"/>
      <c r="H117" s="1410"/>
      <c r="I117" s="1410"/>
      <c r="J117" s="1410"/>
    </row>
    <row r="118" spans="1:10" ht="16.5">
      <c r="A118" s="1410"/>
      <c r="B118" s="1410"/>
      <c r="C118" s="1410"/>
      <c r="D118" s="1410"/>
      <c r="E118" s="1410"/>
      <c r="F118" s="1410"/>
      <c r="G118" s="1410"/>
      <c r="H118" s="1410"/>
      <c r="I118" s="1410"/>
      <c r="J118" s="1410"/>
    </row>
    <row r="119" spans="1:10" ht="16.5">
      <c r="A119" s="1410"/>
      <c r="B119" s="1410"/>
      <c r="C119" s="1410"/>
      <c r="D119" s="1410"/>
      <c r="E119" s="1410"/>
      <c r="F119" s="1410"/>
      <c r="G119" s="1410"/>
      <c r="H119" s="1410"/>
      <c r="I119" s="1410"/>
      <c r="J119" s="1410"/>
    </row>
    <row r="120" spans="1:10" ht="16.5">
      <c r="A120" s="1410"/>
      <c r="B120" s="1410"/>
      <c r="C120" s="1410"/>
      <c r="D120" s="1410"/>
      <c r="E120" s="1410"/>
      <c r="F120" s="1410"/>
      <c r="G120" s="1410"/>
      <c r="H120" s="1410"/>
      <c r="I120" s="1410"/>
      <c r="J120" s="1410"/>
    </row>
    <row r="121" spans="1:10" ht="16.5">
      <c r="A121" s="1410"/>
      <c r="B121" s="1410"/>
      <c r="C121" s="1410"/>
      <c r="D121" s="1410"/>
      <c r="E121" s="1410"/>
      <c r="F121" s="1410"/>
      <c r="G121" s="1410"/>
      <c r="H121" s="1410"/>
      <c r="I121" s="1410"/>
      <c r="J121" s="1410"/>
    </row>
    <row r="122" spans="1:10" ht="16.5">
      <c r="A122" s="1410"/>
      <c r="B122" s="1410"/>
      <c r="C122" s="1410"/>
      <c r="D122" s="1410"/>
      <c r="E122" s="1410"/>
      <c r="F122" s="1410"/>
      <c r="G122" s="1410"/>
      <c r="H122" s="1410"/>
      <c r="I122" s="1410"/>
      <c r="J122" s="1410"/>
    </row>
    <row r="123" spans="1:10" ht="16.5">
      <c r="A123" s="1410"/>
      <c r="B123" s="1410"/>
      <c r="C123" s="1410"/>
      <c r="D123" s="1410"/>
      <c r="E123" s="1410"/>
      <c r="F123" s="1410"/>
      <c r="G123" s="1410"/>
      <c r="H123" s="1410"/>
      <c r="I123" s="1410"/>
      <c r="J123" s="1410"/>
    </row>
    <row r="124" spans="1:10" ht="16.5">
      <c r="A124" s="1410"/>
      <c r="B124" s="1410"/>
      <c r="C124" s="1410"/>
      <c r="D124" s="1410"/>
      <c r="E124" s="1410"/>
      <c r="F124" s="1410"/>
      <c r="G124" s="1410"/>
      <c r="H124" s="1410"/>
      <c r="I124" s="1410"/>
      <c r="J124" s="1410"/>
    </row>
    <row r="125" spans="1:10" ht="16.5">
      <c r="A125" s="1410"/>
      <c r="B125" s="1410"/>
      <c r="C125" s="1410"/>
      <c r="D125" s="1410"/>
      <c r="E125" s="1410"/>
      <c r="F125" s="1410"/>
      <c r="G125" s="1410"/>
      <c r="H125" s="1410"/>
      <c r="I125" s="1410"/>
      <c r="J125" s="1410"/>
    </row>
    <row r="126" spans="1:10" ht="16.5">
      <c r="A126" s="1410"/>
      <c r="B126" s="1410"/>
      <c r="C126" s="1410"/>
      <c r="D126" s="1410"/>
      <c r="E126" s="1410"/>
      <c r="F126" s="1410"/>
      <c r="G126" s="1410"/>
      <c r="H126" s="1410"/>
      <c r="I126" s="1410"/>
      <c r="J126" s="1410"/>
    </row>
    <row r="127" spans="1:10" ht="16.5">
      <c r="A127" s="1410"/>
      <c r="B127" s="1410"/>
      <c r="C127" s="1410"/>
      <c r="D127" s="1410"/>
      <c r="E127" s="1410"/>
      <c r="F127" s="1410"/>
      <c r="G127" s="1410"/>
      <c r="H127" s="1410"/>
      <c r="I127" s="1410"/>
      <c r="J127" s="1410"/>
    </row>
    <row r="128" spans="1:10" ht="16.5">
      <c r="A128" s="1410"/>
      <c r="B128" s="1410"/>
      <c r="C128" s="1410"/>
      <c r="D128" s="1410"/>
      <c r="E128" s="1410"/>
      <c r="F128" s="1410"/>
      <c r="G128" s="1410"/>
      <c r="H128" s="1410"/>
      <c r="I128" s="1410"/>
      <c r="J128" s="1410"/>
    </row>
    <row r="129" spans="1:10" ht="16.5">
      <c r="A129" s="1410"/>
      <c r="B129" s="1410"/>
      <c r="C129" s="1410"/>
      <c r="D129" s="1410"/>
      <c r="E129" s="1410"/>
      <c r="F129" s="1410"/>
      <c r="G129" s="1410"/>
      <c r="H129" s="1410"/>
      <c r="I129" s="1410"/>
      <c r="J129" s="1410"/>
    </row>
    <row r="130" spans="1:10" ht="16.5">
      <c r="A130" s="1410"/>
      <c r="B130" s="1410"/>
      <c r="C130" s="1410"/>
      <c r="D130" s="1410"/>
      <c r="E130" s="1410"/>
      <c r="F130" s="1410"/>
      <c r="G130" s="1410"/>
      <c r="H130" s="1410"/>
      <c r="I130" s="1410"/>
      <c r="J130" s="1410"/>
    </row>
    <row r="131" spans="1:10" ht="16.5">
      <c r="A131" s="1410"/>
      <c r="B131" s="1410"/>
      <c r="C131" s="1410"/>
      <c r="D131" s="1410"/>
      <c r="E131" s="1410"/>
      <c r="F131" s="1410"/>
      <c r="G131" s="1410"/>
      <c r="H131" s="1410"/>
      <c r="I131" s="1410"/>
      <c r="J131" s="1410"/>
    </row>
    <row r="132" spans="1:10" ht="16.5">
      <c r="A132" s="1410"/>
      <c r="B132" s="1410"/>
      <c r="C132" s="1410"/>
      <c r="D132" s="1410"/>
      <c r="E132" s="1410"/>
      <c r="F132" s="1410"/>
      <c r="G132" s="1410"/>
      <c r="H132" s="1410"/>
      <c r="I132" s="1410"/>
      <c r="J132" s="1410"/>
    </row>
    <row r="133" spans="1:10" ht="16.5">
      <c r="A133" s="1410"/>
      <c r="B133" s="1410"/>
      <c r="C133" s="1410"/>
      <c r="D133" s="1410"/>
      <c r="E133" s="1410"/>
      <c r="F133" s="1410"/>
      <c r="G133" s="1410"/>
      <c r="H133" s="1410"/>
      <c r="I133" s="1410"/>
      <c r="J133" s="1410"/>
    </row>
    <row r="134" spans="1:10" ht="16.5">
      <c r="A134" s="1410"/>
      <c r="B134" s="1410"/>
      <c r="C134" s="1410"/>
      <c r="D134" s="1410"/>
      <c r="E134" s="1410"/>
      <c r="F134" s="1410"/>
      <c r="G134" s="1410"/>
      <c r="H134" s="1410"/>
      <c r="I134" s="1410"/>
      <c r="J134" s="1410"/>
    </row>
    <row r="135" spans="1:10" ht="16.5">
      <c r="A135" s="1410"/>
      <c r="B135" s="1410"/>
      <c r="C135" s="1410"/>
      <c r="D135" s="1410"/>
      <c r="E135" s="1410"/>
      <c r="F135" s="1410"/>
      <c r="G135" s="1410"/>
      <c r="H135" s="1410"/>
      <c r="I135" s="1410"/>
      <c r="J135" s="1410"/>
    </row>
    <row r="136" spans="1:10" ht="16.5">
      <c r="A136" s="1410"/>
      <c r="B136" s="1410"/>
      <c r="C136" s="1410"/>
      <c r="D136" s="1410"/>
      <c r="E136" s="1410"/>
      <c r="F136" s="1410"/>
      <c r="G136" s="1410"/>
      <c r="H136" s="1410"/>
      <c r="I136" s="1410"/>
      <c r="J136" s="1410"/>
    </row>
    <row r="137" spans="1:10" ht="16.5">
      <c r="A137" s="1410"/>
      <c r="B137" s="1410"/>
      <c r="C137" s="1410"/>
      <c r="D137" s="1410"/>
      <c r="E137" s="1410"/>
      <c r="F137" s="1410"/>
      <c r="G137" s="1410"/>
      <c r="H137" s="1410"/>
      <c r="I137" s="1410"/>
      <c r="J137" s="1410"/>
    </row>
    <row r="138" spans="1:10" ht="16.5">
      <c r="A138" s="1410"/>
      <c r="B138" s="1410"/>
      <c r="C138" s="1410"/>
      <c r="D138" s="1410"/>
      <c r="E138" s="1410"/>
      <c r="F138" s="1410"/>
      <c r="G138" s="1410"/>
      <c r="H138" s="1410"/>
      <c r="I138" s="1410"/>
      <c r="J138" s="1410"/>
    </row>
    <row r="139" spans="1:10" ht="16.5">
      <c r="A139" s="1410"/>
      <c r="B139" s="1410"/>
      <c r="C139" s="1410"/>
      <c r="D139" s="1410"/>
      <c r="E139" s="1410"/>
      <c r="F139" s="1410"/>
      <c r="G139" s="1410"/>
      <c r="H139" s="1410"/>
      <c r="I139" s="1410"/>
      <c r="J139" s="1410"/>
    </row>
    <row r="140" spans="1:10" ht="16.5">
      <c r="A140" s="1410"/>
      <c r="B140" s="1410"/>
      <c r="C140" s="1410"/>
      <c r="D140" s="1410"/>
      <c r="E140" s="1410"/>
      <c r="F140" s="1410"/>
      <c r="G140" s="1410"/>
      <c r="H140" s="1410"/>
      <c r="I140" s="1410"/>
      <c r="J140" s="1410"/>
    </row>
    <row r="141" spans="1:10" ht="16.5">
      <c r="A141" s="1410"/>
      <c r="B141" s="1410"/>
      <c r="C141" s="1410"/>
      <c r="D141" s="1410"/>
      <c r="E141" s="1410"/>
      <c r="F141" s="1410"/>
      <c r="G141" s="1410"/>
      <c r="H141" s="1410"/>
      <c r="I141" s="1410"/>
      <c r="J141" s="1410"/>
    </row>
    <row r="142" spans="1:10" ht="16.5">
      <c r="A142" s="1410"/>
      <c r="B142" s="1410"/>
      <c r="C142" s="1410"/>
      <c r="D142" s="1410"/>
      <c r="E142" s="1410"/>
      <c r="F142" s="1410"/>
      <c r="G142" s="1410"/>
      <c r="H142" s="1410"/>
      <c r="I142" s="1410"/>
      <c r="J142" s="1410"/>
    </row>
    <row r="143" spans="1:10" ht="16.5">
      <c r="A143" s="1410"/>
      <c r="B143" s="1410"/>
      <c r="C143" s="1410"/>
      <c r="D143" s="1410"/>
      <c r="E143" s="1410"/>
      <c r="F143" s="1410"/>
      <c r="G143" s="1410"/>
      <c r="H143" s="1410"/>
      <c r="I143" s="1410"/>
      <c r="J143" s="1410"/>
    </row>
    <row r="144" spans="1:10" ht="16.5">
      <c r="A144" s="1410"/>
      <c r="B144" s="1410"/>
      <c r="C144" s="1410"/>
      <c r="D144" s="1410"/>
      <c r="E144" s="1410"/>
      <c r="F144" s="1410"/>
      <c r="G144" s="1410"/>
      <c r="H144" s="1410"/>
      <c r="I144" s="1410"/>
      <c r="J144" s="1410"/>
    </row>
    <row r="145" spans="1:10" ht="16.5">
      <c r="A145" s="1410"/>
      <c r="B145" s="1410"/>
      <c r="C145" s="1410"/>
      <c r="D145" s="1410"/>
      <c r="E145" s="1410"/>
      <c r="F145" s="1410"/>
      <c r="G145" s="1410"/>
      <c r="H145" s="1410"/>
      <c r="I145" s="1410"/>
      <c r="J145" s="1410"/>
    </row>
    <row r="146" spans="1:10" ht="16.5">
      <c r="A146" s="1410"/>
      <c r="B146" s="1410"/>
      <c r="C146" s="1410"/>
      <c r="D146" s="1410"/>
      <c r="E146" s="1410"/>
      <c r="F146" s="1410"/>
      <c r="G146" s="1410"/>
      <c r="H146" s="1410"/>
      <c r="I146" s="1410"/>
      <c r="J146" s="1410"/>
    </row>
    <row r="147" spans="1:10" ht="16.5">
      <c r="A147" s="1410"/>
      <c r="B147" s="1410"/>
      <c r="C147" s="1410"/>
      <c r="D147" s="1410"/>
      <c r="E147" s="1410"/>
      <c r="F147" s="1410"/>
      <c r="G147" s="1410"/>
      <c r="H147" s="1410"/>
      <c r="I147" s="1410"/>
      <c r="J147" s="1410"/>
    </row>
    <row r="148" spans="1:10" ht="16.5">
      <c r="A148" s="1410"/>
      <c r="B148" s="1410"/>
      <c r="C148" s="1410"/>
      <c r="D148" s="1410"/>
      <c r="E148" s="1410"/>
      <c r="F148" s="1410"/>
      <c r="G148" s="1410"/>
      <c r="H148" s="1410"/>
      <c r="I148" s="1410"/>
      <c r="J148" s="1410"/>
    </row>
    <row r="149" spans="1:10" ht="16.5">
      <c r="A149" s="1410"/>
      <c r="B149" s="1410"/>
      <c r="C149" s="1410"/>
      <c r="D149" s="1410"/>
      <c r="E149" s="1410"/>
      <c r="F149" s="1410"/>
      <c r="G149" s="1410"/>
      <c r="H149" s="1410"/>
      <c r="I149" s="1410"/>
      <c r="J149" s="1410"/>
    </row>
    <row r="150" spans="1:10" ht="16.5">
      <c r="A150" s="1410"/>
      <c r="B150" s="1410"/>
      <c r="C150" s="1410"/>
      <c r="D150" s="1410"/>
      <c r="E150" s="1410"/>
      <c r="F150" s="1410"/>
      <c r="G150" s="1410"/>
      <c r="H150" s="1410"/>
      <c r="I150" s="1410"/>
      <c r="J150" s="1410"/>
    </row>
    <row r="151" spans="1:10" ht="16.5">
      <c r="A151" s="1410"/>
      <c r="B151" s="1410"/>
      <c r="C151" s="1410"/>
      <c r="D151" s="1410"/>
      <c r="E151" s="1410"/>
      <c r="F151" s="1410"/>
      <c r="G151" s="1410"/>
      <c r="H151" s="1410"/>
      <c r="I151" s="1410"/>
      <c r="J151" s="1410"/>
    </row>
    <row r="152" spans="1:10" ht="16.5">
      <c r="A152" s="1410"/>
      <c r="B152" s="1410"/>
      <c r="C152" s="1410"/>
      <c r="D152" s="1410"/>
      <c r="E152" s="1410"/>
      <c r="F152" s="1410"/>
      <c r="G152" s="1410"/>
      <c r="H152" s="1410"/>
      <c r="I152" s="1410"/>
      <c r="J152" s="1410"/>
    </row>
    <row r="153" spans="1:10" ht="16.5">
      <c r="A153" s="1410"/>
      <c r="B153" s="1410"/>
      <c r="C153" s="1410"/>
      <c r="D153" s="1410"/>
      <c r="E153" s="1410"/>
      <c r="F153" s="1410"/>
      <c r="G153" s="1410"/>
      <c r="H153" s="1410"/>
      <c r="I153" s="1410"/>
      <c r="J153" s="1410"/>
    </row>
    <row r="154" spans="1:10" ht="16.5">
      <c r="A154" s="1410"/>
      <c r="B154" s="1410"/>
      <c r="C154" s="1410"/>
      <c r="D154" s="1410"/>
      <c r="E154" s="1410"/>
      <c r="F154" s="1410"/>
      <c r="G154" s="1410"/>
      <c r="H154" s="1410"/>
      <c r="I154" s="1410"/>
      <c r="J154" s="1410"/>
    </row>
    <row r="155" spans="1:10" ht="16.5">
      <c r="A155" s="1410"/>
      <c r="B155" s="1410"/>
      <c r="C155" s="1410"/>
      <c r="D155" s="1410"/>
      <c r="E155" s="1410"/>
      <c r="F155" s="1410"/>
      <c r="G155" s="1410"/>
      <c r="H155" s="1410"/>
      <c r="I155" s="1410"/>
      <c r="J155" s="1410"/>
    </row>
    <row r="156" spans="1:10" ht="16.5">
      <c r="A156" s="1410"/>
      <c r="B156" s="1410"/>
      <c r="C156" s="1410"/>
      <c r="D156" s="1410"/>
      <c r="E156" s="1410"/>
      <c r="F156" s="1410"/>
      <c r="G156" s="1410"/>
      <c r="H156" s="1410"/>
      <c r="I156" s="1410"/>
      <c r="J156" s="1410"/>
    </row>
    <row r="157" spans="1:10" ht="16.5">
      <c r="A157" s="1410"/>
      <c r="B157" s="1410"/>
      <c r="C157" s="1410"/>
      <c r="D157" s="1410"/>
      <c r="E157" s="1410"/>
      <c r="F157" s="1410"/>
      <c r="G157" s="1410"/>
      <c r="H157" s="1410"/>
      <c r="I157" s="1410"/>
      <c r="J157" s="1410"/>
    </row>
    <row r="158" spans="1:10" ht="16.5">
      <c r="A158" s="1410"/>
      <c r="B158" s="1410"/>
      <c r="C158" s="1410"/>
      <c r="D158" s="1410"/>
      <c r="E158" s="1410"/>
      <c r="F158" s="1410"/>
      <c r="G158" s="1410"/>
      <c r="H158" s="1410"/>
      <c r="I158" s="1410"/>
      <c r="J158" s="1410"/>
    </row>
    <row r="159" spans="1:10" ht="16.5">
      <c r="A159" s="1410"/>
      <c r="B159" s="1410"/>
      <c r="C159" s="1410"/>
      <c r="D159" s="1410"/>
      <c r="E159" s="1410"/>
      <c r="F159" s="1410"/>
      <c r="G159" s="1410"/>
      <c r="H159" s="1410"/>
      <c r="I159" s="1410"/>
      <c r="J159" s="1410"/>
    </row>
    <row r="160" spans="1:10" ht="16.5">
      <c r="A160" s="1410"/>
      <c r="B160" s="1410"/>
      <c r="C160" s="1410"/>
      <c r="D160" s="1410"/>
      <c r="E160" s="1410"/>
      <c r="F160" s="1410"/>
      <c r="G160" s="1410"/>
      <c r="H160" s="1410"/>
      <c r="I160" s="1410"/>
      <c r="J160" s="1410"/>
    </row>
    <row r="161" spans="1:10" ht="16.5">
      <c r="A161" s="1410"/>
      <c r="B161" s="1410"/>
      <c r="C161" s="1410"/>
      <c r="D161" s="1410"/>
      <c r="E161" s="1410"/>
      <c r="F161" s="1410"/>
      <c r="G161" s="1410"/>
      <c r="H161" s="1410"/>
      <c r="I161" s="1410"/>
      <c r="J161" s="1410"/>
    </row>
    <row r="162" spans="1:10" ht="16.5">
      <c r="A162" s="1410"/>
      <c r="B162" s="1410"/>
      <c r="C162" s="1410"/>
      <c r="D162" s="1410"/>
      <c r="E162" s="1410"/>
      <c r="F162" s="1410"/>
      <c r="G162" s="1410"/>
      <c r="H162" s="1410"/>
      <c r="I162" s="1410"/>
      <c r="J162" s="1410"/>
    </row>
    <row r="163" spans="1:10" ht="16.5">
      <c r="A163" s="1410"/>
      <c r="B163" s="1410"/>
      <c r="C163" s="1410"/>
      <c r="D163" s="1410"/>
      <c r="E163" s="1410"/>
      <c r="F163" s="1410"/>
      <c r="G163" s="1410"/>
      <c r="H163" s="1410"/>
      <c r="I163" s="1410"/>
      <c r="J163" s="1410"/>
    </row>
    <row r="164" spans="1:10" ht="16.5">
      <c r="A164" s="1410"/>
      <c r="B164" s="1410"/>
      <c r="C164" s="1410"/>
      <c r="D164" s="1410"/>
      <c r="E164" s="1410"/>
      <c r="F164" s="1410"/>
      <c r="G164" s="1410"/>
      <c r="H164" s="1410"/>
      <c r="I164" s="1410"/>
      <c r="J164" s="1410"/>
    </row>
    <row r="165" spans="1:10" ht="16.5">
      <c r="A165" s="1410"/>
      <c r="B165" s="1410"/>
      <c r="C165" s="1410"/>
      <c r="D165" s="1410"/>
      <c r="E165" s="1410"/>
      <c r="F165" s="1410"/>
      <c r="G165" s="1410"/>
      <c r="H165" s="1410"/>
      <c r="I165" s="1410"/>
      <c r="J165" s="1410"/>
    </row>
    <row r="166" spans="1:10" ht="16.5">
      <c r="A166" s="1410"/>
      <c r="B166" s="1410"/>
      <c r="C166" s="1410"/>
      <c r="D166" s="1410"/>
      <c r="E166" s="1410"/>
      <c r="F166" s="1410"/>
      <c r="G166" s="1410"/>
      <c r="H166" s="1410"/>
      <c r="I166" s="1410"/>
      <c r="J166" s="1410"/>
    </row>
    <row r="167" spans="1:10" ht="16.5">
      <c r="A167" s="1410"/>
      <c r="B167" s="1410"/>
      <c r="C167" s="1410"/>
      <c r="D167" s="1410"/>
      <c r="E167" s="1410"/>
      <c r="F167" s="1410"/>
      <c r="G167" s="1410"/>
      <c r="H167" s="1410"/>
      <c r="I167" s="1410"/>
      <c r="J167" s="1410"/>
    </row>
    <row r="168" spans="1:10" ht="16.5">
      <c r="A168" s="1410"/>
      <c r="B168" s="1410"/>
      <c r="C168" s="1410"/>
      <c r="D168" s="1410"/>
      <c r="E168" s="1410"/>
      <c r="F168" s="1410"/>
      <c r="G168" s="1410"/>
      <c r="H168" s="1410"/>
      <c r="I168" s="1410"/>
      <c r="J168" s="1410"/>
    </row>
    <row r="169" spans="1:10" ht="16.5">
      <c r="A169" s="1410"/>
      <c r="B169" s="1410"/>
      <c r="C169" s="1410"/>
      <c r="D169" s="1410"/>
      <c r="E169" s="1410"/>
      <c r="F169" s="1410"/>
      <c r="G169" s="1410"/>
      <c r="H169" s="1410"/>
      <c r="I169" s="1410"/>
      <c r="J169" s="1410"/>
    </row>
    <row r="170" spans="1:10" ht="16.5">
      <c r="A170" s="1410"/>
      <c r="B170" s="1410"/>
      <c r="C170" s="1410"/>
      <c r="D170" s="1410"/>
      <c r="E170" s="1410"/>
      <c r="F170" s="1410"/>
      <c r="G170" s="1410"/>
      <c r="H170" s="1410"/>
      <c r="I170" s="1410"/>
      <c r="J170" s="1410"/>
    </row>
    <row r="171" spans="1:10" ht="16.5">
      <c r="A171" s="1410"/>
      <c r="B171" s="1410"/>
      <c r="C171" s="1410"/>
      <c r="D171" s="1410"/>
      <c r="E171" s="1410"/>
      <c r="F171" s="1410"/>
      <c r="G171" s="1410"/>
      <c r="H171" s="1410"/>
      <c r="I171" s="1410"/>
      <c r="J171" s="1410"/>
    </row>
    <row r="172" spans="1:10" ht="16.5">
      <c r="A172" s="1410"/>
      <c r="B172" s="1410"/>
      <c r="C172" s="1410"/>
      <c r="D172" s="1410"/>
      <c r="E172" s="1410"/>
      <c r="F172" s="1410"/>
      <c r="G172" s="1410"/>
      <c r="H172" s="1410"/>
      <c r="I172" s="1410"/>
      <c r="J172" s="1410"/>
    </row>
    <row r="173" spans="1:10" ht="16.5">
      <c r="A173" s="1410"/>
      <c r="B173" s="1410"/>
      <c r="C173" s="1410"/>
      <c r="D173" s="1410"/>
      <c r="E173" s="1410"/>
      <c r="F173" s="1410"/>
      <c r="G173" s="1410"/>
      <c r="H173" s="1410"/>
      <c r="I173" s="1410"/>
      <c r="J173" s="1410"/>
    </row>
    <row r="174" spans="1:10" ht="16.5">
      <c r="A174" s="1410"/>
      <c r="B174" s="1410"/>
      <c r="C174" s="1410"/>
      <c r="D174" s="1410"/>
      <c r="E174" s="1410"/>
      <c r="F174" s="1410"/>
      <c r="G174" s="1410"/>
      <c r="H174" s="1410"/>
      <c r="I174" s="1410"/>
      <c r="J174" s="1410"/>
    </row>
    <row r="175" spans="1:10" ht="16.5">
      <c r="A175" s="1410"/>
      <c r="B175" s="1410"/>
      <c r="C175" s="1410"/>
      <c r="D175" s="1410"/>
      <c r="E175" s="1410"/>
      <c r="F175" s="1410"/>
      <c r="G175" s="1410"/>
      <c r="H175" s="1410"/>
      <c r="I175" s="1410"/>
      <c r="J175" s="1410"/>
    </row>
    <row r="176" spans="1:10" ht="16.5">
      <c r="A176" s="1410"/>
      <c r="B176" s="1410"/>
      <c r="C176" s="1410"/>
      <c r="D176" s="1410"/>
      <c r="E176" s="1410"/>
      <c r="F176" s="1410"/>
      <c r="G176" s="1410"/>
      <c r="H176" s="1410"/>
      <c r="I176" s="1410"/>
      <c r="J176" s="1410"/>
    </row>
    <row r="177" spans="1:10" ht="16.5">
      <c r="A177" s="1410"/>
      <c r="B177" s="1410"/>
      <c r="C177" s="1410"/>
      <c r="D177" s="1410"/>
      <c r="E177" s="1410"/>
      <c r="F177" s="1410"/>
      <c r="G177" s="1410"/>
      <c r="H177" s="1410"/>
      <c r="I177" s="1410"/>
      <c r="J177" s="1410"/>
    </row>
    <row r="178" spans="1:10" ht="16.5">
      <c r="A178" s="1410"/>
      <c r="B178" s="1410"/>
      <c r="C178" s="1410"/>
      <c r="D178" s="1410"/>
      <c r="E178" s="1410"/>
      <c r="F178" s="1410"/>
      <c r="G178" s="1410"/>
      <c r="H178" s="1410"/>
      <c r="I178" s="1410"/>
      <c r="J178" s="1410"/>
    </row>
    <row r="179" spans="1:10" ht="16.5">
      <c r="A179" s="1410"/>
      <c r="B179" s="1410"/>
      <c r="C179" s="1410"/>
      <c r="D179" s="1410"/>
      <c r="E179" s="1410"/>
      <c r="F179" s="1410"/>
      <c r="G179" s="1410"/>
      <c r="H179" s="1410"/>
      <c r="I179" s="1410"/>
      <c r="J179" s="1410"/>
    </row>
    <row r="180" spans="1:10" ht="16.5">
      <c r="A180" s="1410"/>
      <c r="B180" s="1410"/>
      <c r="C180" s="1410"/>
      <c r="D180" s="1410"/>
      <c r="E180" s="1410"/>
      <c r="F180" s="1410"/>
      <c r="G180" s="1410"/>
      <c r="H180" s="1410"/>
      <c r="I180" s="1410"/>
      <c r="J180" s="1410"/>
    </row>
    <row r="181" spans="1:10" ht="16.5">
      <c r="A181" s="1410"/>
      <c r="B181" s="1410"/>
      <c r="C181" s="1410"/>
      <c r="D181" s="1410"/>
      <c r="E181" s="1410"/>
      <c r="F181" s="1410"/>
      <c r="G181" s="1410"/>
      <c r="H181" s="1410"/>
      <c r="I181" s="1410"/>
      <c r="J181" s="1410"/>
    </row>
    <row r="182" spans="1:10" ht="16.5">
      <c r="A182" s="1410"/>
      <c r="B182" s="1410"/>
      <c r="C182" s="1410"/>
      <c r="D182" s="1410"/>
      <c r="E182" s="1410"/>
      <c r="F182" s="1410"/>
      <c r="G182" s="1410"/>
      <c r="H182" s="1410"/>
      <c r="I182" s="1410"/>
      <c r="J182" s="1410"/>
    </row>
    <row r="183" spans="1:10" ht="16.5">
      <c r="A183" s="1410"/>
      <c r="B183" s="1410"/>
      <c r="C183" s="1410"/>
      <c r="D183" s="1410"/>
      <c r="E183" s="1410"/>
      <c r="F183" s="1410"/>
      <c r="G183" s="1410"/>
      <c r="H183" s="1410"/>
      <c r="I183" s="1410"/>
      <c r="J183" s="1410"/>
    </row>
    <row r="184" spans="1:10" ht="16.5">
      <c r="A184" s="1410"/>
      <c r="B184" s="1410"/>
      <c r="C184" s="1410"/>
      <c r="D184" s="1410"/>
      <c r="E184" s="1410"/>
      <c r="F184" s="1410"/>
      <c r="G184" s="1410"/>
      <c r="H184" s="1410"/>
      <c r="I184" s="1410"/>
      <c r="J184" s="1410"/>
    </row>
    <row r="185" spans="1:10" ht="16.5">
      <c r="A185" s="1410"/>
      <c r="B185" s="1410"/>
      <c r="C185" s="1410"/>
      <c r="D185" s="1410"/>
      <c r="E185" s="1410"/>
      <c r="F185" s="1410"/>
      <c r="G185" s="1410"/>
      <c r="H185" s="1410"/>
      <c r="I185" s="1410"/>
      <c r="J185" s="1410"/>
    </row>
    <row r="186" spans="1:10" ht="16.5">
      <c r="A186" s="1410"/>
      <c r="B186" s="1410"/>
      <c r="C186" s="1410"/>
      <c r="D186" s="1410"/>
      <c r="E186" s="1410"/>
      <c r="F186" s="1410"/>
      <c r="G186" s="1410"/>
      <c r="H186" s="1410"/>
      <c r="I186" s="1410"/>
      <c r="J186" s="1410"/>
    </row>
    <row r="187" spans="1:10" ht="16.5">
      <c r="A187" s="1410"/>
      <c r="B187" s="1410"/>
      <c r="C187" s="1410"/>
      <c r="D187" s="1410"/>
      <c r="E187" s="1410"/>
      <c r="F187" s="1410"/>
      <c r="G187" s="1410"/>
      <c r="H187" s="1410"/>
      <c r="I187" s="1410"/>
      <c r="J187" s="1410"/>
    </row>
    <row r="188" spans="1:10" ht="16.5">
      <c r="A188" s="1410"/>
      <c r="B188" s="1410"/>
      <c r="C188" s="1410"/>
      <c r="D188" s="1410"/>
      <c r="E188" s="1410"/>
      <c r="F188" s="1410"/>
      <c r="G188" s="1410"/>
      <c r="H188" s="1410"/>
      <c r="I188" s="1410"/>
      <c r="J188" s="1410"/>
    </row>
    <row r="189" spans="1:10" ht="16.5">
      <c r="A189" s="1410"/>
      <c r="B189" s="1410"/>
      <c r="C189" s="1410"/>
      <c r="D189" s="1410"/>
      <c r="E189" s="1410"/>
      <c r="F189" s="1410"/>
      <c r="G189" s="1410"/>
      <c r="H189" s="1410"/>
      <c r="I189" s="1410"/>
      <c r="J189" s="1410"/>
    </row>
    <row r="190" spans="1:10" ht="16.5">
      <c r="A190" s="1410"/>
      <c r="B190" s="1410"/>
      <c r="C190" s="1410"/>
      <c r="D190" s="1410"/>
      <c r="E190" s="1410"/>
      <c r="F190" s="1410"/>
      <c r="G190" s="1410"/>
      <c r="H190" s="1410"/>
      <c r="I190" s="1410"/>
      <c r="J190" s="1410"/>
    </row>
    <row r="191" spans="1:10" ht="16.5">
      <c r="A191" s="1410"/>
      <c r="B191" s="1410"/>
      <c r="C191" s="1410"/>
      <c r="D191" s="1410"/>
      <c r="E191" s="1410"/>
      <c r="F191" s="1410"/>
      <c r="G191" s="1410"/>
      <c r="H191" s="1410"/>
      <c r="I191" s="1410"/>
      <c r="J191" s="1410"/>
    </row>
    <row r="192" spans="1:10" ht="16.5">
      <c r="A192" s="1410"/>
      <c r="B192" s="1410"/>
      <c r="C192" s="1410"/>
      <c r="D192" s="1410"/>
      <c r="E192" s="1410"/>
      <c r="F192" s="1410"/>
      <c r="G192" s="1410"/>
      <c r="H192" s="1410"/>
      <c r="I192" s="1410"/>
      <c r="J192" s="1410"/>
    </row>
    <row r="193" spans="1:10" ht="16.5">
      <c r="A193" s="1410"/>
      <c r="B193" s="1410"/>
      <c r="C193" s="1410"/>
      <c r="D193" s="1410"/>
      <c r="E193" s="1410"/>
      <c r="F193" s="1410"/>
      <c r="G193" s="1410"/>
      <c r="H193" s="1410"/>
      <c r="I193" s="1410"/>
      <c r="J193" s="1410"/>
    </row>
    <row r="194" spans="1:10" ht="16.5">
      <c r="A194" s="1410"/>
      <c r="B194" s="1410"/>
      <c r="C194" s="1410"/>
      <c r="D194" s="1410"/>
      <c r="E194" s="1410"/>
      <c r="F194" s="1410"/>
      <c r="G194" s="1410"/>
      <c r="H194" s="1410"/>
      <c r="I194" s="1410"/>
      <c r="J194" s="1410"/>
    </row>
    <row r="195" spans="1:10" ht="16.5">
      <c r="A195" s="1410"/>
      <c r="B195" s="1410"/>
      <c r="C195" s="1410"/>
      <c r="D195" s="1410"/>
      <c r="E195" s="1410"/>
      <c r="F195" s="1410"/>
      <c r="G195" s="1410"/>
      <c r="H195" s="1410"/>
      <c r="I195" s="1410"/>
      <c r="J195" s="1410"/>
    </row>
    <row r="196" spans="1:10" ht="16.5">
      <c r="A196" s="1410"/>
      <c r="B196" s="1410"/>
      <c r="C196" s="1410"/>
      <c r="D196" s="1410"/>
      <c r="E196" s="1410"/>
      <c r="F196" s="1410"/>
      <c r="G196" s="1410"/>
      <c r="H196" s="1410"/>
      <c r="I196" s="1410"/>
      <c r="J196" s="1410"/>
    </row>
    <row r="197" spans="1:10" ht="16.5">
      <c r="A197" s="1410"/>
      <c r="B197" s="1410"/>
      <c r="C197" s="1410"/>
      <c r="D197" s="1410"/>
      <c r="E197" s="1410"/>
      <c r="F197" s="1410"/>
      <c r="G197" s="1410"/>
      <c r="H197" s="1410"/>
      <c r="I197" s="1410"/>
      <c r="J197" s="1410"/>
    </row>
    <row r="198" spans="1:10" ht="16.5">
      <c r="A198" s="1410"/>
      <c r="B198" s="1410"/>
      <c r="C198" s="1410"/>
      <c r="D198" s="1410"/>
      <c r="E198" s="1410"/>
      <c r="F198" s="1410"/>
      <c r="G198" s="1410"/>
      <c r="H198" s="1410"/>
      <c r="I198" s="1410"/>
      <c r="J198" s="1410"/>
    </row>
    <row r="199" spans="1:10" ht="16.5">
      <c r="A199" s="1410"/>
      <c r="B199" s="1410"/>
      <c r="C199" s="1410"/>
      <c r="D199" s="1410"/>
      <c r="E199" s="1410"/>
      <c r="F199" s="1410"/>
      <c r="G199" s="1410"/>
      <c r="H199" s="1410"/>
      <c r="I199" s="1410"/>
      <c r="J199" s="1410"/>
    </row>
    <row r="200" spans="1:10" ht="16.5">
      <c r="A200" s="1410"/>
      <c r="B200" s="1410"/>
      <c r="C200" s="1410"/>
      <c r="D200" s="1410"/>
      <c r="E200" s="1410"/>
      <c r="F200" s="1410"/>
      <c r="G200" s="1410"/>
      <c r="H200" s="1410"/>
      <c r="I200" s="1410"/>
      <c r="J200" s="1410"/>
    </row>
    <row r="201" spans="1:10" ht="16.5">
      <c r="A201" s="1410"/>
      <c r="B201" s="1410"/>
      <c r="C201" s="1410"/>
      <c r="D201" s="1410"/>
      <c r="E201" s="1410"/>
      <c r="F201" s="1410"/>
      <c r="G201" s="1410"/>
      <c r="H201" s="1410"/>
      <c r="I201" s="1410"/>
      <c r="J201" s="1410"/>
    </row>
    <row r="202" spans="1:10" ht="16.5">
      <c r="A202" s="1410"/>
      <c r="B202" s="1410"/>
      <c r="C202" s="1410"/>
      <c r="D202" s="1410"/>
      <c r="E202" s="1410"/>
      <c r="F202" s="1410"/>
      <c r="G202" s="1410"/>
      <c r="H202" s="1410"/>
      <c r="I202" s="1410"/>
      <c r="J202" s="1410"/>
    </row>
    <row r="203" spans="1:10" ht="16.5">
      <c r="A203" s="1410"/>
      <c r="B203" s="1410"/>
      <c r="C203" s="1410"/>
      <c r="D203" s="1410"/>
      <c r="E203" s="1410"/>
      <c r="F203" s="1410"/>
      <c r="G203" s="1410"/>
      <c r="H203" s="1410"/>
      <c r="I203" s="1410"/>
      <c r="J203" s="1410"/>
    </row>
    <row r="204" spans="1:10" ht="16.5">
      <c r="A204" s="1410"/>
      <c r="B204" s="1410"/>
      <c r="C204" s="1410"/>
      <c r="D204" s="1410"/>
      <c r="E204" s="1410"/>
      <c r="F204" s="1410"/>
      <c r="G204" s="1410"/>
      <c r="H204" s="1410"/>
      <c r="I204" s="1410"/>
      <c r="J204" s="1410"/>
    </row>
    <row r="205" spans="1:10" ht="16.5">
      <c r="A205" s="1410"/>
      <c r="B205" s="1410"/>
      <c r="C205" s="1410"/>
      <c r="D205" s="1410"/>
      <c r="E205" s="1410"/>
      <c r="F205" s="1410"/>
      <c r="G205" s="1410"/>
      <c r="H205" s="1410"/>
      <c r="I205" s="1410"/>
      <c r="J205" s="1410"/>
    </row>
    <row r="206" spans="1:10" ht="16.5">
      <c r="A206" s="1410"/>
      <c r="B206" s="1410"/>
      <c r="C206" s="1410"/>
      <c r="D206" s="1410"/>
      <c r="E206" s="1410"/>
      <c r="F206" s="1410"/>
      <c r="G206" s="1410"/>
      <c r="H206" s="1410"/>
      <c r="I206" s="1410"/>
      <c r="J206" s="1410"/>
    </row>
    <row r="207" spans="1:10" ht="16.5">
      <c r="A207" s="1410"/>
      <c r="B207" s="1410"/>
      <c r="C207" s="1410"/>
      <c r="D207" s="1410"/>
      <c r="E207" s="1410"/>
      <c r="F207" s="1410"/>
      <c r="G207" s="1410"/>
      <c r="H207" s="1410"/>
      <c r="I207" s="1410"/>
      <c r="J207" s="1410"/>
    </row>
    <row r="208" spans="1:10" ht="16.5">
      <c r="A208" s="1410"/>
      <c r="B208" s="1410"/>
      <c r="C208" s="1410"/>
      <c r="D208" s="1410"/>
      <c r="E208" s="1410"/>
      <c r="F208" s="1410"/>
      <c r="G208" s="1410"/>
      <c r="H208" s="1410"/>
      <c r="I208" s="1410"/>
      <c r="J208" s="1410"/>
    </row>
    <row r="209" spans="1:10" ht="16.5">
      <c r="A209" s="1410"/>
      <c r="B209" s="1410"/>
      <c r="C209" s="1410"/>
      <c r="D209" s="1410"/>
      <c r="E209" s="1410"/>
      <c r="F209" s="1410"/>
      <c r="G209" s="1410"/>
      <c r="H209" s="1410"/>
      <c r="I209" s="1410"/>
      <c r="J209" s="1410"/>
    </row>
    <row r="210" spans="1:10" ht="16.5">
      <c r="A210" s="1410"/>
      <c r="B210" s="1410"/>
      <c r="C210" s="1410"/>
      <c r="D210" s="1410"/>
      <c r="E210" s="1410"/>
      <c r="F210" s="1410"/>
      <c r="G210" s="1410"/>
      <c r="H210" s="1410"/>
      <c r="I210" s="1410"/>
      <c r="J210" s="1410"/>
    </row>
    <row r="211" spans="1:10" ht="16.5">
      <c r="A211" s="1410"/>
      <c r="B211" s="1410"/>
      <c r="C211" s="1410"/>
      <c r="D211" s="1410"/>
      <c r="E211" s="1410"/>
      <c r="F211" s="1410"/>
      <c r="G211" s="1410"/>
      <c r="H211" s="1410"/>
      <c r="I211" s="1410"/>
      <c r="J211" s="1410"/>
    </row>
    <row r="212" spans="1:10" ht="16.5">
      <c r="A212" s="1410"/>
      <c r="B212" s="1410"/>
      <c r="C212" s="1410"/>
      <c r="D212" s="1410"/>
      <c r="E212" s="1410"/>
      <c r="F212" s="1410"/>
      <c r="G212" s="1410"/>
      <c r="H212" s="1410"/>
      <c r="I212" s="1410"/>
      <c r="J212" s="1410"/>
    </row>
    <row r="213" spans="1:10" ht="16.5">
      <c r="A213" s="1410"/>
      <c r="B213" s="1410"/>
      <c r="C213" s="1410"/>
      <c r="D213" s="1410"/>
      <c r="E213" s="1410"/>
      <c r="F213" s="1410"/>
      <c r="G213" s="1410"/>
      <c r="H213" s="1410"/>
      <c r="I213" s="1410"/>
      <c r="J213" s="1410"/>
    </row>
    <row r="214" spans="1:10" ht="16.5">
      <c r="A214" s="1410"/>
      <c r="B214" s="1410"/>
      <c r="C214" s="1410"/>
      <c r="D214" s="1410"/>
      <c r="E214" s="1410"/>
      <c r="F214" s="1410"/>
      <c r="G214" s="1410"/>
      <c r="H214" s="1410"/>
      <c r="I214" s="1410"/>
      <c r="J214" s="1410"/>
    </row>
    <row r="215" spans="1:10" ht="16.5">
      <c r="A215" s="1410"/>
      <c r="B215" s="1410"/>
      <c r="C215" s="1410"/>
      <c r="D215" s="1410"/>
      <c r="E215" s="1410"/>
      <c r="F215" s="1410"/>
      <c r="G215" s="1410"/>
      <c r="H215" s="1410"/>
      <c r="I215" s="1410"/>
      <c r="J215" s="1410"/>
    </row>
    <row r="216" spans="1:10" ht="16.5">
      <c r="A216" s="1410"/>
      <c r="B216" s="1410"/>
      <c r="C216" s="1410"/>
      <c r="D216" s="1410"/>
      <c r="E216" s="1410"/>
      <c r="F216" s="1410"/>
      <c r="G216" s="1410"/>
      <c r="H216" s="1410"/>
      <c r="I216" s="1410"/>
      <c r="J216" s="1410"/>
    </row>
    <row r="217" spans="1:10" ht="16.5">
      <c r="A217" s="1410"/>
      <c r="B217" s="1410"/>
      <c r="C217" s="1410"/>
      <c r="D217" s="1410"/>
      <c r="E217" s="1410"/>
      <c r="F217" s="1410"/>
      <c r="G217" s="1410"/>
      <c r="H217" s="1410"/>
      <c r="I217" s="1410"/>
      <c r="J217" s="1410"/>
    </row>
    <row r="218" spans="1:10" ht="16.5">
      <c r="A218" s="1410"/>
      <c r="B218" s="1410"/>
      <c r="C218" s="1410"/>
      <c r="D218" s="1410"/>
      <c r="E218" s="1410"/>
      <c r="F218" s="1410"/>
      <c r="G218" s="1410"/>
      <c r="H218" s="1410"/>
      <c r="I218" s="1410"/>
      <c r="J218" s="1410"/>
    </row>
    <row r="219" spans="1:10" ht="16.5">
      <c r="A219" s="1410"/>
      <c r="B219" s="1410"/>
      <c r="C219" s="1410"/>
      <c r="D219" s="1410"/>
      <c r="E219" s="1410"/>
      <c r="F219" s="1410"/>
      <c r="G219" s="1410"/>
      <c r="H219" s="1410"/>
      <c r="I219" s="1410"/>
      <c r="J219" s="1410"/>
    </row>
    <row r="220" spans="1:10" ht="16.5">
      <c r="A220" s="1410"/>
      <c r="B220" s="1410"/>
      <c r="C220" s="1410"/>
      <c r="D220" s="1410"/>
      <c r="E220" s="1410"/>
      <c r="F220" s="1410"/>
      <c r="G220" s="1410"/>
      <c r="H220" s="1410"/>
      <c r="I220" s="1410"/>
      <c r="J220" s="1410"/>
    </row>
    <row r="221" spans="1:10" ht="16.5">
      <c r="A221" s="1410"/>
      <c r="B221" s="1410"/>
      <c r="C221" s="1410"/>
      <c r="D221" s="1410"/>
      <c r="E221" s="1410"/>
      <c r="F221" s="1410"/>
      <c r="G221" s="1410"/>
      <c r="H221" s="1410"/>
      <c r="I221" s="1410"/>
      <c r="J221" s="1410"/>
    </row>
    <row r="222" spans="1:10" ht="16.5">
      <c r="A222" s="1410"/>
      <c r="B222" s="1410"/>
      <c r="C222" s="1410"/>
      <c r="D222" s="1410"/>
      <c r="E222" s="1410"/>
      <c r="F222" s="1410"/>
      <c r="G222" s="1410"/>
      <c r="H222" s="1410"/>
      <c r="I222" s="1410"/>
      <c r="J222" s="1410"/>
    </row>
    <row r="223" spans="1:10" ht="16.5">
      <c r="A223" s="1410"/>
      <c r="B223" s="1410"/>
      <c r="C223" s="1410"/>
      <c r="D223" s="1410"/>
      <c r="E223" s="1410"/>
      <c r="F223" s="1410"/>
      <c r="G223" s="1410"/>
      <c r="H223" s="1410"/>
      <c r="I223" s="1410"/>
      <c r="J223" s="1410"/>
    </row>
    <row r="224" spans="1:10" ht="16.5">
      <c r="A224" s="1410"/>
      <c r="B224" s="1410"/>
      <c r="C224" s="1410"/>
      <c r="D224" s="1410"/>
      <c r="E224" s="1410"/>
      <c r="F224" s="1410"/>
      <c r="G224" s="1410"/>
      <c r="H224" s="1410"/>
      <c r="I224" s="1410"/>
      <c r="J224" s="1410"/>
    </row>
    <row r="225" spans="1:10" ht="16.5">
      <c r="A225" s="1410"/>
      <c r="B225" s="1410"/>
      <c r="C225" s="1410"/>
      <c r="D225" s="1410"/>
      <c r="E225" s="1410"/>
      <c r="F225" s="1410"/>
      <c r="G225" s="1410"/>
      <c r="H225" s="1410"/>
      <c r="I225" s="1410"/>
      <c r="J225" s="1410"/>
    </row>
    <row r="226" spans="1:10" ht="16.5">
      <c r="A226" s="1410"/>
      <c r="B226" s="1410"/>
      <c r="C226" s="1410"/>
      <c r="D226" s="1410"/>
      <c r="E226" s="1410"/>
      <c r="F226" s="1410"/>
      <c r="G226" s="1410"/>
      <c r="H226" s="1410"/>
      <c r="I226" s="1410"/>
      <c r="J226" s="1410"/>
    </row>
    <row r="227" spans="1:10" ht="16.5">
      <c r="A227" s="1410"/>
      <c r="B227" s="1410"/>
      <c r="C227" s="1410"/>
      <c r="D227" s="1410"/>
      <c r="E227" s="1410"/>
      <c r="F227" s="1410"/>
      <c r="G227" s="1410"/>
      <c r="H227" s="1410"/>
      <c r="I227" s="1410"/>
      <c r="J227" s="1410"/>
    </row>
    <row r="228" spans="1:10" ht="16.5">
      <c r="A228" s="1410"/>
      <c r="B228" s="1410"/>
      <c r="C228" s="1410"/>
      <c r="D228" s="1410"/>
      <c r="E228" s="1410"/>
      <c r="F228" s="1410"/>
      <c r="G228" s="1410"/>
      <c r="H228" s="1410"/>
      <c r="I228" s="1410"/>
      <c r="J228" s="1410"/>
    </row>
    <row r="229" spans="1:10" ht="16.5">
      <c r="A229" s="1410"/>
      <c r="B229" s="1410"/>
      <c r="C229" s="1410"/>
      <c r="D229" s="1410"/>
      <c r="E229" s="1410"/>
      <c r="F229" s="1410"/>
      <c r="G229" s="1410"/>
      <c r="H229" s="1410"/>
      <c r="I229" s="1410"/>
      <c r="J229" s="1410"/>
    </row>
    <row r="230" spans="1:10" ht="16.5">
      <c r="A230" s="1410"/>
      <c r="B230" s="1410"/>
      <c r="C230" s="1410"/>
      <c r="D230" s="1410"/>
      <c r="E230" s="1410"/>
      <c r="F230" s="1410"/>
      <c r="G230" s="1410"/>
      <c r="H230" s="1410"/>
      <c r="I230" s="1410"/>
      <c r="J230" s="1410"/>
    </row>
    <row r="231" spans="1:10" ht="16.5">
      <c r="A231" s="1410"/>
      <c r="B231" s="1410"/>
      <c r="C231" s="1410"/>
      <c r="D231" s="1410"/>
      <c r="E231" s="1410"/>
      <c r="F231" s="1410"/>
      <c r="G231" s="1410"/>
      <c r="H231" s="1410"/>
      <c r="I231" s="1410"/>
      <c r="J231" s="1410"/>
    </row>
    <row r="232" spans="1:10" ht="16.5">
      <c r="A232" s="1410"/>
      <c r="B232" s="1410"/>
      <c r="C232" s="1410"/>
      <c r="D232" s="1410"/>
      <c r="E232" s="1410"/>
      <c r="F232" s="1410"/>
      <c r="G232" s="1410"/>
      <c r="H232" s="1410"/>
      <c r="I232" s="1410"/>
      <c r="J232" s="1410"/>
    </row>
    <row r="233" spans="1:10" ht="16.5">
      <c r="A233" s="1410"/>
      <c r="B233" s="1410"/>
      <c r="C233" s="1410"/>
      <c r="D233" s="1410"/>
      <c r="E233" s="1410"/>
      <c r="F233" s="1410"/>
      <c r="G233" s="1410"/>
      <c r="H233" s="1410"/>
      <c r="I233" s="1410"/>
      <c r="J233" s="1410"/>
    </row>
    <row r="234" spans="1:10" ht="16.5">
      <c r="A234" s="1410"/>
      <c r="B234" s="1410"/>
      <c r="C234" s="1410"/>
      <c r="D234" s="1410"/>
      <c r="E234" s="1410"/>
      <c r="F234" s="1410"/>
      <c r="G234" s="1410"/>
      <c r="H234" s="1410"/>
      <c r="I234" s="1410"/>
      <c r="J234" s="1410"/>
    </row>
    <row r="235" spans="1:10" ht="16.5">
      <c r="A235" s="1410"/>
      <c r="B235" s="1410"/>
      <c r="C235" s="1410"/>
      <c r="D235" s="1410"/>
      <c r="E235" s="1410"/>
      <c r="F235" s="1410"/>
      <c r="G235" s="1410"/>
      <c r="H235" s="1410"/>
      <c r="I235" s="1410"/>
      <c r="J235" s="1410"/>
    </row>
    <row r="236" spans="1:10" ht="16.5">
      <c r="A236" s="1410"/>
      <c r="B236" s="1410"/>
      <c r="C236" s="1410"/>
      <c r="D236" s="1410"/>
      <c r="E236" s="1410"/>
      <c r="F236" s="1410"/>
      <c r="G236" s="1410"/>
      <c r="H236" s="1410"/>
      <c r="I236" s="1410"/>
      <c r="J236" s="1410"/>
    </row>
    <row r="237" spans="1:10" ht="16.5">
      <c r="A237" s="1410"/>
      <c r="B237" s="1410"/>
      <c r="C237" s="1410"/>
      <c r="D237" s="1410"/>
      <c r="E237" s="1410"/>
      <c r="F237" s="1410"/>
      <c r="G237" s="1410"/>
      <c r="H237" s="1410"/>
      <c r="I237" s="1410"/>
      <c r="J237" s="1410"/>
    </row>
    <row r="238" spans="1:10" ht="16.5">
      <c r="A238" s="1410"/>
      <c r="B238" s="1410"/>
      <c r="C238" s="1410"/>
      <c r="D238" s="1410"/>
      <c r="E238" s="1410"/>
      <c r="F238" s="1410"/>
      <c r="G238" s="1410"/>
      <c r="H238" s="1410"/>
      <c r="I238" s="1410"/>
      <c r="J238" s="1410"/>
    </row>
    <row r="239" spans="1:10" ht="16.5">
      <c r="A239" s="1410"/>
      <c r="B239" s="1410"/>
      <c r="C239" s="1410"/>
      <c r="D239" s="1410"/>
      <c r="E239" s="1410"/>
      <c r="F239" s="1410"/>
      <c r="G239" s="1410"/>
      <c r="H239" s="1410"/>
      <c r="I239" s="1410"/>
      <c r="J239" s="1410"/>
    </row>
    <row r="240" spans="1:10" ht="16.5">
      <c r="A240" s="1410"/>
      <c r="B240" s="1410"/>
      <c r="C240" s="1410"/>
      <c r="D240" s="1410"/>
      <c r="E240" s="1410"/>
      <c r="F240" s="1410"/>
      <c r="G240" s="1410"/>
      <c r="H240" s="1410"/>
      <c r="I240" s="1410"/>
      <c r="J240" s="1410"/>
    </row>
    <row r="241" spans="1:10" ht="16.5">
      <c r="A241" s="1410"/>
      <c r="B241" s="1410"/>
      <c r="C241" s="1410"/>
      <c r="D241" s="1410"/>
      <c r="E241" s="1410"/>
      <c r="F241" s="1410"/>
      <c r="G241" s="1410"/>
      <c r="H241" s="1410"/>
      <c r="I241" s="1410"/>
      <c r="J241" s="1410"/>
    </row>
    <row r="242" spans="1:10" ht="16.5">
      <c r="A242" s="1410"/>
      <c r="B242" s="1410"/>
      <c r="C242" s="1410"/>
      <c r="D242" s="1410"/>
      <c r="E242" s="1410"/>
      <c r="F242" s="1410"/>
      <c r="G242" s="1410"/>
      <c r="H242" s="1410"/>
      <c r="I242" s="1410"/>
      <c r="J242" s="1410"/>
    </row>
    <row r="243" spans="1:10" ht="16.5">
      <c r="A243" s="1410"/>
      <c r="B243" s="1410"/>
      <c r="C243" s="1410"/>
      <c r="D243" s="1410"/>
      <c r="E243" s="1410"/>
      <c r="F243" s="1410"/>
      <c r="G243" s="1410"/>
      <c r="H243" s="1410"/>
      <c r="I243" s="1410"/>
      <c r="J243" s="1410"/>
    </row>
    <row r="244" spans="1:10" ht="16.5">
      <c r="A244" s="1410"/>
      <c r="B244" s="1410"/>
      <c r="C244" s="1410"/>
      <c r="D244" s="1410"/>
      <c r="E244" s="1410"/>
      <c r="F244" s="1410"/>
      <c r="G244" s="1410"/>
      <c r="H244" s="1410"/>
      <c r="I244" s="1410"/>
      <c r="J244" s="1410"/>
    </row>
    <row r="245" spans="1:10" ht="16.5">
      <c r="A245" s="1410"/>
      <c r="B245" s="1410"/>
      <c r="C245" s="1410"/>
      <c r="D245" s="1410"/>
      <c r="E245" s="1410"/>
      <c r="F245" s="1410"/>
      <c r="G245" s="1410"/>
      <c r="H245" s="1410"/>
      <c r="I245" s="1410"/>
      <c r="J245" s="1410"/>
    </row>
    <row r="246" spans="1:10" ht="16.5">
      <c r="A246" s="1410"/>
      <c r="B246" s="1410"/>
      <c r="C246" s="1410"/>
      <c r="D246" s="1410"/>
      <c r="E246" s="1410"/>
      <c r="F246" s="1410"/>
      <c r="G246" s="1410"/>
      <c r="H246" s="1410"/>
      <c r="I246" s="1410"/>
      <c r="J246" s="1410"/>
    </row>
    <row r="247" spans="1:10" ht="16.5">
      <c r="A247" s="1410"/>
      <c r="B247" s="1410"/>
      <c r="C247" s="1410"/>
      <c r="D247" s="1410"/>
      <c r="E247" s="1410"/>
      <c r="F247" s="1410"/>
      <c r="G247" s="1410"/>
      <c r="H247" s="1410"/>
      <c r="I247" s="1410"/>
      <c r="J247" s="1410"/>
    </row>
    <row r="248" spans="1:10" ht="16.5">
      <c r="A248" s="1410"/>
      <c r="B248" s="1410"/>
      <c r="C248" s="1410"/>
      <c r="D248" s="1410"/>
      <c r="E248" s="1410"/>
      <c r="F248" s="1410"/>
      <c r="G248" s="1410"/>
      <c r="H248" s="1410"/>
      <c r="I248" s="1410"/>
      <c r="J248" s="1410"/>
    </row>
    <row r="249" spans="1:10" ht="16.5">
      <c r="A249" s="1410"/>
      <c r="B249" s="1410"/>
      <c r="C249" s="1410"/>
      <c r="D249" s="1410"/>
      <c r="E249" s="1410"/>
      <c r="F249" s="1410"/>
      <c r="G249" s="1410"/>
      <c r="H249" s="1410"/>
      <c r="I249" s="1410"/>
      <c r="J249" s="1410"/>
    </row>
    <row r="250" spans="1:10" ht="16.5">
      <c r="A250" s="1410"/>
      <c r="B250" s="1410"/>
      <c r="C250" s="1410"/>
      <c r="D250" s="1410"/>
      <c r="E250" s="1410"/>
      <c r="F250" s="1410"/>
      <c r="G250" s="1410"/>
      <c r="H250" s="1410"/>
      <c r="I250" s="1410"/>
      <c r="J250" s="1410"/>
    </row>
    <row r="251" spans="1:10" ht="16.5">
      <c r="A251" s="1410"/>
      <c r="B251" s="1410"/>
      <c r="C251" s="1410"/>
      <c r="D251" s="1410"/>
      <c r="E251" s="1410"/>
      <c r="F251" s="1410"/>
      <c r="G251" s="1410"/>
      <c r="H251" s="1410"/>
      <c r="I251" s="1410"/>
      <c r="J251" s="1410"/>
    </row>
    <row r="252" spans="1:10" ht="16.5">
      <c r="A252" s="1410"/>
      <c r="B252" s="1410"/>
      <c r="C252" s="1410"/>
      <c r="D252" s="1410"/>
      <c r="E252" s="1410"/>
      <c r="F252" s="1410"/>
      <c r="G252" s="1410"/>
      <c r="H252" s="1410"/>
      <c r="I252" s="1410"/>
      <c r="J252" s="1410"/>
    </row>
    <row r="253" spans="1:10" ht="16.5">
      <c r="A253" s="1410"/>
      <c r="B253" s="1410"/>
      <c r="C253" s="1410"/>
      <c r="D253" s="1410"/>
      <c r="E253" s="1410"/>
      <c r="F253" s="1410"/>
      <c r="G253" s="1410"/>
      <c r="H253" s="1410"/>
      <c r="I253" s="1410"/>
      <c r="J253" s="1410"/>
    </row>
    <row r="254" spans="1:10" ht="16.5">
      <c r="A254" s="1410"/>
      <c r="B254" s="1410"/>
      <c r="C254" s="1410"/>
      <c r="D254" s="1410"/>
      <c r="E254" s="1410"/>
      <c r="F254" s="1410"/>
      <c r="G254" s="1410"/>
      <c r="H254" s="1410"/>
      <c r="I254" s="1410"/>
      <c r="J254" s="1410"/>
    </row>
    <row r="255" spans="1:10" ht="16.5">
      <c r="A255" s="1410"/>
      <c r="B255" s="1410"/>
      <c r="C255" s="1410"/>
      <c r="D255" s="1410"/>
      <c r="E255" s="1410"/>
      <c r="F255" s="1410"/>
      <c r="G255" s="1410"/>
      <c r="H255" s="1410"/>
      <c r="I255" s="1410"/>
      <c r="J255" s="1410"/>
    </row>
    <row r="256" spans="1:10" ht="16.5">
      <c r="A256" s="1410"/>
      <c r="B256" s="1410"/>
      <c r="C256" s="1410"/>
      <c r="D256" s="1410"/>
      <c r="E256" s="1410"/>
      <c r="F256" s="1410"/>
      <c r="G256" s="1410"/>
      <c r="H256" s="1410"/>
      <c r="I256" s="1410"/>
      <c r="J256" s="1410"/>
    </row>
    <row r="257" spans="1:10" ht="16.5">
      <c r="A257" s="1410"/>
      <c r="B257" s="1410"/>
      <c r="C257" s="1410"/>
      <c r="D257" s="1410"/>
      <c r="E257" s="1410"/>
      <c r="F257" s="1410"/>
      <c r="G257" s="1410"/>
      <c r="H257" s="1410"/>
      <c r="I257" s="1410"/>
      <c r="J257" s="1410"/>
    </row>
    <row r="258" spans="1:10" ht="16.5">
      <c r="A258" s="1410"/>
      <c r="B258" s="1410"/>
      <c r="C258" s="1410"/>
      <c r="D258" s="1410"/>
      <c r="E258" s="1410"/>
      <c r="F258" s="1410"/>
      <c r="G258" s="1410"/>
      <c r="H258" s="1410"/>
      <c r="I258" s="1410"/>
      <c r="J258" s="1410"/>
    </row>
    <row r="259" spans="1:10" ht="16.5">
      <c r="A259" s="1410"/>
      <c r="B259" s="1410"/>
      <c r="C259" s="1410"/>
      <c r="D259" s="1410"/>
      <c r="E259" s="1410"/>
      <c r="F259" s="1410"/>
      <c r="G259" s="1410"/>
      <c r="H259" s="1410"/>
      <c r="I259" s="1410"/>
      <c r="J259" s="1410"/>
    </row>
    <row r="260" spans="1:10" ht="16.5">
      <c r="A260" s="1410"/>
      <c r="B260" s="1410"/>
      <c r="C260" s="1410"/>
      <c r="D260" s="1410"/>
      <c r="E260" s="1410"/>
      <c r="F260" s="1410"/>
      <c r="G260" s="1410"/>
      <c r="H260" s="1410"/>
      <c r="I260" s="1410"/>
      <c r="J260" s="1410"/>
    </row>
    <row r="261" spans="1:10" ht="16.5">
      <c r="A261" s="1410"/>
      <c r="B261" s="1410"/>
      <c r="C261" s="1410"/>
      <c r="D261" s="1410"/>
      <c r="E261" s="1410"/>
      <c r="F261" s="1410"/>
      <c r="G261" s="1410"/>
      <c r="H261" s="1410"/>
      <c r="I261" s="1410"/>
      <c r="J261" s="1410"/>
    </row>
    <row r="262" spans="1:10" ht="16.5">
      <c r="A262" s="1410"/>
      <c r="B262" s="1410"/>
      <c r="C262" s="1410"/>
      <c r="D262" s="1410"/>
      <c r="E262" s="1410"/>
      <c r="F262" s="1410"/>
      <c r="G262" s="1410"/>
      <c r="H262" s="1410"/>
      <c r="I262" s="1410"/>
      <c r="J262" s="1410"/>
    </row>
    <row r="263" spans="1:10" ht="16.5">
      <c r="A263" s="1410"/>
      <c r="B263" s="1410"/>
      <c r="C263" s="1410"/>
      <c r="D263" s="1410"/>
      <c r="E263" s="1410"/>
      <c r="F263" s="1410"/>
      <c r="G263" s="1410"/>
      <c r="H263" s="1410"/>
      <c r="I263" s="1410"/>
      <c r="J263" s="1410"/>
    </row>
    <row r="264" spans="1:10" ht="16.5">
      <c r="A264" s="1410"/>
      <c r="B264" s="1410"/>
      <c r="C264" s="1410"/>
      <c r="D264" s="1410"/>
      <c r="E264" s="1410"/>
      <c r="F264" s="1410"/>
      <c r="G264" s="1410"/>
      <c r="H264" s="1410"/>
      <c r="I264" s="1410"/>
      <c r="J264" s="1410"/>
    </row>
    <row r="265" spans="1:10" ht="16.5">
      <c r="A265" s="1410"/>
      <c r="B265" s="1410"/>
      <c r="C265" s="1410"/>
      <c r="D265" s="1410"/>
      <c r="E265" s="1410"/>
      <c r="F265" s="1410"/>
      <c r="G265" s="1410"/>
      <c r="H265" s="1410"/>
      <c r="I265" s="1410"/>
      <c r="J265" s="1410"/>
    </row>
    <row r="266" spans="1:10" ht="16.5">
      <c r="A266" s="1410"/>
      <c r="B266" s="1410"/>
      <c r="C266" s="1410"/>
      <c r="D266" s="1410"/>
      <c r="E266" s="1410"/>
      <c r="F266" s="1410"/>
      <c r="G266" s="1410"/>
      <c r="H266" s="1410"/>
      <c r="I266" s="1410"/>
      <c r="J266" s="1410"/>
    </row>
    <row r="267" spans="1:10" ht="16.5">
      <c r="A267" s="1410"/>
      <c r="B267" s="1410"/>
      <c r="C267" s="1410"/>
      <c r="D267" s="1410"/>
      <c r="E267" s="1410"/>
      <c r="F267" s="1410"/>
      <c r="G267" s="1410"/>
      <c r="H267" s="1410"/>
      <c r="I267" s="1410"/>
      <c r="J267" s="1410"/>
    </row>
    <row r="268" spans="1:10" ht="16.5">
      <c r="A268" s="1410"/>
      <c r="B268" s="1410"/>
      <c r="C268" s="1410"/>
      <c r="D268" s="1410"/>
      <c r="E268" s="1410"/>
      <c r="F268" s="1410"/>
      <c r="G268" s="1410"/>
      <c r="H268" s="1410"/>
      <c r="I268" s="1410"/>
      <c r="J268" s="1410"/>
    </row>
    <row r="269" spans="1:10" ht="16.5">
      <c r="A269" s="1410"/>
      <c r="B269" s="1410"/>
      <c r="C269" s="1410"/>
      <c r="D269" s="1410"/>
      <c r="E269" s="1410"/>
      <c r="F269" s="1410"/>
      <c r="G269" s="1410"/>
      <c r="H269" s="1410"/>
      <c r="I269" s="1410"/>
      <c r="J269" s="1410"/>
    </row>
    <row r="270" spans="1:10" ht="16.5">
      <c r="A270" s="1410"/>
      <c r="B270" s="1410"/>
      <c r="C270" s="1410"/>
      <c r="D270" s="1410"/>
      <c r="E270" s="1410"/>
      <c r="F270" s="1410"/>
      <c r="G270" s="1410"/>
      <c r="H270" s="1410"/>
      <c r="I270" s="1410"/>
      <c r="J270" s="1410"/>
    </row>
    <row r="271" spans="1:10" ht="16.5">
      <c r="A271" s="1410"/>
      <c r="B271" s="1410"/>
      <c r="C271" s="1410"/>
      <c r="D271" s="1410"/>
      <c r="E271" s="1410"/>
      <c r="F271" s="1410"/>
      <c r="G271" s="1410"/>
      <c r="H271" s="1410"/>
      <c r="I271" s="1410"/>
      <c r="J271" s="1410"/>
    </row>
    <row r="272" spans="1:10" ht="16.5">
      <c r="A272" s="1410"/>
      <c r="B272" s="1410"/>
      <c r="C272" s="1410"/>
      <c r="D272" s="1410"/>
      <c r="E272" s="1410"/>
      <c r="F272" s="1410"/>
      <c r="G272" s="1410"/>
      <c r="H272" s="1410"/>
      <c r="I272" s="1410"/>
      <c r="J272" s="1410"/>
    </row>
    <row r="273" spans="1:10" ht="16.5">
      <c r="A273" s="1410"/>
      <c r="B273" s="1410"/>
      <c r="C273" s="1410"/>
      <c r="D273" s="1410"/>
      <c r="E273" s="1410"/>
      <c r="F273" s="1410"/>
      <c r="G273" s="1410"/>
      <c r="H273" s="1410"/>
      <c r="I273" s="1410"/>
      <c r="J273" s="1410"/>
    </row>
    <row r="274" spans="1:10" ht="16.5">
      <c r="A274" s="1410"/>
      <c r="B274" s="1410"/>
      <c r="C274" s="1410"/>
      <c r="D274" s="1410"/>
      <c r="E274" s="1410"/>
      <c r="F274" s="1410"/>
      <c r="G274" s="1410"/>
      <c r="H274" s="1410"/>
      <c r="I274" s="1410"/>
      <c r="J274" s="1410"/>
    </row>
    <row r="275" spans="1:10" ht="16.5">
      <c r="A275" s="1410"/>
      <c r="B275" s="1410"/>
      <c r="C275" s="1410"/>
      <c r="D275" s="1410"/>
      <c r="E275" s="1410"/>
      <c r="F275" s="1410"/>
      <c r="G275" s="1410"/>
      <c r="H275" s="1410"/>
      <c r="I275" s="1410"/>
      <c r="J275" s="1410"/>
    </row>
    <row r="276" spans="1:10" ht="16.5">
      <c r="A276" s="1410"/>
      <c r="B276" s="1410"/>
      <c r="C276" s="1410"/>
      <c r="D276" s="1410"/>
      <c r="E276" s="1410"/>
      <c r="F276" s="1410"/>
      <c r="G276" s="1410"/>
      <c r="H276" s="1410"/>
      <c r="I276" s="1410"/>
      <c r="J276" s="1410"/>
    </row>
    <row r="277" spans="1:10" ht="16.5">
      <c r="A277" s="1410"/>
      <c r="B277" s="1410"/>
      <c r="C277" s="1410"/>
      <c r="D277" s="1410"/>
      <c r="E277" s="1410"/>
      <c r="F277" s="1410"/>
      <c r="G277" s="1410"/>
      <c r="H277" s="1410"/>
      <c r="I277" s="1410"/>
      <c r="J277" s="1410"/>
    </row>
    <row r="278" spans="1:10" ht="16.5">
      <c r="A278" s="1410"/>
      <c r="B278" s="1410"/>
      <c r="C278" s="1410"/>
      <c r="D278" s="1410"/>
      <c r="E278" s="1410"/>
      <c r="F278" s="1410"/>
      <c r="G278" s="1410"/>
      <c r="H278" s="1410"/>
      <c r="I278" s="1410"/>
      <c r="J278" s="1410"/>
    </row>
    <row r="279" spans="1:10" ht="16.5">
      <c r="A279" s="1410"/>
      <c r="B279" s="1410"/>
      <c r="C279" s="1410"/>
      <c r="D279" s="1410"/>
      <c r="E279" s="1410"/>
      <c r="F279" s="1410"/>
      <c r="G279" s="1410"/>
      <c r="H279" s="1410"/>
      <c r="I279" s="1410"/>
      <c r="J279" s="1410"/>
    </row>
    <row r="280" spans="1:10" ht="16.5">
      <c r="A280" s="1410"/>
      <c r="B280" s="1410"/>
      <c r="C280" s="1410"/>
      <c r="D280" s="1410"/>
      <c r="E280" s="1410"/>
      <c r="F280" s="1410"/>
      <c r="G280" s="1410"/>
      <c r="H280" s="1410"/>
      <c r="I280" s="1410"/>
      <c r="J280" s="1410"/>
    </row>
    <row r="281" spans="1:10" ht="16.5">
      <c r="A281" s="1410"/>
      <c r="B281" s="1410"/>
      <c r="C281" s="1410"/>
      <c r="D281" s="1410"/>
      <c r="E281" s="1410"/>
      <c r="F281" s="1410"/>
      <c r="G281" s="1410"/>
      <c r="H281" s="1410"/>
      <c r="I281" s="1410"/>
      <c r="J281" s="1410"/>
    </row>
    <row r="282" spans="1:10" ht="16.5">
      <c r="A282" s="1410"/>
      <c r="B282" s="1410"/>
      <c r="C282" s="1410"/>
      <c r="D282" s="1410"/>
      <c r="E282" s="1410"/>
      <c r="F282" s="1410"/>
      <c r="G282" s="1410"/>
      <c r="H282" s="1410"/>
      <c r="I282" s="1410"/>
      <c r="J282" s="1410"/>
    </row>
    <row r="283" spans="1:10" ht="16.5">
      <c r="A283" s="1410"/>
      <c r="B283" s="1410"/>
      <c r="C283" s="1410"/>
      <c r="D283" s="1410"/>
      <c r="E283" s="1410"/>
      <c r="F283" s="1410"/>
      <c r="G283" s="1410"/>
      <c r="H283" s="1410"/>
      <c r="I283" s="1410"/>
      <c r="J283" s="1410"/>
    </row>
    <row r="284" spans="1:10" ht="16.5">
      <c r="A284" s="1410"/>
      <c r="B284" s="1410"/>
      <c r="C284" s="1410"/>
      <c r="D284" s="1410"/>
      <c r="E284" s="1410"/>
      <c r="F284" s="1410"/>
      <c r="G284" s="1410"/>
      <c r="H284" s="1410"/>
      <c r="I284" s="1410"/>
      <c r="J284" s="1410"/>
    </row>
    <row r="285" spans="1:10" ht="16.5">
      <c r="A285" s="1410"/>
      <c r="B285" s="1410"/>
      <c r="C285" s="1410"/>
      <c r="D285" s="1410"/>
      <c r="E285" s="1410"/>
      <c r="F285" s="1410"/>
      <c r="G285" s="1410"/>
      <c r="H285" s="1410"/>
      <c r="I285" s="1410"/>
      <c r="J285" s="1410"/>
    </row>
    <row r="286" spans="1:10" ht="16.5">
      <c r="A286" s="1410"/>
      <c r="B286" s="1410"/>
      <c r="C286" s="1410"/>
      <c r="D286" s="1410"/>
      <c r="E286" s="1410"/>
      <c r="F286" s="1410"/>
      <c r="G286" s="1410"/>
      <c r="H286" s="1410"/>
      <c r="I286" s="1410"/>
      <c r="J286" s="1410"/>
    </row>
    <row r="287" spans="1:10" ht="16.5">
      <c r="A287" s="1410"/>
      <c r="B287" s="1410"/>
      <c r="C287" s="1410"/>
      <c r="D287" s="1410"/>
      <c r="E287" s="1410"/>
      <c r="F287" s="1410"/>
      <c r="G287" s="1410"/>
      <c r="H287" s="1410"/>
      <c r="I287" s="1410"/>
      <c r="J287" s="1410"/>
    </row>
    <row r="288" spans="1:10" ht="16.5">
      <c r="A288" s="1410"/>
      <c r="B288" s="1410"/>
      <c r="C288" s="1410"/>
      <c r="D288" s="1410"/>
      <c r="E288" s="1410"/>
      <c r="F288" s="1410"/>
      <c r="G288" s="1410"/>
      <c r="H288" s="1410"/>
      <c r="I288" s="1410"/>
      <c r="J288" s="1410"/>
    </row>
    <row r="289" spans="1:10" ht="16.5">
      <c r="A289" s="1410"/>
      <c r="B289" s="1410"/>
      <c r="C289" s="1410"/>
      <c r="D289" s="1410"/>
      <c r="E289" s="1410"/>
      <c r="F289" s="1410"/>
      <c r="G289" s="1410"/>
      <c r="H289" s="1410"/>
      <c r="I289" s="1410"/>
      <c r="J289" s="1410"/>
    </row>
    <row r="290" spans="1:10" ht="16.5">
      <c r="A290" s="1410"/>
      <c r="B290" s="1410"/>
      <c r="C290" s="1410"/>
      <c r="D290" s="1410"/>
      <c r="E290" s="1410"/>
      <c r="F290" s="1410"/>
      <c r="G290" s="1410"/>
      <c r="H290" s="1410"/>
      <c r="I290" s="1410"/>
      <c r="J290" s="1410"/>
    </row>
    <row r="291" spans="1:10" ht="16.5">
      <c r="A291" s="1410"/>
      <c r="B291" s="1410"/>
      <c r="C291" s="1410"/>
      <c r="D291" s="1410"/>
      <c r="E291" s="1410"/>
      <c r="F291" s="1410"/>
      <c r="G291" s="1410"/>
      <c r="H291" s="1410"/>
      <c r="I291" s="1410"/>
      <c r="J291" s="1410"/>
    </row>
    <row r="292" spans="1:10" ht="16.5">
      <c r="A292" s="1410"/>
      <c r="B292" s="1410"/>
      <c r="C292" s="1410"/>
      <c r="D292" s="1410"/>
      <c r="E292" s="1410"/>
      <c r="F292" s="1410"/>
      <c r="G292" s="1410"/>
      <c r="H292" s="1410"/>
      <c r="I292" s="1410"/>
      <c r="J292" s="1410"/>
    </row>
    <row r="293" spans="1:10" ht="16.5">
      <c r="A293" s="1410"/>
      <c r="B293" s="1410"/>
      <c r="C293" s="1410"/>
      <c r="D293" s="1410"/>
      <c r="E293" s="1410"/>
      <c r="F293" s="1410"/>
      <c r="G293" s="1410"/>
      <c r="H293" s="1410"/>
      <c r="I293" s="1410"/>
      <c r="J293" s="1410"/>
    </row>
    <row r="294" spans="1:10" ht="16.5">
      <c r="A294" s="1410"/>
      <c r="B294" s="1410"/>
      <c r="C294" s="1410"/>
      <c r="D294" s="1410"/>
      <c r="E294" s="1410"/>
      <c r="F294" s="1410"/>
      <c r="G294" s="1410"/>
      <c r="H294" s="1410"/>
      <c r="I294" s="1410"/>
      <c r="J294" s="1410"/>
    </row>
    <row r="295" spans="1:10" ht="16.5">
      <c r="A295" s="1410"/>
      <c r="B295" s="1410"/>
      <c r="C295" s="1410"/>
      <c r="D295" s="1410"/>
      <c r="E295" s="1410"/>
      <c r="F295" s="1410"/>
      <c r="G295" s="1410"/>
      <c r="H295" s="1410"/>
      <c r="I295" s="1410"/>
      <c r="J295" s="1410"/>
    </row>
    <row r="296" spans="1:10" ht="16.5">
      <c r="A296" s="1410"/>
      <c r="B296" s="1410"/>
      <c r="C296" s="1410"/>
      <c r="D296" s="1410"/>
      <c r="E296" s="1410"/>
      <c r="F296" s="1410"/>
      <c r="G296" s="1410"/>
      <c r="H296" s="1410"/>
      <c r="I296" s="1410"/>
      <c r="J296" s="1410"/>
    </row>
    <row r="297" spans="1:10" ht="16.5">
      <c r="A297" s="1410"/>
      <c r="B297" s="1410"/>
      <c r="C297" s="1410"/>
      <c r="D297" s="1410"/>
      <c r="E297" s="1410"/>
      <c r="F297" s="1410"/>
      <c r="G297" s="1410"/>
      <c r="H297" s="1410"/>
      <c r="I297" s="1410"/>
      <c r="J297" s="1410"/>
    </row>
    <row r="298" spans="1:10" ht="16.5">
      <c r="A298" s="1410"/>
      <c r="B298" s="1410"/>
      <c r="C298" s="1410"/>
      <c r="D298" s="1410"/>
      <c r="E298" s="1410"/>
      <c r="F298" s="1410"/>
      <c r="G298" s="1410"/>
      <c r="H298" s="1410"/>
      <c r="I298" s="1410"/>
      <c r="J298" s="1410"/>
    </row>
    <row r="299" spans="1:10" ht="16.5">
      <c r="A299" s="1410"/>
      <c r="B299" s="1410"/>
      <c r="C299" s="1410"/>
      <c r="D299" s="1410"/>
      <c r="E299" s="1410"/>
      <c r="F299" s="1410"/>
      <c r="G299" s="1410"/>
      <c r="H299" s="1410"/>
      <c r="I299" s="1410"/>
      <c r="J299" s="1410"/>
    </row>
    <row r="300" spans="1:10" ht="16.5">
      <c r="A300" s="1410"/>
      <c r="B300" s="1410"/>
      <c r="C300" s="1410"/>
      <c r="D300" s="1410"/>
      <c r="E300" s="1410"/>
      <c r="F300" s="1410"/>
      <c r="G300" s="1410"/>
      <c r="H300" s="1410"/>
      <c r="I300" s="1410"/>
      <c r="J300" s="1410"/>
    </row>
    <row r="301" spans="1:10" ht="16.5">
      <c r="A301" s="1410"/>
      <c r="B301" s="1410"/>
      <c r="C301" s="1410"/>
      <c r="D301" s="1410"/>
      <c r="E301" s="1410"/>
      <c r="F301" s="1410"/>
      <c r="G301" s="1410"/>
      <c r="H301" s="1410"/>
      <c r="I301" s="1410"/>
      <c r="J301" s="1410"/>
    </row>
    <row r="302" spans="1:10" ht="16.5">
      <c r="A302" s="1410"/>
      <c r="B302" s="1410"/>
      <c r="C302" s="1410"/>
      <c r="D302" s="1410"/>
      <c r="E302" s="1410"/>
      <c r="F302" s="1410"/>
      <c r="G302" s="1410"/>
      <c r="H302" s="1410"/>
      <c r="I302" s="1410"/>
      <c r="J302" s="1410"/>
    </row>
    <row r="303" spans="1:10" ht="16.5">
      <c r="A303" s="1410"/>
      <c r="B303" s="1410"/>
      <c r="C303" s="1410"/>
      <c r="D303" s="1410"/>
      <c r="E303" s="1410"/>
      <c r="F303" s="1410"/>
      <c r="G303" s="1410"/>
      <c r="H303" s="1410"/>
      <c r="I303" s="1410"/>
      <c r="J303" s="1410"/>
    </row>
    <row r="304" spans="1:10" ht="16.5">
      <c r="A304" s="1410"/>
      <c r="B304" s="1410"/>
      <c r="C304" s="1410"/>
      <c r="D304" s="1410"/>
      <c r="E304" s="1410"/>
      <c r="F304" s="1410"/>
      <c r="G304" s="1410"/>
      <c r="H304" s="1410"/>
      <c r="I304" s="1410"/>
      <c r="J304" s="1410"/>
    </row>
    <row r="305" spans="1:10" ht="16.5">
      <c r="A305" s="1410"/>
      <c r="B305" s="1410"/>
      <c r="C305" s="1410"/>
      <c r="D305" s="1410"/>
      <c r="E305" s="1410"/>
      <c r="F305" s="1410"/>
      <c r="G305" s="1410"/>
      <c r="H305" s="1410"/>
      <c r="I305" s="1410"/>
      <c r="J305" s="1410"/>
    </row>
    <row r="306" spans="1:10" ht="16.5">
      <c r="A306" s="1410"/>
      <c r="B306" s="1410"/>
      <c r="C306" s="1410"/>
      <c r="D306" s="1410"/>
      <c r="E306" s="1410"/>
      <c r="F306" s="1410"/>
      <c r="G306" s="1410"/>
      <c r="H306" s="1410"/>
      <c r="I306" s="1410"/>
      <c r="J306" s="1410"/>
    </row>
    <row r="307" spans="1:10" ht="16.5">
      <c r="A307" s="1410"/>
      <c r="B307" s="1410"/>
      <c r="C307" s="1410"/>
      <c r="D307" s="1410"/>
      <c r="E307" s="1410"/>
      <c r="F307" s="1410"/>
      <c r="G307" s="1410"/>
      <c r="H307" s="1410"/>
      <c r="I307" s="1410"/>
      <c r="J307" s="1410"/>
    </row>
    <row r="308" spans="1:10" ht="16.5">
      <c r="A308" s="1410"/>
      <c r="B308" s="1410"/>
      <c r="C308" s="1410"/>
      <c r="D308" s="1410"/>
      <c r="E308" s="1410"/>
      <c r="F308" s="1410"/>
      <c r="G308" s="1410"/>
      <c r="H308" s="1410"/>
      <c r="I308" s="1410"/>
      <c r="J308" s="1410"/>
    </row>
    <row r="309" spans="1:10" ht="16.5">
      <c r="A309" s="1410"/>
      <c r="B309" s="1410"/>
      <c r="C309" s="1410"/>
      <c r="D309" s="1410"/>
      <c r="E309" s="1410"/>
      <c r="F309" s="1410"/>
      <c r="G309" s="1410"/>
      <c r="H309" s="1410"/>
      <c r="I309" s="1410"/>
      <c r="J309" s="1410"/>
    </row>
    <row r="310" spans="1:10" ht="16.5">
      <c r="A310" s="1410"/>
      <c r="B310" s="1410"/>
      <c r="C310" s="1410"/>
      <c r="D310" s="1410"/>
      <c r="E310" s="1410"/>
      <c r="F310" s="1410"/>
      <c r="G310" s="1410"/>
      <c r="H310" s="1410"/>
      <c r="I310" s="1410"/>
      <c r="J310" s="1410"/>
    </row>
    <row r="311" spans="1:10" ht="16.5">
      <c r="A311" s="1410"/>
      <c r="B311" s="1410"/>
      <c r="C311" s="1410"/>
      <c r="D311" s="1410"/>
      <c r="E311" s="1410"/>
      <c r="F311" s="1410"/>
      <c r="G311" s="1410"/>
      <c r="H311" s="1410"/>
      <c r="I311" s="1410"/>
      <c r="J311" s="1410"/>
    </row>
    <row r="312" spans="1:10" ht="16.5">
      <c r="A312" s="1410"/>
      <c r="B312" s="1410"/>
      <c r="C312" s="1410"/>
      <c r="D312" s="1410"/>
      <c r="E312" s="1410"/>
      <c r="F312" s="1410"/>
      <c r="G312" s="1410"/>
      <c r="H312" s="1410"/>
      <c r="I312" s="1410"/>
      <c r="J312" s="1410"/>
    </row>
    <row r="313" spans="1:10" ht="16.5">
      <c r="A313" s="1410"/>
      <c r="B313" s="1410"/>
      <c r="C313" s="1410"/>
      <c r="D313" s="1410"/>
      <c r="E313" s="1410"/>
      <c r="F313" s="1410"/>
      <c r="G313" s="1410"/>
      <c r="H313" s="1410"/>
      <c r="I313" s="1410"/>
      <c r="J313" s="1410"/>
    </row>
    <row r="314" spans="1:10" ht="16.5">
      <c r="A314" s="1410"/>
      <c r="B314" s="1410"/>
      <c r="C314" s="1410"/>
      <c r="D314" s="1410"/>
      <c r="E314" s="1410"/>
      <c r="F314" s="1410"/>
      <c r="G314" s="1410"/>
      <c r="H314" s="1410"/>
      <c r="I314" s="1410"/>
      <c r="J314" s="1410"/>
    </row>
    <row r="315" spans="1:10" ht="16.5">
      <c r="A315" s="1410"/>
      <c r="B315" s="1410"/>
      <c r="C315" s="1410"/>
      <c r="D315" s="1410"/>
      <c r="E315" s="1410"/>
      <c r="F315" s="1410"/>
      <c r="G315" s="1410"/>
      <c r="H315" s="1410"/>
      <c r="I315" s="1410"/>
      <c r="J315" s="1410"/>
    </row>
    <row r="316" spans="1:10" ht="16.5">
      <c r="A316" s="1410"/>
      <c r="B316" s="1410"/>
      <c r="C316" s="1410"/>
      <c r="D316" s="1410"/>
      <c r="E316" s="1410"/>
      <c r="F316" s="1410"/>
      <c r="G316" s="1410"/>
      <c r="H316" s="1410"/>
      <c r="I316" s="1410"/>
      <c r="J316" s="1410"/>
    </row>
    <row r="317" spans="1:10" ht="16.5">
      <c r="A317" s="1410"/>
      <c r="B317" s="1410"/>
      <c r="C317" s="1410"/>
      <c r="D317" s="1410"/>
      <c r="E317" s="1410"/>
      <c r="F317" s="1410"/>
      <c r="G317" s="1410"/>
      <c r="H317" s="1410"/>
      <c r="I317" s="1410"/>
      <c r="J317" s="1410"/>
    </row>
    <row r="318" spans="1:10" ht="16.5">
      <c r="A318" s="1410"/>
      <c r="B318" s="1410"/>
      <c r="C318" s="1410"/>
      <c r="D318" s="1410"/>
      <c r="E318" s="1410"/>
      <c r="F318" s="1410"/>
      <c r="G318" s="1410"/>
      <c r="H318" s="1410"/>
      <c r="I318" s="1410"/>
      <c r="J318" s="1410"/>
    </row>
    <row r="319" spans="1:10" ht="16.5">
      <c r="A319" s="1410"/>
      <c r="B319" s="1410"/>
      <c r="C319" s="1410"/>
      <c r="D319" s="1410"/>
      <c r="E319" s="1410"/>
      <c r="F319" s="1410"/>
      <c r="G319" s="1410"/>
      <c r="H319" s="1410"/>
      <c r="I319" s="1410"/>
      <c r="J319" s="1410"/>
    </row>
    <row r="320" spans="1:10" ht="16.5">
      <c r="A320" s="1410"/>
      <c r="B320" s="1410"/>
      <c r="C320" s="1410"/>
      <c r="D320" s="1410"/>
      <c r="E320" s="1410"/>
      <c r="F320" s="1410"/>
      <c r="G320" s="1410"/>
      <c r="H320" s="1410"/>
      <c r="I320" s="1410"/>
      <c r="J320" s="1410"/>
    </row>
    <row r="321" spans="1:10" ht="16.5">
      <c r="A321" s="1410"/>
      <c r="B321" s="1410"/>
      <c r="C321" s="1410"/>
      <c r="D321" s="1410"/>
      <c r="E321" s="1410"/>
      <c r="F321" s="1410"/>
      <c r="G321" s="1410"/>
      <c r="H321" s="1410"/>
      <c r="I321" s="1410"/>
      <c r="J321" s="1410"/>
    </row>
    <row r="322" spans="1:10" ht="16.5">
      <c r="A322" s="1410"/>
      <c r="B322" s="1410"/>
      <c r="C322" s="1410"/>
      <c r="D322" s="1410"/>
      <c r="E322" s="1410"/>
      <c r="F322" s="1410"/>
      <c r="G322" s="1410"/>
      <c r="H322" s="1410"/>
      <c r="I322" s="1410"/>
      <c r="J322" s="1410"/>
    </row>
    <row r="323" spans="1:10" ht="16.5">
      <c r="A323" s="1410"/>
      <c r="B323" s="1410"/>
      <c r="C323" s="1410"/>
      <c r="D323" s="1410"/>
      <c r="E323" s="1410"/>
      <c r="F323" s="1410"/>
      <c r="G323" s="1410"/>
      <c r="H323" s="1410"/>
      <c r="I323" s="1410"/>
      <c r="J323" s="1410"/>
    </row>
    <row r="324" spans="1:10" ht="16.5">
      <c r="A324" s="1410"/>
      <c r="B324" s="1410"/>
      <c r="C324" s="1410"/>
      <c r="D324" s="1410"/>
      <c r="E324" s="1410"/>
      <c r="F324" s="1410"/>
      <c r="G324" s="1410"/>
      <c r="H324" s="1410"/>
      <c r="I324" s="1410"/>
      <c r="J324" s="1410"/>
    </row>
    <row r="325" spans="1:10" ht="16.5">
      <c r="A325" s="1410"/>
      <c r="B325" s="1410"/>
      <c r="C325" s="1410"/>
      <c r="D325" s="1410"/>
      <c r="E325" s="1410"/>
      <c r="F325" s="1410"/>
      <c r="G325" s="1410"/>
      <c r="H325" s="1410"/>
      <c r="I325" s="1410"/>
      <c r="J325" s="1410"/>
    </row>
    <row r="326" spans="1:10" ht="16.5">
      <c r="A326" s="1410"/>
      <c r="B326" s="1410"/>
      <c r="C326" s="1410"/>
      <c r="D326" s="1410"/>
      <c r="E326" s="1410"/>
      <c r="F326" s="1410"/>
      <c r="G326" s="1410"/>
      <c r="H326" s="1410"/>
      <c r="I326" s="1410"/>
      <c r="J326" s="1410"/>
    </row>
    <row r="327" spans="1:10" ht="16.5">
      <c r="A327" s="1410"/>
      <c r="B327" s="1410"/>
      <c r="C327" s="1410"/>
      <c r="D327" s="1410"/>
      <c r="E327" s="1410"/>
      <c r="F327" s="1410"/>
      <c r="G327" s="1410"/>
      <c r="H327" s="1410"/>
      <c r="I327" s="1410"/>
      <c r="J327" s="1410"/>
    </row>
    <row r="328" spans="1:10" ht="16.5">
      <c r="A328" s="1410"/>
      <c r="B328" s="1410"/>
      <c r="C328" s="1410"/>
      <c r="D328" s="1410"/>
      <c r="E328" s="1410"/>
      <c r="F328" s="1410"/>
      <c r="G328" s="1410"/>
      <c r="H328" s="1410"/>
      <c r="I328" s="1410"/>
      <c r="J328" s="1410"/>
    </row>
    <row r="329" spans="1:10" ht="16.5">
      <c r="A329" s="1410"/>
      <c r="B329" s="1410"/>
      <c r="C329" s="1410"/>
      <c r="D329" s="1410"/>
      <c r="E329" s="1410"/>
      <c r="F329" s="1410"/>
      <c r="G329" s="1410"/>
      <c r="H329" s="1410"/>
      <c r="I329" s="1410"/>
      <c r="J329" s="1410"/>
    </row>
    <row r="330" spans="1:10" ht="16.5">
      <c r="A330" s="1410"/>
      <c r="B330" s="1410"/>
      <c r="C330" s="1410"/>
      <c r="D330" s="1410"/>
      <c r="E330" s="1410"/>
      <c r="F330" s="1410"/>
      <c r="G330" s="1410"/>
      <c r="H330" s="1410"/>
      <c r="I330" s="1410"/>
      <c r="J330" s="1410"/>
    </row>
    <row r="331" spans="1:10" ht="16.5">
      <c r="A331" s="1410"/>
      <c r="B331" s="1410"/>
      <c r="C331" s="1410"/>
      <c r="D331" s="1410"/>
      <c r="E331" s="1410"/>
      <c r="F331" s="1410"/>
      <c r="G331" s="1410"/>
      <c r="H331" s="1410"/>
      <c r="I331" s="1410"/>
      <c r="J331" s="1410"/>
    </row>
    <row r="332" spans="1:10" ht="16.5">
      <c r="A332" s="1410"/>
      <c r="B332" s="1410"/>
      <c r="C332" s="1410"/>
      <c r="D332" s="1410"/>
      <c r="E332" s="1410"/>
      <c r="F332" s="1410"/>
      <c r="G332" s="1410"/>
      <c r="H332" s="1410"/>
      <c r="I332" s="1410"/>
      <c r="J332" s="1410"/>
    </row>
    <row r="333" spans="1:10" ht="16.5">
      <c r="A333" s="1410"/>
      <c r="B333" s="1410"/>
      <c r="C333" s="1410"/>
      <c r="D333" s="1410"/>
      <c r="E333" s="1410"/>
      <c r="F333" s="1410"/>
      <c r="G333" s="1410"/>
      <c r="H333" s="1410"/>
      <c r="I333" s="1410"/>
      <c r="J333" s="1410"/>
    </row>
    <row r="334" spans="1:10" ht="16.5">
      <c r="A334" s="1410"/>
      <c r="B334" s="1410"/>
      <c r="C334" s="1410"/>
      <c r="D334" s="1410"/>
      <c r="E334" s="1410"/>
      <c r="F334" s="1410"/>
      <c r="G334" s="1410"/>
      <c r="H334" s="1410"/>
      <c r="I334" s="1410"/>
      <c r="J334" s="1410"/>
    </row>
    <row r="335" spans="1:10" ht="16.5">
      <c r="A335" s="1410"/>
      <c r="B335" s="1410"/>
      <c r="C335" s="1410"/>
      <c r="D335" s="1410"/>
      <c r="E335" s="1410"/>
      <c r="F335" s="1410"/>
      <c r="G335" s="1410"/>
      <c r="H335" s="1410"/>
      <c r="I335" s="1410"/>
      <c r="J335" s="1410"/>
    </row>
    <row r="336" spans="1:10" ht="16.5">
      <c r="A336" s="1410"/>
      <c r="B336" s="1410"/>
      <c r="C336" s="1410"/>
      <c r="D336" s="1410"/>
      <c r="E336" s="1410"/>
      <c r="F336" s="1410"/>
      <c r="G336" s="1410"/>
      <c r="H336" s="1410"/>
      <c r="I336" s="1410"/>
      <c r="J336" s="1410"/>
    </row>
    <row r="337" spans="1:10" ht="16.5">
      <c r="A337" s="1410"/>
      <c r="B337" s="1410"/>
      <c r="C337" s="1410"/>
      <c r="D337" s="1410"/>
      <c r="E337" s="1410"/>
      <c r="F337" s="1410"/>
      <c r="G337" s="1410"/>
      <c r="H337" s="1410"/>
      <c r="I337" s="1410"/>
      <c r="J337" s="1410"/>
    </row>
    <row r="338" spans="1:10" ht="16.5">
      <c r="A338" s="1410"/>
      <c r="B338" s="1410"/>
      <c r="C338" s="1410"/>
      <c r="D338" s="1410"/>
      <c r="E338" s="1410"/>
      <c r="F338" s="1410"/>
      <c r="G338" s="1410"/>
      <c r="H338" s="1410"/>
      <c r="I338" s="1410"/>
      <c r="J338" s="1410"/>
    </row>
    <row r="339" spans="1:10" ht="16.5">
      <c r="A339" s="1410"/>
      <c r="B339" s="1410"/>
      <c r="C339" s="1410"/>
      <c r="D339" s="1410"/>
      <c r="E339" s="1410"/>
      <c r="F339" s="1410"/>
      <c r="G339" s="1410"/>
      <c r="H339" s="1410"/>
      <c r="I339" s="1410"/>
      <c r="J339" s="1410"/>
    </row>
    <row r="340" spans="1:10" ht="16.5">
      <c r="A340" s="1410"/>
      <c r="B340" s="1410"/>
      <c r="C340" s="1410"/>
      <c r="D340" s="1410"/>
      <c r="E340" s="1410"/>
      <c r="F340" s="1410"/>
      <c r="G340" s="1410"/>
      <c r="H340" s="1410"/>
      <c r="I340" s="1410"/>
      <c r="J340" s="1410"/>
    </row>
    <row r="341" spans="1:10" ht="16.5">
      <c r="A341" s="1410"/>
      <c r="B341" s="1410"/>
      <c r="C341" s="1410"/>
      <c r="D341" s="1410"/>
      <c r="E341" s="1410"/>
      <c r="F341" s="1410"/>
      <c r="G341" s="1410"/>
      <c r="H341" s="1410"/>
      <c r="I341" s="1410"/>
      <c r="J341" s="1410"/>
    </row>
    <row r="342" spans="1:10" ht="16.5">
      <c r="A342" s="1410"/>
      <c r="B342" s="1410"/>
      <c r="C342" s="1410"/>
      <c r="D342" s="1410"/>
      <c r="E342" s="1410"/>
      <c r="F342" s="1410"/>
      <c r="G342" s="1410"/>
      <c r="H342" s="1410"/>
      <c r="I342" s="1410"/>
      <c r="J342" s="1410"/>
    </row>
    <row r="343" spans="1:10" ht="16.5">
      <c r="A343" s="1410"/>
      <c r="B343" s="1410"/>
      <c r="C343" s="1410"/>
      <c r="D343" s="1410"/>
      <c r="E343" s="1410"/>
      <c r="F343" s="1410"/>
      <c r="G343" s="1410"/>
      <c r="H343" s="1410"/>
      <c r="I343" s="1410"/>
      <c r="J343" s="1410"/>
    </row>
    <row r="344" spans="1:10" ht="16.5">
      <c r="A344" s="1410"/>
      <c r="B344" s="1410"/>
      <c r="C344" s="1410"/>
      <c r="D344" s="1410"/>
      <c r="E344" s="1410"/>
      <c r="F344" s="1410"/>
      <c r="G344" s="1410"/>
      <c r="H344" s="1410"/>
      <c r="I344" s="1410"/>
      <c r="J344" s="1410"/>
    </row>
    <row r="345" spans="1:10" ht="16.5">
      <c r="A345" s="1410"/>
      <c r="B345" s="1410"/>
      <c r="C345" s="1410"/>
      <c r="D345" s="1410"/>
      <c r="E345" s="1410"/>
      <c r="F345" s="1410"/>
      <c r="G345" s="1410"/>
      <c r="H345" s="1410"/>
      <c r="I345" s="1410"/>
      <c r="J345" s="1410"/>
    </row>
    <row r="346" spans="1:10" ht="16.5">
      <c r="A346" s="1410"/>
      <c r="B346" s="1410"/>
      <c r="C346" s="1410"/>
      <c r="D346" s="1410"/>
      <c r="E346" s="1410"/>
      <c r="F346" s="1410"/>
      <c r="G346" s="1410"/>
      <c r="H346" s="1410"/>
      <c r="I346" s="1410"/>
      <c r="J346" s="1410"/>
    </row>
    <row r="347" spans="1:10" ht="16.5">
      <c r="A347" s="1410"/>
      <c r="B347" s="1410"/>
      <c r="C347" s="1410"/>
      <c r="D347" s="1410"/>
      <c r="E347" s="1410"/>
      <c r="F347" s="1410"/>
      <c r="G347" s="1410"/>
      <c r="H347" s="1410"/>
      <c r="I347" s="1410"/>
      <c r="J347" s="1410"/>
    </row>
    <row r="348" spans="1:10" ht="16.5">
      <c r="A348" s="1410"/>
      <c r="B348" s="1410"/>
      <c r="C348" s="1410"/>
      <c r="D348" s="1410"/>
      <c r="E348" s="1410"/>
      <c r="F348" s="1410"/>
      <c r="G348" s="1410"/>
      <c r="H348" s="1410"/>
      <c r="I348" s="1410"/>
      <c r="J348" s="1410"/>
    </row>
    <row r="349" spans="1:10" ht="16.5">
      <c r="A349" s="1410"/>
      <c r="B349" s="1410"/>
      <c r="C349" s="1410"/>
      <c r="D349" s="1410"/>
      <c r="E349" s="1410"/>
      <c r="F349" s="1410"/>
      <c r="G349" s="1410"/>
      <c r="H349" s="1410"/>
      <c r="I349" s="1410"/>
      <c r="J349" s="1410"/>
    </row>
    <row r="350" spans="1:10" ht="16.5">
      <c r="A350" s="1410"/>
      <c r="B350" s="1410"/>
      <c r="C350" s="1410"/>
      <c r="D350" s="1410"/>
      <c r="E350" s="1410"/>
      <c r="F350" s="1410"/>
      <c r="G350" s="1410"/>
      <c r="H350" s="1410"/>
      <c r="I350" s="1410"/>
      <c r="J350" s="1410"/>
    </row>
    <row r="351" spans="1:10" ht="16.5">
      <c r="A351" s="1410"/>
      <c r="B351" s="1410"/>
      <c r="C351" s="1410"/>
      <c r="D351" s="1410"/>
      <c r="E351" s="1410"/>
      <c r="F351" s="1410"/>
      <c r="G351" s="1410"/>
      <c r="H351" s="1410"/>
      <c r="I351" s="1410"/>
      <c r="J351" s="1410"/>
    </row>
    <row r="352" spans="1:10" ht="16.5">
      <c r="A352" s="1410"/>
      <c r="B352" s="1410"/>
      <c r="C352" s="1410"/>
      <c r="D352" s="1410"/>
      <c r="E352" s="1410"/>
      <c r="F352" s="1410"/>
      <c r="G352" s="1410"/>
      <c r="H352" s="1410"/>
      <c r="I352" s="1410"/>
      <c r="J352" s="1410"/>
    </row>
    <row r="353" spans="1:10" ht="16.5">
      <c r="A353" s="1410"/>
      <c r="B353" s="1410"/>
      <c r="C353" s="1410"/>
      <c r="D353" s="1410"/>
      <c r="E353" s="1410"/>
      <c r="F353" s="1410"/>
      <c r="G353" s="1410"/>
      <c r="H353" s="1410"/>
      <c r="I353" s="1410"/>
      <c r="J353" s="1410"/>
    </row>
    <row r="354" spans="1:10" ht="16.5">
      <c r="A354" s="1410"/>
      <c r="B354" s="1410"/>
      <c r="C354" s="1410"/>
      <c r="D354" s="1410"/>
      <c r="E354" s="1410"/>
      <c r="F354" s="1410"/>
      <c r="G354" s="1410"/>
      <c r="H354" s="1410"/>
      <c r="I354" s="1410"/>
      <c r="J354" s="1410"/>
    </row>
    <row r="355" spans="1:10" ht="16.5">
      <c r="A355" s="1410"/>
      <c r="B355" s="1410"/>
      <c r="C355" s="1410"/>
      <c r="D355" s="1410"/>
      <c r="E355" s="1410"/>
      <c r="F355" s="1410"/>
      <c r="G355" s="1410"/>
      <c r="H355" s="1410"/>
      <c r="I355" s="1410"/>
      <c r="J355" s="1410"/>
    </row>
    <row r="356" spans="1:10" ht="16.5">
      <c r="A356" s="1410"/>
      <c r="B356" s="1410"/>
      <c r="C356" s="1410"/>
      <c r="D356" s="1410"/>
      <c r="E356" s="1410"/>
      <c r="F356" s="1410"/>
      <c r="G356" s="1410"/>
      <c r="H356" s="1410"/>
      <c r="I356" s="1410"/>
      <c r="J356" s="1410"/>
    </row>
    <row r="357" spans="1:10" ht="16.5">
      <c r="A357" s="1410"/>
      <c r="B357" s="1410"/>
      <c r="C357" s="1410"/>
      <c r="D357" s="1410"/>
      <c r="E357" s="1410"/>
      <c r="F357" s="1410"/>
      <c r="G357" s="1410"/>
      <c r="H357" s="1410"/>
      <c r="I357" s="1410"/>
      <c r="J357" s="1410"/>
    </row>
    <row r="358" spans="1:10" ht="16.5">
      <c r="A358" s="1410"/>
      <c r="B358" s="1410"/>
      <c r="C358" s="1410"/>
      <c r="D358" s="1410"/>
      <c r="E358" s="1410"/>
      <c r="F358" s="1410"/>
      <c r="G358" s="1410"/>
      <c r="H358" s="1410"/>
      <c r="I358" s="1410"/>
      <c r="J358" s="1410"/>
    </row>
    <row r="359" spans="1:10" ht="16.5">
      <c r="A359" s="1410"/>
      <c r="B359" s="1410"/>
      <c r="C359" s="1410"/>
      <c r="D359" s="1410"/>
      <c r="E359" s="1410"/>
      <c r="F359" s="1410"/>
      <c r="G359" s="1410"/>
      <c r="H359" s="1410"/>
      <c r="I359" s="1410"/>
      <c r="J359" s="1410"/>
    </row>
    <row r="360" spans="1:10" ht="16.5">
      <c r="A360" s="1410"/>
      <c r="B360" s="1410"/>
      <c r="C360" s="1410"/>
      <c r="D360" s="1410"/>
      <c r="E360" s="1410"/>
      <c r="F360" s="1410"/>
      <c r="G360" s="1410"/>
      <c r="H360" s="1410"/>
      <c r="I360" s="1410"/>
      <c r="J360" s="1410"/>
    </row>
    <row r="361" spans="1:10" ht="16.5">
      <c r="A361" s="1410"/>
      <c r="B361" s="1410"/>
      <c r="C361" s="1410"/>
      <c r="D361" s="1410"/>
      <c r="E361" s="1410"/>
      <c r="F361" s="1410"/>
      <c r="G361" s="1410"/>
      <c r="H361" s="1410"/>
      <c r="I361" s="1410"/>
      <c r="J361" s="1410"/>
    </row>
    <row r="362" spans="1:10" ht="16.5">
      <c r="A362" s="1410"/>
      <c r="B362" s="1410"/>
      <c r="C362" s="1410"/>
      <c r="D362" s="1410"/>
      <c r="E362" s="1410"/>
      <c r="F362" s="1410"/>
      <c r="G362" s="1410"/>
      <c r="H362" s="1410"/>
      <c r="I362" s="1410"/>
      <c r="J362" s="1410"/>
    </row>
    <row r="363" spans="1:10" ht="16.5">
      <c r="A363" s="1410"/>
      <c r="B363" s="1410"/>
      <c r="C363" s="1410"/>
      <c r="D363" s="1410"/>
      <c r="E363" s="1410"/>
      <c r="F363" s="1410"/>
      <c r="G363" s="1410"/>
      <c r="H363" s="1410"/>
      <c r="I363" s="1410"/>
      <c r="J363" s="1410"/>
    </row>
    <row r="364" spans="1:10" ht="16.5">
      <c r="A364" s="1410"/>
      <c r="B364" s="1410"/>
      <c r="C364" s="1410"/>
      <c r="D364" s="1410"/>
      <c r="E364" s="1410"/>
      <c r="F364" s="1410"/>
      <c r="G364" s="1410"/>
      <c r="H364" s="1410"/>
      <c r="I364" s="1410"/>
      <c r="J364" s="1410"/>
    </row>
    <row r="365" spans="1:10" ht="16.5">
      <c r="A365" s="1410"/>
      <c r="B365" s="1410"/>
      <c r="C365" s="1410"/>
      <c r="D365" s="1410"/>
      <c r="E365" s="1410"/>
      <c r="F365" s="1410"/>
      <c r="G365" s="1410"/>
      <c r="H365" s="1410"/>
      <c r="I365" s="1410"/>
      <c r="J365" s="1410"/>
    </row>
    <row r="366" spans="1:10" ht="16.5">
      <c r="A366" s="1410"/>
      <c r="B366" s="1410"/>
      <c r="C366" s="1410"/>
      <c r="D366" s="1410"/>
      <c r="E366" s="1410"/>
      <c r="F366" s="1410"/>
      <c r="G366" s="1410"/>
      <c r="H366" s="1410"/>
      <c r="I366" s="1410"/>
      <c r="J366" s="1410"/>
    </row>
    <row r="367" spans="1:10" ht="16.5">
      <c r="A367" s="1410"/>
      <c r="B367" s="1410"/>
      <c r="C367" s="1410"/>
      <c r="D367" s="1410"/>
      <c r="E367" s="1410"/>
      <c r="F367" s="1410"/>
      <c r="G367" s="1410"/>
      <c r="H367" s="1410"/>
      <c r="I367" s="1410"/>
      <c r="J367" s="1410"/>
    </row>
    <row r="368" spans="1:10" ht="16.5">
      <c r="A368" s="1410"/>
      <c r="B368" s="1410"/>
      <c r="C368" s="1410"/>
      <c r="D368" s="1410"/>
      <c r="E368" s="1410"/>
      <c r="F368" s="1410"/>
      <c r="G368" s="1410"/>
      <c r="H368" s="1410"/>
      <c r="I368" s="1410"/>
      <c r="J368" s="1410"/>
    </row>
    <row r="369" spans="1:10" ht="16.5">
      <c r="A369" s="1410"/>
      <c r="B369" s="1410"/>
      <c r="C369" s="1410"/>
      <c r="D369" s="1410"/>
      <c r="E369" s="1410"/>
      <c r="F369" s="1410"/>
      <c r="G369" s="1410"/>
      <c r="H369" s="1410"/>
      <c r="I369" s="1410"/>
      <c r="J369" s="1410"/>
    </row>
    <row r="370" spans="1:10" ht="16.5">
      <c r="A370" s="1410"/>
      <c r="B370" s="1410"/>
      <c r="C370" s="1410"/>
      <c r="D370" s="1410"/>
      <c r="E370" s="1410"/>
      <c r="F370" s="1410"/>
      <c r="G370" s="1410"/>
      <c r="H370" s="1410"/>
      <c r="I370" s="1410"/>
      <c r="J370" s="1410"/>
    </row>
    <row r="371" spans="1:10" ht="16.5">
      <c r="A371" s="1410"/>
      <c r="B371" s="1410"/>
      <c r="C371" s="1410"/>
      <c r="D371" s="1410"/>
      <c r="E371" s="1410"/>
      <c r="F371" s="1410"/>
      <c r="G371" s="1410"/>
      <c r="H371" s="1410"/>
      <c r="I371" s="1410"/>
      <c r="J371" s="1410"/>
    </row>
    <row r="372" spans="1:10" ht="16.5">
      <c r="A372" s="1410"/>
      <c r="B372" s="1410"/>
      <c r="C372" s="1410"/>
      <c r="D372" s="1410"/>
      <c r="E372" s="1410"/>
      <c r="F372" s="1410"/>
      <c r="G372" s="1410"/>
      <c r="H372" s="1410"/>
      <c r="I372" s="1410"/>
      <c r="J372" s="1410"/>
    </row>
    <row r="373" spans="1:10" ht="16.5">
      <c r="A373" s="1410"/>
      <c r="B373" s="1410"/>
      <c r="C373" s="1410"/>
      <c r="D373" s="1410"/>
      <c r="E373" s="1410"/>
      <c r="F373" s="1410"/>
      <c r="G373" s="1410"/>
      <c r="H373" s="1410"/>
      <c r="I373" s="1410"/>
      <c r="J373" s="1410"/>
    </row>
    <row r="374" spans="1:10" ht="16.5">
      <c r="A374" s="1410"/>
      <c r="B374" s="1410"/>
      <c r="C374" s="1410"/>
      <c r="D374" s="1410"/>
      <c r="E374" s="1410"/>
      <c r="F374" s="1410"/>
      <c r="G374" s="1410"/>
      <c r="H374" s="1410"/>
      <c r="I374" s="1410"/>
      <c r="J374" s="1410"/>
    </row>
    <row r="375" spans="1:10" ht="16.5">
      <c r="A375" s="1410"/>
      <c r="B375" s="1410"/>
      <c r="C375" s="1410"/>
      <c r="D375" s="1410"/>
      <c r="E375" s="1410"/>
      <c r="F375" s="1410"/>
      <c r="G375" s="1410"/>
      <c r="H375" s="1410"/>
      <c r="I375" s="1410"/>
      <c r="J375" s="1410"/>
    </row>
    <row r="376" spans="1:10" ht="16.5">
      <c r="A376" s="1410"/>
      <c r="B376" s="1410"/>
      <c r="C376" s="1410"/>
      <c r="D376" s="1410"/>
      <c r="E376" s="1410"/>
      <c r="F376" s="1410"/>
      <c r="G376" s="1410"/>
      <c r="H376" s="1410"/>
      <c r="I376" s="1410"/>
      <c r="J376" s="1410"/>
    </row>
    <row r="377" spans="1:10" ht="16.5">
      <c r="A377" s="1410"/>
      <c r="B377" s="1410"/>
      <c r="C377" s="1410"/>
      <c r="D377" s="1410"/>
      <c r="E377" s="1410"/>
      <c r="F377" s="1410"/>
      <c r="G377" s="1410"/>
      <c r="H377" s="1410"/>
      <c r="I377" s="1410"/>
      <c r="J377" s="1410"/>
    </row>
    <row r="378" spans="1:10" ht="16.5">
      <c r="A378" s="1410"/>
      <c r="B378" s="1410"/>
      <c r="C378" s="1410"/>
      <c r="D378" s="1410"/>
      <c r="E378" s="1410"/>
      <c r="F378" s="1410"/>
      <c r="G378" s="1410"/>
      <c r="H378" s="1410"/>
      <c r="I378" s="1410"/>
      <c r="J378" s="1410"/>
    </row>
    <row r="379" spans="1:10" ht="16.5">
      <c r="A379" s="1410"/>
      <c r="B379" s="1410"/>
      <c r="C379" s="1410"/>
      <c r="D379" s="1410"/>
      <c r="E379" s="1410"/>
      <c r="F379" s="1410"/>
      <c r="G379" s="1410"/>
      <c r="H379" s="1410"/>
      <c r="I379" s="1410"/>
      <c r="J379" s="1410"/>
    </row>
    <row r="380" spans="1:10" ht="16.5">
      <c r="A380" s="1410"/>
      <c r="B380" s="1410"/>
      <c r="C380" s="1410"/>
      <c r="D380" s="1410"/>
      <c r="E380" s="1410"/>
      <c r="F380" s="1410"/>
      <c r="G380" s="1410"/>
      <c r="H380" s="1410"/>
      <c r="I380" s="1410"/>
      <c r="J380" s="1410"/>
    </row>
    <row r="381" spans="1:10" ht="16.5">
      <c r="A381" s="1410"/>
      <c r="B381" s="1410"/>
      <c r="C381" s="1410"/>
      <c r="D381" s="1410"/>
      <c r="E381" s="1410"/>
      <c r="F381" s="1410"/>
      <c r="G381" s="1410"/>
      <c r="H381" s="1410"/>
      <c r="I381" s="1410"/>
      <c r="J381" s="1410"/>
    </row>
    <row r="382" spans="1:10" ht="16.5">
      <c r="A382" s="1410"/>
      <c r="B382" s="1410"/>
      <c r="C382" s="1410"/>
      <c r="D382" s="1410"/>
      <c r="E382" s="1410"/>
      <c r="F382" s="1410"/>
      <c r="G382" s="1410"/>
      <c r="H382" s="1410"/>
      <c r="I382" s="1410"/>
      <c r="J382" s="1410"/>
    </row>
    <row r="383" spans="1:10" ht="16.5">
      <c r="A383" s="1410"/>
      <c r="B383" s="1410"/>
      <c r="C383" s="1410"/>
      <c r="D383" s="1410"/>
      <c r="E383" s="1410"/>
      <c r="F383" s="1410"/>
      <c r="G383" s="1410"/>
      <c r="H383" s="1410"/>
      <c r="I383" s="1410"/>
      <c r="J383" s="1410"/>
    </row>
    <row r="384" spans="1:10" ht="16.5">
      <c r="A384" s="1410"/>
      <c r="B384" s="1410"/>
      <c r="C384" s="1410"/>
      <c r="D384" s="1410"/>
      <c r="E384" s="1410"/>
      <c r="F384" s="1410"/>
      <c r="G384" s="1410"/>
      <c r="H384" s="1410"/>
      <c r="I384" s="1410"/>
      <c r="J384" s="1410"/>
    </row>
    <row r="385" spans="1:10" ht="16.5">
      <c r="A385" s="1410"/>
      <c r="B385" s="1410"/>
      <c r="C385" s="1410"/>
      <c r="D385" s="1410"/>
      <c r="E385" s="1410"/>
      <c r="F385" s="1410"/>
      <c r="G385" s="1410"/>
      <c r="H385" s="1410"/>
      <c r="I385" s="1410"/>
      <c r="J385" s="1410"/>
    </row>
    <row r="386" spans="1:10" ht="16.5">
      <c r="A386" s="1410"/>
      <c r="B386" s="1410"/>
      <c r="C386" s="1410"/>
      <c r="D386" s="1410"/>
      <c r="E386" s="1410"/>
      <c r="F386" s="1410"/>
      <c r="G386" s="1410"/>
      <c r="H386" s="1410"/>
      <c r="I386" s="1410"/>
      <c r="J386" s="1410"/>
    </row>
    <row r="387" spans="1:10" ht="16.5">
      <c r="A387" s="1410"/>
      <c r="B387" s="1410"/>
      <c r="C387" s="1410"/>
      <c r="D387" s="1410"/>
      <c r="E387" s="1410"/>
      <c r="F387" s="1410"/>
      <c r="G387" s="1410"/>
      <c r="H387" s="1410"/>
      <c r="I387" s="1410"/>
      <c r="J387" s="1410"/>
    </row>
    <row r="388" spans="1:10" ht="16.5">
      <c r="A388" s="1410"/>
      <c r="B388" s="1410"/>
      <c r="C388" s="1410"/>
      <c r="D388" s="1410"/>
      <c r="E388" s="1410"/>
      <c r="F388" s="1410"/>
      <c r="G388" s="1410"/>
      <c r="H388" s="1410"/>
      <c r="I388" s="1410"/>
      <c r="J388" s="1410"/>
    </row>
    <row r="389" spans="1:10" ht="16.5">
      <c r="A389" s="1410"/>
      <c r="B389" s="1410"/>
      <c r="C389" s="1410"/>
      <c r="D389" s="1410"/>
      <c r="E389" s="1410"/>
      <c r="F389" s="1410"/>
      <c r="G389" s="1410"/>
      <c r="H389" s="1410"/>
      <c r="I389" s="1410"/>
      <c r="J389" s="1410"/>
    </row>
    <row r="390" spans="1:10" ht="16.5">
      <c r="A390" s="1410"/>
      <c r="B390" s="1410"/>
      <c r="C390" s="1410"/>
      <c r="D390" s="1410"/>
      <c r="E390" s="1410"/>
      <c r="F390" s="1410"/>
      <c r="G390" s="1410"/>
      <c r="H390" s="1410"/>
      <c r="I390" s="1410"/>
      <c r="J390" s="1410"/>
    </row>
    <row r="391" spans="1:10" ht="16.5">
      <c r="A391" s="1410"/>
      <c r="B391" s="1410"/>
      <c r="C391" s="1410"/>
      <c r="D391" s="1410"/>
      <c r="E391" s="1410"/>
      <c r="F391" s="1410"/>
      <c r="G391" s="1410"/>
      <c r="H391" s="1410"/>
      <c r="I391" s="1410"/>
      <c r="J391" s="1410"/>
    </row>
    <row r="392" spans="1:10" ht="16.5">
      <c r="A392" s="1410"/>
      <c r="B392" s="1410"/>
      <c r="C392" s="1410"/>
      <c r="D392" s="1410"/>
      <c r="E392" s="1410"/>
      <c r="F392" s="1410"/>
      <c r="G392" s="1410"/>
      <c r="H392" s="1410"/>
      <c r="I392" s="1410"/>
      <c r="J392" s="1410"/>
    </row>
    <row r="393" spans="1:10" ht="16.5">
      <c r="A393" s="1410"/>
      <c r="B393" s="1410"/>
      <c r="C393" s="1410"/>
      <c r="D393" s="1410"/>
      <c r="E393" s="1410"/>
      <c r="F393" s="1410"/>
      <c r="G393" s="1410"/>
      <c r="H393" s="1410"/>
      <c r="I393" s="1410"/>
      <c r="J393" s="1410"/>
    </row>
    <row r="394" spans="1:10" ht="16.5">
      <c r="A394" s="1410"/>
      <c r="B394" s="1410"/>
      <c r="C394" s="1410"/>
      <c r="D394" s="1410"/>
      <c r="E394" s="1410"/>
      <c r="F394" s="1410"/>
      <c r="G394" s="1410"/>
      <c r="H394" s="1410"/>
      <c r="I394" s="1410"/>
      <c r="J394" s="1410"/>
    </row>
    <row r="395" spans="1:10" ht="16.5">
      <c r="A395" s="1410"/>
      <c r="B395" s="1410"/>
      <c r="C395" s="1410"/>
      <c r="D395" s="1410"/>
      <c r="E395" s="1410"/>
      <c r="F395" s="1410"/>
      <c r="G395" s="1410"/>
      <c r="H395" s="1410"/>
      <c r="I395" s="1410"/>
      <c r="J395" s="1410"/>
    </row>
    <row r="396" spans="1:10" ht="16.5">
      <c r="A396" s="1410"/>
      <c r="B396" s="1410"/>
      <c r="C396" s="1410"/>
      <c r="D396" s="1410"/>
      <c r="E396" s="1410"/>
      <c r="F396" s="1410"/>
      <c r="G396" s="1410"/>
      <c r="H396" s="1410"/>
      <c r="I396" s="1410"/>
      <c r="J396" s="1410"/>
    </row>
    <row r="397" spans="1:10" ht="16.5">
      <c r="A397" s="1410"/>
      <c r="B397" s="1410"/>
      <c r="C397" s="1410"/>
      <c r="D397" s="1410"/>
      <c r="E397" s="1410"/>
      <c r="F397" s="1410"/>
      <c r="G397" s="1410"/>
      <c r="H397" s="1410"/>
      <c r="I397" s="1410"/>
      <c r="J397" s="1410"/>
    </row>
    <row r="398" spans="1:10" ht="16.5">
      <c r="A398" s="1410"/>
      <c r="B398" s="1410"/>
      <c r="C398" s="1410"/>
      <c r="D398" s="1410"/>
      <c r="E398" s="1410"/>
      <c r="F398" s="1410"/>
      <c r="G398" s="1410"/>
      <c r="H398" s="1410"/>
      <c r="I398" s="1410"/>
      <c r="J398" s="1410"/>
    </row>
    <row r="399" spans="1:10" ht="16.5">
      <c r="A399" s="1410"/>
      <c r="B399" s="1410"/>
      <c r="C399" s="1410"/>
      <c r="D399" s="1410"/>
      <c r="E399" s="1410"/>
      <c r="F399" s="1410"/>
      <c r="G399" s="1410"/>
      <c r="H399" s="1410"/>
      <c r="I399" s="1410"/>
      <c r="J399" s="1410"/>
    </row>
    <row r="400" spans="1:10" ht="16.5">
      <c r="A400" s="1410"/>
      <c r="B400" s="1410"/>
      <c r="C400" s="1410"/>
      <c r="D400" s="1410"/>
      <c r="E400" s="1410"/>
      <c r="F400" s="1410"/>
      <c r="G400" s="1410"/>
      <c r="H400" s="1410"/>
      <c r="I400" s="1410"/>
      <c r="J400" s="1410"/>
    </row>
    <row r="401" spans="1:10" ht="16.5">
      <c r="A401" s="1410"/>
      <c r="B401" s="1410"/>
      <c r="C401" s="1410"/>
      <c r="D401" s="1410"/>
      <c r="E401" s="1410"/>
      <c r="F401" s="1410"/>
      <c r="G401" s="1410"/>
      <c r="H401" s="1410"/>
      <c r="I401" s="1410"/>
      <c r="J401" s="1410"/>
    </row>
    <row r="402" spans="1:10" ht="16.5">
      <c r="A402" s="1410"/>
      <c r="B402" s="1410"/>
      <c r="C402" s="1410"/>
      <c r="D402" s="1410"/>
      <c r="E402" s="1410"/>
      <c r="F402" s="1410"/>
      <c r="G402" s="1410"/>
      <c r="H402" s="1410"/>
      <c r="I402" s="1410"/>
      <c r="J402" s="1410"/>
    </row>
    <row r="403" spans="1:10" ht="16.5">
      <c r="A403" s="1410"/>
      <c r="B403" s="1410"/>
      <c r="C403" s="1410"/>
      <c r="D403" s="1410"/>
      <c r="E403" s="1410"/>
      <c r="F403" s="1410"/>
      <c r="G403" s="1410"/>
      <c r="H403" s="1410"/>
      <c r="I403" s="1410"/>
      <c r="J403" s="1410"/>
    </row>
    <row r="404" spans="1:10" ht="16.5">
      <c r="A404" s="1410"/>
      <c r="B404" s="1410"/>
      <c r="C404" s="1410"/>
      <c r="D404" s="1410"/>
      <c r="E404" s="1410"/>
      <c r="F404" s="1410"/>
      <c r="G404" s="1410"/>
      <c r="H404" s="1410"/>
      <c r="I404" s="1410"/>
      <c r="J404" s="1410"/>
    </row>
    <row r="405" spans="1:10" ht="16.5">
      <c r="A405" s="1410"/>
      <c r="B405" s="1410"/>
      <c r="C405" s="1410"/>
      <c r="D405" s="1410"/>
      <c r="E405" s="1410"/>
      <c r="F405" s="1410"/>
      <c r="G405" s="1410"/>
      <c r="H405" s="1410"/>
      <c r="I405" s="1410"/>
      <c r="J405" s="1410"/>
    </row>
    <row r="406" spans="1:10" ht="16.5">
      <c r="A406" s="1410"/>
      <c r="B406" s="1410"/>
      <c r="C406" s="1410"/>
      <c r="D406" s="1410"/>
      <c r="E406" s="1410"/>
      <c r="F406" s="1410"/>
      <c r="G406" s="1410"/>
      <c r="H406" s="1410"/>
      <c r="I406" s="1410"/>
      <c r="J406" s="1410"/>
    </row>
    <row r="407" spans="1:10" ht="16.5">
      <c r="A407" s="1410"/>
      <c r="B407" s="1410"/>
      <c r="C407" s="1410"/>
      <c r="D407" s="1410"/>
      <c r="E407" s="1410"/>
      <c r="F407" s="1410"/>
      <c r="G407" s="1410"/>
      <c r="H407" s="1410"/>
      <c r="I407" s="1410"/>
      <c r="J407" s="1410"/>
    </row>
    <row r="408" spans="1:10" ht="16.5">
      <c r="A408" s="1410"/>
      <c r="B408" s="1410"/>
      <c r="C408" s="1410"/>
      <c r="D408" s="1410"/>
      <c r="E408" s="1410"/>
      <c r="F408" s="1410"/>
      <c r="G408" s="1410"/>
      <c r="H408" s="1410"/>
      <c r="I408" s="1410"/>
      <c r="J408" s="1410"/>
    </row>
    <row r="409" spans="1:10" ht="16.5">
      <c r="A409" s="1410"/>
      <c r="B409" s="1410"/>
      <c r="C409" s="1410"/>
      <c r="D409" s="1410"/>
      <c r="E409" s="1410"/>
      <c r="F409" s="1410"/>
      <c r="G409" s="1410"/>
      <c r="H409" s="1410"/>
      <c r="I409" s="1410"/>
      <c r="J409" s="1410"/>
    </row>
    <row r="410" spans="1:10" ht="16.5">
      <c r="A410" s="1410"/>
      <c r="B410" s="1410"/>
      <c r="C410" s="1410"/>
      <c r="D410" s="1410"/>
      <c r="E410" s="1410"/>
      <c r="F410" s="1410"/>
      <c r="G410" s="1410"/>
      <c r="H410" s="1410"/>
      <c r="I410" s="1410"/>
      <c r="J410" s="1410"/>
    </row>
    <row r="411" spans="1:10" ht="16.5">
      <c r="A411" s="1410"/>
      <c r="B411" s="1410"/>
      <c r="C411" s="1410"/>
      <c r="D411" s="1410"/>
      <c r="E411" s="1410"/>
      <c r="F411" s="1410"/>
      <c r="G411" s="1410"/>
      <c r="H411" s="1410"/>
      <c r="I411" s="1410"/>
      <c r="J411" s="1410"/>
    </row>
    <row r="412" spans="1:10" ht="16.5">
      <c r="A412" s="1410"/>
      <c r="B412" s="1410"/>
      <c r="C412" s="1410"/>
      <c r="D412" s="1410"/>
      <c r="E412" s="1410"/>
      <c r="F412" s="1410"/>
      <c r="G412" s="1410"/>
      <c r="H412" s="1410"/>
      <c r="I412" s="1410"/>
      <c r="J412" s="1410"/>
    </row>
    <row r="413" spans="1:10" ht="16.5">
      <c r="A413" s="1410"/>
      <c r="B413" s="1410"/>
      <c r="C413" s="1410"/>
      <c r="D413" s="1410"/>
      <c r="E413" s="1410"/>
      <c r="F413" s="1410"/>
      <c r="G413" s="1410"/>
      <c r="H413" s="1410"/>
      <c r="I413" s="1410"/>
      <c r="J413" s="1410"/>
    </row>
    <row r="414" spans="1:10" ht="16.5">
      <c r="A414" s="1410"/>
      <c r="B414" s="1410"/>
      <c r="C414" s="1410"/>
      <c r="D414" s="1410"/>
      <c r="E414" s="1410"/>
      <c r="F414" s="1410"/>
      <c r="G414" s="1410"/>
      <c r="H414" s="1410"/>
      <c r="I414" s="1410"/>
      <c r="J414" s="1410"/>
    </row>
    <row r="415" spans="1:10" ht="16.5">
      <c r="A415" s="1410"/>
      <c r="B415" s="1410"/>
      <c r="C415" s="1410"/>
      <c r="D415" s="1410"/>
      <c r="E415" s="1410"/>
      <c r="F415" s="1410"/>
      <c r="G415" s="1410"/>
      <c r="H415" s="1410"/>
      <c r="I415" s="1410"/>
      <c r="J415" s="1410"/>
    </row>
    <row r="416" spans="1:10" ht="16.5">
      <c r="A416" s="1410"/>
      <c r="B416" s="1410"/>
      <c r="C416" s="1410"/>
      <c r="D416" s="1410"/>
      <c r="E416" s="1410"/>
      <c r="F416" s="1410"/>
      <c r="G416" s="1410"/>
      <c r="H416" s="1410"/>
      <c r="I416" s="1410"/>
      <c r="J416" s="1410"/>
    </row>
    <row r="417" spans="1:10" ht="16.5">
      <c r="A417" s="1410"/>
      <c r="B417" s="1410"/>
      <c r="C417" s="1410"/>
      <c r="D417" s="1410"/>
      <c r="E417" s="1410"/>
      <c r="F417" s="1410"/>
      <c r="G417" s="1410"/>
      <c r="H417" s="1410"/>
      <c r="I417" s="1410"/>
      <c r="J417" s="1410"/>
    </row>
    <row r="418" spans="1:10" ht="16.5">
      <c r="A418" s="1410"/>
      <c r="B418" s="1410"/>
      <c r="C418" s="1410"/>
      <c r="D418" s="1410"/>
      <c r="E418" s="1410"/>
      <c r="F418" s="1410"/>
      <c r="G418" s="1410"/>
      <c r="H418" s="1410"/>
      <c r="I418" s="1410"/>
      <c r="J418" s="1410"/>
    </row>
    <row r="419" spans="1:10" ht="16.5">
      <c r="A419" s="1410"/>
      <c r="B419" s="1410"/>
      <c r="C419" s="1410"/>
      <c r="D419" s="1410"/>
      <c r="E419" s="1410"/>
      <c r="F419" s="1410"/>
      <c r="G419" s="1410"/>
      <c r="H419" s="1410"/>
      <c r="I419" s="1410"/>
      <c r="J419" s="1410"/>
    </row>
    <row r="420" spans="1:10" ht="16.5">
      <c r="A420" s="1410"/>
      <c r="B420" s="1410"/>
      <c r="C420" s="1410"/>
      <c r="D420" s="1410"/>
      <c r="E420" s="1410"/>
      <c r="F420" s="1410"/>
      <c r="G420" s="1410"/>
      <c r="H420" s="1410"/>
      <c r="I420" s="1410"/>
      <c r="J420" s="1410"/>
    </row>
    <row r="421" spans="1:10" ht="16.5">
      <c r="A421" s="1410"/>
      <c r="B421" s="1410"/>
      <c r="C421" s="1410"/>
      <c r="D421" s="1410"/>
      <c r="E421" s="1410"/>
      <c r="F421" s="1410"/>
      <c r="G421" s="1410"/>
      <c r="H421" s="1410"/>
      <c r="I421" s="1410"/>
      <c r="J421" s="1410"/>
    </row>
    <row r="422" spans="1:10" ht="16.5">
      <c r="A422" s="1410"/>
      <c r="B422" s="1410"/>
      <c r="C422" s="1410"/>
      <c r="D422" s="1410"/>
      <c r="E422" s="1410"/>
      <c r="F422" s="1410"/>
      <c r="G422" s="1410"/>
      <c r="H422" s="1410"/>
      <c r="I422" s="1410"/>
      <c r="J422" s="1410"/>
    </row>
    <row r="423" spans="1:10" ht="16.5">
      <c r="A423" s="1410"/>
      <c r="B423" s="1410"/>
      <c r="C423" s="1410"/>
      <c r="D423" s="1410"/>
      <c r="E423" s="1410"/>
      <c r="F423" s="1410"/>
      <c r="G423" s="1410"/>
      <c r="H423" s="1410"/>
      <c r="I423" s="1410"/>
      <c r="J423" s="1410"/>
    </row>
    <row r="424" spans="1:10" ht="16.5">
      <c r="A424" s="1410"/>
      <c r="B424" s="1410"/>
      <c r="C424" s="1410"/>
      <c r="D424" s="1410"/>
      <c r="E424" s="1410"/>
      <c r="F424" s="1410"/>
      <c r="G424" s="1410"/>
      <c r="H424" s="1410"/>
      <c r="I424" s="1410"/>
      <c r="J424" s="1410"/>
    </row>
    <row r="425" spans="1:10" ht="16.5">
      <c r="A425" s="1410"/>
      <c r="B425" s="1410"/>
      <c r="C425" s="1410"/>
      <c r="D425" s="1410"/>
      <c r="E425" s="1410"/>
      <c r="F425" s="1410"/>
      <c r="G425" s="1410"/>
      <c r="H425" s="1410"/>
      <c r="I425" s="1410"/>
      <c r="J425" s="1410"/>
    </row>
    <row r="426" spans="1:10" ht="16.5">
      <c r="A426" s="1410"/>
      <c r="B426" s="1410"/>
      <c r="C426" s="1410"/>
      <c r="D426" s="1410"/>
      <c r="E426" s="1410"/>
      <c r="F426" s="1410"/>
      <c r="G426" s="1410"/>
      <c r="H426" s="1410"/>
      <c r="I426" s="1410"/>
      <c r="J426" s="1410"/>
    </row>
    <row r="427" spans="1:10" ht="16.5">
      <c r="A427" s="1410"/>
      <c r="B427" s="1410"/>
      <c r="C427" s="1410"/>
      <c r="D427" s="1410"/>
      <c r="E427" s="1410"/>
      <c r="F427" s="1410"/>
      <c r="G427" s="1410"/>
      <c r="H427" s="1410"/>
      <c r="I427" s="1410"/>
      <c r="J427" s="1410"/>
    </row>
    <row r="428" spans="1:10" ht="16.5">
      <c r="A428" s="1410"/>
      <c r="B428" s="1410"/>
      <c r="C428" s="1410"/>
      <c r="D428" s="1410"/>
      <c r="E428" s="1410"/>
      <c r="F428" s="1410"/>
      <c r="G428" s="1410"/>
      <c r="H428" s="1410"/>
      <c r="I428" s="1410"/>
      <c r="J428" s="1410"/>
    </row>
    <row r="429" spans="1:10" ht="16.5">
      <c r="A429" s="1410"/>
      <c r="B429" s="1410"/>
      <c r="C429" s="1410"/>
      <c r="D429" s="1410"/>
      <c r="E429" s="1410"/>
      <c r="F429" s="1410"/>
      <c r="G429" s="1410"/>
      <c r="H429" s="1410"/>
      <c r="I429" s="1410"/>
      <c r="J429" s="1410"/>
    </row>
    <row r="430" spans="1:10" ht="16.5">
      <c r="A430" s="1410"/>
      <c r="B430" s="1410"/>
      <c r="C430" s="1410"/>
      <c r="D430" s="1410"/>
      <c r="E430" s="1410"/>
      <c r="F430" s="1410"/>
      <c r="G430" s="1410"/>
      <c r="H430" s="1410"/>
      <c r="I430" s="1410"/>
      <c r="J430" s="1410"/>
    </row>
    <row r="431" spans="1:10" ht="16.5">
      <c r="A431" s="1410"/>
      <c r="B431" s="1410"/>
      <c r="C431" s="1410"/>
      <c r="D431" s="1410"/>
      <c r="E431" s="1410"/>
      <c r="F431" s="1410"/>
      <c r="G431" s="1410"/>
      <c r="H431" s="1410"/>
      <c r="I431" s="1410"/>
      <c r="J431" s="1410"/>
    </row>
    <row r="432" spans="1:10" ht="16.5">
      <c r="A432" s="1410"/>
      <c r="B432" s="1410"/>
      <c r="C432" s="1410"/>
      <c r="D432" s="1410"/>
      <c r="E432" s="1410"/>
      <c r="F432" s="1410"/>
      <c r="G432" s="1410"/>
      <c r="H432" s="1410"/>
      <c r="I432" s="1410"/>
      <c r="J432" s="1410"/>
    </row>
    <row r="433" spans="1:10" ht="16.5">
      <c r="A433" s="1410"/>
      <c r="B433" s="1410"/>
      <c r="C433" s="1410"/>
      <c r="D433" s="1410"/>
      <c r="E433" s="1410"/>
      <c r="F433" s="1410"/>
      <c r="G433" s="1410"/>
      <c r="H433" s="1410"/>
      <c r="I433" s="1410"/>
      <c r="J433" s="1410"/>
    </row>
    <row r="434" spans="1:10" ht="16.5">
      <c r="A434" s="1410"/>
      <c r="B434" s="1410"/>
      <c r="C434" s="1410"/>
      <c r="D434" s="1410"/>
      <c r="E434" s="1410"/>
      <c r="F434" s="1410"/>
      <c r="G434" s="1410"/>
      <c r="H434" s="1410"/>
      <c r="I434" s="1410"/>
      <c r="J434" s="1410"/>
    </row>
    <row r="435" spans="1:10" ht="16.5">
      <c r="A435" s="1410"/>
      <c r="B435" s="1410"/>
      <c r="C435" s="1410"/>
      <c r="D435" s="1410"/>
      <c r="E435" s="1410"/>
      <c r="F435" s="1410"/>
      <c r="G435" s="1410"/>
      <c r="H435" s="1410"/>
      <c r="I435" s="1410"/>
      <c r="J435" s="1410"/>
    </row>
    <row r="436" spans="1:10" ht="16.5">
      <c r="A436" s="1410"/>
      <c r="B436" s="1410"/>
      <c r="C436" s="1410"/>
      <c r="D436" s="1410"/>
      <c r="E436" s="1410"/>
      <c r="F436" s="1410"/>
      <c r="G436" s="1410"/>
      <c r="H436" s="1410"/>
      <c r="I436" s="1410"/>
      <c r="J436" s="1410"/>
    </row>
    <row r="437" spans="1:10" ht="16.5">
      <c r="A437" s="1410"/>
      <c r="B437" s="1410"/>
      <c r="C437" s="1410"/>
      <c r="D437" s="1410"/>
      <c r="E437" s="1410"/>
      <c r="F437" s="1410"/>
      <c r="G437" s="1410"/>
      <c r="H437" s="1410"/>
      <c r="I437" s="1410"/>
      <c r="J437" s="1410"/>
    </row>
    <row r="438" spans="1:10" ht="16.5">
      <c r="A438" s="1410"/>
      <c r="B438" s="1410"/>
      <c r="C438" s="1410"/>
      <c r="D438" s="1410"/>
      <c r="E438" s="1410"/>
      <c r="F438" s="1410"/>
      <c r="G438" s="1410"/>
      <c r="H438" s="1410"/>
      <c r="I438" s="1410"/>
      <c r="J438" s="1410"/>
    </row>
    <row r="439" spans="1:10" ht="16.5">
      <c r="A439" s="1410"/>
      <c r="B439" s="1410"/>
      <c r="C439" s="1410"/>
      <c r="D439" s="1410"/>
      <c r="E439" s="1410"/>
      <c r="F439" s="1410"/>
      <c r="G439" s="1410"/>
      <c r="H439" s="1410"/>
      <c r="I439" s="1410"/>
      <c r="J439" s="1410"/>
    </row>
    <row r="440" spans="1:10" ht="16.5">
      <c r="A440" s="1410"/>
      <c r="B440" s="1410"/>
      <c r="C440" s="1410"/>
      <c r="D440" s="1410"/>
      <c r="E440" s="1410"/>
      <c r="F440" s="1410"/>
      <c r="G440" s="1410"/>
      <c r="H440" s="1410"/>
      <c r="I440" s="1410"/>
      <c r="J440" s="1410"/>
    </row>
    <row r="441" spans="1:10" ht="16.5">
      <c r="A441" s="1410"/>
      <c r="B441" s="1410"/>
      <c r="C441" s="1410"/>
      <c r="D441" s="1410"/>
      <c r="E441" s="1410"/>
      <c r="F441" s="1410"/>
      <c r="G441" s="1410"/>
      <c r="H441" s="1410"/>
      <c r="I441" s="1410"/>
      <c r="J441" s="1410"/>
    </row>
    <row r="442" spans="1:10" ht="16.5">
      <c r="A442" s="1410"/>
      <c r="B442" s="1410"/>
      <c r="C442" s="1410"/>
      <c r="D442" s="1410"/>
      <c r="E442" s="1410"/>
      <c r="F442" s="1410"/>
      <c r="G442" s="1410"/>
      <c r="H442" s="1410"/>
      <c r="I442" s="1410"/>
      <c r="J442" s="1410"/>
    </row>
    <row r="443" spans="1:10" ht="16.5">
      <c r="A443" s="1410"/>
      <c r="B443" s="1410"/>
      <c r="C443" s="1410"/>
      <c r="D443" s="1410"/>
      <c r="E443" s="1410"/>
      <c r="F443" s="1410"/>
      <c r="G443" s="1410"/>
      <c r="H443" s="1410"/>
      <c r="I443" s="1410"/>
      <c r="J443" s="1410"/>
    </row>
    <row r="444" spans="1:10" ht="16.5">
      <c r="A444" s="1410"/>
      <c r="B444" s="1410"/>
      <c r="C444" s="1410"/>
      <c r="D444" s="1410"/>
      <c r="E444" s="1410"/>
      <c r="F444" s="1410"/>
      <c r="G444" s="1410"/>
      <c r="H444" s="1410"/>
      <c r="I444" s="1410"/>
      <c r="J444" s="1410"/>
    </row>
    <row r="445" spans="1:10" ht="16.5">
      <c r="A445" s="1410"/>
      <c r="B445" s="1410"/>
      <c r="C445" s="1410"/>
      <c r="D445" s="1410"/>
      <c r="E445" s="1410"/>
      <c r="F445" s="1410"/>
      <c r="G445" s="1410"/>
      <c r="H445" s="1410"/>
      <c r="I445" s="1410"/>
      <c r="J445" s="1410"/>
    </row>
    <row r="446" spans="1:10" ht="16.5">
      <c r="A446" s="1410"/>
      <c r="B446" s="1410"/>
      <c r="C446" s="1410"/>
      <c r="D446" s="1410"/>
      <c r="E446" s="1410"/>
      <c r="F446" s="1410"/>
      <c r="G446" s="1410"/>
      <c r="H446" s="1410"/>
      <c r="I446" s="1410"/>
      <c r="J446" s="1410"/>
    </row>
    <row r="447" spans="1:10" ht="16.5">
      <c r="A447" s="1410"/>
      <c r="B447" s="1410"/>
      <c r="C447" s="1410"/>
      <c r="D447" s="1410"/>
      <c r="E447" s="1410"/>
      <c r="F447" s="1410"/>
      <c r="G447" s="1410"/>
      <c r="H447" s="1410"/>
      <c r="I447" s="1410"/>
      <c r="J447" s="1410"/>
    </row>
    <row r="448" spans="1:10" ht="16.5">
      <c r="A448" s="1410"/>
      <c r="B448" s="1410"/>
      <c r="C448" s="1410"/>
      <c r="D448" s="1410"/>
      <c r="E448" s="1410"/>
      <c r="F448" s="1410"/>
      <c r="G448" s="1410"/>
      <c r="H448" s="1410"/>
      <c r="I448" s="1410"/>
      <c r="J448" s="1410"/>
    </row>
    <row r="449" spans="1:10" ht="16.5">
      <c r="A449" s="1410"/>
      <c r="B449" s="1410"/>
      <c r="C449" s="1410"/>
      <c r="D449" s="1410"/>
      <c r="E449" s="1410"/>
      <c r="F449" s="1410"/>
      <c r="G449" s="1410"/>
      <c r="H449" s="1410"/>
      <c r="I449" s="1410"/>
      <c r="J449" s="1410"/>
    </row>
    <row r="450" spans="1:10" ht="16.5">
      <c r="A450" s="1410"/>
      <c r="B450" s="1410"/>
      <c r="C450" s="1410"/>
      <c r="D450" s="1410"/>
      <c r="E450" s="1410"/>
      <c r="F450" s="1410"/>
      <c r="G450" s="1410"/>
      <c r="H450" s="1410"/>
      <c r="I450" s="1410"/>
      <c r="J450" s="1410"/>
    </row>
    <row r="451" spans="1:10" ht="16.5">
      <c r="A451" s="1410"/>
      <c r="B451" s="1410"/>
      <c r="C451" s="1410"/>
      <c r="D451" s="1410"/>
      <c r="E451" s="1410"/>
      <c r="F451" s="1410"/>
      <c r="G451" s="1410"/>
      <c r="H451" s="1410"/>
      <c r="I451" s="1410"/>
      <c r="J451" s="1410"/>
    </row>
    <row r="452" spans="1:10" ht="16.5">
      <c r="A452" s="1410"/>
      <c r="B452" s="1410"/>
      <c r="C452" s="1410"/>
      <c r="D452" s="1410"/>
      <c r="E452" s="1410"/>
      <c r="F452" s="1410"/>
      <c r="G452" s="1410"/>
      <c r="H452" s="1410"/>
      <c r="I452" s="1410"/>
      <c r="J452" s="1410"/>
    </row>
    <row r="453" spans="1:10" ht="16.5">
      <c r="A453" s="1410"/>
      <c r="B453" s="1410"/>
      <c r="C453" s="1410"/>
      <c r="D453" s="1410"/>
      <c r="E453" s="1410"/>
      <c r="F453" s="1410"/>
      <c r="G453" s="1410"/>
      <c r="H453" s="1410"/>
      <c r="I453" s="1410"/>
      <c r="J453" s="1410"/>
    </row>
    <row r="454" spans="1:10" ht="16.5">
      <c r="A454" s="1410"/>
      <c r="B454" s="1410"/>
      <c r="C454" s="1410"/>
      <c r="D454" s="1410"/>
      <c r="E454" s="1410"/>
      <c r="F454" s="1410"/>
      <c r="G454" s="1410"/>
      <c r="H454" s="1410"/>
      <c r="I454" s="1410"/>
      <c r="J454" s="1410"/>
    </row>
    <row r="455" spans="1:10" ht="16.5">
      <c r="A455" s="1410"/>
      <c r="B455" s="1410"/>
      <c r="C455" s="1410"/>
      <c r="D455" s="1410"/>
      <c r="E455" s="1410"/>
      <c r="F455" s="1410"/>
      <c r="G455" s="1410"/>
      <c r="H455" s="1410"/>
      <c r="I455" s="1410"/>
      <c r="J455" s="1410"/>
    </row>
    <row r="456" spans="1:10" ht="16.5">
      <c r="A456" s="1410"/>
      <c r="B456" s="1410"/>
      <c r="C456" s="1410"/>
      <c r="D456" s="1410"/>
      <c r="E456" s="1410"/>
      <c r="F456" s="1410"/>
      <c r="G456" s="1410"/>
      <c r="H456" s="1410"/>
      <c r="I456" s="1410"/>
      <c r="J456" s="1410"/>
    </row>
    <row r="457" spans="1:10" ht="16.5">
      <c r="A457" s="1410"/>
      <c r="B457" s="1410"/>
      <c r="C457" s="1410"/>
      <c r="D457" s="1410"/>
      <c r="E457" s="1410"/>
      <c r="F457" s="1410"/>
      <c r="G457" s="1410"/>
      <c r="H457" s="1410"/>
      <c r="I457" s="1410"/>
      <c r="J457" s="1410"/>
    </row>
    <row r="458" spans="1:10" ht="16.5">
      <c r="A458" s="1410"/>
      <c r="B458" s="1410"/>
      <c r="C458" s="1410"/>
      <c r="D458" s="1410"/>
      <c r="E458" s="1410"/>
      <c r="F458" s="1410"/>
      <c r="G458" s="1410"/>
      <c r="H458" s="1410"/>
      <c r="I458" s="1410"/>
      <c r="J458" s="1410"/>
    </row>
    <row r="459" spans="1:10" ht="16.5">
      <c r="A459" s="1410"/>
      <c r="B459" s="1410"/>
      <c r="C459" s="1410"/>
      <c r="D459" s="1410"/>
      <c r="E459" s="1410"/>
      <c r="F459" s="1410"/>
      <c r="G459" s="1410"/>
      <c r="H459" s="1410"/>
      <c r="I459" s="1410"/>
      <c r="J459" s="1410"/>
    </row>
    <row r="460" spans="1:10" ht="16.5">
      <c r="A460" s="1410"/>
      <c r="B460" s="1410"/>
      <c r="C460" s="1410"/>
      <c r="D460" s="1410"/>
      <c r="E460" s="1410"/>
      <c r="F460" s="1410"/>
      <c r="G460" s="1410"/>
      <c r="H460" s="1410"/>
      <c r="I460" s="1410"/>
      <c r="J460" s="1410"/>
    </row>
    <row r="461" spans="1:10" ht="16.5">
      <c r="A461" s="1410"/>
      <c r="B461" s="1410"/>
      <c r="C461" s="1410"/>
      <c r="D461" s="1410"/>
      <c r="E461" s="1410"/>
      <c r="F461" s="1410"/>
      <c r="G461" s="1410"/>
      <c r="H461" s="1410"/>
      <c r="I461" s="1410"/>
      <c r="J461" s="1410"/>
    </row>
    <row r="462" spans="1:10" ht="16.5">
      <c r="A462" s="1410"/>
      <c r="B462" s="1410"/>
      <c r="C462" s="1410"/>
      <c r="D462" s="1410"/>
      <c r="E462" s="1410"/>
      <c r="F462" s="1410"/>
      <c r="G462" s="1410"/>
      <c r="H462" s="1410"/>
      <c r="I462" s="1410"/>
      <c r="J462" s="1410"/>
    </row>
    <row r="463" spans="1:10" ht="16.5">
      <c r="A463" s="1410"/>
      <c r="B463" s="1410"/>
      <c r="C463" s="1410"/>
      <c r="D463" s="1410"/>
      <c r="E463" s="1410"/>
      <c r="F463" s="1410"/>
      <c r="G463" s="1410"/>
      <c r="H463" s="1410"/>
      <c r="I463" s="1410"/>
      <c r="J463" s="1410"/>
    </row>
    <row r="464" spans="1:10" ht="16.5">
      <c r="A464" s="1410"/>
      <c r="B464" s="1410"/>
      <c r="C464" s="1410"/>
      <c r="D464" s="1410"/>
      <c r="E464" s="1410"/>
      <c r="F464" s="1410"/>
      <c r="G464" s="1410"/>
      <c r="H464" s="1410"/>
      <c r="I464" s="1410"/>
      <c r="J464" s="1410"/>
    </row>
    <row r="465" spans="1:10" ht="16.5">
      <c r="A465" s="1410"/>
      <c r="B465" s="1410"/>
      <c r="C465" s="1410"/>
      <c r="D465" s="1410"/>
      <c r="E465" s="1410"/>
      <c r="F465" s="1410"/>
      <c r="G465" s="1410"/>
      <c r="H465" s="1410"/>
      <c r="I465" s="1410"/>
      <c r="J465" s="1410"/>
    </row>
    <row r="466" spans="1:10" ht="16.5">
      <c r="A466" s="1410"/>
      <c r="B466" s="1410"/>
      <c r="C466" s="1410"/>
      <c r="D466" s="1410"/>
      <c r="E466" s="1410"/>
      <c r="F466" s="1410"/>
      <c r="G466" s="1410"/>
      <c r="H466" s="1410"/>
      <c r="I466" s="1410"/>
      <c r="J466" s="1410"/>
    </row>
    <row r="467" spans="1:10" ht="16.5">
      <c r="A467" s="1410"/>
      <c r="B467" s="1410"/>
      <c r="C467" s="1410"/>
      <c r="D467" s="1410"/>
      <c r="E467" s="1410"/>
      <c r="F467" s="1410"/>
      <c r="G467" s="1410"/>
      <c r="H467" s="1410"/>
      <c r="I467" s="1410"/>
      <c r="J467" s="1410"/>
    </row>
    <row r="468" spans="1:10" ht="16.5">
      <c r="A468" s="1410"/>
      <c r="B468" s="1410"/>
      <c r="C468" s="1410"/>
      <c r="D468" s="1410"/>
      <c r="E468" s="1410"/>
      <c r="F468" s="1410"/>
      <c r="G468" s="1410"/>
      <c r="H468" s="1410"/>
      <c r="I468" s="1410"/>
      <c r="J468" s="1410"/>
    </row>
    <row r="469" spans="1:10" ht="16.5">
      <c r="A469" s="1410"/>
      <c r="B469" s="1410"/>
      <c r="C469" s="1410"/>
      <c r="D469" s="1410"/>
      <c r="E469" s="1410"/>
      <c r="F469" s="1410"/>
      <c r="G469" s="1410"/>
      <c r="H469" s="1410"/>
      <c r="I469" s="1410"/>
      <c r="J469" s="1410"/>
    </row>
    <row r="470" spans="1:10" ht="16.5">
      <c r="A470" s="1410"/>
      <c r="B470" s="1410"/>
      <c r="C470" s="1410"/>
      <c r="D470" s="1410"/>
      <c r="E470" s="1410"/>
      <c r="F470" s="1410"/>
      <c r="G470" s="1410"/>
      <c r="H470" s="1410"/>
      <c r="I470" s="1410"/>
      <c r="J470" s="1410"/>
    </row>
    <row r="471" spans="1:10" ht="16.5">
      <c r="A471" s="1410"/>
      <c r="B471" s="1410"/>
      <c r="C471" s="1410"/>
      <c r="D471" s="1410"/>
      <c r="E471" s="1410"/>
      <c r="F471" s="1410"/>
      <c r="G471" s="1410"/>
      <c r="H471" s="1410"/>
      <c r="I471" s="1410"/>
      <c r="J471" s="1410"/>
    </row>
    <row r="472" spans="1:10" ht="16.5">
      <c r="A472" s="1410"/>
      <c r="B472" s="1410"/>
      <c r="C472" s="1410"/>
      <c r="D472" s="1410"/>
      <c r="E472" s="1410"/>
      <c r="F472" s="1410"/>
      <c r="G472" s="1410"/>
      <c r="H472" s="1410"/>
      <c r="I472" s="1410"/>
      <c r="J472" s="1410"/>
    </row>
    <row r="473" spans="1:10" ht="16.5">
      <c r="A473" s="1410"/>
      <c r="B473" s="1410"/>
      <c r="C473" s="1410"/>
      <c r="D473" s="1410"/>
      <c r="E473" s="1410"/>
      <c r="F473" s="1410"/>
      <c r="G473" s="1410"/>
      <c r="H473" s="1410"/>
      <c r="I473" s="1410"/>
      <c r="J473" s="1410"/>
    </row>
    <row r="474" spans="1:10" ht="16.5">
      <c r="A474" s="1410"/>
      <c r="B474" s="1410"/>
      <c r="C474" s="1410"/>
      <c r="D474" s="1410"/>
      <c r="E474" s="1410"/>
      <c r="F474" s="1410"/>
      <c r="G474" s="1410"/>
      <c r="H474" s="1410"/>
      <c r="I474" s="1410"/>
      <c r="J474" s="1410"/>
    </row>
    <row r="475" spans="1:10" ht="16.5">
      <c r="A475" s="1410"/>
      <c r="B475" s="1410"/>
      <c r="C475" s="1410"/>
      <c r="D475" s="1410"/>
      <c r="E475" s="1410"/>
      <c r="F475" s="1410"/>
      <c r="G475" s="1410"/>
      <c r="H475" s="1410"/>
      <c r="I475" s="1410"/>
      <c r="J475" s="1410"/>
    </row>
    <row r="476" spans="1:10" ht="16.5">
      <c r="A476" s="1410"/>
      <c r="B476" s="1410"/>
      <c r="C476" s="1410"/>
      <c r="D476" s="1410"/>
      <c r="E476" s="1410"/>
      <c r="F476" s="1410"/>
      <c r="G476" s="1410"/>
      <c r="H476" s="1410"/>
      <c r="I476" s="1410"/>
      <c r="J476" s="1410"/>
    </row>
    <row r="477" spans="1:10" ht="16.5">
      <c r="A477" s="1410"/>
      <c r="B477" s="1410"/>
      <c r="C477" s="1410"/>
      <c r="D477" s="1410"/>
      <c r="E477" s="1410"/>
      <c r="F477" s="1410"/>
      <c r="G477" s="1410"/>
      <c r="H477" s="1410"/>
      <c r="I477" s="1410"/>
      <c r="J477" s="1410"/>
    </row>
    <row r="478" spans="1:10" ht="16.5">
      <c r="A478" s="1410"/>
      <c r="B478" s="1410"/>
      <c r="C478" s="1410"/>
      <c r="D478" s="1410"/>
      <c r="E478" s="1410"/>
      <c r="F478" s="1410"/>
      <c r="G478" s="1410"/>
      <c r="H478" s="1410"/>
      <c r="I478" s="1410"/>
      <c r="J478" s="1410"/>
    </row>
    <row r="479" spans="1:10" ht="16.5">
      <c r="A479" s="1410"/>
      <c r="B479" s="1410"/>
      <c r="C479" s="1410"/>
      <c r="D479" s="1410"/>
      <c r="E479" s="1410"/>
      <c r="F479" s="1410"/>
      <c r="G479" s="1410"/>
      <c r="H479" s="1410"/>
      <c r="I479" s="1410"/>
      <c r="J479" s="1410"/>
    </row>
    <row r="480" spans="1:10" ht="16.5">
      <c r="A480" s="1410"/>
      <c r="B480" s="1410"/>
      <c r="C480" s="1410"/>
      <c r="D480" s="1410"/>
      <c r="E480" s="1410"/>
      <c r="F480" s="1410"/>
      <c r="G480" s="1410"/>
      <c r="H480" s="1410"/>
      <c r="I480" s="1410"/>
      <c r="J480" s="1410"/>
    </row>
    <row r="481" spans="1:10" ht="16.5">
      <c r="A481" s="1410"/>
      <c r="B481" s="1410"/>
      <c r="C481" s="1410"/>
      <c r="D481" s="1410"/>
      <c r="E481" s="1410"/>
      <c r="F481" s="1410"/>
      <c r="G481" s="1410"/>
      <c r="H481" s="1410"/>
      <c r="I481" s="1410"/>
      <c r="J481" s="1410"/>
    </row>
    <row r="482" spans="1:10" ht="16.5">
      <c r="A482" s="1410"/>
      <c r="B482" s="1410"/>
      <c r="C482" s="1410"/>
      <c r="D482" s="1410"/>
      <c r="E482" s="1410"/>
      <c r="F482" s="1410"/>
      <c r="G482" s="1410"/>
      <c r="H482" s="1410"/>
      <c r="I482" s="1410"/>
      <c r="J482" s="1410"/>
    </row>
    <row r="483" spans="1:10" ht="16.5">
      <c r="A483" s="1410"/>
      <c r="B483" s="1410"/>
      <c r="C483" s="1410"/>
      <c r="D483" s="1410"/>
      <c r="E483" s="1410"/>
      <c r="F483" s="1410"/>
      <c r="G483" s="1410"/>
      <c r="H483" s="1410"/>
      <c r="I483" s="1410"/>
      <c r="J483" s="1410"/>
    </row>
    <row r="484" spans="1:10" ht="16.5">
      <c r="A484" s="1410"/>
      <c r="B484" s="1410"/>
      <c r="C484" s="1410"/>
      <c r="D484" s="1410"/>
      <c r="E484" s="1410"/>
      <c r="F484" s="1410"/>
      <c r="G484" s="1410"/>
      <c r="H484" s="1410"/>
      <c r="I484" s="1410"/>
      <c r="J484" s="1410"/>
    </row>
    <row r="485" spans="1:10" ht="16.5">
      <c r="A485" s="1410"/>
      <c r="B485" s="1410"/>
      <c r="C485" s="1410"/>
      <c r="D485" s="1410"/>
      <c r="E485" s="1410"/>
      <c r="F485" s="1410"/>
      <c r="G485" s="1410"/>
      <c r="H485" s="1410"/>
      <c r="I485" s="1410"/>
      <c r="J485" s="1410"/>
    </row>
    <row r="486" spans="1:10" ht="16.5">
      <c r="A486" s="1410"/>
      <c r="B486" s="1410"/>
      <c r="C486" s="1410"/>
      <c r="D486" s="1410"/>
      <c r="E486" s="1410"/>
      <c r="F486" s="1410"/>
      <c r="G486" s="1410"/>
      <c r="H486" s="1410"/>
      <c r="I486" s="1410"/>
      <c r="J486" s="1410"/>
    </row>
    <row r="487" spans="1:10" ht="16.5">
      <c r="A487" s="1410"/>
      <c r="B487" s="1410"/>
      <c r="C487" s="1410"/>
      <c r="D487" s="1410"/>
      <c r="E487" s="1410"/>
      <c r="F487" s="1410"/>
      <c r="G487" s="1410"/>
      <c r="H487" s="1410"/>
      <c r="I487" s="1410"/>
      <c r="J487" s="1410"/>
    </row>
    <row r="488" spans="1:10" ht="16.5">
      <c r="A488" s="1410"/>
      <c r="B488" s="1410"/>
      <c r="C488" s="1410"/>
      <c r="D488" s="1410"/>
      <c r="E488" s="1410"/>
      <c r="F488" s="1410"/>
      <c r="G488" s="1410"/>
      <c r="H488" s="1410"/>
      <c r="I488" s="1410"/>
      <c r="J488" s="1410"/>
    </row>
    <row r="489" spans="1:10" ht="16.5">
      <c r="A489" s="1410"/>
      <c r="B489" s="1410"/>
      <c r="C489" s="1410"/>
      <c r="D489" s="1410"/>
      <c r="E489" s="1410"/>
      <c r="F489" s="1410"/>
      <c r="G489" s="1410"/>
      <c r="H489" s="1410"/>
      <c r="I489" s="1410"/>
      <c r="J489" s="1410"/>
    </row>
    <row r="490" spans="1:10" ht="16.5">
      <c r="A490" s="1410"/>
      <c r="B490" s="1410"/>
      <c r="C490" s="1410"/>
      <c r="D490" s="1410"/>
      <c r="E490" s="1410"/>
      <c r="F490" s="1410"/>
      <c r="G490" s="1410"/>
      <c r="H490" s="1410"/>
      <c r="I490" s="1410"/>
      <c r="J490" s="1410"/>
    </row>
    <row r="491" spans="1:10" ht="16.5">
      <c r="A491" s="1410"/>
      <c r="B491" s="1410"/>
      <c r="C491" s="1410"/>
      <c r="D491" s="1410"/>
      <c r="E491" s="1410"/>
      <c r="F491" s="1410"/>
      <c r="G491" s="1410"/>
      <c r="H491" s="1410"/>
      <c r="I491" s="1410"/>
      <c r="J491" s="1410"/>
    </row>
    <row r="492" spans="1:10" ht="16.5">
      <c r="A492" s="1410"/>
      <c r="B492" s="1410"/>
      <c r="C492" s="1410"/>
      <c r="D492" s="1410"/>
      <c r="E492" s="1410"/>
      <c r="F492" s="1410"/>
      <c r="G492" s="1410"/>
      <c r="H492" s="1410"/>
      <c r="I492" s="1410"/>
      <c r="J492" s="1410"/>
    </row>
    <row r="493" spans="1:10" ht="16.5">
      <c r="A493" s="1410"/>
      <c r="B493" s="1410"/>
      <c r="C493" s="1410"/>
      <c r="D493" s="1410"/>
      <c r="E493" s="1410"/>
      <c r="F493" s="1410"/>
      <c r="G493" s="1410"/>
      <c r="H493" s="1410"/>
      <c r="I493" s="1410"/>
      <c r="J493" s="1410"/>
    </row>
    <row r="494" spans="1:10" ht="16.5">
      <c r="A494" s="1410"/>
      <c r="B494" s="1410"/>
      <c r="C494" s="1410"/>
      <c r="D494" s="1410"/>
      <c r="E494" s="1410"/>
      <c r="F494" s="1410"/>
      <c r="G494" s="1410"/>
      <c r="H494" s="1410"/>
      <c r="I494" s="1410"/>
      <c r="J494" s="1410"/>
    </row>
    <row r="495" spans="1:10" ht="16.5">
      <c r="A495" s="1410"/>
      <c r="B495" s="1410"/>
      <c r="C495" s="1410"/>
      <c r="D495" s="1410"/>
      <c r="E495" s="1410"/>
      <c r="F495" s="1410"/>
      <c r="G495" s="1410"/>
      <c r="H495" s="1410"/>
      <c r="I495" s="1410"/>
      <c r="J495" s="1410"/>
    </row>
    <row r="496" spans="1:10" ht="16.5">
      <c r="A496" s="1410"/>
      <c r="B496" s="1410"/>
      <c r="C496" s="1410"/>
      <c r="D496" s="1410"/>
      <c r="E496" s="1410"/>
      <c r="F496" s="1410"/>
      <c r="G496" s="1410"/>
      <c r="H496" s="1410"/>
      <c r="I496" s="1410"/>
      <c r="J496" s="1410"/>
    </row>
    <row r="497" spans="1:10" ht="16.5">
      <c r="A497" s="1410"/>
      <c r="B497" s="1410"/>
      <c r="C497" s="1410"/>
      <c r="D497" s="1410"/>
      <c r="E497" s="1410"/>
      <c r="F497" s="1410"/>
      <c r="G497" s="1410"/>
      <c r="H497" s="1410"/>
      <c r="I497" s="1410"/>
      <c r="J497" s="1410"/>
    </row>
    <row r="498" spans="1:10" ht="16.5">
      <c r="A498" s="1410"/>
      <c r="B498" s="1410"/>
      <c r="C498" s="1410"/>
      <c r="D498" s="1410"/>
      <c r="E498" s="1410"/>
      <c r="F498" s="1410"/>
      <c r="G498" s="1410"/>
      <c r="H498" s="1410"/>
      <c r="I498" s="1410"/>
      <c r="J498" s="1410"/>
    </row>
    <row r="499" spans="1:10" ht="16.5">
      <c r="A499" s="1410"/>
      <c r="B499" s="1410"/>
      <c r="C499" s="1410"/>
      <c r="D499" s="1410"/>
      <c r="E499" s="1410"/>
      <c r="F499" s="1410"/>
      <c r="G499" s="1410"/>
      <c r="H499" s="1410"/>
      <c r="I499" s="1410"/>
      <c r="J499" s="1410"/>
    </row>
    <row r="500" spans="1:10" ht="16.5">
      <c r="A500" s="1410"/>
      <c r="B500" s="1410"/>
      <c r="C500" s="1410"/>
      <c r="D500" s="1410"/>
      <c r="E500" s="1410"/>
      <c r="F500" s="1410"/>
      <c r="G500" s="1410"/>
      <c r="H500" s="1410"/>
      <c r="I500" s="1410"/>
      <c r="J500" s="1410"/>
    </row>
    <row r="501" spans="1:10" ht="16.5">
      <c r="A501" s="1410"/>
      <c r="B501" s="1410"/>
      <c r="C501" s="1410"/>
      <c r="D501" s="1410"/>
      <c r="E501" s="1410"/>
      <c r="F501" s="1410"/>
      <c r="G501" s="1410"/>
      <c r="H501" s="1410"/>
      <c r="I501" s="1410"/>
      <c r="J501" s="1410"/>
    </row>
    <row r="502" spans="1:10" ht="16.5">
      <c r="A502" s="1410"/>
      <c r="B502" s="1410"/>
      <c r="C502" s="1410"/>
      <c r="D502" s="1410"/>
      <c r="E502" s="1410"/>
      <c r="F502" s="1410"/>
      <c r="G502" s="1410"/>
      <c r="H502" s="1410"/>
      <c r="I502" s="1410"/>
      <c r="J502" s="1410"/>
    </row>
    <row r="503" spans="1:10" ht="16.5">
      <c r="A503" s="1410"/>
      <c r="B503" s="1410"/>
      <c r="C503" s="1410"/>
      <c r="D503" s="1410"/>
      <c r="E503" s="1410"/>
      <c r="F503" s="1410"/>
      <c r="G503" s="1410"/>
      <c r="H503" s="1410"/>
      <c r="I503" s="1410"/>
      <c r="J503" s="1410"/>
    </row>
    <row r="504" spans="1:10" ht="16.5">
      <c r="A504" s="1410"/>
      <c r="B504" s="1410"/>
      <c r="C504" s="1410"/>
      <c r="D504" s="1410"/>
      <c r="E504" s="1410"/>
      <c r="F504" s="1410"/>
      <c r="G504" s="1410"/>
      <c r="H504" s="1410"/>
      <c r="I504" s="1410"/>
      <c r="J504" s="1410"/>
    </row>
    <row r="505" spans="1:10" ht="16.5">
      <c r="A505" s="1410"/>
      <c r="B505" s="1410"/>
      <c r="C505" s="1410"/>
      <c r="D505" s="1410"/>
      <c r="E505" s="1410"/>
      <c r="F505" s="1410"/>
      <c r="G505" s="1410"/>
      <c r="H505" s="1410"/>
      <c r="I505" s="1410"/>
      <c r="J505" s="1410"/>
    </row>
  </sheetData>
  <mergeCells count="18">
    <mergeCell ref="F54:G54"/>
    <mergeCell ref="A40:I40"/>
    <mergeCell ref="A41:I41"/>
    <mergeCell ref="A42:J42"/>
    <mergeCell ref="A43:J43"/>
    <mergeCell ref="A45:H45"/>
    <mergeCell ref="A46:H46"/>
    <mergeCell ref="A47:H47"/>
    <mergeCell ref="A48:H48"/>
    <mergeCell ref="A49:H49"/>
    <mergeCell ref="A50:H50"/>
    <mergeCell ref="A51:H51"/>
    <mergeCell ref="A39:I39"/>
    <mergeCell ref="D1:H1"/>
    <mergeCell ref="D2:H2"/>
    <mergeCell ref="A36:I36"/>
    <mergeCell ref="A37:I37"/>
    <mergeCell ref="A38:I38"/>
  </mergeCells>
  <phoneticPr fontId="26" type="noConversion"/>
  <dataValidations count="3">
    <dataValidation type="list" allowBlank="1" showInputMessage="1" showErrorMessage="1" sqref="A11:A18 IW11:IW18 SS11:SS18 ACO11:ACO18 AMK11:AMK18 AWG11:AWG18 BGC11:BGC18 BPY11:BPY18 BZU11:BZU18 CJQ11:CJQ18 CTM11:CTM18 DDI11:DDI18 DNE11:DNE18 DXA11:DXA18 EGW11:EGW18 EQS11:EQS18 FAO11:FAO18 FKK11:FKK18 FUG11:FUG18 GEC11:GEC18 GNY11:GNY18 GXU11:GXU18 HHQ11:HHQ18 HRM11:HRM18 IBI11:IBI18 ILE11:ILE18 IVA11:IVA18 JEW11:JEW18 JOS11:JOS18 JYO11:JYO18 KIK11:KIK18 KSG11:KSG18 LCC11:LCC18 LLY11:LLY18 LVU11:LVU18 MFQ11:MFQ18 MPM11:MPM18 MZI11:MZI18 NJE11:NJE18 NTA11:NTA18 OCW11:OCW18 OMS11:OMS18 OWO11:OWO18 PGK11:PGK18 PQG11:PQG18 QAC11:QAC18 QJY11:QJY18 QTU11:QTU18 RDQ11:RDQ18 RNM11:RNM18 RXI11:RXI18 SHE11:SHE18 SRA11:SRA18 TAW11:TAW18 TKS11:TKS18 TUO11:TUO18 UEK11:UEK18 UOG11:UOG18 UYC11:UYC18 VHY11:VHY18 VRU11:VRU18 WBQ11:WBQ18 WLM11:WLM18 WVI11:WVI18 A65547:A65554 IW65547:IW65554 SS65547:SS65554 ACO65547:ACO65554 AMK65547:AMK65554 AWG65547:AWG65554 BGC65547:BGC65554 BPY65547:BPY65554 BZU65547:BZU65554 CJQ65547:CJQ65554 CTM65547:CTM65554 DDI65547:DDI65554 DNE65547:DNE65554 DXA65547:DXA65554 EGW65547:EGW65554 EQS65547:EQS65554 FAO65547:FAO65554 FKK65547:FKK65554 FUG65547:FUG65554 GEC65547:GEC65554 GNY65547:GNY65554 GXU65547:GXU65554 HHQ65547:HHQ65554 HRM65547:HRM65554 IBI65547:IBI65554 ILE65547:ILE65554 IVA65547:IVA65554 JEW65547:JEW65554 JOS65547:JOS65554 JYO65547:JYO65554 KIK65547:KIK65554 KSG65547:KSG65554 LCC65547:LCC65554 LLY65547:LLY65554 LVU65547:LVU65554 MFQ65547:MFQ65554 MPM65547:MPM65554 MZI65547:MZI65554 NJE65547:NJE65554 NTA65547:NTA65554 OCW65547:OCW65554 OMS65547:OMS65554 OWO65547:OWO65554 PGK65547:PGK65554 PQG65547:PQG65554 QAC65547:QAC65554 QJY65547:QJY65554 QTU65547:QTU65554 RDQ65547:RDQ65554 RNM65547:RNM65554 RXI65547:RXI65554 SHE65547:SHE65554 SRA65547:SRA65554 TAW65547:TAW65554 TKS65547:TKS65554 TUO65547:TUO65554 UEK65547:UEK65554 UOG65547:UOG65554 UYC65547:UYC65554 VHY65547:VHY65554 VRU65547:VRU65554 WBQ65547:WBQ65554 WLM65547:WLM65554 WVI65547:WVI65554 A131083:A131090 IW131083:IW131090 SS131083:SS131090 ACO131083:ACO131090 AMK131083:AMK131090 AWG131083:AWG131090 BGC131083:BGC131090 BPY131083:BPY131090 BZU131083:BZU131090 CJQ131083:CJQ131090 CTM131083:CTM131090 DDI131083:DDI131090 DNE131083:DNE131090 DXA131083:DXA131090 EGW131083:EGW131090 EQS131083:EQS131090 FAO131083:FAO131090 FKK131083:FKK131090 FUG131083:FUG131090 GEC131083:GEC131090 GNY131083:GNY131090 GXU131083:GXU131090 HHQ131083:HHQ131090 HRM131083:HRM131090 IBI131083:IBI131090 ILE131083:ILE131090 IVA131083:IVA131090 JEW131083:JEW131090 JOS131083:JOS131090 JYO131083:JYO131090 KIK131083:KIK131090 KSG131083:KSG131090 LCC131083:LCC131090 LLY131083:LLY131090 LVU131083:LVU131090 MFQ131083:MFQ131090 MPM131083:MPM131090 MZI131083:MZI131090 NJE131083:NJE131090 NTA131083:NTA131090 OCW131083:OCW131090 OMS131083:OMS131090 OWO131083:OWO131090 PGK131083:PGK131090 PQG131083:PQG131090 QAC131083:QAC131090 QJY131083:QJY131090 QTU131083:QTU131090 RDQ131083:RDQ131090 RNM131083:RNM131090 RXI131083:RXI131090 SHE131083:SHE131090 SRA131083:SRA131090 TAW131083:TAW131090 TKS131083:TKS131090 TUO131083:TUO131090 UEK131083:UEK131090 UOG131083:UOG131090 UYC131083:UYC131090 VHY131083:VHY131090 VRU131083:VRU131090 WBQ131083:WBQ131090 WLM131083:WLM131090 WVI131083:WVI131090 A196619:A196626 IW196619:IW196626 SS196619:SS196626 ACO196619:ACO196626 AMK196619:AMK196626 AWG196619:AWG196626 BGC196619:BGC196626 BPY196619:BPY196626 BZU196619:BZU196626 CJQ196619:CJQ196626 CTM196619:CTM196626 DDI196619:DDI196626 DNE196619:DNE196626 DXA196619:DXA196626 EGW196619:EGW196626 EQS196619:EQS196626 FAO196619:FAO196626 FKK196619:FKK196626 FUG196619:FUG196626 GEC196619:GEC196626 GNY196619:GNY196626 GXU196619:GXU196626 HHQ196619:HHQ196626 HRM196619:HRM196626 IBI196619:IBI196626 ILE196619:ILE196626 IVA196619:IVA196626 JEW196619:JEW196626 JOS196619:JOS196626 JYO196619:JYO196626 KIK196619:KIK196626 KSG196619:KSG196626 LCC196619:LCC196626 LLY196619:LLY196626 LVU196619:LVU196626 MFQ196619:MFQ196626 MPM196619:MPM196626 MZI196619:MZI196626 NJE196619:NJE196626 NTA196619:NTA196626 OCW196619:OCW196626 OMS196619:OMS196626 OWO196619:OWO196626 PGK196619:PGK196626 PQG196619:PQG196626 QAC196619:QAC196626 QJY196619:QJY196626 QTU196619:QTU196626 RDQ196619:RDQ196626 RNM196619:RNM196626 RXI196619:RXI196626 SHE196619:SHE196626 SRA196619:SRA196626 TAW196619:TAW196626 TKS196619:TKS196626 TUO196619:TUO196626 UEK196619:UEK196626 UOG196619:UOG196626 UYC196619:UYC196626 VHY196619:VHY196626 VRU196619:VRU196626 WBQ196619:WBQ196626 WLM196619:WLM196626 WVI196619:WVI196626 A262155:A262162 IW262155:IW262162 SS262155:SS262162 ACO262155:ACO262162 AMK262155:AMK262162 AWG262155:AWG262162 BGC262155:BGC262162 BPY262155:BPY262162 BZU262155:BZU262162 CJQ262155:CJQ262162 CTM262155:CTM262162 DDI262155:DDI262162 DNE262155:DNE262162 DXA262155:DXA262162 EGW262155:EGW262162 EQS262155:EQS262162 FAO262155:FAO262162 FKK262155:FKK262162 FUG262155:FUG262162 GEC262155:GEC262162 GNY262155:GNY262162 GXU262155:GXU262162 HHQ262155:HHQ262162 HRM262155:HRM262162 IBI262155:IBI262162 ILE262155:ILE262162 IVA262155:IVA262162 JEW262155:JEW262162 JOS262155:JOS262162 JYO262155:JYO262162 KIK262155:KIK262162 KSG262155:KSG262162 LCC262155:LCC262162 LLY262155:LLY262162 LVU262155:LVU262162 MFQ262155:MFQ262162 MPM262155:MPM262162 MZI262155:MZI262162 NJE262155:NJE262162 NTA262155:NTA262162 OCW262155:OCW262162 OMS262155:OMS262162 OWO262155:OWO262162 PGK262155:PGK262162 PQG262155:PQG262162 QAC262155:QAC262162 QJY262155:QJY262162 QTU262155:QTU262162 RDQ262155:RDQ262162 RNM262155:RNM262162 RXI262155:RXI262162 SHE262155:SHE262162 SRA262155:SRA262162 TAW262155:TAW262162 TKS262155:TKS262162 TUO262155:TUO262162 UEK262155:UEK262162 UOG262155:UOG262162 UYC262155:UYC262162 VHY262155:VHY262162 VRU262155:VRU262162 WBQ262155:WBQ262162 WLM262155:WLM262162 WVI262155:WVI262162 A327691:A327698 IW327691:IW327698 SS327691:SS327698 ACO327691:ACO327698 AMK327691:AMK327698 AWG327691:AWG327698 BGC327691:BGC327698 BPY327691:BPY327698 BZU327691:BZU327698 CJQ327691:CJQ327698 CTM327691:CTM327698 DDI327691:DDI327698 DNE327691:DNE327698 DXA327691:DXA327698 EGW327691:EGW327698 EQS327691:EQS327698 FAO327691:FAO327698 FKK327691:FKK327698 FUG327691:FUG327698 GEC327691:GEC327698 GNY327691:GNY327698 GXU327691:GXU327698 HHQ327691:HHQ327698 HRM327691:HRM327698 IBI327691:IBI327698 ILE327691:ILE327698 IVA327691:IVA327698 JEW327691:JEW327698 JOS327691:JOS327698 JYO327691:JYO327698 KIK327691:KIK327698 KSG327691:KSG327698 LCC327691:LCC327698 LLY327691:LLY327698 LVU327691:LVU327698 MFQ327691:MFQ327698 MPM327691:MPM327698 MZI327691:MZI327698 NJE327691:NJE327698 NTA327691:NTA327698 OCW327691:OCW327698 OMS327691:OMS327698 OWO327691:OWO327698 PGK327691:PGK327698 PQG327691:PQG327698 QAC327691:QAC327698 QJY327691:QJY327698 QTU327691:QTU327698 RDQ327691:RDQ327698 RNM327691:RNM327698 RXI327691:RXI327698 SHE327691:SHE327698 SRA327691:SRA327698 TAW327691:TAW327698 TKS327691:TKS327698 TUO327691:TUO327698 UEK327691:UEK327698 UOG327691:UOG327698 UYC327691:UYC327698 VHY327691:VHY327698 VRU327691:VRU327698 WBQ327691:WBQ327698 WLM327691:WLM327698 WVI327691:WVI327698 A393227:A393234 IW393227:IW393234 SS393227:SS393234 ACO393227:ACO393234 AMK393227:AMK393234 AWG393227:AWG393234 BGC393227:BGC393234 BPY393227:BPY393234 BZU393227:BZU393234 CJQ393227:CJQ393234 CTM393227:CTM393234 DDI393227:DDI393234 DNE393227:DNE393234 DXA393227:DXA393234 EGW393227:EGW393234 EQS393227:EQS393234 FAO393227:FAO393234 FKK393227:FKK393234 FUG393227:FUG393234 GEC393227:GEC393234 GNY393227:GNY393234 GXU393227:GXU393234 HHQ393227:HHQ393234 HRM393227:HRM393234 IBI393227:IBI393234 ILE393227:ILE393234 IVA393227:IVA393234 JEW393227:JEW393234 JOS393227:JOS393234 JYO393227:JYO393234 KIK393227:KIK393234 KSG393227:KSG393234 LCC393227:LCC393234 LLY393227:LLY393234 LVU393227:LVU393234 MFQ393227:MFQ393234 MPM393227:MPM393234 MZI393227:MZI393234 NJE393227:NJE393234 NTA393227:NTA393234 OCW393227:OCW393234 OMS393227:OMS393234 OWO393227:OWO393234 PGK393227:PGK393234 PQG393227:PQG393234 QAC393227:QAC393234 QJY393227:QJY393234 QTU393227:QTU393234 RDQ393227:RDQ393234 RNM393227:RNM393234 RXI393227:RXI393234 SHE393227:SHE393234 SRA393227:SRA393234 TAW393227:TAW393234 TKS393227:TKS393234 TUO393227:TUO393234 UEK393227:UEK393234 UOG393227:UOG393234 UYC393227:UYC393234 VHY393227:VHY393234 VRU393227:VRU393234 WBQ393227:WBQ393234 WLM393227:WLM393234 WVI393227:WVI393234 A458763:A458770 IW458763:IW458770 SS458763:SS458770 ACO458763:ACO458770 AMK458763:AMK458770 AWG458763:AWG458770 BGC458763:BGC458770 BPY458763:BPY458770 BZU458763:BZU458770 CJQ458763:CJQ458770 CTM458763:CTM458770 DDI458763:DDI458770 DNE458763:DNE458770 DXA458763:DXA458770 EGW458763:EGW458770 EQS458763:EQS458770 FAO458763:FAO458770 FKK458763:FKK458770 FUG458763:FUG458770 GEC458763:GEC458770 GNY458763:GNY458770 GXU458763:GXU458770 HHQ458763:HHQ458770 HRM458763:HRM458770 IBI458763:IBI458770 ILE458763:ILE458770 IVA458763:IVA458770 JEW458763:JEW458770 JOS458763:JOS458770 JYO458763:JYO458770 KIK458763:KIK458770 KSG458763:KSG458770 LCC458763:LCC458770 LLY458763:LLY458770 LVU458763:LVU458770 MFQ458763:MFQ458770 MPM458763:MPM458770 MZI458763:MZI458770 NJE458763:NJE458770 NTA458763:NTA458770 OCW458763:OCW458770 OMS458763:OMS458770 OWO458763:OWO458770 PGK458763:PGK458770 PQG458763:PQG458770 QAC458763:QAC458770 QJY458763:QJY458770 QTU458763:QTU458770 RDQ458763:RDQ458770 RNM458763:RNM458770 RXI458763:RXI458770 SHE458763:SHE458770 SRA458763:SRA458770 TAW458763:TAW458770 TKS458763:TKS458770 TUO458763:TUO458770 UEK458763:UEK458770 UOG458763:UOG458770 UYC458763:UYC458770 VHY458763:VHY458770 VRU458763:VRU458770 WBQ458763:WBQ458770 WLM458763:WLM458770 WVI458763:WVI458770 A524299:A524306 IW524299:IW524306 SS524299:SS524306 ACO524299:ACO524306 AMK524299:AMK524306 AWG524299:AWG524306 BGC524299:BGC524306 BPY524299:BPY524306 BZU524299:BZU524306 CJQ524299:CJQ524306 CTM524299:CTM524306 DDI524299:DDI524306 DNE524299:DNE524306 DXA524299:DXA524306 EGW524299:EGW524306 EQS524299:EQS524306 FAO524299:FAO524306 FKK524299:FKK524306 FUG524299:FUG524306 GEC524299:GEC524306 GNY524299:GNY524306 GXU524299:GXU524306 HHQ524299:HHQ524306 HRM524299:HRM524306 IBI524299:IBI524306 ILE524299:ILE524306 IVA524299:IVA524306 JEW524299:JEW524306 JOS524299:JOS524306 JYO524299:JYO524306 KIK524299:KIK524306 KSG524299:KSG524306 LCC524299:LCC524306 LLY524299:LLY524306 LVU524299:LVU524306 MFQ524299:MFQ524306 MPM524299:MPM524306 MZI524299:MZI524306 NJE524299:NJE524306 NTA524299:NTA524306 OCW524299:OCW524306 OMS524299:OMS524306 OWO524299:OWO524306 PGK524299:PGK524306 PQG524299:PQG524306 QAC524299:QAC524306 QJY524299:QJY524306 QTU524299:QTU524306 RDQ524299:RDQ524306 RNM524299:RNM524306 RXI524299:RXI524306 SHE524299:SHE524306 SRA524299:SRA524306 TAW524299:TAW524306 TKS524299:TKS524306 TUO524299:TUO524306 UEK524299:UEK524306 UOG524299:UOG524306 UYC524299:UYC524306 VHY524299:VHY524306 VRU524299:VRU524306 WBQ524299:WBQ524306 WLM524299:WLM524306 WVI524299:WVI524306 A589835:A589842 IW589835:IW589842 SS589835:SS589842 ACO589835:ACO589842 AMK589835:AMK589842 AWG589835:AWG589842 BGC589835:BGC589842 BPY589835:BPY589842 BZU589835:BZU589842 CJQ589835:CJQ589842 CTM589835:CTM589842 DDI589835:DDI589842 DNE589835:DNE589842 DXA589835:DXA589842 EGW589835:EGW589842 EQS589835:EQS589842 FAO589835:FAO589842 FKK589835:FKK589842 FUG589835:FUG589842 GEC589835:GEC589842 GNY589835:GNY589842 GXU589835:GXU589842 HHQ589835:HHQ589842 HRM589835:HRM589842 IBI589835:IBI589842 ILE589835:ILE589842 IVA589835:IVA589842 JEW589835:JEW589842 JOS589835:JOS589842 JYO589835:JYO589842 KIK589835:KIK589842 KSG589835:KSG589842 LCC589835:LCC589842 LLY589835:LLY589842 LVU589835:LVU589842 MFQ589835:MFQ589842 MPM589835:MPM589842 MZI589835:MZI589842 NJE589835:NJE589842 NTA589835:NTA589842 OCW589835:OCW589842 OMS589835:OMS589842 OWO589835:OWO589842 PGK589835:PGK589842 PQG589835:PQG589842 QAC589835:QAC589842 QJY589835:QJY589842 QTU589835:QTU589842 RDQ589835:RDQ589842 RNM589835:RNM589842 RXI589835:RXI589842 SHE589835:SHE589842 SRA589835:SRA589842 TAW589835:TAW589842 TKS589835:TKS589842 TUO589835:TUO589842 UEK589835:UEK589842 UOG589835:UOG589842 UYC589835:UYC589842 VHY589835:VHY589842 VRU589835:VRU589842 WBQ589835:WBQ589842 WLM589835:WLM589842 WVI589835:WVI589842 A655371:A655378 IW655371:IW655378 SS655371:SS655378 ACO655371:ACO655378 AMK655371:AMK655378 AWG655371:AWG655378 BGC655371:BGC655378 BPY655371:BPY655378 BZU655371:BZU655378 CJQ655371:CJQ655378 CTM655371:CTM655378 DDI655371:DDI655378 DNE655371:DNE655378 DXA655371:DXA655378 EGW655371:EGW655378 EQS655371:EQS655378 FAO655371:FAO655378 FKK655371:FKK655378 FUG655371:FUG655378 GEC655371:GEC655378 GNY655371:GNY655378 GXU655371:GXU655378 HHQ655371:HHQ655378 HRM655371:HRM655378 IBI655371:IBI655378 ILE655371:ILE655378 IVA655371:IVA655378 JEW655371:JEW655378 JOS655371:JOS655378 JYO655371:JYO655378 KIK655371:KIK655378 KSG655371:KSG655378 LCC655371:LCC655378 LLY655371:LLY655378 LVU655371:LVU655378 MFQ655371:MFQ655378 MPM655371:MPM655378 MZI655371:MZI655378 NJE655371:NJE655378 NTA655371:NTA655378 OCW655371:OCW655378 OMS655371:OMS655378 OWO655371:OWO655378 PGK655371:PGK655378 PQG655371:PQG655378 QAC655371:QAC655378 QJY655371:QJY655378 QTU655371:QTU655378 RDQ655371:RDQ655378 RNM655371:RNM655378 RXI655371:RXI655378 SHE655371:SHE655378 SRA655371:SRA655378 TAW655371:TAW655378 TKS655371:TKS655378 TUO655371:TUO655378 UEK655371:UEK655378 UOG655371:UOG655378 UYC655371:UYC655378 VHY655371:VHY655378 VRU655371:VRU655378 WBQ655371:WBQ655378 WLM655371:WLM655378 WVI655371:WVI655378 A720907:A720914 IW720907:IW720914 SS720907:SS720914 ACO720907:ACO720914 AMK720907:AMK720914 AWG720907:AWG720914 BGC720907:BGC720914 BPY720907:BPY720914 BZU720907:BZU720914 CJQ720907:CJQ720914 CTM720907:CTM720914 DDI720907:DDI720914 DNE720907:DNE720914 DXA720907:DXA720914 EGW720907:EGW720914 EQS720907:EQS720914 FAO720907:FAO720914 FKK720907:FKK720914 FUG720907:FUG720914 GEC720907:GEC720914 GNY720907:GNY720914 GXU720907:GXU720914 HHQ720907:HHQ720914 HRM720907:HRM720914 IBI720907:IBI720914 ILE720907:ILE720914 IVA720907:IVA720914 JEW720907:JEW720914 JOS720907:JOS720914 JYO720907:JYO720914 KIK720907:KIK720914 KSG720907:KSG720914 LCC720907:LCC720914 LLY720907:LLY720914 LVU720907:LVU720914 MFQ720907:MFQ720914 MPM720907:MPM720914 MZI720907:MZI720914 NJE720907:NJE720914 NTA720907:NTA720914 OCW720907:OCW720914 OMS720907:OMS720914 OWO720907:OWO720914 PGK720907:PGK720914 PQG720907:PQG720914 QAC720907:QAC720914 QJY720907:QJY720914 QTU720907:QTU720914 RDQ720907:RDQ720914 RNM720907:RNM720914 RXI720907:RXI720914 SHE720907:SHE720914 SRA720907:SRA720914 TAW720907:TAW720914 TKS720907:TKS720914 TUO720907:TUO720914 UEK720907:UEK720914 UOG720907:UOG720914 UYC720907:UYC720914 VHY720907:VHY720914 VRU720907:VRU720914 WBQ720907:WBQ720914 WLM720907:WLM720914 WVI720907:WVI720914 A786443:A786450 IW786443:IW786450 SS786443:SS786450 ACO786443:ACO786450 AMK786443:AMK786450 AWG786443:AWG786450 BGC786443:BGC786450 BPY786443:BPY786450 BZU786443:BZU786450 CJQ786443:CJQ786450 CTM786443:CTM786450 DDI786443:DDI786450 DNE786443:DNE786450 DXA786443:DXA786450 EGW786443:EGW786450 EQS786443:EQS786450 FAO786443:FAO786450 FKK786443:FKK786450 FUG786443:FUG786450 GEC786443:GEC786450 GNY786443:GNY786450 GXU786443:GXU786450 HHQ786443:HHQ786450 HRM786443:HRM786450 IBI786443:IBI786450 ILE786443:ILE786450 IVA786443:IVA786450 JEW786443:JEW786450 JOS786443:JOS786450 JYO786443:JYO786450 KIK786443:KIK786450 KSG786443:KSG786450 LCC786443:LCC786450 LLY786443:LLY786450 LVU786443:LVU786450 MFQ786443:MFQ786450 MPM786443:MPM786450 MZI786443:MZI786450 NJE786443:NJE786450 NTA786443:NTA786450 OCW786443:OCW786450 OMS786443:OMS786450 OWO786443:OWO786450 PGK786443:PGK786450 PQG786443:PQG786450 QAC786443:QAC786450 QJY786443:QJY786450 QTU786443:QTU786450 RDQ786443:RDQ786450 RNM786443:RNM786450 RXI786443:RXI786450 SHE786443:SHE786450 SRA786443:SRA786450 TAW786443:TAW786450 TKS786443:TKS786450 TUO786443:TUO786450 UEK786443:UEK786450 UOG786443:UOG786450 UYC786443:UYC786450 VHY786443:VHY786450 VRU786443:VRU786450 WBQ786443:WBQ786450 WLM786443:WLM786450 WVI786443:WVI786450 A851979:A851986 IW851979:IW851986 SS851979:SS851986 ACO851979:ACO851986 AMK851979:AMK851986 AWG851979:AWG851986 BGC851979:BGC851986 BPY851979:BPY851986 BZU851979:BZU851986 CJQ851979:CJQ851986 CTM851979:CTM851986 DDI851979:DDI851986 DNE851979:DNE851986 DXA851979:DXA851986 EGW851979:EGW851986 EQS851979:EQS851986 FAO851979:FAO851986 FKK851979:FKK851986 FUG851979:FUG851986 GEC851979:GEC851986 GNY851979:GNY851986 GXU851979:GXU851986 HHQ851979:HHQ851986 HRM851979:HRM851986 IBI851979:IBI851986 ILE851979:ILE851986 IVA851979:IVA851986 JEW851979:JEW851986 JOS851979:JOS851986 JYO851979:JYO851986 KIK851979:KIK851986 KSG851979:KSG851986 LCC851979:LCC851986 LLY851979:LLY851986 LVU851979:LVU851986 MFQ851979:MFQ851986 MPM851979:MPM851986 MZI851979:MZI851986 NJE851979:NJE851986 NTA851979:NTA851986 OCW851979:OCW851986 OMS851979:OMS851986 OWO851979:OWO851986 PGK851979:PGK851986 PQG851979:PQG851986 QAC851979:QAC851986 QJY851979:QJY851986 QTU851979:QTU851986 RDQ851979:RDQ851986 RNM851979:RNM851986 RXI851979:RXI851986 SHE851979:SHE851986 SRA851979:SRA851986 TAW851979:TAW851986 TKS851979:TKS851986 TUO851979:TUO851986 UEK851979:UEK851986 UOG851979:UOG851986 UYC851979:UYC851986 VHY851979:VHY851986 VRU851979:VRU851986 WBQ851979:WBQ851986 WLM851979:WLM851986 WVI851979:WVI851986 A917515:A917522 IW917515:IW917522 SS917515:SS917522 ACO917515:ACO917522 AMK917515:AMK917522 AWG917515:AWG917522 BGC917515:BGC917522 BPY917515:BPY917522 BZU917515:BZU917522 CJQ917515:CJQ917522 CTM917515:CTM917522 DDI917515:DDI917522 DNE917515:DNE917522 DXA917515:DXA917522 EGW917515:EGW917522 EQS917515:EQS917522 FAO917515:FAO917522 FKK917515:FKK917522 FUG917515:FUG917522 GEC917515:GEC917522 GNY917515:GNY917522 GXU917515:GXU917522 HHQ917515:HHQ917522 HRM917515:HRM917522 IBI917515:IBI917522 ILE917515:ILE917522 IVA917515:IVA917522 JEW917515:JEW917522 JOS917515:JOS917522 JYO917515:JYO917522 KIK917515:KIK917522 KSG917515:KSG917522 LCC917515:LCC917522 LLY917515:LLY917522 LVU917515:LVU917522 MFQ917515:MFQ917522 MPM917515:MPM917522 MZI917515:MZI917522 NJE917515:NJE917522 NTA917515:NTA917522 OCW917515:OCW917522 OMS917515:OMS917522 OWO917515:OWO917522 PGK917515:PGK917522 PQG917515:PQG917522 QAC917515:QAC917522 QJY917515:QJY917522 QTU917515:QTU917522 RDQ917515:RDQ917522 RNM917515:RNM917522 RXI917515:RXI917522 SHE917515:SHE917522 SRA917515:SRA917522 TAW917515:TAW917522 TKS917515:TKS917522 TUO917515:TUO917522 UEK917515:UEK917522 UOG917515:UOG917522 UYC917515:UYC917522 VHY917515:VHY917522 VRU917515:VRU917522 WBQ917515:WBQ917522 WLM917515:WLM917522 WVI917515:WVI917522 A983051:A983058 IW983051:IW983058 SS983051:SS983058 ACO983051:ACO983058 AMK983051:AMK983058 AWG983051:AWG983058 BGC983051:BGC983058 BPY983051:BPY983058 BZU983051:BZU983058 CJQ983051:CJQ983058 CTM983051:CTM983058 DDI983051:DDI983058 DNE983051:DNE983058 DXA983051:DXA983058 EGW983051:EGW983058 EQS983051:EQS983058 FAO983051:FAO983058 FKK983051:FKK983058 FUG983051:FUG983058 GEC983051:GEC983058 GNY983051:GNY983058 GXU983051:GXU983058 HHQ983051:HHQ983058 HRM983051:HRM983058 IBI983051:IBI983058 ILE983051:ILE983058 IVA983051:IVA983058 JEW983051:JEW983058 JOS983051:JOS983058 JYO983051:JYO983058 KIK983051:KIK983058 KSG983051:KSG983058 LCC983051:LCC983058 LLY983051:LLY983058 LVU983051:LVU983058 MFQ983051:MFQ983058 MPM983051:MPM983058 MZI983051:MZI983058 NJE983051:NJE983058 NTA983051:NTA983058 OCW983051:OCW983058 OMS983051:OMS983058 OWO983051:OWO983058 PGK983051:PGK983058 PQG983051:PQG983058 QAC983051:QAC983058 QJY983051:QJY983058 QTU983051:QTU983058 RDQ983051:RDQ983058 RNM983051:RNM983058 RXI983051:RXI983058 SHE983051:SHE983058 SRA983051:SRA983058 TAW983051:TAW983058 TKS983051:TKS983058 TUO983051:TUO983058 UEK983051:UEK983058 UOG983051:UOG983058 UYC983051:UYC983058 VHY983051:VHY983058 VRU983051:VRU983058 WBQ983051:WBQ983058 WLM983051:WLM983058 WVI983051:WVI983058">
      <formula1>"/,2+0,3+0,4+0,5+0,6+0,7+0,8+0,9+0,10+0"</formula1>
    </dataValidation>
    <dataValidation type="list" showInputMessage="1" showErrorMessage="1" sqref="D11:D16 IZ11:IZ16 SV11:SV16 ACR11:ACR16 AMN11:AMN16 AWJ11:AWJ16 BGF11:BGF16 BQB11:BQB16 BZX11:BZX16 CJT11:CJT16 CTP11:CTP16 DDL11:DDL16 DNH11:DNH16 DXD11:DXD16 EGZ11:EGZ16 EQV11:EQV16 FAR11:FAR16 FKN11:FKN16 FUJ11:FUJ16 GEF11:GEF16 GOB11:GOB16 GXX11:GXX16 HHT11:HHT16 HRP11:HRP16 IBL11:IBL16 ILH11:ILH16 IVD11:IVD16 JEZ11:JEZ16 JOV11:JOV16 JYR11:JYR16 KIN11:KIN16 KSJ11:KSJ16 LCF11:LCF16 LMB11:LMB16 LVX11:LVX16 MFT11:MFT16 MPP11:MPP16 MZL11:MZL16 NJH11:NJH16 NTD11:NTD16 OCZ11:OCZ16 OMV11:OMV16 OWR11:OWR16 PGN11:PGN16 PQJ11:PQJ16 QAF11:QAF16 QKB11:QKB16 QTX11:QTX16 RDT11:RDT16 RNP11:RNP16 RXL11:RXL16 SHH11:SHH16 SRD11:SRD16 TAZ11:TAZ16 TKV11:TKV16 TUR11:TUR16 UEN11:UEN16 UOJ11:UOJ16 UYF11:UYF16 VIB11:VIB16 VRX11:VRX16 WBT11:WBT16 WLP11:WLP16 WVL11:WVL16 D65547:D65552 IZ65547:IZ65552 SV65547:SV65552 ACR65547:ACR65552 AMN65547:AMN65552 AWJ65547:AWJ65552 BGF65547:BGF65552 BQB65547:BQB65552 BZX65547:BZX65552 CJT65547:CJT65552 CTP65547:CTP65552 DDL65547:DDL65552 DNH65547:DNH65552 DXD65547:DXD65552 EGZ65547:EGZ65552 EQV65547:EQV65552 FAR65547:FAR65552 FKN65547:FKN65552 FUJ65547:FUJ65552 GEF65547:GEF65552 GOB65547:GOB65552 GXX65547:GXX65552 HHT65547:HHT65552 HRP65547:HRP65552 IBL65547:IBL65552 ILH65547:ILH65552 IVD65547:IVD65552 JEZ65547:JEZ65552 JOV65547:JOV65552 JYR65547:JYR65552 KIN65547:KIN65552 KSJ65547:KSJ65552 LCF65547:LCF65552 LMB65547:LMB65552 LVX65547:LVX65552 MFT65547:MFT65552 MPP65547:MPP65552 MZL65547:MZL65552 NJH65547:NJH65552 NTD65547:NTD65552 OCZ65547:OCZ65552 OMV65547:OMV65552 OWR65547:OWR65552 PGN65547:PGN65552 PQJ65547:PQJ65552 QAF65547:QAF65552 QKB65547:QKB65552 QTX65547:QTX65552 RDT65547:RDT65552 RNP65547:RNP65552 RXL65547:RXL65552 SHH65547:SHH65552 SRD65547:SRD65552 TAZ65547:TAZ65552 TKV65547:TKV65552 TUR65547:TUR65552 UEN65547:UEN65552 UOJ65547:UOJ65552 UYF65547:UYF65552 VIB65547:VIB65552 VRX65547:VRX65552 WBT65547:WBT65552 WLP65547:WLP65552 WVL65547:WVL65552 D131083:D131088 IZ131083:IZ131088 SV131083:SV131088 ACR131083:ACR131088 AMN131083:AMN131088 AWJ131083:AWJ131088 BGF131083:BGF131088 BQB131083:BQB131088 BZX131083:BZX131088 CJT131083:CJT131088 CTP131083:CTP131088 DDL131083:DDL131088 DNH131083:DNH131088 DXD131083:DXD131088 EGZ131083:EGZ131088 EQV131083:EQV131088 FAR131083:FAR131088 FKN131083:FKN131088 FUJ131083:FUJ131088 GEF131083:GEF131088 GOB131083:GOB131088 GXX131083:GXX131088 HHT131083:HHT131088 HRP131083:HRP131088 IBL131083:IBL131088 ILH131083:ILH131088 IVD131083:IVD131088 JEZ131083:JEZ131088 JOV131083:JOV131088 JYR131083:JYR131088 KIN131083:KIN131088 KSJ131083:KSJ131088 LCF131083:LCF131088 LMB131083:LMB131088 LVX131083:LVX131088 MFT131083:MFT131088 MPP131083:MPP131088 MZL131083:MZL131088 NJH131083:NJH131088 NTD131083:NTD131088 OCZ131083:OCZ131088 OMV131083:OMV131088 OWR131083:OWR131088 PGN131083:PGN131088 PQJ131083:PQJ131088 QAF131083:QAF131088 QKB131083:QKB131088 QTX131083:QTX131088 RDT131083:RDT131088 RNP131083:RNP131088 RXL131083:RXL131088 SHH131083:SHH131088 SRD131083:SRD131088 TAZ131083:TAZ131088 TKV131083:TKV131088 TUR131083:TUR131088 UEN131083:UEN131088 UOJ131083:UOJ131088 UYF131083:UYF131088 VIB131083:VIB131088 VRX131083:VRX131088 WBT131083:WBT131088 WLP131083:WLP131088 WVL131083:WVL131088 D196619:D196624 IZ196619:IZ196624 SV196619:SV196624 ACR196619:ACR196624 AMN196619:AMN196624 AWJ196619:AWJ196624 BGF196619:BGF196624 BQB196619:BQB196624 BZX196619:BZX196624 CJT196619:CJT196624 CTP196619:CTP196624 DDL196619:DDL196624 DNH196619:DNH196624 DXD196619:DXD196624 EGZ196619:EGZ196624 EQV196619:EQV196624 FAR196619:FAR196624 FKN196619:FKN196624 FUJ196619:FUJ196624 GEF196619:GEF196624 GOB196619:GOB196624 GXX196619:GXX196624 HHT196619:HHT196624 HRP196619:HRP196624 IBL196619:IBL196624 ILH196619:ILH196624 IVD196619:IVD196624 JEZ196619:JEZ196624 JOV196619:JOV196624 JYR196619:JYR196624 KIN196619:KIN196624 KSJ196619:KSJ196624 LCF196619:LCF196624 LMB196619:LMB196624 LVX196619:LVX196624 MFT196619:MFT196624 MPP196619:MPP196624 MZL196619:MZL196624 NJH196619:NJH196624 NTD196619:NTD196624 OCZ196619:OCZ196624 OMV196619:OMV196624 OWR196619:OWR196624 PGN196619:PGN196624 PQJ196619:PQJ196624 QAF196619:QAF196624 QKB196619:QKB196624 QTX196619:QTX196624 RDT196619:RDT196624 RNP196619:RNP196624 RXL196619:RXL196624 SHH196619:SHH196624 SRD196619:SRD196624 TAZ196619:TAZ196624 TKV196619:TKV196624 TUR196619:TUR196624 UEN196619:UEN196624 UOJ196619:UOJ196624 UYF196619:UYF196624 VIB196619:VIB196624 VRX196619:VRX196624 WBT196619:WBT196624 WLP196619:WLP196624 WVL196619:WVL196624 D262155:D262160 IZ262155:IZ262160 SV262155:SV262160 ACR262155:ACR262160 AMN262155:AMN262160 AWJ262155:AWJ262160 BGF262155:BGF262160 BQB262155:BQB262160 BZX262155:BZX262160 CJT262155:CJT262160 CTP262155:CTP262160 DDL262155:DDL262160 DNH262155:DNH262160 DXD262155:DXD262160 EGZ262155:EGZ262160 EQV262155:EQV262160 FAR262155:FAR262160 FKN262155:FKN262160 FUJ262155:FUJ262160 GEF262155:GEF262160 GOB262155:GOB262160 GXX262155:GXX262160 HHT262155:HHT262160 HRP262155:HRP262160 IBL262155:IBL262160 ILH262155:ILH262160 IVD262155:IVD262160 JEZ262155:JEZ262160 JOV262155:JOV262160 JYR262155:JYR262160 KIN262155:KIN262160 KSJ262155:KSJ262160 LCF262155:LCF262160 LMB262155:LMB262160 LVX262155:LVX262160 MFT262155:MFT262160 MPP262155:MPP262160 MZL262155:MZL262160 NJH262155:NJH262160 NTD262155:NTD262160 OCZ262155:OCZ262160 OMV262155:OMV262160 OWR262155:OWR262160 PGN262155:PGN262160 PQJ262155:PQJ262160 QAF262155:QAF262160 QKB262155:QKB262160 QTX262155:QTX262160 RDT262155:RDT262160 RNP262155:RNP262160 RXL262155:RXL262160 SHH262155:SHH262160 SRD262155:SRD262160 TAZ262155:TAZ262160 TKV262155:TKV262160 TUR262155:TUR262160 UEN262155:UEN262160 UOJ262155:UOJ262160 UYF262155:UYF262160 VIB262155:VIB262160 VRX262155:VRX262160 WBT262155:WBT262160 WLP262155:WLP262160 WVL262155:WVL262160 D327691:D327696 IZ327691:IZ327696 SV327691:SV327696 ACR327691:ACR327696 AMN327691:AMN327696 AWJ327691:AWJ327696 BGF327691:BGF327696 BQB327691:BQB327696 BZX327691:BZX327696 CJT327691:CJT327696 CTP327691:CTP327696 DDL327691:DDL327696 DNH327691:DNH327696 DXD327691:DXD327696 EGZ327691:EGZ327696 EQV327691:EQV327696 FAR327691:FAR327696 FKN327691:FKN327696 FUJ327691:FUJ327696 GEF327691:GEF327696 GOB327691:GOB327696 GXX327691:GXX327696 HHT327691:HHT327696 HRP327691:HRP327696 IBL327691:IBL327696 ILH327691:ILH327696 IVD327691:IVD327696 JEZ327691:JEZ327696 JOV327691:JOV327696 JYR327691:JYR327696 KIN327691:KIN327696 KSJ327691:KSJ327696 LCF327691:LCF327696 LMB327691:LMB327696 LVX327691:LVX327696 MFT327691:MFT327696 MPP327691:MPP327696 MZL327691:MZL327696 NJH327691:NJH327696 NTD327691:NTD327696 OCZ327691:OCZ327696 OMV327691:OMV327696 OWR327691:OWR327696 PGN327691:PGN327696 PQJ327691:PQJ327696 QAF327691:QAF327696 QKB327691:QKB327696 QTX327691:QTX327696 RDT327691:RDT327696 RNP327691:RNP327696 RXL327691:RXL327696 SHH327691:SHH327696 SRD327691:SRD327696 TAZ327691:TAZ327696 TKV327691:TKV327696 TUR327691:TUR327696 UEN327691:UEN327696 UOJ327691:UOJ327696 UYF327691:UYF327696 VIB327691:VIB327696 VRX327691:VRX327696 WBT327691:WBT327696 WLP327691:WLP327696 WVL327691:WVL327696 D393227:D393232 IZ393227:IZ393232 SV393227:SV393232 ACR393227:ACR393232 AMN393227:AMN393232 AWJ393227:AWJ393232 BGF393227:BGF393232 BQB393227:BQB393232 BZX393227:BZX393232 CJT393227:CJT393232 CTP393227:CTP393232 DDL393227:DDL393232 DNH393227:DNH393232 DXD393227:DXD393232 EGZ393227:EGZ393232 EQV393227:EQV393232 FAR393227:FAR393232 FKN393227:FKN393232 FUJ393227:FUJ393232 GEF393227:GEF393232 GOB393227:GOB393232 GXX393227:GXX393232 HHT393227:HHT393232 HRP393227:HRP393232 IBL393227:IBL393232 ILH393227:ILH393232 IVD393227:IVD393232 JEZ393227:JEZ393232 JOV393227:JOV393232 JYR393227:JYR393232 KIN393227:KIN393232 KSJ393227:KSJ393232 LCF393227:LCF393232 LMB393227:LMB393232 LVX393227:LVX393232 MFT393227:MFT393232 MPP393227:MPP393232 MZL393227:MZL393232 NJH393227:NJH393232 NTD393227:NTD393232 OCZ393227:OCZ393232 OMV393227:OMV393232 OWR393227:OWR393232 PGN393227:PGN393232 PQJ393227:PQJ393232 QAF393227:QAF393232 QKB393227:QKB393232 QTX393227:QTX393232 RDT393227:RDT393232 RNP393227:RNP393232 RXL393227:RXL393232 SHH393227:SHH393232 SRD393227:SRD393232 TAZ393227:TAZ393232 TKV393227:TKV393232 TUR393227:TUR393232 UEN393227:UEN393232 UOJ393227:UOJ393232 UYF393227:UYF393232 VIB393227:VIB393232 VRX393227:VRX393232 WBT393227:WBT393232 WLP393227:WLP393232 WVL393227:WVL393232 D458763:D458768 IZ458763:IZ458768 SV458763:SV458768 ACR458763:ACR458768 AMN458763:AMN458768 AWJ458763:AWJ458768 BGF458763:BGF458768 BQB458763:BQB458768 BZX458763:BZX458768 CJT458763:CJT458768 CTP458763:CTP458768 DDL458763:DDL458768 DNH458763:DNH458768 DXD458763:DXD458768 EGZ458763:EGZ458768 EQV458763:EQV458768 FAR458763:FAR458768 FKN458763:FKN458768 FUJ458763:FUJ458768 GEF458763:GEF458768 GOB458763:GOB458768 GXX458763:GXX458768 HHT458763:HHT458768 HRP458763:HRP458768 IBL458763:IBL458768 ILH458763:ILH458768 IVD458763:IVD458768 JEZ458763:JEZ458768 JOV458763:JOV458768 JYR458763:JYR458768 KIN458763:KIN458768 KSJ458763:KSJ458768 LCF458763:LCF458768 LMB458763:LMB458768 LVX458763:LVX458768 MFT458763:MFT458768 MPP458763:MPP458768 MZL458763:MZL458768 NJH458763:NJH458768 NTD458763:NTD458768 OCZ458763:OCZ458768 OMV458763:OMV458768 OWR458763:OWR458768 PGN458763:PGN458768 PQJ458763:PQJ458768 QAF458763:QAF458768 QKB458763:QKB458768 QTX458763:QTX458768 RDT458763:RDT458768 RNP458763:RNP458768 RXL458763:RXL458768 SHH458763:SHH458768 SRD458763:SRD458768 TAZ458763:TAZ458768 TKV458763:TKV458768 TUR458763:TUR458768 UEN458763:UEN458768 UOJ458763:UOJ458768 UYF458763:UYF458768 VIB458763:VIB458768 VRX458763:VRX458768 WBT458763:WBT458768 WLP458763:WLP458768 WVL458763:WVL458768 D524299:D524304 IZ524299:IZ524304 SV524299:SV524304 ACR524299:ACR524304 AMN524299:AMN524304 AWJ524299:AWJ524304 BGF524299:BGF524304 BQB524299:BQB524304 BZX524299:BZX524304 CJT524299:CJT524304 CTP524299:CTP524304 DDL524299:DDL524304 DNH524299:DNH524304 DXD524299:DXD524304 EGZ524299:EGZ524304 EQV524299:EQV524304 FAR524299:FAR524304 FKN524299:FKN524304 FUJ524299:FUJ524304 GEF524299:GEF524304 GOB524299:GOB524304 GXX524299:GXX524304 HHT524299:HHT524304 HRP524299:HRP524304 IBL524299:IBL524304 ILH524299:ILH524304 IVD524299:IVD524304 JEZ524299:JEZ524304 JOV524299:JOV524304 JYR524299:JYR524304 KIN524299:KIN524304 KSJ524299:KSJ524304 LCF524299:LCF524304 LMB524299:LMB524304 LVX524299:LVX524304 MFT524299:MFT524304 MPP524299:MPP524304 MZL524299:MZL524304 NJH524299:NJH524304 NTD524299:NTD524304 OCZ524299:OCZ524304 OMV524299:OMV524304 OWR524299:OWR524304 PGN524299:PGN524304 PQJ524299:PQJ524304 QAF524299:QAF524304 QKB524299:QKB524304 QTX524299:QTX524304 RDT524299:RDT524304 RNP524299:RNP524304 RXL524299:RXL524304 SHH524299:SHH524304 SRD524299:SRD524304 TAZ524299:TAZ524304 TKV524299:TKV524304 TUR524299:TUR524304 UEN524299:UEN524304 UOJ524299:UOJ524304 UYF524299:UYF524304 VIB524299:VIB524304 VRX524299:VRX524304 WBT524299:WBT524304 WLP524299:WLP524304 WVL524299:WVL524304 D589835:D589840 IZ589835:IZ589840 SV589835:SV589840 ACR589835:ACR589840 AMN589835:AMN589840 AWJ589835:AWJ589840 BGF589835:BGF589840 BQB589835:BQB589840 BZX589835:BZX589840 CJT589835:CJT589840 CTP589835:CTP589840 DDL589835:DDL589840 DNH589835:DNH589840 DXD589835:DXD589840 EGZ589835:EGZ589840 EQV589835:EQV589840 FAR589835:FAR589840 FKN589835:FKN589840 FUJ589835:FUJ589840 GEF589835:GEF589840 GOB589835:GOB589840 GXX589835:GXX589840 HHT589835:HHT589840 HRP589835:HRP589840 IBL589835:IBL589840 ILH589835:ILH589840 IVD589835:IVD589840 JEZ589835:JEZ589840 JOV589835:JOV589840 JYR589835:JYR589840 KIN589835:KIN589840 KSJ589835:KSJ589840 LCF589835:LCF589840 LMB589835:LMB589840 LVX589835:LVX589840 MFT589835:MFT589840 MPP589835:MPP589840 MZL589835:MZL589840 NJH589835:NJH589840 NTD589835:NTD589840 OCZ589835:OCZ589840 OMV589835:OMV589840 OWR589835:OWR589840 PGN589835:PGN589840 PQJ589835:PQJ589840 QAF589835:QAF589840 QKB589835:QKB589840 QTX589835:QTX589840 RDT589835:RDT589840 RNP589835:RNP589840 RXL589835:RXL589840 SHH589835:SHH589840 SRD589835:SRD589840 TAZ589835:TAZ589840 TKV589835:TKV589840 TUR589835:TUR589840 UEN589835:UEN589840 UOJ589835:UOJ589840 UYF589835:UYF589840 VIB589835:VIB589840 VRX589835:VRX589840 WBT589835:WBT589840 WLP589835:WLP589840 WVL589835:WVL589840 D655371:D655376 IZ655371:IZ655376 SV655371:SV655376 ACR655371:ACR655376 AMN655371:AMN655376 AWJ655371:AWJ655376 BGF655371:BGF655376 BQB655371:BQB655376 BZX655371:BZX655376 CJT655371:CJT655376 CTP655371:CTP655376 DDL655371:DDL655376 DNH655371:DNH655376 DXD655371:DXD655376 EGZ655371:EGZ655376 EQV655371:EQV655376 FAR655371:FAR655376 FKN655371:FKN655376 FUJ655371:FUJ655376 GEF655371:GEF655376 GOB655371:GOB655376 GXX655371:GXX655376 HHT655371:HHT655376 HRP655371:HRP655376 IBL655371:IBL655376 ILH655371:ILH655376 IVD655371:IVD655376 JEZ655371:JEZ655376 JOV655371:JOV655376 JYR655371:JYR655376 KIN655371:KIN655376 KSJ655371:KSJ655376 LCF655371:LCF655376 LMB655371:LMB655376 LVX655371:LVX655376 MFT655371:MFT655376 MPP655371:MPP655376 MZL655371:MZL655376 NJH655371:NJH655376 NTD655371:NTD655376 OCZ655371:OCZ655376 OMV655371:OMV655376 OWR655371:OWR655376 PGN655371:PGN655376 PQJ655371:PQJ655376 QAF655371:QAF655376 QKB655371:QKB655376 QTX655371:QTX655376 RDT655371:RDT655376 RNP655371:RNP655376 RXL655371:RXL655376 SHH655371:SHH655376 SRD655371:SRD655376 TAZ655371:TAZ655376 TKV655371:TKV655376 TUR655371:TUR655376 UEN655371:UEN655376 UOJ655371:UOJ655376 UYF655371:UYF655376 VIB655371:VIB655376 VRX655371:VRX655376 WBT655371:WBT655376 WLP655371:WLP655376 WVL655371:WVL655376 D720907:D720912 IZ720907:IZ720912 SV720907:SV720912 ACR720907:ACR720912 AMN720907:AMN720912 AWJ720907:AWJ720912 BGF720907:BGF720912 BQB720907:BQB720912 BZX720907:BZX720912 CJT720907:CJT720912 CTP720907:CTP720912 DDL720907:DDL720912 DNH720907:DNH720912 DXD720907:DXD720912 EGZ720907:EGZ720912 EQV720907:EQV720912 FAR720907:FAR720912 FKN720907:FKN720912 FUJ720907:FUJ720912 GEF720907:GEF720912 GOB720907:GOB720912 GXX720907:GXX720912 HHT720907:HHT720912 HRP720907:HRP720912 IBL720907:IBL720912 ILH720907:ILH720912 IVD720907:IVD720912 JEZ720907:JEZ720912 JOV720907:JOV720912 JYR720907:JYR720912 KIN720907:KIN720912 KSJ720907:KSJ720912 LCF720907:LCF720912 LMB720907:LMB720912 LVX720907:LVX720912 MFT720907:MFT720912 MPP720907:MPP720912 MZL720907:MZL720912 NJH720907:NJH720912 NTD720907:NTD720912 OCZ720907:OCZ720912 OMV720907:OMV720912 OWR720907:OWR720912 PGN720907:PGN720912 PQJ720907:PQJ720912 QAF720907:QAF720912 QKB720907:QKB720912 QTX720907:QTX720912 RDT720907:RDT720912 RNP720907:RNP720912 RXL720907:RXL720912 SHH720907:SHH720912 SRD720907:SRD720912 TAZ720907:TAZ720912 TKV720907:TKV720912 TUR720907:TUR720912 UEN720907:UEN720912 UOJ720907:UOJ720912 UYF720907:UYF720912 VIB720907:VIB720912 VRX720907:VRX720912 WBT720907:WBT720912 WLP720907:WLP720912 WVL720907:WVL720912 D786443:D786448 IZ786443:IZ786448 SV786443:SV786448 ACR786443:ACR786448 AMN786443:AMN786448 AWJ786443:AWJ786448 BGF786443:BGF786448 BQB786443:BQB786448 BZX786443:BZX786448 CJT786443:CJT786448 CTP786443:CTP786448 DDL786443:DDL786448 DNH786443:DNH786448 DXD786443:DXD786448 EGZ786443:EGZ786448 EQV786443:EQV786448 FAR786443:FAR786448 FKN786443:FKN786448 FUJ786443:FUJ786448 GEF786443:GEF786448 GOB786443:GOB786448 GXX786443:GXX786448 HHT786443:HHT786448 HRP786443:HRP786448 IBL786443:IBL786448 ILH786443:ILH786448 IVD786443:IVD786448 JEZ786443:JEZ786448 JOV786443:JOV786448 JYR786443:JYR786448 KIN786443:KIN786448 KSJ786443:KSJ786448 LCF786443:LCF786448 LMB786443:LMB786448 LVX786443:LVX786448 MFT786443:MFT786448 MPP786443:MPP786448 MZL786443:MZL786448 NJH786443:NJH786448 NTD786443:NTD786448 OCZ786443:OCZ786448 OMV786443:OMV786448 OWR786443:OWR786448 PGN786443:PGN786448 PQJ786443:PQJ786448 QAF786443:QAF786448 QKB786443:QKB786448 QTX786443:QTX786448 RDT786443:RDT786448 RNP786443:RNP786448 RXL786443:RXL786448 SHH786443:SHH786448 SRD786443:SRD786448 TAZ786443:TAZ786448 TKV786443:TKV786448 TUR786443:TUR786448 UEN786443:UEN786448 UOJ786443:UOJ786448 UYF786443:UYF786448 VIB786443:VIB786448 VRX786443:VRX786448 WBT786443:WBT786448 WLP786443:WLP786448 WVL786443:WVL786448 D851979:D851984 IZ851979:IZ851984 SV851979:SV851984 ACR851979:ACR851984 AMN851979:AMN851984 AWJ851979:AWJ851984 BGF851979:BGF851984 BQB851979:BQB851984 BZX851979:BZX851984 CJT851979:CJT851984 CTP851979:CTP851984 DDL851979:DDL851984 DNH851979:DNH851984 DXD851979:DXD851984 EGZ851979:EGZ851984 EQV851979:EQV851984 FAR851979:FAR851984 FKN851979:FKN851984 FUJ851979:FUJ851984 GEF851979:GEF851984 GOB851979:GOB851984 GXX851979:GXX851984 HHT851979:HHT851984 HRP851979:HRP851984 IBL851979:IBL851984 ILH851979:ILH851984 IVD851979:IVD851984 JEZ851979:JEZ851984 JOV851979:JOV851984 JYR851979:JYR851984 KIN851979:KIN851984 KSJ851979:KSJ851984 LCF851979:LCF851984 LMB851979:LMB851984 LVX851979:LVX851984 MFT851979:MFT851984 MPP851979:MPP851984 MZL851979:MZL851984 NJH851979:NJH851984 NTD851979:NTD851984 OCZ851979:OCZ851984 OMV851979:OMV851984 OWR851979:OWR851984 PGN851979:PGN851984 PQJ851979:PQJ851984 QAF851979:QAF851984 QKB851979:QKB851984 QTX851979:QTX851984 RDT851979:RDT851984 RNP851979:RNP851984 RXL851979:RXL851984 SHH851979:SHH851984 SRD851979:SRD851984 TAZ851979:TAZ851984 TKV851979:TKV851984 TUR851979:TUR851984 UEN851979:UEN851984 UOJ851979:UOJ851984 UYF851979:UYF851984 VIB851979:VIB851984 VRX851979:VRX851984 WBT851979:WBT851984 WLP851979:WLP851984 WVL851979:WVL851984 D917515:D917520 IZ917515:IZ917520 SV917515:SV917520 ACR917515:ACR917520 AMN917515:AMN917520 AWJ917515:AWJ917520 BGF917515:BGF917520 BQB917515:BQB917520 BZX917515:BZX917520 CJT917515:CJT917520 CTP917515:CTP917520 DDL917515:DDL917520 DNH917515:DNH917520 DXD917515:DXD917520 EGZ917515:EGZ917520 EQV917515:EQV917520 FAR917515:FAR917520 FKN917515:FKN917520 FUJ917515:FUJ917520 GEF917515:GEF917520 GOB917515:GOB917520 GXX917515:GXX917520 HHT917515:HHT917520 HRP917515:HRP917520 IBL917515:IBL917520 ILH917515:ILH917520 IVD917515:IVD917520 JEZ917515:JEZ917520 JOV917515:JOV917520 JYR917515:JYR917520 KIN917515:KIN917520 KSJ917515:KSJ917520 LCF917515:LCF917520 LMB917515:LMB917520 LVX917515:LVX917520 MFT917515:MFT917520 MPP917515:MPP917520 MZL917515:MZL917520 NJH917515:NJH917520 NTD917515:NTD917520 OCZ917515:OCZ917520 OMV917515:OMV917520 OWR917515:OWR917520 PGN917515:PGN917520 PQJ917515:PQJ917520 QAF917515:QAF917520 QKB917515:QKB917520 QTX917515:QTX917520 RDT917515:RDT917520 RNP917515:RNP917520 RXL917515:RXL917520 SHH917515:SHH917520 SRD917515:SRD917520 TAZ917515:TAZ917520 TKV917515:TKV917520 TUR917515:TUR917520 UEN917515:UEN917520 UOJ917515:UOJ917520 UYF917515:UYF917520 VIB917515:VIB917520 VRX917515:VRX917520 WBT917515:WBT917520 WLP917515:WLP917520 WVL917515:WVL917520 D983051:D983056 IZ983051:IZ983056 SV983051:SV983056 ACR983051:ACR983056 AMN983051:AMN983056 AWJ983051:AWJ983056 BGF983051:BGF983056 BQB983051:BQB983056 BZX983051:BZX983056 CJT983051:CJT983056 CTP983051:CTP983056 DDL983051:DDL983056 DNH983051:DNH983056 DXD983051:DXD983056 EGZ983051:EGZ983056 EQV983051:EQV983056 FAR983051:FAR983056 FKN983051:FKN983056 FUJ983051:FUJ983056 GEF983051:GEF983056 GOB983051:GOB983056 GXX983051:GXX983056 HHT983051:HHT983056 HRP983051:HRP983056 IBL983051:IBL983056 ILH983051:ILH983056 IVD983051:IVD983056 JEZ983051:JEZ983056 JOV983051:JOV983056 JYR983051:JYR983056 KIN983051:KIN983056 KSJ983051:KSJ983056 LCF983051:LCF983056 LMB983051:LMB983056 LVX983051:LVX983056 MFT983051:MFT983056 MPP983051:MPP983056 MZL983051:MZL983056 NJH983051:NJH983056 NTD983051:NTD983056 OCZ983051:OCZ983056 OMV983051:OMV983056 OWR983051:OWR983056 PGN983051:PGN983056 PQJ983051:PQJ983056 QAF983051:QAF983056 QKB983051:QKB983056 QTX983051:QTX983056 RDT983051:RDT983056 RNP983051:RNP983056 RXL983051:RXL983056 SHH983051:SHH983056 SRD983051:SRD983056 TAZ983051:TAZ983056 TKV983051:TKV983056 TUR983051:TUR983056 UEN983051:UEN983056 UOJ983051:UOJ983056 UYF983051:UYF983056 VIB983051:VIB983056 VRX983051:VRX983056 WBT983051:WBT983056 WLP983051:WLP983056 WVL983051:WVL983056">
      <formula1>"/,5+1,6+1,7+1,8+1,9+1,10+1"</formula1>
    </dataValidation>
    <dataValidation type="list" allowBlank="1" showInputMessage="1" showErrorMessage="1" sqref="F11:G16 JB11:JC16 SX11:SY16 ACT11:ACU16 AMP11:AMQ16 AWL11:AWM16 BGH11:BGI16 BQD11:BQE16 BZZ11:CAA16 CJV11:CJW16 CTR11:CTS16 DDN11:DDO16 DNJ11:DNK16 DXF11:DXG16 EHB11:EHC16 EQX11:EQY16 FAT11:FAU16 FKP11:FKQ16 FUL11:FUM16 GEH11:GEI16 GOD11:GOE16 GXZ11:GYA16 HHV11:HHW16 HRR11:HRS16 IBN11:IBO16 ILJ11:ILK16 IVF11:IVG16 JFB11:JFC16 JOX11:JOY16 JYT11:JYU16 KIP11:KIQ16 KSL11:KSM16 LCH11:LCI16 LMD11:LME16 LVZ11:LWA16 MFV11:MFW16 MPR11:MPS16 MZN11:MZO16 NJJ11:NJK16 NTF11:NTG16 ODB11:ODC16 OMX11:OMY16 OWT11:OWU16 PGP11:PGQ16 PQL11:PQM16 QAH11:QAI16 QKD11:QKE16 QTZ11:QUA16 RDV11:RDW16 RNR11:RNS16 RXN11:RXO16 SHJ11:SHK16 SRF11:SRG16 TBB11:TBC16 TKX11:TKY16 TUT11:TUU16 UEP11:UEQ16 UOL11:UOM16 UYH11:UYI16 VID11:VIE16 VRZ11:VSA16 WBV11:WBW16 WLR11:WLS16 WVN11:WVO16 F65547:G65552 JB65547:JC65552 SX65547:SY65552 ACT65547:ACU65552 AMP65547:AMQ65552 AWL65547:AWM65552 BGH65547:BGI65552 BQD65547:BQE65552 BZZ65547:CAA65552 CJV65547:CJW65552 CTR65547:CTS65552 DDN65547:DDO65552 DNJ65547:DNK65552 DXF65547:DXG65552 EHB65547:EHC65552 EQX65547:EQY65552 FAT65547:FAU65552 FKP65547:FKQ65552 FUL65547:FUM65552 GEH65547:GEI65552 GOD65547:GOE65552 GXZ65547:GYA65552 HHV65547:HHW65552 HRR65547:HRS65552 IBN65547:IBO65552 ILJ65547:ILK65552 IVF65547:IVG65552 JFB65547:JFC65552 JOX65547:JOY65552 JYT65547:JYU65552 KIP65547:KIQ65552 KSL65547:KSM65552 LCH65547:LCI65552 LMD65547:LME65552 LVZ65547:LWA65552 MFV65547:MFW65552 MPR65547:MPS65552 MZN65547:MZO65552 NJJ65547:NJK65552 NTF65547:NTG65552 ODB65547:ODC65552 OMX65547:OMY65552 OWT65547:OWU65552 PGP65547:PGQ65552 PQL65547:PQM65552 QAH65547:QAI65552 QKD65547:QKE65552 QTZ65547:QUA65552 RDV65547:RDW65552 RNR65547:RNS65552 RXN65547:RXO65552 SHJ65547:SHK65552 SRF65547:SRG65552 TBB65547:TBC65552 TKX65547:TKY65552 TUT65547:TUU65552 UEP65547:UEQ65552 UOL65547:UOM65552 UYH65547:UYI65552 VID65547:VIE65552 VRZ65547:VSA65552 WBV65547:WBW65552 WLR65547:WLS65552 WVN65547:WVO65552 F131083:G131088 JB131083:JC131088 SX131083:SY131088 ACT131083:ACU131088 AMP131083:AMQ131088 AWL131083:AWM131088 BGH131083:BGI131088 BQD131083:BQE131088 BZZ131083:CAA131088 CJV131083:CJW131088 CTR131083:CTS131088 DDN131083:DDO131088 DNJ131083:DNK131088 DXF131083:DXG131088 EHB131083:EHC131088 EQX131083:EQY131088 FAT131083:FAU131088 FKP131083:FKQ131088 FUL131083:FUM131088 GEH131083:GEI131088 GOD131083:GOE131088 GXZ131083:GYA131088 HHV131083:HHW131088 HRR131083:HRS131088 IBN131083:IBO131088 ILJ131083:ILK131088 IVF131083:IVG131088 JFB131083:JFC131088 JOX131083:JOY131088 JYT131083:JYU131088 KIP131083:KIQ131088 KSL131083:KSM131088 LCH131083:LCI131088 LMD131083:LME131088 LVZ131083:LWA131088 MFV131083:MFW131088 MPR131083:MPS131088 MZN131083:MZO131088 NJJ131083:NJK131088 NTF131083:NTG131088 ODB131083:ODC131088 OMX131083:OMY131088 OWT131083:OWU131088 PGP131083:PGQ131088 PQL131083:PQM131088 QAH131083:QAI131088 QKD131083:QKE131088 QTZ131083:QUA131088 RDV131083:RDW131088 RNR131083:RNS131088 RXN131083:RXO131088 SHJ131083:SHK131088 SRF131083:SRG131088 TBB131083:TBC131088 TKX131083:TKY131088 TUT131083:TUU131088 UEP131083:UEQ131088 UOL131083:UOM131088 UYH131083:UYI131088 VID131083:VIE131088 VRZ131083:VSA131088 WBV131083:WBW131088 WLR131083:WLS131088 WVN131083:WVO131088 F196619:G196624 JB196619:JC196624 SX196619:SY196624 ACT196619:ACU196624 AMP196619:AMQ196624 AWL196619:AWM196624 BGH196619:BGI196624 BQD196619:BQE196624 BZZ196619:CAA196624 CJV196619:CJW196624 CTR196619:CTS196624 DDN196619:DDO196624 DNJ196619:DNK196624 DXF196619:DXG196624 EHB196619:EHC196624 EQX196619:EQY196624 FAT196619:FAU196624 FKP196619:FKQ196624 FUL196619:FUM196624 GEH196619:GEI196624 GOD196619:GOE196624 GXZ196619:GYA196624 HHV196619:HHW196624 HRR196619:HRS196624 IBN196619:IBO196624 ILJ196619:ILK196624 IVF196619:IVG196624 JFB196619:JFC196624 JOX196619:JOY196624 JYT196619:JYU196624 KIP196619:KIQ196624 KSL196619:KSM196624 LCH196619:LCI196624 LMD196619:LME196624 LVZ196619:LWA196624 MFV196619:MFW196624 MPR196619:MPS196624 MZN196619:MZO196624 NJJ196619:NJK196624 NTF196619:NTG196624 ODB196619:ODC196624 OMX196619:OMY196624 OWT196619:OWU196624 PGP196619:PGQ196624 PQL196619:PQM196624 QAH196619:QAI196624 QKD196619:QKE196624 QTZ196619:QUA196624 RDV196619:RDW196624 RNR196619:RNS196624 RXN196619:RXO196624 SHJ196619:SHK196624 SRF196619:SRG196624 TBB196619:TBC196624 TKX196619:TKY196624 TUT196619:TUU196624 UEP196619:UEQ196624 UOL196619:UOM196624 UYH196619:UYI196624 VID196619:VIE196624 VRZ196619:VSA196624 WBV196619:WBW196624 WLR196619:WLS196624 WVN196619:WVO196624 F262155:G262160 JB262155:JC262160 SX262155:SY262160 ACT262155:ACU262160 AMP262155:AMQ262160 AWL262155:AWM262160 BGH262155:BGI262160 BQD262155:BQE262160 BZZ262155:CAA262160 CJV262155:CJW262160 CTR262155:CTS262160 DDN262155:DDO262160 DNJ262155:DNK262160 DXF262155:DXG262160 EHB262155:EHC262160 EQX262155:EQY262160 FAT262155:FAU262160 FKP262155:FKQ262160 FUL262155:FUM262160 GEH262155:GEI262160 GOD262155:GOE262160 GXZ262155:GYA262160 HHV262155:HHW262160 HRR262155:HRS262160 IBN262155:IBO262160 ILJ262155:ILK262160 IVF262155:IVG262160 JFB262155:JFC262160 JOX262155:JOY262160 JYT262155:JYU262160 KIP262155:KIQ262160 KSL262155:KSM262160 LCH262155:LCI262160 LMD262155:LME262160 LVZ262155:LWA262160 MFV262155:MFW262160 MPR262155:MPS262160 MZN262155:MZO262160 NJJ262155:NJK262160 NTF262155:NTG262160 ODB262155:ODC262160 OMX262155:OMY262160 OWT262155:OWU262160 PGP262155:PGQ262160 PQL262155:PQM262160 QAH262155:QAI262160 QKD262155:QKE262160 QTZ262155:QUA262160 RDV262155:RDW262160 RNR262155:RNS262160 RXN262155:RXO262160 SHJ262155:SHK262160 SRF262155:SRG262160 TBB262155:TBC262160 TKX262155:TKY262160 TUT262155:TUU262160 UEP262155:UEQ262160 UOL262155:UOM262160 UYH262155:UYI262160 VID262155:VIE262160 VRZ262155:VSA262160 WBV262155:WBW262160 WLR262155:WLS262160 WVN262155:WVO262160 F327691:G327696 JB327691:JC327696 SX327691:SY327696 ACT327691:ACU327696 AMP327691:AMQ327696 AWL327691:AWM327696 BGH327691:BGI327696 BQD327691:BQE327696 BZZ327691:CAA327696 CJV327691:CJW327696 CTR327691:CTS327696 DDN327691:DDO327696 DNJ327691:DNK327696 DXF327691:DXG327696 EHB327691:EHC327696 EQX327691:EQY327696 FAT327691:FAU327696 FKP327691:FKQ327696 FUL327691:FUM327696 GEH327691:GEI327696 GOD327691:GOE327696 GXZ327691:GYA327696 HHV327691:HHW327696 HRR327691:HRS327696 IBN327691:IBO327696 ILJ327691:ILK327696 IVF327691:IVG327696 JFB327691:JFC327696 JOX327691:JOY327696 JYT327691:JYU327696 KIP327691:KIQ327696 KSL327691:KSM327696 LCH327691:LCI327696 LMD327691:LME327696 LVZ327691:LWA327696 MFV327691:MFW327696 MPR327691:MPS327696 MZN327691:MZO327696 NJJ327691:NJK327696 NTF327691:NTG327696 ODB327691:ODC327696 OMX327691:OMY327696 OWT327691:OWU327696 PGP327691:PGQ327696 PQL327691:PQM327696 QAH327691:QAI327696 QKD327691:QKE327696 QTZ327691:QUA327696 RDV327691:RDW327696 RNR327691:RNS327696 RXN327691:RXO327696 SHJ327691:SHK327696 SRF327691:SRG327696 TBB327691:TBC327696 TKX327691:TKY327696 TUT327691:TUU327696 UEP327691:UEQ327696 UOL327691:UOM327696 UYH327691:UYI327696 VID327691:VIE327696 VRZ327691:VSA327696 WBV327691:WBW327696 WLR327691:WLS327696 WVN327691:WVO327696 F393227:G393232 JB393227:JC393232 SX393227:SY393232 ACT393227:ACU393232 AMP393227:AMQ393232 AWL393227:AWM393232 BGH393227:BGI393232 BQD393227:BQE393232 BZZ393227:CAA393232 CJV393227:CJW393232 CTR393227:CTS393232 DDN393227:DDO393232 DNJ393227:DNK393232 DXF393227:DXG393232 EHB393227:EHC393232 EQX393227:EQY393232 FAT393227:FAU393232 FKP393227:FKQ393232 FUL393227:FUM393232 GEH393227:GEI393232 GOD393227:GOE393232 GXZ393227:GYA393232 HHV393227:HHW393232 HRR393227:HRS393232 IBN393227:IBO393232 ILJ393227:ILK393232 IVF393227:IVG393232 JFB393227:JFC393232 JOX393227:JOY393232 JYT393227:JYU393232 KIP393227:KIQ393232 KSL393227:KSM393232 LCH393227:LCI393232 LMD393227:LME393232 LVZ393227:LWA393232 MFV393227:MFW393232 MPR393227:MPS393232 MZN393227:MZO393232 NJJ393227:NJK393232 NTF393227:NTG393232 ODB393227:ODC393232 OMX393227:OMY393232 OWT393227:OWU393232 PGP393227:PGQ393232 PQL393227:PQM393232 QAH393227:QAI393232 QKD393227:QKE393232 QTZ393227:QUA393232 RDV393227:RDW393232 RNR393227:RNS393232 RXN393227:RXO393232 SHJ393227:SHK393232 SRF393227:SRG393232 TBB393227:TBC393232 TKX393227:TKY393232 TUT393227:TUU393232 UEP393227:UEQ393232 UOL393227:UOM393232 UYH393227:UYI393232 VID393227:VIE393232 VRZ393227:VSA393232 WBV393227:WBW393232 WLR393227:WLS393232 WVN393227:WVO393232 F458763:G458768 JB458763:JC458768 SX458763:SY458768 ACT458763:ACU458768 AMP458763:AMQ458768 AWL458763:AWM458768 BGH458763:BGI458768 BQD458763:BQE458768 BZZ458763:CAA458768 CJV458763:CJW458768 CTR458763:CTS458768 DDN458763:DDO458768 DNJ458763:DNK458768 DXF458763:DXG458768 EHB458763:EHC458768 EQX458763:EQY458768 FAT458763:FAU458768 FKP458763:FKQ458768 FUL458763:FUM458768 GEH458763:GEI458768 GOD458763:GOE458768 GXZ458763:GYA458768 HHV458763:HHW458768 HRR458763:HRS458768 IBN458763:IBO458768 ILJ458763:ILK458768 IVF458763:IVG458768 JFB458763:JFC458768 JOX458763:JOY458768 JYT458763:JYU458768 KIP458763:KIQ458768 KSL458763:KSM458768 LCH458763:LCI458768 LMD458763:LME458768 LVZ458763:LWA458768 MFV458763:MFW458768 MPR458763:MPS458768 MZN458763:MZO458768 NJJ458763:NJK458768 NTF458763:NTG458768 ODB458763:ODC458768 OMX458763:OMY458768 OWT458763:OWU458768 PGP458763:PGQ458768 PQL458763:PQM458768 QAH458763:QAI458768 QKD458763:QKE458768 QTZ458763:QUA458768 RDV458763:RDW458768 RNR458763:RNS458768 RXN458763:RXO458768 SHJ458763:SHK458768 SRF458763:SRG458768 TBB458763:TBC458768 TKX458763:TKY458768 TUT458763:TUU458768 UEP458763:UEQ458768 UOL458763:UOM458768 UYH458763:UYI458768 VID458763:VIE458768 VRZ458763:VSA458768 WBV458763:WBW458768 WLR458763:WLS458768 WVN458763:WVO458768 F524299:G524304 JB524299:JC524304 SX524299:SY524304 ACT524299:ACU524304 AMP524299:AMQ524304 AWL524299:AWM524304 BGH524299:BGI524304 BQD524299:BQE524304 BZZ524299:CAA524304 CJV524299:CJW524304 CTR524299:CTS524304 DDN524299:DDO524304 DNJ524299:DNK524304 DXF524299:DXG524304 EHB524299:EHC524304 EQX524299:EQY524304 FAT524299:FAU524304 FKP524299:FKQ524304 FUL524299:FUM524304 GEH524299:GEI524304 GOD524299:GOE524304 GXZ524299:GYA524304 HHV524299:HHW524304 HRR524299:HRS524304 IBN524299:IBO524304 ILJ524299:ILK524304 IVF524299:IVG524304 JFB524299:JFC524304 JOX524299:JOY524304 JYT524299:JYU524304 KIP524299:KIQ524304 KSL524299:KSM524304 LCH524299:LCI524304 LMD524299:LME524304 LVZ524299:LWA524304 MFV524299:MFW524304 MPR524299:MPS524304 MZN524299:MZO524304 NJJ524299:NJK524304 NTF524299:NTG524304 ODB524299:ODC524304 OMX524299:OMY524304 OWT524299:OWU524304 PGP524299:PGQ524304 PQL524299:PQM524304 QAH524299:QAI524304 QKD524299:QKE524304 QTZ524299:QUA524304 RDV524299:RDW524304 RNR524299:RNS524304 RXN524299:RXO524304 SHJ524299:SHK524304 SRF524299:SRG524304 TBB524299:TBC524304 TKX524299:TKY524304 TUT524299:TUU524304 UEP524299:UEQ524304 UOL524299:UOM524304 UYH524299:UYI524304 VID524299:VIE524304 VRZ524299:VSA524304 WBV524299:WBW524304 WLR524299:WLS524304 WVN524299:WVO524304 F589835:G589840 JB589835:JC589840 SX589835:SY589840 ACT589835:ACU589840 AMP589835:AMQ589840 AWL589835:AWM589840 BGH589835:BGI589840 BQD589835:BQE589840 BZZ589835:CAA589840 CJV589835:CJW589840 CTR589835:CTS589840 DDN589835:DDO589840 DNJ589835:DNK589840 DXF589835:DXG589840 EHB589835:EHC589840 EQX589835:EQY589840 FAT589835:FAU589840 FKP589835:FKQ589840 FUL589835:FUM589840 GEH589835:GEI589840 GOD589835:GOE589840 GXZ589835:GYA589840 HHV589835:HHW589840 HRR589835:HRS589840 IBN589835:IBO589840 ILJ589835:ILK589840 IVF589835:IVG589840 JFB589835:JFC589840 JOX589835:JOY589840 JYT589835:JYU589840 KIP589835:KIQ589840 KSL589835:KSM589840 LCH589835:LCI589840 LMD589835:LME589840 LVZ589835:LWA589840 MFV589835:MFW589840 MPR589835:MPS589840 MZN589835:MZO589840 NJJ589835:NJK589840 NTF589835:NTG589840 ODB589835:ODC589840 OMX589835:OMY589840 OWT589835:OWU589840 PGP589835:PGQ589840 PQL589835:PQM589840 QAH589835:QAI589840 QKD589835:QKE589840 QTZ589835:QUA589840 RDV589835:RDW589840 RNR589835:RNS589840 RXN589835:RXO589840 SHJ589835:SHK589840 SRF589835:SRG589840 TBB589835:TBC589840 TKX589835:TKY589840 TUT589835:TUU589840 UEP589835:UEQ589840 UOL589835:UOM589840 UYH589835:UYI589840 VID589835:VIE589840 VRZ589835:VSA589840 WBV589835:WBW589840 WLR589835:WLS589840 WVN589835:WVO589840 F655371:G655376 JB655371:JC655376 SX655371:SY655376 ACT655371:ACU655376 AMP655371:AMQ655376 AWL655371:AWM655376 BGH655371:BGI655376 BQD655371:BQE655376 BZZ655371:CAA655376 CJV655371:CJW655376 CTR655371:CTS655376 DDN655371:DDO655376 DNJ655371:DNK655376 DXF655371:DXG655376 EHB655371:EHC655376 EQX655371:EQY655376 FAT655371:FAU655376 FKP655371:FKQ655376 FUL655371:FUM655376 GEH655371:GEI655376 GOD655371:GOE655376 GXZ655371:GYA655376 HHV655371:HHW655376 HRR655371:HRS655376 IBN655371:IBO655376 ILJ655371:ILK655376 IVF655371:IVG655376 JFB655371:JFC655376 JOX655371:JOY655376 JYT655371:JYU655376 KIP655371:KIQ655376 KSL655371:KSM655376 LCH655371:LCI655376 LMD655371:LME655376 LVZ655371:LWA655376 MFV655371:MFW655376 MPR655371:MPS655376 MZN655371:MZO655376 NJJ655371:NJK655376 NTF655371:NTG655376 ODB655371:ODC655376 OMX655371:OMY655376 OWT655371:OWU655376 PGP655371:PGQ655376 PQL655371:PQM655376 QAH655371:QAI655376 QKD655371:QKE655376 QTZ655371:QUA655376 RDV655371:RDW655376 RNR655371:RNS655376 RXN655371:RXO655376 SHJ655371:SHK655376 SRF655371:SRG655376 TBB655371:TBC655376 TKX655371:TKY655376 TUT655371:TUU655376 UEP655371:UEQ655376 UOL655371:UOM655376 UYH655371:UYI655376 VID655371:VIE655376 VRZ655371:VSA655376 WBV655371:WBW655376 WLR655371:WLS655376 WVN655371:WVO655376 F720907:G720912 JB720907:JC720912 SX720907:SY720912 ACT720907:ACU720912 AMP720907:AMQ720912 AWL720907:AWM720912 BGH720907:BGI720912 BQD720907:BQE720912 BZZ720907:CAA720912 CJV720907:CJW720912 CTR720907:CTS720912 DDN720907:DDO720912 DNJ720907:DNK720912 DXF720907:DXG720912 EHB720907:EHC720912 EQX720907:EQY720912 FAT720907:FAU720912 FKP720907:FKQ720912 FUL720907:FUM720912 GEH720907:GEI720912 GOD720907:GOE720912 GXZ720907:GYA720912 HHV720907:HHW720912 HRR720907:HRS720912 IBN720907:IBO720912 ILJ720907:ILK720912 IVF720907:IVG720912 JFB720907:JFC720912 JOX720907:JOY720912 JYT720907:JYU720912 KIP720907:KIQ720912 KSL720907:KSM720912 LCH720907:LCI720912 LMD720907:LME720912 LVZ720907:LWA720912 MFV720907:MFW720912 MPR720907:MPS720912 MZN720907:MZO720912 NJJ720907:NJK720912 NTF720907:NTG720912 ODB720907:ODC720912 OMX720907:OMY720912 OWT720907:OWU720912 PGP720907:PGQ720912 PQL720907:PQM720912 QAH720907:QAI720912 QKD720907:QKE720912 QTZ720907:QUA720912 RDV720907:RDW720912 RNR720907:RNS720912 RXN720907:RXO720912 SHJ720907:SHK720912 SRF720907:SRG720912 TBB720907:TBC720912 TKX720907:TKY720912 TUT720907:TUU720912 UEP720907:UEQ720912 UOL720907:UOM720912 UYH720907:UYI720912 VID720907:VIE720912 VRZ720907:VSA720912 WBV720907:WBW720912 WLR720907:WLS720912 WVN720907:WVO720912 F786443:G786448 JB786443:JC786448 SX786443:SY786448 ACT786443:ACU786448 AMP786443:AMQ786448 AWL786443:AWM786448 BGH786443:BGI786448 BQD786443:BQE786448 BZZ786443:CAA786448 CJV786443:CJW786448 CTR786443:CTS786448 DDN786443:DDO786448 DNJ786443:DNK786448 DXF786443:DXG786448 EHB786443:EHC786448 EQX786443:EQY786448 FAT786443:FAU786448 FKP786443:FKQ786448 FUL786443:FUM786448 GEH786443:GEI786448 GOD786443:GOE786448 GXZ786443:GYA786448 HHV786443:HHW786448 HRR786443:HRS786448 IBN786443:IBO786448 ILJ786443:ILK786448 IVF786443:IVG786448 JFB786443:JFC786448 JOX786443:JOY786448 JYT786443:JYU786448 KIP786443:KIQ786448 KSL786443:KSM786448 LCH786443:LCI786448 LMD786443:LME786448 LVZ786443:LWA786448 MFV786443:MFW786448 MPR786443:MPS786448 MZN786443:MZO786448 NJJ786443:NJK786448 NTF786443:NTG786448 ODB786443:ODC786448 OMX786443:OMY786448 OWT786443:OWU786448 PGP786443:PGQ786448 PQL786443:PQM786448 QAH786443:QAI786448 QKD786443:QKE786448 QTZ786443:QUA786448 RDV786443:RDW786448 RNR786443:RNS786448 RXN786443:RXO786448 SHJ786443:SHK786448 SRF786443:SRG786448 TBB786443:TBC786448 TKX786443:TKY786448 TUT786443:TUU786448 UEP786443:UEQ786448 UOL786443:UOM786448 UYH786443:UYI786448 VID786443:VIE786448 VRZ786443:VSA786448 WBV786443:WBW786448 WLR786443:WLS786448 WVN786443:WVO786448 F851979:G851984 JB851979:JC851984 SX851979:SY851984 ACT851979:ACU851984 AMP851979:AMQ851984 AWL851979:AWM851984 BGH851979:BGI851984 BQD851979:BQE851984 BZZ851979:CAA851984 CJV851979:CJW851984 CTR851979:CTS851984 DDN851979:DDO851984 DNJ851979:DNK851984 DXF851979:DXG851984 EHB851979:EHC851984 EQX851979:EQY851984 FAT851979:FAU851984 FKP851979:FKQ851984 FUL851979:FUM851984 GEH851979:GEI851984 GOD851979:GOE851984 GXZ851979:GYA851984 HHV851979:HHW851984 HRR851979:HRS851984 IBN851979:IBO851984 ILJ851979:ILK851984 IVF851979:IVG851984 JFB851979:JFC851984 JOX851979:JOY851984 JYT851979:JYU851984 KIP851979:KIQ851984 KSL851979:KSM851984 LCH851979:LCI851984 LMD851979:LME851984 LVZ851979:LWA851984 MFV851979:MFW851984 MPR851979:MPS851984 MZN851979:MZO851984 NJJ851979:NJK851984 NTF851979:NTG851984 ODB851979:ODC851984 OMX851979:OMY851984 OWT851979:OWU851984 PGP851979:PGQ851984 PQL851979:PQM851984 QAH851979:QAI851984 QKD851979:QKE851984 QTZ851979:QUA851984 RDV851979:RDW851984 RNR851979:RNS851984 RXN851979:RXO851984 SHJ851979:SHK851984 SRF851979:SRG851984 TBB851979:TBC851984 TKX851979:TKY851984 TUT851979:TUU851984 UEP851979:UEQ851984 UOL851979:UOM851984 UYH851979:UYI851984 VID851979:VIE851984 VRZ851979:VSA851984 WBV851979:WBW851984 WLR851979:WLS851984 WVN851979:WVO851984 F917515:G917520 JB917515:JC917520 SX917515:SY917520 ACT917515:ACU917520 AMP917515:AMQ917520 AWL917515:AWM917520 BGH917515:BGI917520 BQD917515:BQE917520 BZZ917515:CAA917520 CJV917515:CJW917520 CTR917515:CTS917520 DDN917515:DDO917520 DNJ917515:DNK917520 DXF917515:DXG917520 EHB917515:EHC917520 EQX917515:EQY917520 FAT917515:FAU917520 FKP917515:FKQ917520 FUL917515:FUM917520 GEH917515:GEI917520 GOD917515:GOE917520 GXZ917515:GYA917520 HHV917515:HHW917520 HRR917515:HRS917520 IBN917515:IBO917520 ILJ917515:ILK917520 IVF917515:IVG917520 JFB917515:JFC917520 JOX917515:JOY917520 JYT917515:JYU917520 KIP917515:KIQ917520 KSL917515:KSM917520 LCH917515:LCI917520 LMD917515:LME917520 LVZ917515:LWA917520 MFV917515:MFW917520 MPR917515:MPS917520 MZN917515:MZO917520 NJJ917515:NJK917520 NTF917515:NTG917520 ODB917515:ODC917520 OMX917515:OMY917520 OWT917515:OWU917520 PGP917515:PGQ917520 PQL917515:PQM917520 QAH917515:QAI917520 QKD917515:QKE917520 QTZ917515:QUA917520 RDV917515:RDW917520 RNR917515:RNS917520 RXN917515:RXO917520 SHJ917515:SHK917520 SRF917515:SRG917520 TBB917515:TBC917520 TKX917515:TKY917520 TUT917515:TUU917520 UEP917515:UEQ917520 UOL917515:UOM917520 UYH917515:UYI917520 VID917515:VIE917520 VRZ917515:VSA917520 WBV917515:WBW917520 WLR917515:WLS917520 WVN917515:WVO917520 F983051:G983056 JB983051:JC983056 SX983051:SY983056 ACT983051:ACU983056 AMP983051:AMQ983056 AWL983051:AWM983056 BGH983051:BGI983056 BQD983051:BQE983056 BZZ983051:CAA983056 CJV983051:CJW983056 CTR983051:CTS983056 DDN983051:DDO983056 DNJ983051:DNK983056 DXF983051:DXG983056 EHB983051:EHC983056 EQX983051:EQY983056 FAT983051:FAU983056 FKP983051:FKQ983056 FUL983051:FUM983056 GEH983051:GEI983056 GOD983051:GOE983056 GXZ983051:GYA983056 HHV983051:HHW983056 HRR983051:HRS983056 IBN983051:IBO983056 ILJ983051:ILK983056 IVF983051:IVG983056 JFB983051:JFC983056 JOX983051:JOY983056 JYT983051:JYU983056 KIP983051:KIQ983056 KSL983051:KSM983056 LCH983051:LCI983056 LMD983051:LME983056 LVZ983051:LWA983056 MFV983051:MFW983056 MPR983051:MPS983056 MZN983051:MZO983056 NJJ983051:NJK983056 NTF983051:NTG983056 ODB983051:ODC983056 OMX983051:OMY983056 OWT983051:OWU983056 PGP983051:PGQ983056 PQL983051:PQM983056 QAH983051:QAI983056 QKD983051:QKE983056 QTZ983051:QUA983056 RDV983051:RDW983056 RNR983051:RNS983056 RXN983051:RXO983056 SHJ983051:SHK983056 SRF983051:SRG983056 TBB983051:TBC983056 TKX983051:TKY983056 TUT983051:TUU983056 UEP983051:UEQ983056 UOL983051:UOM983056 UYH983051:UYI983056 VID983051:VIE983056 VRZ983051:VSA983056 WBV983051:WBW983056 WLR983051:WLS983056 WVN983051:WVO983056">
      <formula1>"/,10+0,15+0,20+0,25+0,30+0,35+0,40+0"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E106"/>
  <sheetViews>
    <sheetView topLeftCell="A115" zoomScaleNormal="100" workbookViewId="0">
      <selection activeCell="A24" sqref="A24"/>
    </sheetView>
  </sheetViews>
  <sheetFormatPr defaultColWidth="9" defaultRowHeight="15.5"/>
  <cols>
    <col min="1" max="1" width="8.5" style="19" customWidth="1"/>
    <col min="2" max="2" width="12.5" style="19" customWidth="1"/>
    <col min="3" max="3" width="10.08203125" style="19" customWidth="1"/>
    <col min="4" max="4" width="9.58203125" style="19" customWidth="1"/>
    <col min="5" max="6" width="9.83203125" style="19" customWidth="1"/>
    <col min="7" max="7" width="9.75" style="19" customWidth="1"/>
    <col min="8" max="8" width="10.08203125" style="19" customWidth="1"/>
    <col min="9" max="9" width="9.5" style="19" customWidth="1"/>
    <col min="10" max="10" width="13.33203125" style="19" customWidth="1"/>
    <col min="11" max="11" width="9.25" style="19" customWidth="1"/>
    <col min="12" max="12" width="11" style="19" customWidth="1"/>
    <col min="13" max="13" width="9.5" style="19" customWidth="1"/>
    <col min="14" max="14" width="9.58203125" style="19" customWidth="1"/>
    <col min="15" max="17" width="9" style="19"/>
    <col min="18" max="18" width="8.58203125" style="19" customWidth="1"/>
    <col min="19" max="19" width="9.5" style="19" customWidth="1"/>
    <col min="20" max="20" width="10.33203125" style="19" customWidth="1"/>
    <col min="21" max="16384" width="9" style="19"/>
  </cols>
  <sheetData>
    <row r="1" spans="1:31" ht="17.5">
      <c r="A1" s="25"/>
      <c r="B1" s="26"/>
      <c r="C1" s="26"/>
      <c r="D1" s="26"/>
      <c r="E1" s="26"/>
      <c r="F1" s="139" t="s">
        <v>366</v>
      </c>
      <c r="G1" s="26"/>
      <c r="H1" s="26"/>
      <c r="I1" s="26"/>
      <c r="J1" s="140"/>
      <c r="AE1" s="12"/>
    </row>
    <row r="2" spans="1:31" ht="17.5">
      <c r="A2" s="27"/>
      <c r="B2" s="1"/>
      <c r="C2" s="1"/>
      <c r="D2" s="1"/>
      <c r="E2" s="1"/>
      <c r="F2" s="141" t="s">
        <v>369</v>
      </c>
      <c r="G2" s="1"/>
      <c r="H2" s="1"/>
      <c r="I2" s="1"/>
      <c r="J2" s="142"/>
      <c r="AE2" s="12"/>
    </row>
    <row r="3" spans="1:31">
      <c r="A3" s="27"/>
      <c r="B3" s="1"/>
      <c r="C3" s="1"/>
      <c r="D3" s="1"/>
      <c r="E3" s="1"/>
      <c r="F3" s="191" t="s">
        <v>382</v>
      </c>
      <c r="G3" s="1"/>
      <c r="H3" s="1"/>
      <c r="I3" s="1"/>
      <c r="J3" s="142"/>
      <c r="AE3" s="12"/>
    </row>
    <row r="4" spans="1:31">
      <c r="A4" s="27"/>
      <c r="B4" s="1"/>
      <c r="C4" s="1"/>
      <c r="D4" s="1"/>
      <c r="E4" s="1"/>
      <c r="F4" s="67" t="s">
        <v>383</v>
      </c>
      <c r="G4" s="1"/>
      <c r="H4" s="1"/>
      <c r="I4" s="1"/>
      <c r="J4" s="142"/>
      <c r="AE4" s="12"/>
    </row>
    <row r="5" spans="1:31" ht="20" thickBot="1">
      <c r="A5" s="143"/>
      <c r="B5" s="144" t="s">
        <v>74</v>
      </c>
      <c r="C5" s="145"/>
      <c r="D5" s="145"/>
      <c r="E5" s="145"/>
      <c r="F5" s="146" t="s">
        <v>367</v>
      </c>
      <c r="G5" s="145"/>
      <c r="H5" s="145"/>
      <c r="I5" s="145"/>
      <c r="J5" s="147"/>
      <c r="AE5" s="12"/>
    </row>
    <row r="6" spans="1:31">
      <c r="A6" s="27"/>
      <c r="B6" s="2" t="s">
        <v>75</v>
      </c>
      <c r="C6" s="148"/>
      <c r="D6" s="148"/>
      <c r="E6" s="148"/>
      <c r="F6" s="148"/>
      <c r="G6" s="148"/>
      <c r="H6" s="148"/>
      <c r="I6" s="148"/>
      <c r="J6" s="149"/>
      <c r="AE6" s="12"/>
    </row>
    <row r="7" spans="1:31">
      <c r="A7" s="27"/>
      <c r="B7" s="2" t="s">
        <v>76</v>
      </c>
      <c r="C7" s="150" t="s">
        <v>377</v>
      </c>
      <c r="D7" s="150"/>
      <c r="E7" s="2" t="s">
        <v>77</v>
      </c>
      <c r="F7" s="151" t="s">
        <v>43</v>
      </c>
      <c r="G7" s="44"/>
      <c r="H7" s="1"/>
      <c r="I7" s="1"/>
      <c r="J7" s="142"/>
      <c r="AE7" s="12"/>
    </row>
    <row r="8" spans="1:31">
      <c r="A8" s="28"/>
      <c r="B8" s="3" t="s">
        <v>78</v>
      </c>
      <c r="C8" s="152"/>
      <c r="D8" s="152"/>
      <c r="E8" s="152"/>
      <c r="F8" s="152"/>
      <c r="G8" s="152"/>
      <c r="H8" s="3" t="s">
        <v>79</v>
      </c>
      <c r="I8" s="152">
        <v>2</v>
      </c>
      <c r="J8" s="153" t="s">
        <v>80</v>
      </c>
      <c r="AE8" s="12"/>
    </row>
    <row r="9" spans="1:31">
      <c r="A9" s="29" t="s">
        <v>132</v>
      </c>
      <c r="B9" s="29" t="s">
        <v>133</v>
      </c>
      <c r="C9" s="154" t="s">
        <v>81</v>
      </c>
      <c r="D9" s="155"/>
      <c r="E9" s="156"/>
      <c r="F9" s="26"/>
      <c r="G9" s="26"/>
      <c r="H9" s="156"/>
      <c r="I9" s="155"/>
      <c r="J9" s="140"/>
      <c r="AE9" s="12"/>
    </row>
    <row r="10" spans="1:31">
      <c r="A10" s="30" t="s">
        <v>82</v>
      </c>
      <c r="B10" s="31"/>
      <c r="C10" s="157" t="s">
        <v>83</v>
      </c>
      <c r="D10" s="60"/>
      <c r="E10" s="60"/>
      <c r="F10" s="60"/>
      <c r="G10" s="60"/>
      <c r="H10" s="60"/>
      <c r="I10" s="3" t="s">
        <v>84</v>
      </c>
      <c r="J10" s="158"/>
      <c r="AE10" s="12"/>
    </row>
    <row r="11" spans="1:31">
      <c r="A11" s="34" t="str">
        <f>+計價表!R2</f>
        <v xml:space="preserve"> D 2</v>
      </c>
      <c r="B11" s="35" t="str">
        <f>+計價表!S2</f>
        <v xml:space="preserve"> </v>
      </c>
      <c r="C11" s="159"/>
      <c r="D11" s="160"/>
      <c r="E11" s="42"/>
      <c r="F11" s="26"/>
      <c r="G11" s="42"/>
      <c r="H11" s="42"/>
      <c r="I11" s="48"/>
      <c r="J11" s="71"/>
      <c r="AE11" s="12"/>
    </row>
    <row r="12" spans="1:31">
      <c r="A12" s="36" t="str">
        <f>+計價表!T2</f>
        <v xml:space="preserve"> </v>
      </c>
      <c r="B12" s="37"/>
      <c r="C12" s="161"/>
      <c r="D12" s="43"/>
      <c r="E12" s="43"/>
      <c r="F12" s="43"/>
      <c r="G12" s="43"/>
      <c r="H12" s="43"/>
      <c r="I12" s="43"/>
      <c r="J12" s="162"/>
      <c r="AE12" s="12"/>
    </row>
    <row r="13" spans="1:31">
      <c r="A13" s="34" t="str">
        <f>+計價表!R3</f>
        <v xml:space="preserve"> D 3</v>
      </c>
      <c r="B13" s="35" t="str">
        <f>+計價表!S3</f>
        <v xml:space="preserve"> </v>
      </c>
      <c r="C13" s="27"/>
      <c r="D13" s="163"/>
      <c r="E13" s="1"/>
      <c r="F13" s="44"/>
      <c r="G13" s="44"/>
      <c r="H13" s="44"/>
      <c r="I13" s="65"/>
      <c r="J13" s="164"/>
      <c r="AE13" s="12"/>
    </row>
    <row r="14" spans="1:31">
      <c r="A14" s="36" t="str">
        <f>+計價表!T3</f>
        <v xml:space="preserve"> </v>
      </c>
      <c r="B14" s="37"/>
      <c r="C14" s="28"/>
      <c r="D14" s="43"/>
      <c r="E14" s="60"/>
      <c r="F14" s="60"/>
      <c r="G14" s="3"/>
      <c r="H14" s="3"/>
      <c r="I14" s="43"/>
      <c r="J14" s="73"/>
      <c r="AE14" s="12"/>
    </row>
    <row r="15" spans="1:31">
      <c r="A15" s="34" t="str">
        <f>+計價表!R4</f>
        <v xml:space="preserve"> D 4</v>
      </c>
      <c r="B15" s="35" t="str">
        <f>+計價表!S4</f>
        <v xml:space="preserve"> </v>
      </c>
      <c r="C15" s="27"/>
      <c r="D15" s="163"/>
      <c r="E15" s="1"/>
      <c r="F15" s="44"/>
      <c r="G15" s="44"/>
      <c r="H15" s="44"/>
      <c r="I15" s="65"/>
      <c r="J15" s="164"/>
      <c r="AE15" s="12"/>
    </row>
    <row r="16" spans="1:31">
      <c r="A16" s="36" t="str">
        <f>+計價表!T4</f>
        <v xml:space="preserve"> </v>
      </c>
      <c r="B16" s="37"/>
      <c r="C16" s="192"/>
      <c r="D16" s="50"/>
      <c r="E16" s="43"/>
      <c r="F16" s="60"/>
      <c r="G16" s="51"/>
      <c r="H16" s="193"/>
      <c r="I16" s="45"/>
      <c r="J16" s="73"/>
      <c r="AE16" s="12"/>
    </row>
    <row r="17" spans="1:31">
      <c r="A17" s="34" t="str">
        <f>+計價表!R5</f>
        <v xml:space="preserve"> D 5</v>
      </c>
      <c r="B17" s="35" t="str">
        <f>+計價表!S5</f>
        <v xml:space="preserve"> </v>
      </c>
      <c r="C17" s="25"/>
      <c r="D17" s="160"/>
      <c r="E17" s="26"/>
      <c r="F17" s="42"/>
      <c r="G17" s="42"/>
      <c r="H17" s="42"/>
      <c r="I17" s="190"/>
      <c r="J17" s="164"/>
      <c r="AE17" s="12"/>
    </row>
    <row r="18" spans="1:31">
      <c r="A18" s="36" t="str">
        <f>+計價表!T5</f>
        <v xml:space="preserve"> </v>
      </c>
      <c r="B18" s="37"/>
      <c r="C18" s="28"/>
      <c r="D18" s="43"/>
      <c r="E18" s="43"/>
      <c r="F18" s="43"/>
      <c r="G18" s="3"/>
      <c r="H18" s="43"/>
      <c r="I18" s="43"/>
      <c r="J18" s="162"/>
      <c r="AE18" s="12"/>
    </row>
    <row r="19" spans="1:31">
      <c r="A19" s="34" t="str">
        <f>+計價表!R6</f>
        <v xml:space="preserve"> D 6</v>
      </c>
      <c r="B19" s="35" t="str">
        <f>+計價表!S6</f>
        <v xml:space="preserve">  </v>
      </c>
      <c r="C19" s="25"/>
      <c r="D19" s="160"/>
      <c r="E19" s="42"/>
      <c r="F19" s="26"/>
      <c r="G19" s="42"/>
      <c r="H19" s="42"/>
      <c r="I19" s="65"/>
      <c r="J19" s="164"/>
      <c r="AE19" s="12"/>
    </row>
    <row r="20" spans="1:31">
      <c r="A20" s="36" t="str">
        <f>+計價表!T6</f>
        <v xml:space="preserve"> </v>
      </c>
      <c r="B20" s="37"/>
      <c r="C20" s="28"/>
      <c r="D20" s="43"/>
      <c r="E20" s="43"/>
      <c r="F20" s="60"/>
      <c r="G20" s="3"/>
      <c r="H20" s="43"/>
      <c r="I20" s="43"/>
      <c r="J20" s="51"/>
      <c r="K20" s="27"/>
      <c r="AE20" s="12"/>
    </row>
    <row r="21" spans="1:31">
      <c r="A21" s="34" t="str">
        <f>+計價表!R7</f>
        <v xml:space="preserve"> D 7</v>
      </c>
      <c r="B21" s="35" t="str">
        <f>+計價表!S7</f>
        <v xml:space="preserve"> </v>
      </c>
      <c r="C21" s="46"/>
      <c r="D21" s="160"/>
      <c r="E21" s="42"/>
      <c r="F21" s="26"/>
      <c r="G21" s="42"/>
      <c r="H21" s="42"/>
      <c r="I21" s="65"/>
      <c r="J21" s="44"/>
      <c r="K21" s="27"/>
      <c r="AE21" s="12"/>
    </row>
    <row r="22" spans="1:31">
      <c r="A22" s="36" t="str">
        <f>+計價表!T7</f>
        <v xml:space="preserve"> </v>
      </c>
      <c r="B22" s="37"/>
      <c r="C22" s="194"/>
      <c r="D22" s="43"/>
      <c r="E22" s="43"/>
      <c r="F22" s="169"/>
      <c r="G22" s="44"/>
      <c r="H22" s="44"/>
      <c r="I22" s="167"/>
      <c r="J22" s="44"/>
      <c r="K22" s="27"/>
      <c r="AE22" s="12"/>
    </row>
    <row r="23" spans="1:31">
      <c r="A23" s="34" t="str">
        <f>+計價表!R8</f>
        <v xml:space="preserve"> D 8</v>
      </c>
      <c r="B23" s="35" t="str">
        <f>+計價表!S8</f>
        <v xml:space="preserve"> </v>
      </c>
      <c r="C23" s="46"/>
      <c r="D23" s="42"/>
      <c r="E23" s="42"/>
      <c r="F23" s="42"/>
      <c r="G23" s="42"/>
      <c r="H23" s="42"/>
      <c r="I23" s="65"/>
      <c r="J23" s="42"/>
      <c r="K23" s="27"/>
      <c r="AE23" s="12"/>
    </row>
    <row r="24" spans="1:31">
      <c r="A24" s="36" t="str">
        <f>+計價表!T8</f>
        <v xml:space="preserve"> </v>
      </c>
      <c r="B24" s="37"/>
      <c r="C24" s="168"/>
      <c r="D24" s="43"/>
      <c r="E24" s="43"/>
      <c r="F24" s="43"/>
      <c r="G24" s="43"/>
      <c r="H24" s="43"/>
      <c r="I24" s="43"/>
      <c r="J24" s="43"/>
      <c r="K24" s="27"/>
      <c r="AE24" s="12"/>
    </row>
    <row r="25" spans="1:31">
      <c r="A25" s="34" t="str">
        <f>+計價表!R9</f>
        <v xml:space="preserve"> D 9</v>
      </c>
      <c r="B25" s="35" t="str">
        <f>+計價表!S9</f>
        <v xml:space="preserve"> </v>
      </c>
      <c r="C25" s="46"/>
      <c r="D25" s="42"/>
      <c r="E25" s="66"/>
      <c r="F25" s="48"/>
      <c r="G25" s="42"/>
      <c r="H25" s="42"/>
      <c r="I25" s="65"/>
      <c r="J25" s="44"/>
      <c r="K25" s="27"/>
      <c r="AE25" s="12"/>
    </row>
    <row r="26" spans="1:31">
      <c r="A26" s="36" t="str">
        <f>+計價表!T9</f>
        <v xml:space="preserve"> </v>
      </c>
      <c r="B26" s="37"/>
      <c r="C26" s="47"/>
      <c r="D26" s="44"/>
      <c r="E26" s="66"/>
      <c r="F26" s="44"/>
      <c r="G26" s="44"/>
      <c r="H26" s="44"/>
      <c r="I26" s="43"/>
      <c r="J26" s="43"/>
      <c r="K26" s="27"/>
      <c r="AE26" s="12"/>
    </row>
    <row r="27" spans="1:31">
      <c r="A27" s="34" t="str">
        <f>+計價表!R10</f>
        <v xml:space="preserve"> D 10</v>
      </c>
      <c r="B27" s="35" t="str">
        <f>+計價表!S10</f>
        <v xml:space="preserve"> </v>
      </c>
      <c r="C27" s="46"/>
      <c r="D27" s="42"/>
      <c r="E27" s="42"/>
      <c r="F27" s="48"/>
      <c r="G27" s="48"/>
      <c r="H27" s="42"/>
      <c r="I27" s="65"/>
      <c r="J27" s="44"/>
      <c r="K27" s="27"/>
      <c r="AE27" s="12"/>
    </row>
    <row r="28" spans="1:31">
      <c r="A28" s="36" t="str">
        <f>+計價表!T10</f>
        <v xml:space="preserve"> </v>
      </c>
      <c r="B28" s="37"/>
      <c r="C28" s="49"/>
      <c r="D28" s="43"/>
      <c r="E28" s="43"/>
      <c r="F28" s="50"/>
      <c r="G28" s="43"/>
      <c r="H28" s="43"/>
      <c r="I28" s="3"/>
      <c r="J28" s="43"/>
      <c r="K28" s="27"/>
      <c r="AE28" s="12"/>
    </row>
    <row r="29" spans="1:31">
      <c r="A29" s="34" t="str">
        <f>+計價表!R11</f>
        <v xml:space="preserve"> D 11</v>
      </c>
      <c r="B29" s="35" t="str">
        <f>+計價表!S11</f>
        <v xml:space="preserve"> </v>
      </c>
      <c r="C29" s="47"/>
      <c r="D29" s="44"/>
      <c r="E29" s="44"/>
      <c r="F29" s="44"/>
      <c r="G29" s="44"/>
      <c r="H29" s="44"/>
      <c r="I29" s="65"/>
      <c r="J29" s="44"/>
      <c r="K29" s="27"/>
      <c r="AE29" s="12"/>
    </row>
    <row r="30" spans="1:31">
      <c r="A30" s="36" t="str">
        <f>+計價表!T11</f>
        <v xml:space="preserve"> </v>
      </c>
      <c r="B30" s="37"/>
      <c r="C30" s="72"/>
      <c r="D30" s="43"/>
      <c r="E30" s="166"/>
      <c r="F30" s="43"/>
      <c r="G30" s="43"/>
      <c r="H30" s="43"/>
      <c r="I30" s="43"/>
      <c r="J30" s="43"/>
      <c r="K30" s="27"/>
      <c r="AE30" s="12"/>
    </row>
    <row r="31" spans="1:31">
      <c r="A31" s="34" t="str">
        <f>+計價表!R12</f>
        <v xml:space="preserve"> D 12</v>
      </c>
      <c r="B31" s="35" t="str">
        <f>+計價表!S12</f>
        <v xml:space="preserve"> </v>
      </c>
      <c r="C31" s="170"/>
      <c r="D31" s="44"/>
      <c r="E31" s="44"/>
      <c r="F31" s="42"/>
      <c r="G31" s="42"/>
      <c r="H31" s="42"/>
      <c r="I31" s="65"/>
      <c r="J31" s="44"/>
      <c r="K31" s="27"/>
      <c r="AE31" s="12"/>
    </row>
    <row r="32" spans="1:31">
      <c r="A32" s="36" t="str">
        <f>+計價表!T12</f>
        <v xml:space="preserve"> </v>
      </c>
      <c r="B32" s="37"/>
      <c r="C32" s="28"/>
      <c r="D32" s="43"/>
      <c r="E32" s="51"/>
      <c r="F32" s="43"/>
      <c r="G32" s="51"/>
      <c r="H32" s="43"/>
      <c r="I32" s="43"/>
      <c r="J32" s="43"/>
      <c r="K32" s="27"/>
      <c r="AE32" s="12"/>
    </row>
    <row r="33" spans="1:31">
      <c r="A33" s="34" t="str">
        <f>+計價表!R13</f>
        <v xml:space="preserve"> D 13</v>
      </c>
      <c r="B33" s="35" t="str">
        <f>+計價表!S13</f>
        <v xml:space="preserve"> </v>
      </c>
      <c r="C33" s="52"/>
      <c r="D33" s="42"/>
      <c r="E33" s="42"/>
      <c r="F33" s="42"/>
      <c r="G33" s="42"/>
      <c r="H33" s="42"/>
      <c r="I33" s="165"/>
      <c r="J33" s="44"/>
      <c r="K33" s="27"/>
      <c r="AE33" s="12"/>
    </row>
    <row r="34" spans="1:31">
      <c r="A34" s="36" t="str">
        <f>+計價表!T13</f>
        <v xml:space="preserve"> </v>
      </c>
      <c r="B34" s="37"/>
      <c r="C34" s="49"/>
      <c r="D34" s="43"/>
      <c r="E34" s="43"/>
      <c r="F34" s="51"/>
      <c r="G34" s="43"/>
      <c r="H34" s="43"/>
      <c r="I34" s="3"/>
      <c r="J34" s="43"/>
      <c r="K34" s="27"/>
      <c r="AE34" s="12"/>
    </row>
    <row r="35" spans="1:31">
      <c r="A35" s="34" t="str">
        <f>+計價表!R14</f>
        <v xml:space="preserve"> D 14</v>
      </c>
      <c r="B35" s="35" t="str">
        <f>+計價表!S14</f>
        <v xml:space="preserve"> </v>
      </c>
      <c r="C35" s="170"/>
      <c r="D35" s="44"/>
      <c r="E35" s="1"/>
      <c r="F35" s="44"/>
      <c r="G35" s="44"/>
      <c r="H35" s="1"/>
      <c r="I35" s="65"/>
      <c r="J35" s="44"/>
      <c r="K35" s="27"/>
      <c r="AE35" s="12"/>
    </row>
    <row r="36" spans="1:31">
      <c r="A36" s="36" t="str">
        <f>+計價表!T14</f>
        <v xml:space="preserve"> </v>
      </c>
      <c r="B36" s="37"/>
      <c r="C36" s="171"/>
      <c r="D36" s="60"/>
      <c r="E36" s="43"/>
      <c r="F36" s="51"/>
      <c r="G36" s="51"/>
      <c r="H36" s="43"/>
      <c r="I36" s="43"/>
      <c r="J36" s="73"/>
      <c r="AE36" s="12"/>
    </row>
    <row r="37" spans="1:31">
      <c r="A37" s="38" t="str">
        <f>+計價表!R15</f>
        <v xml:space="preserve"> D 15</v>
      </c>
      <c r="B37" s="34" t="str">
        <f>+計價表!S15</f>
        <v xml:space="preserve"> </v>
      </c>
      <c r="C37" s="4"/>
      <c r="D37" s="5"/>
      <c r="E37" s="5"/>
      <c r="F37" s="5"/>
      <c r="G37" s="5"/>
      <c r="H37" s="5"/>
      <c r="I37" s="5"/>
      <c r="J37" s="6"/>
      <c r="AE37" s="12"/>
    </row>
    <row r="38" spans="1:31">
      <c r="A38" s="36" t="str">
        <f>+計價表!T15</f>
        <v xml:space="preserve"> </v>
      </c>
      <c r="B38" s="37"/>
      <c r="C38" s="7"/>
      <c r="D38" s="8"/>
      <c r="E38" s="8"/>
      <c r="F38" s="8"/>
      <c r="G38" s="8"/>
      <c r="H38" s="8"/>
      <c r="I38" s="8"/>
      <c r="J38" s="9"/>
      <c r="AE38" s="12"/>
    </row>
    <row r="39" spans="1:31">
      <c r="A39" s="34" t="str">
        <f>+計價表!R16</f>
        <v xml:space="preserve"> D 16</v>
      </c>
      <c r="B39" s="35" t="str">
        <f>+計價表!S16</f>
        <v xml:space="preserve"> </v>
      </c>
      <c r="C39" s="4"/>
      <c r="D39" s="5"/>
      <c r="E39" s="5"/>
      <c r="F39" s="5"/>
      <c r="G39" s="5"/>
      <c r="H39" s="5"/>
      <c r="I39" s="5"/>
      <c r="J39" s="6"/>
      <c r="AE39" s="12"/>
    </row>
    <row r="40" spans="1:31">
      <c r="A40" s="36" t="str">
        <f>+計價表!T16</f>
        <v xml:space="preserve"> </v>
      </c>
      <c r="B40" s="37"/>
      <c r="C40" s="7"/>
      <c r="D40" s="8"/>
      <c r="E40" s="8"/>
      <c r="F40" s="8"/>
      <c r="G40" s="8"/>
      <c r="H40" s="8"/>
      <c r="I40" s="8"/>
      <c r="J40" s="9"/>
      <c r="AE40" s="12"/>
    </row>
    <row r="41" spans="1:31">
      <c r="A41" s="34" t="str">
        <f>+計價表!R17</f>
        <v xml:space="preserve"> D 17</v>
      </c>
      <c r="B41" s="35" t="str">
        <f>+計價表!S17</f>
        <v xml:space="preserve"> </v>
      </c>
      <c r="C41" s="70" t="s">
        <v>378</v>
      </c>
      <c r="D41" s="42"/>
      <c r="E41" s="42"/>
      <c r="F41" s="42"/>
      <c r="G41" s="42"/>
      <c r="H41" s="42"/>
      <c r="I41" s="42"/>
      <c r="J41" s="71"/>
      <c r="AE41" s="12"/>
    </row>
    <row r="42" spans="1:31">
      <c r="A42" s="36" t="str">
        <f>+計價表!T17</f>
        <v xml:space="preserve"> </v>
      </c>
      <c r="B42" s="37"/>
      <c r="C42" s="49"/>
      <c r="D42" s="68"/>
      <c r="E42" s="60"/>
      <c r="F42" s="60"/>
      <c r="G42" s="60"/>
      <c r="H42" s="60"/>
      <c r="I42" s="60"/>
      <c r="J42" s="73"/>
      <c r="AE42" s="12"/>
    </row>
    <row r="43" spans="1:31">
      <c r="A43" s="34" t="str">
        <f>+計價表!R18</f>
        <v xml:space="preserve"> D 18</v>
      </c>
      <c r="B43" s="35" t="str">
        <f>+計價表!S18</f>
        <v xml:space="preserve"> </v>
      </c>
      <c r="C43" s="172" t="s">
        <v>699</v>
      </c>
      <c r="D43" s="44"/>
      <c r="E43" s="44"/>
      <c r="F43" s="66"/>
      <c r="G43" s="66"/>
      <c r="H43" s="44"/>
      <c r="I43" s="65"/>
      <c r="J43" s="164"/>
      <c r="AE43" s="12"/>
    </row>
    <row r="44" spans="1:31">
      <c r="A44" s="36" t="str">
        <f>+計價表!T18</f>
        <v xml:space="preserve"> </v>
      </c>
      <c r="B44" s="37"/>
      <c r="C44" s="161" t="s">
        <v>698</v>
      </c>
      <c r="D44" s="44"/>
      <c r="E44" s="44"/>
      <c r="F44" s="65"/>
      <c r="G44" s="44"/>
      <c r="H44" s="44"/>
      <c r="I44" s="2"/>
      <c r="J44" s="164"/>
      <c r="AE44" s="12"/>
    </row>
    <row r="45" spans="1:31">
      <c r="A45" s="34" t="str">
        <f>+計價表!R19</f>
        <v xml:space="preserve"> D 19</v>
      </c>
      <c r="B45" s="35" t="str">
        <f>+計價表!S19</f>
        <v xml:space="preserve"> </v>
      </c>
      <c r="C45" s="69" t="s">
        <v>64</v>
      </c>
      <c r="D45" s="42"/>
      <c r="E45" s="42"/>
      <c r="F45" s="42"/>
      <c r="G45" s="42"/>
      <c r="H45" s="42"/>
      <c r="I45" s="165"/>
      <c r="J45" s="71"/>
      <c r="AE45" s="12"/>
    </row>
    <row r="46" spans="1:31">
      <c r="A46" s="36" t="str">
        <f>+計價表!T19</f>
        <v xml:space="preserve"> </v>
      </c>
      <c r="B46" s="37"/>
      <c r="C46" s="49"/>
      <c r="D46" s="68"/>
      <c r="E46" s="60"/>
      <c r="F46" s="60"/>
      <c r="G46" s="60"/>
      <c r="H46" s="60"/>
      <c r="I46" s="60"/>
      <c r="J46" s="73"/>
      <c r="AE46" s="12"/>
    </row>
    <row r="47" spans="1:31">
      <c r="A47" s="34" t="str">
        <f>+計價表!R20</f>
        <v xml:space="preserve"> D 20</v>
      </c>
      <c r="B47" s="35" t="str">
        <f>+計價表!S20</f>
        <v xml:space="preserve"> </v>
      </c>
      <c r="C47" s="70" t="s">
        <v>379</v>
      </c>
      <c r="D47" s="42"/>
      <c r="E47" s="42"/>
      <c r="F47" s="42"/>
      <c r="G47" s="42"/>
      <c r="H47" s="42"/>
      <c r="I47" s="42"/>
      <c r="J47" s="71"/>
      <c r="AE47" s="12"/>
    </row>
    <row r="48" spans="1:31">
      <c r="A48" s="36" t="str">
        <f>+計價表!T20</f>
        <v xml:space="preserve"> </v>
      </c>
      <c r="B48" s="37"/>
      <c r="C48" s="72"/>
      <c r="D48" s="43"/>
      <c r="E48" s="43"/>
      <c r="F48" s="43"/>
      <c r="G48" s="43"/>
      <c r="H48" s="43"/>
      <c r="I48" s="43"/>
      <c r="J48" s="73"/>
      <c r="AE48" s="12"/>
    </row>
    <row r="49" spans="1:31">
      <c r="A49" s="34" t="str">
        <f>+計價表!R21</f>
        <v xml:space="preserve"> D 21</v>
      </c>
      <c r="B49" s="35" t="str">
        <f>+計價表!S21</f>
        <v xml:space="preserve"> </v>
      </c>
      <c r="C49" s="25" t="s">
        <v>380</v>
      </c>
      <c r="D49" s="42"/>
      <c r="E49" s="42"/>
      <c r="F49" s="42"/>
      <c r="G49" s="42"/>
      <c r="H49" s="42"/>
      <c r="I49" s="42"/>
      <c r="J49" s="71"/>
      <c r="AE49" s="12"/>
    </row>
    <row r="50" spans="1:31">
      <c r="A50" s="36" t="str">
        <f>+計價表!T21</f>
        <v xml:space="preserve"> </v>
      </c>
      <c r="B50" s="37"/>
      <c r="C50" s="28" t="s">
        <v>381</v>
      </c>
      <c r="D50" s="43"/>
      <c r="E50" s="43"/>
      <c r="F50" s="43"/>
      <c r="G50" s="43"/>
      <c r="H50" s="43"/>
      <c r="I50" s="43"/>
      <c r="J50" s="73"/>
      <c r="AE50" s="12"/>
    </row>
    <row r="51" spans="1:31" ht="17.5">
      <c r="F51" s="141" t="s">
        <v>366</v>
      </c>
      <c r="G51" s="1"/>
      <c r="H51" s="1"/>
      <c r="I51" s="1"/>
      <c r="J51" s="1"/>
      <c r="AE51" s="12"/>
    </row>
    <row r="52" spans="1:31" ht="17.5">
      <c r="F52" s="141" t="s">
        <v>369</v>
      </c>
      <c r="G52" s="1"/>
      <c r="H52" s="1"/>
      <c r="I52" s="1"/>
      <c r="J52" s="1"/>
      <c r="AE52" s="12"/>
    </row>
    <row r="53" spans="1:31">
      <c r="F53" s="191" t="s">
        <v>382</v>
      </c>
      <c r="G53" s="1"/>
      <c r="H53" s="1"/>
      <c r="I53" s="1"/>
      <c r="J53" s="1"/>
      <c r="K53" s="1"/>
      <c r="AE53" s="12"/>
    </row>
    <row r="54" spans="1:31">
      <c r="F54" s="67" t="s">
        <v>384</v>
      </c>
      <c r="K54" s="1"/>
      <c r="AE54" s="12"/>
    </row>
    <row r="55" spans="1:31" ht="20" thickBot="1">
      <c r="A55" s="145"/>
      <c r="B55" s="144" t="s">
        <v>74</v>
      </c>
      <c r="C55" s="145"/>
      <c r="D55" s="145"/>
      <c r="E55" s="145"/>
      <c r="F55" s="146" t="s">
        <v>367</v>
      </c>
      <c r="G55" s="145"/>
      <c r="H55" s="145"/>
      <c r="I55" s="145"/>
      <c r="J55" s="145"/>
      <c r="K55" s="1"/>
      <c r="AE55" s="12"/>
    </row>
    <row r="56" spans="1:31">
      <c r="A56" s="12"/>
      <c r="B56" s="32" t="s">
        <v>75</v>
      </c>
      <c r="C56" s="186">
        <f>+C6</f>
        <v>0</v>
      </c>
      <c r="D56" s="186"/>
      <c r="E56" s="186"/>
      <c r="F56" s="186"/>
      <c r="G56" s="186"/>
      <c r="H56" s="17"/>
      <c r="I56" s="17"/>
      <c r="J56" s="12"/>
      <c r="AE56" s="12"/>
    </row>
    <row r="57" spans="1:31">
      <c r="A57" s="12"/>
      <c r="B57" s="10" t="s">
        <v>76</v>
      </c>
      <c r="C57" s="187" t="str">
        <f>+C7</f>
        <v>EETS-TPE-</v>
      </c>
      <c r="D57" s="187"/>
      <c r="E57" s="187"/>
      <c r="F57" s="15"/>
      <c r="G57" s="15"/>
      <c r="H57" s="15"/>
      <c r="I57" s="15"/>
      <c r="J57" s="12"/>
      <c r="AE57" s="12"/>
    </row>
    <row r="58" spans="1:31">
      <c r="A58" s="12"/>
      <c r="B58" s="32" t="s">
        <v>77</v>
      </c>
      <c r="C58" s="242" t="str">
        <f>+F7</f>
        <v>2006/</v>
      </c>
      <c r="D58" s="187"/>
      <c r="E58" s="187"/>
      <c r="F58" s="15"/>
      <c r="G58" s="15"/>
      <c r="H58" s="15"/>
      <c r="I58" s="15"/>
      <c r="J58" s="12"/>
      <c r="AE58" s="12"/>
    </row>
    <row r="59" spans="1:31">
      <c r="A59" s="12"/>
      <c r="B59" s="12"/>
      <c r="C59" s="15"/>
      <c r="D59" s="15"/>
      <c r="E59" s="12"/>
      <c r="F59" s="12"/>
      <c r="G59" s="12"/>
      <c r="H59" s="12"/>
      <c r="I59" s="12"/>
      <c r="J59" s="12"/>
      <c r="AE59" s="12"/>
    </row>
    <row r="60" spans="1:31" ht="16" thickBot="1">
      <c r="A60" s="12"/>
      <c r="B60" s="13" t="s">
        <v>85</v>
      </c>
      <c r="C60" s="188">
        <f>+C8</f>
        <v>0</v>
      </c>
      <c r="D60" s="188"/>
      <c r="E60" s="188"/>
      <c r="F60" s="188"/>
      <c r="G60" s="188"/>
      <c r="H60" s="188">
        <f>+I8</f>
        <v>2</v>
      </c>
      <c r="I60" s="33" t="str">
        <f>+J8</f>
        <v>PAGE(S)</v>
      </c>
      <c r="J60" s="12"/>
      <c r="AE60" s="12"/>
    </row>
    <row r="61" spans="1:31" ht="17">
      <c r="A61" s="12"/>
      <c r="B61" s="10" t="s">
        <v>344</v>
      </c>
      <c r="C61" s="10"/>
      <c r="D61" s="11" t="s">
        <v>170</v>
      </c>
      <c r="E61" s="11"/>
      <c r="F61" s="12"/>
      <c r="G61" s="12"/>
      <c r="H61" s="12"/>
      <c r="I61" s="12"/>
      <c r="J61" s="12"/>
      <c r="AE61" s="12"/>
    </row>
    <row r="62" spans="1:31">
      <c r="A62" s="12"/>
      <c r="B62" s="12"/>
      <c r="C62" s="12" t="s">
        <v>93</v>
      </c>
      <c r="D62" s="12" t="s">
        <v>92</v>
      </c>
      <c r="E62" s="12" t="s">
        <v>91</v>
      </c>
      <c r="F62" s="12" t="s">
        <v>90</v>
      </c>
      <c r="G62" s="19" t="s">
        <v>305</v>
      </c>
      <c r="H62" s="19" t="s">
        <v>333</v>
      </c>
      <c r="I62" s="19" t="s">
        <v>332</v>
      </c>
      <c r="J62" s="12" t="s">
        <v>331</v>
      </c>
      <c r="AE62" s="12"/>
    </row>
    <row r="63" spans="1:31" ht="17">
      <c r="A63" s="12"/>
      <c r="B63" s="10" t="s">
        <v>171</v>
      </c>
      <c r="C63" s="223" t="str">
        <f>+計價表!T31</f>
        <v xml:space="preserve"> </v>
      </c>
      <c r="D63" s="223" t="str">
        <f>+計價表!U31</f>
        <v xml:space="preserve"> </v>
      </c>
      <c r="E63" s="223" t="str">
        <f>+計價表!V31</f>
        <v xml:space="preserve"> </v>
      </c>
      <c r="F63" s="223" t="str">
        <f>+計價表!W31</f>
        <v xml:space="preserve"> </v>
      </c>
      <c r="G63" s="223" t="str">
        <f>+計價表!X31</f>
        <v xml:space="preserve"> </v>
      </c>
      <c r="H63" s="223" t="str">
        <f>+計價表!Y31</f>
        <v xml:space="preserve"> </v>
      </c>
      <c r="I63" s="223" t="str">
        <f>+計價表!Z31</f>
        <v xml:space="preserve"> </v>
      </c>
      <c r="J63" s="223" t="str">
        <f>+計價表!AA31</f>
        <v xml:space="preserve"> </v>
      </c>
      <c r="AE63" s="12"/>
    </row>
    <row r="64" spans="1:31">
      <c r="A64" s="12"/>
      <c r="D64" s="19" t="s">
        <v>310</v>
      </c>
      <c r="E64" s="19" t="s">
        <v>309</v>
      </c>
      <c r="F64" s="19" t="s">
        <v>308</v>
      </c>
      <c r="G64" s="19" t="s">
        <v>307</v>
      </c>
      <c r="H64" s="19" t="s">
        <v>306</v>
      </c>
      <c r="I64" s="19" t="s">
        <v>386</v>
      </c>
      <c r="K64" s="12"/>
      <c r="L64" s="12"/>
      <c r="M64" s="12"/>
      <c r="AE64" s="12"/>
    </row>
    <row r="65" spans="1:31" ht="17">
      <c r="A65" s="12"/>
      <c r="B65" s="10" t="s">
        <v>171</v>
      </c>
      <c r="C65" s="59"/>
      <c r="D65" s="223" t="str">
        <f>+計價表!AC31</f>
        <v xml:space="preserve"> </v>
      </c>
      <c r="E65" s="223" t="str">
        <f>+計價表!AE31</f>
        <v xml:space="preserve"> </v>
      </c>
      <c r="F65" s="223" t="str">
        <f>+計價表!AF31</f>
        <v xml:space="preserve"> </v>
      </c>
      <c r="G65" s="223" t="str">
        <f>+計價表!AG31</f>
        <v xml:space="preserve">  </v>
      </c>
      <c r="H65" s="223" t="str">
        <f>+計價表!AH31</f>
        <v xml:space="preserve"> </v>
      </c>
      <c r="I65" s="223" t="str">
        <f>+計價表!AI31</f>
        <v xml:space="preserve"> </v>
      </c>
      <c r="J65" s="59"/>
      <c r="AE65" s="12"/>
    </row>
    <row r="66" spans="1:31" ht="17.5" thickBot="1">
      <c r="A66" s="12"/>
      <c r="C66" s="12" t="s">
        <v>349</v>
      </c>
      <c r="D66" s="22"/>
      <c r="E66" s="14"/>
      <c r="F66" s="222" t="str">
        <f>+計價表!AD31</f>
        <v xml:space="preserve"> </v>
      </c>
      <c r="G66" s="10" t="s">
        <v>171</v>
      </c>
      <c r="H66" s="16"/>
      <c r="I66" s="17"/>
      <c r="J66" s="12"/>
      <c r="AE66" s="12"/>
    </row>
    <row r="67" spans="1:31">
      <c r="A67" s="12"/>
      <c r="B67" s="12"/>
      <c r="C67" s="174" t="s">
        <v>345</v>
      </c>
      <c r="D67" s="12"/>
      <c r="E67" s="175" t="s">
        <v>346</v>
      </c>
      <c r="F67" s="12" t="s">
        <v>347</v>
      </c>
      <c r="G67" s="175" t="s">
        <v>348</v>
      </c>
      <c r="I67" s="12"/>
      <c r="J67" s="12"/>
      <c r="AE67" s="12"/>
    </row>
    <row r="68" spans="1:31">
      <c r="A68" s="12"/>
      <c r="B68" s="12" t="s">
        <v>350</v>
      </c>
      <c r="C68" s="12"/>
      <c r="D68" s="12"/>
      <c r="E68" s="12"/>
      <c r="F68" s="12"/>
      <c r="G68" s="12"/>
      <c r="H68" s="12"/>
      <c r="I68" s="12"/>
      <c r="J68" s="12"/>
      <c r="AE68" s="12"/>
    </row>
    <row r="69" spans="1:31" ht="18.5" thickBot="1">
      <c r="A69" s="12"/>
      <c r="B69" s="236" t="s">
        <v>351</v>
      </c>
      <c r="C69" s="12"/>
      <c r="D69" s="12"/>
      <c r="E69" s="12"/>
      <c r="F69" s="12"/>
      <c r="G69" s="39"/>
      <c r="H69" s="12" t="s">
        <v>114</v>
      </c>
      <c r="I69" s="12"/>
      <c r="J69" s="12"/>
      <c r="AE69" s="12"/>
    </row>
    <row r="70" spans="1:31">
      <c r="A70" s="12"/>
      <c r="B70" s="23" t="str">
        <f>+計價表!S2</f>
        <v xml:space="preserve"> </v>
      </c>
      <c r="C70" s="23" t="str">
        <f>+計價表!T2</f>
        <v xml:space="preserve"> </v>
      </c>
      <c r="D70" s="23"/>
      <c r="E70" s="23" t="str">
        <f>+計價表!S3</f>
        <v xml:space="preserve"> </v>
      </c>
      <c r="F70" s="23" t="str">
        <f>+計價表!T3</f>
        <v xml:space="preserve"> </v>
      </c>
      <c r="G70" s="23"/>
      <c r="H70" s="23" t="str">
        <f>+計價表!S4</f>
        <v xml:space="preserve"> </v>
      </c>
      <c r="I70" s="23" t="str">
        <f>+計價表!T4</f>
        <v xml:space="preserve"> </v>
      </c>
      <c r="J70" s="189"/>
      <c r="AE70" s="12"/>
    </row>
    <row r="71" spans="1:31">
      <c r="A71" s="12"/>
      <c r="B71" s="23" t="str">
        <f>+計價表!S5</f>
        <v xml:space="preserve"> </v>
      </c>
      <c r="C71" s="23" t="str">
        <f>+計價表!T5</f>
        <v xml:space="preserve"> </v>
      </c>
      <c r="D71" s="23"/>
      <c r="E71" s="24" t="str">
        <f>+計價表!S6</f>
        <v xml:space="preserve">  </v>
      </c>
      <c r="F71" s="23" t="str">
        <f>+計價表!T6</f>
        <v xml:space="preserve"> </v>
      </c>
      <c r="G71" s="23"/>
      <c r="H71" s="23" t="str">
        <f>+計價表!S7</f>
        <v xml:space="preserve"> </v>
      </c>
      <c r="I71" s="23" t="str">
        <f>+計價表!T7</f>
        <v xml:space="preserve"> </v>
      </c>
      <c r="J71" s="189"/>
      <c r="AE71" s="12"/>
    </row>
    <row r="72" spans="1:31">
      <c r="A72" s="12"/>
      <c r="B72" s="23" t="str">
        <f>+計價表!S8</f>
        <v xml:space="preserve"> </v>
      </c>
      <c r="C72" s="23" t="str">
        <f>+計價表!T8</f>
        <v xml:space="preserve"> </v>
      </c>
      <c r="D72" s="23"/>
      <c r="E72" s="23" t="str">
        <f>+計價表!S9</f>
        <v xml:space="preserve"> </v>
      </c>
      <c r="F72" s="23" t="str">
        <f>+計價表!T9</f>
        <v xml:space="preserve"> </v>
      </c>
      <c r="G72" s="23"/>
      <c r="H72" s="23" t="str">
        <f>+計價表!S10</f>
        <v xml:space="preserve"> </v>
      </c>
      <c r="I72" s="23" t="str">
        <f>+計價表!T10</f>
        <v xml:space="preserve"> </v>
      </c>
      <c r="J72" s="189"/>
      <c r="AE72" s="12"/>
    </row>
    <row r="73" spans="1:31">
      <c r="A73" s="12"/>
      <c r="B73" s="23" t="str">
        <f>+計價表!S11</f>
        <v xml:space="preserve"> </v>
      </c>
      <c r="C73" s="23" t="str">
        <f>+計價表!T11</f>
        <v xml:space="preserve"> </v>
      </c>
      <c r="D73" s="23"/>
      <c r="E73" s="23" t="str">
        <f>+計價表!S12</f>
        <v xml:space="preserve"> </v>
      </c>
      <c r="F73" s="23" t="str">
        <f>+計價表!T12</f>
        <v xml:space="preserve"> </v>
      </c>
      <c r="G73" s="23"/>
      <c r="H73" s="23" t="str">
        <f>+計價表!S13</f>
        <v xml:space="preserve"> </v>
      </c>
      <c r="I73" s="23" t="str">
        <f>+計價表!T13</f>
        <v xml:space="preserve"> </v>
      </c>
      <c r="J73" s="189"/>
      <c r="AE73" s="12"/>
    </row>
    <row r="74" spans="1:31">
      <c r="A74" s="12"/>
      <c r="B74" s="23" t="str">
        <f>+計價表!S14</f>
        <v xml:space="preserve"> </v>
      </c>
      <c r="C74" s="23" t="str">
        <f>+計價表!T14</f>
        <v xml:space="preserve"> </v>
      </c>
      <c r="D74" s="23"/>
      <c r="E74" s="23" t="str">
        <f>+計價表!S15</f>
        <v xml:space="preserve"> </v>
      </c>
      <c r="F74" s="23" t="str">
        <f>+計價表!T15</f>
        <v xml:space="preserve"> </v>
      </c>
      <c r="G74" s="23"/>
      <c r="H74" s="23" t="str">
        <f>+計價表!S16</f>
        <v xml:space="preserve"> </v>
      </c>
      <c r="I74" s="23" t="str">
        <f>+計價表!T16</f>
        <v xml:space="preserve"> </v>
      </c>
      <c r="J74" s="189"/>
      <c r="AE74" s="12"/>
    </row>
    <row r="75" spans="1:31">
      <c r="A75" s="12"/>
      <c r="B75" s="23" t="str">
        <f>+計價表!S17</f>
        <v xml:space="preserve"> </v>
      </c>
      <c r="C75" s="23" t="str">
        <f>+計價表!T17</f>
        <v xml:space="preserve"> </v>
      </c>
      <c r="D75" s="23"/>
      <c r="E75" s="23" t="str">
        <f>+計價表!S18</f>
        <v xml:space="preserve"> </v>
      </c>
      <c r="F75" s="23" t="str">
        <f>+計價表!T18</f>
        <v xml:space="preserve"> </v>
      </c>
      <c r="G75" s="23"/>
      <c r="H75" s="23" t="str">
        <f>+計價表!S19</f>
        <v xml:space="preserve"> </v>
      </c>
      <c r="I75" s="23" t="str">
        <f>+計價表!T19</f>
        <v xml:space="preserve"> </v>
      </c>
      <c r="J75" s="189"/>
      <c r="AE75" s="12"/>
    </row>
    <row r="76" spans="1:31">
      <c r="A76" s="12"/>
      <c r="B76" s="23" t="str">
        <f>+計價表!S20</f>
        <v xml:space="preserve"> </v>
      </c>
      <c r="C76" s="23" t="str">
        <f>+計價表!T20</f>
        <v xml:space="preserve"> </v>
      </c>
      <c r="D76" s="23"/>
      <c r="E76" s="23" t="str">
        <f>+計價表!S21</f>
        <v xml:space="preserve"> </v>
      </c>
      <c r="F76" s="23" t="str">
        <f>+計價表!T21</f>
        <v xml:space="preserve"> </v>
      </c>
      <c r="G76" s="23"/>
      <c r="H76" s="23"/>
      <c r="I76" s="23" t="s">
        <v>135</v>
      </c>
      <c r="J76" s="189"/>
      <c r="AE76" s="12"/>
    </row>
    <row r="77" spans="1:31" ht="16" thickBot="1">
      <c r="A77" s="12"/>
      <c r="B77" s="19" t="s">
        <v>311</v>
      </c>
      <c r="D77" s="176" t="s">
        <v>86</v>
      </c>
      <c r="E77" s="12" t="s">
        <v>312</v>
      </c>
      <c r="F77" s="12"/>
      <c r="H77" s="177" t="s">
        <v>42</v>
      </c>
      <c r="I77" s="19" t="s">
        <v>313</v>
      </c>
      <c r="AE77" s="12"/>
    </row>
    <row r="78" spans="1:31" ht="16" thickBot="1">
      <c r="A78" s="12"/>
      <c r="D78" s="178" t="s">
        <v>107</v>
      </c>
      <c r="E78" s="19" t="s">
        <v>314</v>
      </c>
      <c r="H78" s="177" t="s">
        <v>42</v>
      </c>
      <c r="I78" s="19" t="s">
        <v>315</v>
      </c>
      <c r="AE78" s="12"/>
    </row>
    <row r="79" spans="1:31">
      <c r="A79" s="12"/>
      <c r="B79" s="12" t="s">
        <v>40</v>
      </c>
      <c r="C79" s="12"/>
      <c r="D79" s="12"/>
      <c r="E79" s="12"/>
      <c r="F79" s="12"/>
      <c r="G79" s="12"/>
      <c r="H79" s="12"/>
      <c r="I79" s="12"/>
      <c r="J79" s="12"/>
      <c r="AE79" s="12"/>
    </row>
    <row r="80" spans="1:31" ht="16" thickBot="1">
      <c r="A80" s="12"/>
      <c r="B80" s="20" t="s">
        <v>41</v>
      </c>
      <c r="C80" s="12" t="s">
        <v>316</v>
      </c>
      <c r="D80" s="39"/>
      <c r="E80" s="174" t="s">
        <v>317</v>
      </c>
      <c r="G80" s="39"/>
      <c r="H80" s="12" t="s">
        <v>318</v>
      </c>
      <c r="I80" s="12"/>
      <c r="J80" s="12"/>
      <c r="AE80" s="12"/>
    </row>
    <row r="81" spans="1:31" ht="16" thickBot="1">
      <c r="A81" s="12"/>
      <c r="B81" s="12" t="s">
        <v>319</v>
      </c>
      <c r="C81" s="12"/>
      <c r="D81" s="12"/>
      <c r="E81" s="12"/>
      <c r="F81" s="39" t="s">
        <v>42</v>
      </c>
      <c r="G81" s="12" t="s">
        <v>320</v>
      </c>
      <c r="H81" s="176" t="s">
        <v>321</v>
      </c>
      <c r="I81" s="12" t="s">
        <v>87</v>
      </c>
      <c r="J81" s="176" t="s">
        <v>322</v>
      </c>
      <c r="AE81" s="12"/>
    </row>
    <row r="82" spans="1:31">
      <c r="A82" s="12"/>
      <c r="B82" s="12" t="s">
        <v>342</v>
      </c>
      <c r="C82" s="12"/>
      <c r="D82" s="12"/>
      <c r="E82" s="12"/>
      <c r="F82" s="12"/>
      <c r="G82" s="12"/>
      <c r="H82" s="12"/>
      <c r="I82" s="12"/>
      <c r="J82" s="12"/>
      <c r="AE82" s="12"/>
    </row>
    <row r="83" spans="1:31">
      <c r="A83" s="12"/>
      <c r="B83" s="12" t="s">
        <v>88</v>
      </c>
      <c r="C83" s="12"/>
      <c r="D83" s="12"/>
      <c r="E83" s="12" t="s">
        <v>343</v>
      </c>
      <c r="F83" s="12"/>
      <c r="G83" s="12"/>
      <c r="H83" s="12"/>
      <c r="I83" s="15"/>
      <c r="J83" s="12"/>
      <c r="AE83" s="12"/>
    </row>
    <row r="84" spans="1:31">
      <c r="A84" s="12"/>
      <c r="B84" s="243" t="s">
        <v>408</v>
      </c>
      <c r="C84" s="180"/>
      <c r="D84" s="180"/>
      <c r="F84" s="180"/>
      <c r="G84" s="180"/>
      <c r="H84" s="180"/>
      <c r="I84" s="181"/>
      <c r="J84" s="180"/>
      <c r="AE84" s="12"/>
    </row>
    <row r="85" spans="1:31">
      <c r="A85" s="12"/>
      <c r="B85" s="244" t="s">
        <v>60</v>
      </c>
      <c r="C85" s="245"/>
      <c r="D85" s="246"/>
      <c r="E85" s="247"/>
      <c r="F85" s="42"/>
      <c r="G85" s="42"/>
      <c r="H85" s="248"/>
      <c r="I85" s="249"/>
      <c r="J85" s="250"/>
      <c r="AE85" s="12"/>
    </row>
    <row r="86" spans="1:31">
      <c r="A86" s="12"/>
      <c r="B86" s="251" t="s">
        <v>61</v>
      </c>
      <c r="C86" s="45"/>
      <c r="D86" s="252"/>
      <c r="E86" s="253"/>
      <c r="F86" s="254"/>
      <c r="G86" s="255"/>
      <c r="H86" s="43"/>
      <c r="I86" s="256"/>
      <c r="J86" s="257"/>
      <c r="AE86" s="12"/>
    </row>
    <row r="87" spans="1:31">
      <c r="A87" s="12"/>
      <c r="B87" s="32" t="s">
        <v>62</v>
      </c>
      <c r="C87" s="32"/>
      <c r="D87" s="32"/>
      <c r="E87" s="182"/>
      <c r="F87" s="182"/>
      <c r="G87" s="182"/>
      <c r="H87" s="182"/>
      <c r="I87" s="258"/>
      <c r="J87" s="181"/>
      <c r="AE87" s="12"/>
    </row>
    <row r="88" spans="1:31">
      <c r="A88" s="12"/>
      <c r="B88" s="2" t="s">
        <v>63</v>
      </c>
      <c r="C88" s="44"/>
      <c r="D88" s="44"/>
      <c r="E88" s="66"/>
      <c r="F88" s="66"/>
      <c r="G88" s="44"/>
      <c r="H88" s="259"/>
      <c r="I88" s="44"/>
      <c r="J88" s="183"/>
      <c r="AE88" s="12"/>
    </row>
    <row r="89" spans="1:31">
      <c r="A89" s="12"/>
      <c r="B89" s="67" t="s">
        <v>64</v>
      </c>
      <c r="C89" s="44"/>
      <c r="D89" s="44"/>
      <c r="E89" s="44"/>
      <c r="F89" s="260"/>
      <c r="G89" s="44"/>
      <c r="H89" s="259"/>
      <c r="I89" s="260"/>
      <c r="J89" s="181"/>
      <c r="AE89" s="12"/>
    </row>
    <row r="90" spans="1:31">
      <c r="A90" s="12"/>
      <c r="B90" s="184"/>
      <c r="C90" s="180"/>
      <c r="D90" s="180"/>
      <c r="E90" s="180"/>
      <c r="F90" s="180"/>
      <c r="G90" s="180"/>
      <c r="H90" s="180"/>
      <c r="I90" s="180"/>
      <c r="J90" s="181"/>
      <c r="AE90" s="12"/>
    </row>
    <row r="91" spans="1:31">
      <c r="A91" s="12"/>
      <c r="AE91" s="12"/>
    </row>
    <row r="92" spans="1:31">
      <c r="A92" s="12"/>
      <c r="B92" s="184"/>
      <c r="C92" s="180"/>
      <c r="D92" s="180"/>
      <c r="E92" s="180"/>
      <c r="F92" s="180"/>
      <c r="G92" s="180"/>
      <c r="H92" s="180"/>
      <c r="I92" s="181"/>
      <c r="J92" s="181"/>
      <c r="AE92" s="12"/>
    </row>
    <row r="93" spans="1:31">
      <c r="A93" s="12"/>
      <c r="B93" s="185"/>
      <c r="C93" s="182"/>
      <c r="D93" s="182"/>
      <c r="E93" s="182"/>
      <c r="F93" s="182"/>
      <c r="G93" s="182"/>
      <c r="H93" s="182"/>
      <c r="I93" s="183"/>
      <c r="J93" s="183"/>
      <c r="AE93" s="12"/>
    </row>
    <row r="94" spans="1:31">
      <c r="A94" s="12"/>
      <c r="B94" s="179"/>
      <c r="C94" s="180"/>
      <c r="D94" s="180"/>
      <c r="F94" s="181"/>
      <c r="G94" s="181"/>
      <c r="H94" s="181"/>
      <c r="I94" s="181"/>
      <c r="J94" s="181"/>
      <c r="AE94" s="12"/>
    </row>
    <row r="95" spans="1:31">
      <c r="A95" s="12"/>
      <c r="B95" s="185"/>
      <c r="C95" s="182"/>
      <c r="E95" s="180"/>
      <c r="F95" s="181"/>
      <c r="G95" s="181"/>
      <c r="H95" s="181"/>
      <c r="I95" s="181"/>
      <c r="J95" s="181"/>
      <c r="AE95" s="12"/>
    </row>
    <row r="96" spans="1:31">
      <c r="A96" s="12"/>
      <c r="B96" s="185"/>
      <c r="C96" s="185"/>
      <c r="E96" s="41"/>
      <c r="F96" s="181"/>
      <c r="G96" s="181"/>
      <c r="H96" s="181"/>
      <c r="I96" s="181"/>
      <c r="J96" s="181"/>
      <c r="AE96" s="12"/>
    </row>
    <row r="97" spans="1:31">
      <c r="A97" s="12"/>
      <c r="AE97" s="12"/>
    </row>
    <row r="98" spans="1:31">
      <c r="A98" s="12"/>
      <c r="I98" s="12"/>
      <c r="J98" s="12"/>
      <c r="AE98" s="12"/>
    </row>
    <row r="99" spans="1:31">
      <c r="C99" s="12"/>
      <c r="I99" s="12"/>
      <c r="J99" s="12"/>
      <c r="AE99" s="12"/>
    </row>
    <row r="100" spans="1:31">
      <c r="B100" s="12"/>
      <c r="E100" s="12"/>
      <c r="F100" s="12"/>
      <c r="G100" s="12"/>
      <c r="H100" s="12"/>
      <c r="I100" s="12"/>
      <c r="J100" s="12"/>
      <c r="AE100" s="12"/>
    </row>
    <row r="101" spans="1:31">
      <c r="A101" s="12"/>
      <c r="B101" s="10" t="s">
        <v>89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AE101" s="12"/>
    </row>
    <row r="102" spans="1:3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AE102" s="12"/>
    </row>
    <row r="103" spans="1:3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AE103" s="12"/>
    </row>
    <row r="104" spans="1:3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</row>
    <row r="105" spans="1:31">
      <c r="A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</row>
    <row r="106" spans="1:3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</row>
  </sheetData>
  <sheetProtection password="C69B" sheet="1" formatCells="0" formatColumns="0" formatRows="0" insertColumns="0" insertRows="0" insertHyperlinks="0" deleteColumns="0" deleteRows="0" sort="0" autoFilter="0" pivotTables="0"/>
  <phoneticPr fontId="21" type="noConversion"/>
  <printOptions horizontalCentered="1" verticalCentered="1"/>
  <pageMargins left="0" right="0" top="0" bottom="0" header="0" footer="0"/>
  <pageSetup paperSize="9" scale="86" orientation="portrait" blackAndWhite="1" horizontalDpi="4294967292" verticalDpi="360" r:id="rId1"/>
  <headerFooter alignWithMargins="0"/>
  <rowBreaks count="15" manualBreakCount="15">
    <brk id="50" max="16383" man="1"/>
    <brk id="168" max="65535" man="1"/>
    <brk id="183" max="65535" man="1"/>
    <brk id="198" max="65535" man="1"/>
    <brk id="213" max="65535" man="1"/>
    <brk id="228" max="65535" man="1"/>
    <brk id="243" max="65535" man="1"/>
    <brk id="258" max="65535" man="1"/>
    <brk id="273" max="65535" man="1"/>
    <brk id="288" max="65535" man="1"/>
    <brk id="303" max="65535" man="1"/>
    <brk id="318" max="65535" man="1"/>
    <brk id="333" max="65535" man="1"/>
    <brk id="348" max="65535" man="1"/>
    <brk id="363" max="65535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98"/>
  <sheetViews>
    <sheetView topLeftCell="A71" zoomScale="75" workbookViewId="0"/>
  </sheetViews>
  <sheetFormatPr defaultRowHeight="15.5"/>
  <sheetData>
    <row r="1" spans="1:22" ht="20" thickBot="1">
      <c r="A1" s="221" t="s">
        <v>413</v>
      </c>
      <c r="C1" s="77"/>
      <c r="D1" s="77"/>
      <c r="E1" s="78" t="s">
        <v>97</v>
      </c>
      <c r="F1" s="77"/>
      <c r="G1" s="77"/>
      <c r="H1" s="77"/>
      <c r="I1" s="77"/>
      <c r="J1" s="79" t="s">
        <v>115</v>
      </c>
      <c r="K1" s="110" t="s">
        <v>390</v>
      </c>
      <c r="L1" s="77"/>
      <c r="M1" s="77"/>
      <c r="N1" s="77"/>
      <c r="O1" s="77"/>
      <c r="P1" s="77"/>
      <c r="Q1" s="77"/>
      <c r="R1" s="80"/>
      <c r="S1" s="80"/>
      <c r="T1" s="80"/>
      <c r="U1" s="80"/>
      <c r="V1" s="80"/>
    </row>
    <row r="2" spans="1:22" ht="16" thickBot="1">
      <c r="A2" s="77"/>
      <c r="B2" s="77"/>
      <c r="C2" s="77"/>
      <c r="D2" s="77"/>
      <c r="E2" s="81" t="s">
        <v>117</v>
      </c>
      <c r="F2" s="81" t="s">
        <v>118</v>
      </c>
      <c r="G2" s="81" t="s">
        <v>119</v>
      </c>
      <c r="H2" s="81" t="s">
        <v>120</v>
      </c>
      <c r="I2" s="82" t="s">
        <v>121</v>
      </c>
      <c r="J2" s="83" t="s">
        <v>122</v>
      </c>
      <c r="K2" s="111" t="s">
        <v>123</v>
      </c>
      <c r="L2" s="81" t="s">
        <v>124</v>
      </c>
      <c r="M2" s="81" t="s">
        <v>124</v>
      </c>
      <c r="N2" s="81" t="s">
        <v>94</v>
      </c>
      <c r="O2" s="87" t="s">
        <v>439</v>
      </c>
      <c r="P2" s="105"/>
      <c r="Q2" s="77"/>
      <c r="R2" s="75" t="s">
        <v>72</v>
      </c>
      <c r="S2" s="76">
        <v>1</v>
      </c>
      <c r="T2" s="80"/>
      <c r="U2" s="80"/>
      <c r="V2" s="80"/>
    </row>
    <row r="3" spans="1:22">
      <c r="A3" s="81"/>
      <c r="B3" s="81"/>
      <c r="C3" s="81" t="s">
        <v>135</v>
      </c>
      <c r="D3" s="82" t="s">
        <v>135</v>
      </c>
      <c r="E3" s="84">
        <f>SUM(計價表!E2:E21)</f>
        <v>760</v>
      </c>
      <c r="F3" s="112">
        <f>SUM(計價表!F2:F21)</f>
        <v>226</v>
      </c>
      <c r="G3" s="112">
        <f>SUM(計價表!G2:G21)</f>
        <v>280</v>
      </c>
      <c r="H3" s="86">
        <f>SUM(計價表!H2:H21)</f>
        <v>156.22</v>
      </c>
      <c r="I3" s="87">
        <f>SUM(計價表!I2:I21)</f>
        <v>827.5</v>
      </c>
      <c r="J3" s="88">
        <f>SUM(計價表!L2:L21)</f>
        <v>720</v>
      </c>
      <c r="K3" s="89">
        <f>SUM(計價表!M2:M21)</f>
        <v>542</v>
      </c>
      <c r="L3" s="89">
        <f>SUM(計價表!J2:J21)</f>
        <v>7210</v>
      </c>
      <c r="M3" s="89">
        <f>SUM(計價表!K2:K21)</f>
        <v>383.8</v>
      </c>
      <c r="N3" s="86">
        <f>SUM(計價表!N2:N21)</f>
        <v>0</v>
      </c>
      <c r="O3" s="114">
        <f>+F3+G3</f>
        <v>506</v>
      </c>
      <c r="P3" s="115"/>
      <c r="Q3" s="77"/>
      <c r="R3" s="80"/>
      <c r="S3" s="80"/>
      <c r="T3" s="80"/>
      <c r="U3" s="80"/>
      <c r="V3" s="80"/>
    </row>
    <row r="4" spans="1:22">
      <c r="A4" s="81"/>
      <c r="B4" s="81"/>
      <c r="C4" s="81" t="s">
        <v>135</v>
      </c>
      <c r="D4" s="90">
        <f>+H3+N3</f>
        <v>156.22</v>
      </c>
      <c r="E4" s="91">
        <f>+E3+H3+N3</f>
        <v>916.22</v>
      </c>
      <c r="F4" s="113">
        <f>+F3+G3</f>
        <v>506</v>
      </c>
      <c r="G4" s="92">
        <f>+E4+F4</f>
        <v>1422.22</v>
      </c>
      <c r="H4" s="93">
        <f>+F3+G3+H3</f>
        <v>662.22</v>
      </c>
      <c r="I4" s="94">
        <f>+I3+J3+L3+M3</f>
        <v>9141.2999999999993</v>
      </c>
      <c r="J4" s="95">
        <f>+J3</f>
        <v>720</v>
      </c>
      <c r="K4" s="95"/>
      <c r="L4" s="77"/>
      <c r="M4" s="77"/>
      <c r="N4" s="80"/>
      <c r="O4" s="77"/>
      <c r="P4" s="77"/>
      <c r="Q4" s="77"/>
      <c r="R4" s="80"/>
      <c r="S4" s="80"/>
      <c r="T4" s="80"/>
      <c r="U4" s="80"/>
      <c r="V4" s="80"/>
    </row>
    <row r="5" spans="1:22">
      <c r="A5" s="80"/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</row>
    <row r="6" spans="1:22">
      <c r="A6" s="81" t="s">
        <v>153</v>
      </c>
      <c r="B6" s="81"/>
      <c r="C6" s="89">
        <v>2</v>
      </c>
      <c r="D6" s="89">
        <v>2</v>
      </c>
      <c r="E6" s="89">
        <v>2</v>
      </c>
      <c r="F6" s="89">
        <v>2</v>
      </c>
      <c r="G6" s="89">
        <v>1</v>
      </c>
      <c r="H6" s="89">
        <v>1</v>
      </c>
      <c r="I6" s="89">
        <v>1</v>
      </c>
      <c r="J6" s="89">
        <v>1</v>
      </c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</row>
    <row r="7" spans="1:22">
      <c r="A7" s="81" t="s">
        <v>154</v>
      </c>
      <c r="B7" s="81"/>
      <c r="C7" s="116" t="s">
        <v>256</v>
      </c>
      <c r="D7" s="116" t="s">
        <v>257</v>
      </c>
      <c r="E7" s="116" t="s">
        <v>258</v>
      </c>
      <c r="F7" s="116" t="s">
        <v>259</v>
      </c>
      <c r="G7" s="116" t="s">
        <v>260</v>
      </c>
      <c r="H7" s="116" t="s">
        <v>261</v>
      </c>
      <c r="I7" s="116" t="s">
        <v>262</v>
      </c>
      <c r="J7" s="116" t="s">
        <v>263</v>
      </c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</row>
    <row r="8" spans="1:22" hidden="1">
      <c r="A8" s="81" t="s">
        <v>155</v>
      </c>
      <c r="B8" s="81"/>
      <c r="C8" s="81">
        <f>+F4+F4/45</f>
        <v>517.24444444444441</v>
      </c>
      <c r="D8" s="81">
        <f>+F4+F4/40</f>
        <v>518.65</v>
      </c>
      <c r="E8" s="81">
        <f>+F4+F4/35</f>
        <v>520.45714285714291</v>
      </c>
      <c r="F8" s="81">
        <f>+F4+F4/30</f>
        <v>522.86666666666667</v>
      </c>
      <c r="G8" s="81">
        <f>+F4</f>
        <v>506</v>
      </c>
      <c r="H8" s="81">
        <f>+F4</f>
        <v>506</v>
      </c>
      <c r="I8" s="81">
        <f>+F4</f>
        <v>506</v>
      </c>
      <c r="J8" s="81">
        <f>+F4+F4/10</f>
        <v>556.6</v>
      </c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</row>
    <row r="9" spans="1:22" hidden="1">
      <c r="A9" s="81" t="s">
        <v>156</v>
      </c>
      <c r="B9" s="81"/>
      <c r="C9" s="81">
        <f>+E4</f>
        <v>916.22</v>
      </c>
      <c r="D9" s="81">
        <f>+E4</f>
        <v>916.22</v>
      </c>
      <c r="E9" s="81">
        <f>+E4</f>
        <v>916.22</v>
      </c>
      <c r="F9" s="81">
        <f>+E4</f>
        <v>916.22</v>
      </c>
      <c r="G9" s="81">
        <f>+E4</f>
        <v>916.22</v>
      </c>
      <c r="H9" s="81">
        <f>+E4</f>
        <v>916.22</v>
      </c>
      <c r="I9" s="81">
        <f>+E4</f>
        <v>916.22</v>
      </c>
      <c r="J9" s="81">
        <f>+E4</f>
        <v>916.22</v>
      </c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</row>
    <row r="10" spans="1:22" hidden="1">
      <c r="A10" s="81" t="s">
        <v>157</v>
      </c>
      <c r="B10" s="81"/>
      <c r="C10" s="96">
        <f>+(H3+N3+K3)/45</f>
        <v>15.516</v>
      </c>
      <c r="D10" s="96">
        <f>+(H3+N3+K3)/40</f>
        <v>17.455500000000001</v>
      </c>
      <c r="E10" s="81">
        <f>+(E4+K3)/35</f>
        <v>41.663428571428575</v>
      </c>
      <c r="F10" s="81">
        <f>+(E4+K3)/30</f>
        <v>48.607333333333337</v>
      </c>
      <c r="G10" s="81">
        <f>+K3/25</f>
        <v>21.68</v>
      </c>
      <c r="H10" s="81">
        <f>+K3/20</f>
        <v>27.1</v>
      </c>
      <c r="I10" s="81">
        <f>+(E4+K3)/15</f>
        <v>97.214666666666673</v>
      </c>
      <c r="J10" s="81">
        <f>+(E4+K3)/10</f>
        <v>145.822</v>
      </c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</row>
    <row r="11" spans="1:22" hidden="1">
      <c r="A11" s="81" t="s">
        <v>95</v>
      </c>
      <c r="B11" s="81"/>
      <c r="C11" s="81">
        <f>+I4/45</f>
        <v>203.14</v>
      </c>
      <c r="D11" s="81">
        <f>+I4/40</f>
        <v>228.53249999999997</v>
      </c>
      <c r="E11" s="81">
        <f>+I4/35</f>
        <v>261.18</v>
      </c>
      <c r="F11" s="81">
        <f>+I4/30</f>
        <v>304.70999999999998</v>
      </c>
      <c r="G11" s="81">
        <f>+I4/25</f>
        <v>365.65199999999999</v>
      </c>
      <c r="H11" s="81">
        <f>+I4/20</f>
        <v>457.06499999999994</v>
      </c>
      <c r="I11" s="81">
        <f>+I4/15</f>
        <v>609.41999999999996</v>
      </c>
      <c r="J11" s="81">
        <f>+I4/10</f>
        <v>914.12999999999988</v>
      </c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</row>
    <row r="12" spans="1:22" hidden="1">
      <c r="A12" s="81" t="s">
        <v>158</v>
      </c>
      <c r="B12" s="81"/>
      <c r="C12" s="81">
        <f t="shared" ref="C12:J12" si="0">SUM(C8:C11)</f>
        <v>1652.1204444444443</v>
      </c>
      <c r="D12" s="81">
        <f t="shared" si="0"/>
        <v>1680.8579999999999</v>
      </c>
      <c r="E12" s="81">
        <f t="shared" si="0"/>
        <v>1739.5205714285714</v>
      </c>
      <c r="F12" s="81">
        <f t="shared" si="0"/>
        <v>1792.404</v>
      </c>
      <c r="G12" s="81">
        <f t="shared" si="0"/>
        <v>1809.5520000000001</v>
      </c>
      <c r="H12" s="81">
        <f t="shared" si="0"/>
        <v>1906.3849999999998</v>
      </c>
      <c r="I12" s="81">
        <f t="shared" si="0"/>
        <v>2128.8546666666666</v>
      </c>
      <c r="J12" s="81">
        <f t="shared" si="0"/>
        <v>2532.7719999999999</v>
      </c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</row>
    <row r="13" spans="1:22">
      <c r="A13" s="97" t="s">
        <v>385</v>
      </c>
      <c r="B13" s="81"/>
      <c r="C13" s="88">
        <f t="shared" ref="C13:J13" si="1">+C12</f>
        <v>1652.1204444444443</v>
      </c>
      <c r="D13" s="88">
        <f t="shared" si="1"/>
        <v>1680.8579999999999</v>
      </c>
      <c r="E13" s="88">
        <f t="shared" si="1"/>
        <v>1739.5205714285714</v>
      </c>
      <c r="F13" s="88">
        <f t="shared" si="1"/>
        <v>1792.404</v>
      </c>
      <c r="G13" s="88">
        <f t="shared" si="1"/>
        <v>1809.5520000000001</v>
      </c>
      <c r="H13" s="88">
        <f t="shared" si="1"/>
        <v>1906.3849999999998</v>
      </c>
      <c r="I13" s="88">
        <f t="shared" si="1"/>
        <v>2128.8546666666666</v>
      </c>
      <c r="J13" s="98">
        <f t="shared" si="1"/>
        <v>2532.7719999999999</v>
      </c>
      <c r="K13" s="80"/>
      <c r="L13" s="80"/>
      <c r="M13" s="80"/>
      <c r="N13" s="80"/>
      <c r="O13" s="80"/>
      <c r="P13" s="77"/>
      <c r="Q13" s="77"/>
      <c r="R13" s="80"/>
      <c r="S13" s="80"/>
      <c r="T13" s="80"/>
      <c r="U13" s="80"/>
      <c r="V13" s="80"/>
    </row>
    <row r="14" spans="1:22" ht="19.5">
      <c r="A14" s="220" t="s">
        <v>412</v>
      </c>
      <c r="B14" s="80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80"/>
      <c r="S14" s="80"/>
      <c r="T14" s="80"/>
      <c r="U14" s="80"/>
      <c r="V14" s="80"/>
    </row>
    <row r="15" spans="1:22">
      <c r="A15" s="81" t="s">
        <v>153</v>
      </c>
      <c r="B15" s="81"/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1</v>
      </c>
      <c r="M15" s="89">
        <v>1</v>
      </c>
      <c r="N15" s="89">
        <v>1</v>
      </c>
      <c r="O15" s="89">
        <v>1</v>
      </c>
      <c r="P15" s="89">
        <v>1</v>
      </c>
      <c r="Q15" s="89">
        <v>1</v>
      </c>
      <c r="R15" s="89">
        <v>1</v>
      </c>
      <c r="S15" s="80"/>
      <c r="T15" s="80"/>
      <c r="U15" s="80"/>
      <c r="V15" s="80"/>
    </row>
    <row r="16" spans="1:22">
      <c r="A16" s="81" t="s">
        <v>154</v>
      </c>
      <c r="B16" s="81"/>
      <c r="C16" s="85" t="s">
        <v>264</v>
      </c>
      <c r="D16" s="85" t="s">
        <v>265</v>
      </c>
      <c r="E16" s="85" t="s">
        <v>266</v>
      </c>
      <c r="F16" s="85" t="s">
        <v>267</v>
      </c>
      <c r="G16" s="85" t="s">
        <v>268</v>
      </c>
      <c r="H16" s="85" t="s">
        <v>263</v>
      </c>
      <c r="I16" s="85" t="s">
        <v>269</v>
      </c>
      <c r="J16" s="85" t="s">
        <v>270</v>
      </c>
      <c r="K16" s="85" t="s">
        <v>271</v>
      </c>
      <c r="L16" s="85" t="s">
        <v>272</v>
      </c>
      <c r="M16" s="85" t="s">
        <v>262</v>
      </c>
      <c r="N16" s="85" t="s">
        <v>273</v>
      </c>
      <c r="O16" s="85" t="s">
        <v>274</v>
      </c>
      <c r="P16" s="85" t="s">
        <v>275</v>
      </c>
      <c r="Q16" s="85" t="s">
        <v>276</v>
      </c>
      <c r="R16" s="85" t="s">
        <v>261</v>
      </c>
      <c r="S16" s="80"/>
      <c r="T16" s="80"/>
      <c r="U16" s="80"/>
      <c r="V16" s="80"/>
    </row>
    <row r="17" spans="1:22" hidden="1">
      <c r="A17" s="81" t="s">
        <v>155</v>
      </c>
      <c r="B17" s="81"/>
      <c r="C17" s="81">
        <f>+F4+F4/5</f>
        <v>607.20000000000005</v>
      </c>
      <c r="D17" s="81">
        <f>+F4+F4/6</f>
        <v>590.33333333333337</v>
      </c>
      <c r="E17" s="81">
        <f>+F4+F4/7</f>
        <v>578.28571428571433</v>
      </c>
      <c r="F17" s="81">
        <f>+F4+F4/8</f>
        <v>569.25</v>
      </c>
      <c r="G17" s="81">
        <f>+F4+F4/9</f>
        <v>562.22222222222217</v>
      </c>
      <c r="H17" s="81">
        <f>+F4+F4/10</f>
        <v>556.6</v>
      </c>
      <c r="I17" s="81">
        <f>+F4+F4/11</f>
        <v>552</v>
      </c>
      <c r="J17" s="81">
        <f>+F4+F4/12</f>
        <v>548.16666666666663</v>
      </c>
      <c r="K17" s="81">
        <f>+F4+F4/13</f>
        <v>544.92307692307691</v>
      </c>
      <c r="L17" s="81">
        <f>+F4+F4/14</f>
        <v>542.14285714285711</v>
      </c>
      <c r="M17" s="81">
        <f>+F4</f>
        <v>506</v>
      </c>
      <c r="N17" s="81">
        <f>+F4</f>
        <v>506</v>
      </c>
      <c r="O17" s="99">
        <f>+F4</f>
        <v>506</v>
      </c>
      <c r="P17" s="99">
        <f>+F4</f>
        <v>506</v>
      </c>
      <c r="Q17" s="99">
        <f>+F4</f>
        <v>506</v>
      </c>
      <c r="R17" s="81">
        <f>+F4</f>
        <v>506</v>
      </c>
      <c r="S17" s="80"/>
      <c r="T17" s="80"/>
      <c r="U17" s="80"/>
      <c r="V17" s="80"/>
    </row>
    <row r="18" spans="1:22" hidden="1">
      <c r="A18" s="81" t="s">
        <v>156</v>
      </c>
      <c r="B18" s="81"/>
      <c r="C18" s="81">
        <f>+E4</f>
        <v>916.22</v>
      </c>
      <c r="D18" s="81">
        <f>+E4</f>
        <v>916.22</v>
      </c>
      <c r="E18" s="81">
        <f>+E4</f>
        <v>916.22</v>
      </c>
      <c r="F18" s="81">
        <f>+E4</f>
        <v>916.22</v>
      </c>
      <c r="G18" s="81">
        <f>+E4</f>
        <v>916.22</v>
      </c>
      <c r="H18" s="81">
        <f>+E4</f>
        <v>916.22</v>
      </c>
      <c r="I18" s="81">
        <f>+E4</f>
        <v>916.22</v>
      </c>
      <c r="J18" s="81">
        <f>+E4</f>
        <v>916.22</v>
      </c>
      <c r="K18" s="81">
        <f>+E4</f>
        <v>916.22</v>
      </c>
      <c r="L18" s="81">
        <f>+E4</f>
        <v>916.22</v>
      </c>
      <c r="M18" s="81">
        <f>+E4</f>
        <v>916.22</v>
      </c>
      <c r="N18" s="81">
        <f>+E4</f>
        <v>916.22</v>
      </c>
      <c r="O18" s="100">
        <f>+E4</f>
        <v>916.22</v>
      </c>
      <c r="P18" s="100">
        <f>+E4</f>
        <v>916.22</v>
      </c>
      <c r="Q18" s="100">
        <f>+E4</f>
        <v>916.22</v>
      </c>
      <c r="R18" s="81">
        <f>+E4</f>
        <v>916.22</v>
      </c>
      <c r="S18" s="80"/>
      <c r="T18" s="80"/>
      <c r="U18" s="80"/>
      <c r="V18" s="80"/>
    </row>
    <row r="19" spans="1:22" hidden="1">
      <c r="A19" s="81" t="s">
        <v>157</v>
      </c>
      <c r="B19" s="81"/>
      <c r="C19" s="81">
        <f>+(G4+K3)/5</f>
        <v>392.84399999999999</v>
      </c>
      <c r="D19" s="81">
        <f>+(G4+K3)/6</f>
        <v>327.37</v>
      </c>
      <c r="E19" s="81">
        <f>+(G4+K3)/7</f>
        <v>280.60285714285715</v>
      </c>
      <c r="F19" s="81">
        <f>+(G4+K3)/8</f>
        <v>245.5275</v>
      </c>
      <c r="G19" s="81">
        <f>+(G4+K3)/9</f>
        <v>218.24666666666667</v>
      </c>
      <c r="H19" s="81">
        <f>+(E4+K3)/10</f>
        <v>145.822</v>
      </c>
      <c r="I19" s="81">
        <f>+(E4+K3)/11</f>
        <v>132.56545454545454</v>
      </c>
      <c r="J19" s="81">
        <f>+(E4+K3)/12</f>
        <v>121.51833333333333</v>
      </c>
      <c r="K19" s="81">
        <f>+(E4+K3)/13</f>
        <v>112.17076923076924</v>
      </c>
      <c r="L19" s="81">
        <f>+(E4+K3)/14</f>
        <v>104.15857142857143</v>
      </c>
      <c r="M19" s="81">
        <f>+(E4+K3)/15</f>
        <v>97.214666666666673</v>
      </c>
      <c r="N19" s="81">
        <f>+(E4+K3)/16</f>
        <v>91.138750000000002</v>
      </c>
      <c r="O19" s="81">
        <f>+(E4+K3)/17</f>
        <v>85.777647058823533</v>
      </c>
      <c r="P19" s="81">
        <f>+(E4+K3)/18</f>
        <v>81.012222222222221</v>
      </c>
      <c r="Q19" s="81">
        <f>+(E4+K3)/19</f>
        <v>76.748421052631585</v>
      </c>
      <c r="R19" s="81">
        <f>+K3/20</f>
        <v>27.1</v>
      </c>
      <c r="S19" s="80"/>
      <c r="T19" s="80"/>
      <c r="U19" s="80"/>
      <c r="V19" s="80"/>
    </row>
    <row r="20" spans="1:22" hidden="1">
      <c r="A20" s="81" t="s">
        <v>95</v>
      </c>
      <c r="B20" s="81"/>
      <c r="C20" s="81">
        <f>+I4/5</f>
        <v>1828.2599999999998</v>
      </c>
      <c r="D20" s="81">
        <f>+I4/6</f>
        <v>1523.55</v>
      </c>
      <c r="E20" s="81">
        <f>+I4/7</f>
        <v>1305.8999999999999</v>
      </c>
      <c r="F20" s="81">
        <f>+I4/8</f>
        <v>1142.6624999999999</v>
      </c>
      <c r="G20" s="81">
        <f>+I4/9</f>
        <v>1015.6999999999999</v>
      </c>
      <c r="H20" s="81">
        <f>+I4/10</f>
        <v>914.12999999999988</v>
      </c>
      <c r="I20" s="81">
        <f>+I4/11</f>
        <v>831.0272727272727</v>
      </c>
      <c r="J20" s="81">
        <f>+I4/12</f>
        <v>761.77499999999998</v>
      </c>
      <c r="K20" s="81">
        <f>+I4/13</f>
        <v>703.176923076923</v>
      </c>
      <c r="L20" s="81">
        <f>+I4/14</f>
        <v>652.94999999999993</v>
      </c>
      <c r="M20" s="81">
        <f>+I4/15</f>
        <v>609.41999999999996</v>
      </c>
      <c r="N20" s="81">
        <f>+I4/16</f>
        <v>571.33124999999995</v>
      </c>
      <c r="O20" s="81">
        <f>+I4/17</f>
        <v>537.72352941176462</v>
      </c>
      <c r="P20" s="81">
        <f>+I4/18</f>
        <v>507.84999999999997</v>
      </c>
      <c r="Q20" s="81">
        <f>+I4/19</f>
        <v>481.12105263157889</v>
      </c>
      <c r="R20" s="81">
        <f>+I4/20</f>
        <v>457.06499999999994</v>
      </c>
      <c r="S20" s="80"/>
      <c r="T20" s="80"/>
      <c r="U20" s="80"/>
      <c r="V20" s="80"/>
    </row>
    <row r="21" spans="1:22" hidden="1">
      <c r="A21" s="81" t="s">
        <v>158</v>
      </c>
      <c r="B21" s="81"/>
      <c r="C21" s="81">
        <f t="shared" ref="C21:R21" si="2">SUM(C17:C20)</f>
        <v>3744.5239999999999</v>
      </c>
      <c r="D21" s="81">
        <f t="shared" si="2"/>
        <v>3357.4733333333334</v>
      </c>
      <c r="E21" s="81">
        <f t="shared" si="2"/>
        <v>3081.0085714285715</v>
      </c>
      <c r="F21" s="81">
        <f t="shared" si="2"/>
        <v>2873.66</v>
      </c>
      <c r="G21" s="81">
        <f t="shared" si="2"/>
        <v>2712.3888888888887</v>
      </c>
      <c r="H21" s="81">
        <f t="shared" si="2"/>
        <v>2532.7719999999999</v>
      </c>
      <c r="I21" s="81">
        <f t="shared" si="2"/>
        <v>2431.812727272727</v>
      </c>
      <c r="J21" s="81">
        <f t="shared" si="2"/>
        <v>2347.6800000000003</v>
      </c>
      <c r="K21" s="81">
        <f t="shared" si="2"/>
        <v>2276.4907692307693</v>
      </c>
      <c r="L21" s="81">
        <f t="shared" si="2"/>
        <v>2215.4714285714285</v>
      </c>
      <c r="M21" s="81">
        <f t="shared" si="2"/>
        <v>2128.8546666666666</v>
      </c>
      <c r="N21" s="81">
        <f t="shared" si="2"/>
        <v>2084.69</v>
      </c>
      <c r="O21" s="81">
        <f t="shared" si="2"/>
        <v>2045.721176470588</v>
      </c>
      <c r="P21" s="81">
        <f t="shared" si="2"/>
        <v>2011.0822222222221</v>
      </c>
      <c r="Q21" s="81">
        <f t="shared" si="2"/>
        <v>1980.0894736842106</v>
      </c>
      <c r="R21" s="81">
        <f t="shared" si="2"/>
        <v>1906.3849999999998</v>
      </c>
      <c r="S21" s="80"/>
      <c r="T21" s="80"/>
      <c r="U21" s="80"/>
      <c r="V21" s="80"/>
    </row>
    <row r="22" spans="1:22">
      <c r="A22" s="97" t="s">
        <v>385</v>
      </c>
      <c r="B22" s="81"/>
      <c r="C22" s="229">
        <f t="shared" ref="C22:R22" si="3">+C21</f>
        <v>3744.5239999999999</v>
      </c>
      <c r="D22" s="229">
        <f t="shared" si="3"/>
        <v>3357.4733333333334</v>
      </c>
      <c r="E22" s="229">
        <f t="shared" si="3"/>
        <v>3081.0085714285715</v>
      </c>
      <c r="F22" s="229">
        <f t="shared" si="3"/>
        <v>2873.66</v>
      </c>
      <c r="G22" s="229">
        <f t="shared" si="3"/>
        <v>2712.3888888888887</v>
      </c>
      <c r="H22" s="229">
        <f t="shared" si="3"/>
        <v>2532.7719999999999</v>
      </c>
      <c r="I22" s="229">
        <f t="shared" si="3"/>
        <v>2431.812727272727</v>
      </c>
      <c r="J22" s="229">
        <f t="shared" si="3"/>
        <v>2347.6800000000003</v>
      </c>
      <c r="K22" s="229">
        <f t="shared" si="3"/>
        <v>2276.4907692307693</v>
      </c>
      <c r="L22" s="229">
        <f t="shared" si="3"/>
        <v>2215.4714285714285</v>
      </c>
      <c r="M22" s="229">
        <f t="shared" si="3"/>
        <v>2128.8546666666666</v>
      </c>
      <c r="N22" s="229">
        <f t="shared" si="3"/>
        <v>2084.69</v>
      </c>
      <c r="O22" s="229">
        <f t="shared" si="3"/>
        <v>2045.721176470588</v>
      </c>
      <c r="P22" s="229">
        <f t="shared" si="3"/>
        <v>2011.0822222222221</v>
      </c>
      <c r="Q22" s="229">
        <f t="shared" si="3"/>
        <v>1980.0894736842106</v>
      </c>
      <c r="R22" s="229">
        <f t="shared" si="3"/>
        <v>1906.3849999999998</v>
      </c>
      <c r="S22" s="80"/>
      <c r="T22" s="80"/>
      <c r="U22" s="80"/>
      <c r="V22" s="80"/>
    </row>
    <row r="23" spans="1:22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101"/>
      <c r="R23" s="102"/>
      <c r="S23" s="80"/>
      <c r="T23" s="80"/>
      <c r="U23" s="80"/>
      <c r="V23" s="80"/>
    </row>
    <row r="24" spans="1:22">
      <c r="A24" s="81" t="s">
        <v>153</v>
      </c>
      <c r="B24" s="81"/>
      <c r="C24" s="89">
        <v>1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89">
        <v>1</v>
      </c>
      <c r="J24" s="89">
        <v>1</v>
      </c>
      <c r="K24" s="89">
        <v>1</v>
      </c>
      <c r="L24" s="89">
        <v>2</v>
      </c>
      <c r="M24" s="89">
        <v>2</v>
      </c>
      <c r="N24" s="89">
        <v>2</v>
      </c>
      <c r="O24" s="89">
        <v>2</v>
      </c>
      <c r="P24" s="89">
        <v>2</v>
      </c>
      <c r="Q24" s="89">
        <v>2</v>
      </c>
      <c r="R24" s="89">
        <v>2</v>
      </c>
      <c r="S24" s="80"/>
      <c r="T24" s="80"/>
      <c r="U24" s="80"/>
      <c r="V24" s="80"/>
    </row>
    <row r="25" spans="1:22">
      <c r="A25" s="81" t="s">
        <v>154</v>
      </c>
      <c r="B25" s="81"/>
      <c r="C25" s="85" t="s">
        <v>277</v>
      </c>
      <c r="D25" s="85" t="s">
        <v>278</v>
      </c>
      <c r="E25" s="85" t="s">
        <v>279</v>
      </c>
      <c r="F25" s="85" t="s">
        <v>280</v>
      </c>
      <c r="G25" s="85" t="s">
        <v>260</v>
      </c>
      <c r="H25" s="85" t="s">
        <v>281</v>
      </c>
      <c r="I25" s="85" t="s">
        <v>282</v>
      </c>
      <c r="J25" s="85" t="s">
        <v>283</v>
      </c>
      <c r="K25" s="85" t="s">
        <v>284</v>
      </c>
      <c r="L25" s="85" t="s">
        <v>259</v>
      </c>
      <c r="M25" s="85" t="s">
        <v>285</v>
      </c>
      <c r="N25" s="85" t="s">
        <v>286</v>
      </c>
      <c r="O25" s="85" t="s">
        <v>287</v>
      </c>
      <c r="P25" s="85" t="s">
        <v>288</v>
      </c>
      <c r="Q25" s="85" t="s">
        <v>258</v>
      </c>
      <c r="R25" s="85" t="s">
        <v>421</v>
      </c>
      <c r="S25" s="80"/>
      <c r="T25" s="80"/>
      <c r="U25" s="80"/>
      <c r="V25" s="80"/>
    </row>
    <row r="26" spans="1:22" hidden="1">
      <c r="A26" s="81" t="s">
        <v>155</v>
      </c>
      <c r="B26" s="81"/>
      <c r="C26" s="81">
        <f>+F4</f>
        <v>506</v>
      </c>
      <c r="D26" s="81">
        <f>+F4</f>
        <v>506</v>
      </c>
      <c r="E26" s="81">
        <f>+F4</f>
        <v>506</v>
      </c>
      <c r="F26" s="81">
        <f>+F4</f>
        <v>506</v>
      </c>
      <c r="G26" s="81">
        <f>+F4</f>
        <v>506</v>
      </c>
      <c r="H26" s="81">
        <f>+F4</f>
        <v>506</v>
      </c>
      <c r="I26" s="81">
        <f>+F4</f>
        <v>506</v>
      </c>
      <c r="J26" s="81">
        <f>+F4</f>
        <v>506</v>
      </c>
      <c r="K26" s="81">
        <f>+F4</f>
        <v>506</v>
      </c>
      <c r="L26" s="81">
        <f>+F4+F4/30</f>
        <v>522.86666666666667</v>
      </c>
      <c r="M26" s="81">
        <f>+F4+F4/31</f>
        <v>522.32258064516134</v>
      </c>
      <c r="N26" s="81">
        <f>+F4+F4/32</f>
        <v>521.8125</v>
      </c>
      <c r="O26" s="81">
        <f>+F4+F4/33</f>
        <v>521.33333333333337</v>
      </c>
      <c r="P26" s="81">
        <f>+F4+F4/34</f>
        <v>520.88235294117646</v>
      </c>
      <c r="Q26" s="81">
        <f>+F4+F4/35</f>
        <v>520.45714285714291</v>
      </c>
      <c r="R26" s="81">
        <f>+F4+F4/36</f>
        <v>520.05555555555554</v>
      </c>
      <c r="S26" s="80"/>
      <c r="T26" s="80"/>
      <c r="U26" s="80"/>
      <c r="V26" s="80"/>
    </row>
    <row r="27" spans="1:22" hidden="1">
      <c r="A27" s="81" t="s">
        <v>156</v>
      </c>
      <c r="B27" s="81"/>
      <c r="C27" s="81">
        <f>+E4</f>
        <v>916.22</v>
      </c>
      <c r="D27" s="81">
        <f>+E4</f>
        <v>916.22</v>
      </c>
      <c r="E27" s="81">
        <f>+E4</f>
        <v>916.22</v>
      </c>
      <c r="F27" s="81">
        <f>+E4</f>
        <v>916.22</v>
      </c>
      <c r="G27" s="81">
        <f>+E4</f>
        <v>916.22</v>
      </c>
      <c r="H27" s="81">
        <f>+E4</f>
        <v>916.22</v>
      </c>
      <c r="I27" s="81">
        <f>+E4</f>
        <v>916.22</v>
      </c>
      <c r="J27" s="81">
        <f>+E4</f>
        <v>916.22</v>
      </c>
      <c r="K27" s="81">
        <f>+E4</f>
        <v>916.22</v>
      </c>
      <c r="L27" s="81">
        <f>+E4</f>
        <v>916.22</v>
      </c>
      <c r="M27" s="81">
        <f>+E4</f>
        <v>916.22</v>
      </c>
      <c r="N27" s="81">
        <f>+E4</f>
        <v>916.22</v>
      </c>
      <c r="O27" s="81">
        <f>+E4</f>
        <v>916.22</v>
      </c>
      <c r="P27" s="81">
        <f>+E4</f>
        <v>916.22</v>
      </c>
      <c r="Q27" s="81">
        <f>+E4</f>
        <v>916.22</v>
      </c>
      <c r="R27" s="81">
        <f>+E4</f>
        <v>916.22</v>
      </c>
      <c r="S27" s="80"/>
      <c r="T27" s="80"/>
      <c r="U27" s="80"/>
      <c r="V27" s="80"/>
    </row>
    <row r="28" spans="1:22" hidden="1">
      <c r="A28" s="81" t="s">
        <v>157</v>
      </c>
      <c r="B28" s="81"/>
      <c r="C28" s="81">
        <f>+K3/21</f>
        <v>25.80952380952381</v>
      </c>
      <c r="D28" s="81">
        <f>+K3/22</f>
        <v>24.636363636363637</v>
      </c>
      <c r="E28" s="81">
        <f>+K3/23</f>
        <v>23.565217391304348</v>
      </c>
      <c r="F28" s="81">
        <f>+K3/24</f>
        <v>22.583333333333332</v>
      </c>
      <c r="G28" s="81">
        <f>+K3/25</f>
        <v>21.68</v>
      </c>
      <c r="H28" s="81">
        <f>+K3/26</f>
        <v>20.846153846153847</v>
      </c>
      <c r="I28" s="81">
        <f>+K3/27</f>
        <v>20.074074074074073</v>
      </c>
      <c r="J28" s="81">
        <f>+K3/28</f>
        <v>19.357142857142858</v>
      </c>
      <c r="K28" s="81">
        <f>+K3/29</f>
        <v>18.689655172413794</v>
      </c>
      <c r="L28" s="81">
        <f>+(E4+K3)/30</f>
        <v>48.607333333333337</v>
      </c>
      <c r="M28" s="81">
        <f>+(E4+K3)/31</f>
        <v>47.039354838709677</v>
      </c>
      <c r="N28" s="81">
        <f>+(E4+K3)/32</f>
        <v>45.569375000000001</v>
      </c>
      <c r="O28" s="81">
        <f>+(E4+K3)/33</f>
        <v>44.188484848484848</v>
      </c>
      <c r="P28" s="81">
        <f>+(E4+K3)/34</f>
        <v>42.888823529411766</v>
      </c>
      <c r="Q28" s="81">
        <f>+(E4+K3)/35</f>
        <v>41.663428571428575</v>
      </c>
      <c r="R28" s="81">
        <f>+(E4+K3)/36</f>
        <v>40.50611111111111</v>
      </c>
      <c r="S28" s="80"/>
      <c r="T28" s="80"/>
      <c r="U28" s="80"/>
      <c r="V28" s="80"/>
    </row>
    <row r="29" spans="1:22" hidden="1">
      <c r="A29" s="81" t="s">
        <v>95</v>
      </c>
      <c r="B29" s="81"/>
      <c r="C29" s="81">
        <f>+I4/21</f>
        <v>435.29999999999995</v>
      </c>
      <c r="D29" s="81">
        <f>+I4/22</f>
        <v>415.51363636363635</v>
      </c>
      <c r="E29" s="81">
        <f>+I4/23</f>
        <v>397.44782608695647</v>
      </c>
      <c r="F29" s="81">
        <f>+I4/24</f>
        <v>380.88749999999999</v>
      </c>
      <c r="G29" s="81">
        <f>+I4/25</f>
        <v>365.65199999999999</v>
      </c>
      <c r="H29" s="81">
        <f>+I4/26</f>
        <v>351.5884615384615</v>
      </c>
      <c r="I29" s="81">
        <f>+I4/27</f>
        <v>338.56666666666666</v>
      </c>
      <c r="J29" s="81">
        <f>+I4/28</f>
        <v>326.47499999999997</v>
      </c>
      <c r="K29" s="81">
        <f>+I4/29</f>
        <v>315.21724137931034</v>
      </c>
      <c r="L29" s="81">
        <f>+I4/30</f>
        <v>304.70999999999998</v>
      </c>
      <c r="M29" s="81">
        <f>+I4/31</f>
        <v>294.88064516129032</v>
      </c>
      <c r="N29" s="81">
        <f>+I4/32</f>
        <v>285.66562499999998</v>
      </c>
      <c r="O29" s="81">
        <f>+I4/33</f>
        <v>277.0090909090909</v>
      </c>
      <c r="P29" s="81">
        <f>+I4/34</f>
        <v>268.86176470588231</v>
      </c>
      <c r="Q29" s="81">
        <f>+I4/35</f>
        <v>261.18</v>
      </c>
      <c r="R29" s="81">
        <f>+I4/36</f>
        <v>253.92499999999998</v>
      </c>
      <c r="S29" s="80"/>
      <c r="T29" s="80"/>
      <c r="U29" s="80"/>
      <c r="V29" s="80"/>
    </row>
    <row r="30" spans="1:22" hidden="1">
      <c r="A30" s="81" t="s">
        <v>158</v>
      </c>
      <c r="B30" s="81"/>
      <c r="C30" s="81">
        <f>SUM(C26:C29)</f>
        <v>1883.3295238095238</v>
      </c>
      <c r="D30" s="81">
        <f>SUM(D26:D29)</f>
        <v>1862.3700000000001</v>
      </c>
      <c r="E30" s="81">
        <f>SUM(E26:E29)</f>
        <v>1843.2330434782607</v>
      </c>
      <c r="F30" s="81">
        <f>SUM(F26:F29)</f>
        <v>1825.6908333333333</v>
      </c>
      <c r="G30" s="81">
        <f>SUM(G26:G29)</f>
        <v>1809.5520000000001</v>
      </c>
      <c r="H30" s="81">
        <f t="shared" ref="H30:P30" si="4">SUM(H26:H29)</f>
        <v>1794.6546153846152</v>
      </c>
      <c r="I30" s="81">
        <f t="shared" si="4"/>
        <v>1780.8607407407408</v>
      </c>
      <c r="J30" s="81">
        <f t="shared" si="4"/>
        <v>1768.0521428571428</v>
      </c>
      <c r="K30" s="81">
        <f t="shared" si="4"/>
        <v>1756.126896551724</v>
      </c>
      <c r="L30" s="81">
        <f t="shared" si="4"/>
        <v>1792.404</v>
      </c>
      <c r="M30" s="81">
        <f t="shared" si="4"/>
        <v>1780.4625806451613</v>
      </c>
      <c r="N30" s="81">
        <f t="shared" si="4"/>
        <v>1769.2674999999999</v>
      </c>
      <c r="O30" s="81">
        <f t="shared" si="4"/>
        <v>1758.7509090909091</v>
      </c>
      <c r="P30" s="81">
        <f t="shared" si="4"/>
        <v>1748.8529411764705</v>
      </c>
      <c r="Q30" s="81">
        <f>SUM(Q26:Q29)</f>
        <v>1739.5205714285714</v>
      </c>
      <c r="R30" s="81">
        <f>SUM(R26:R29)</f>
        <v>1730.7066666666665</v>
      </c>
      <c r="S30" s="80"/>
      <c r="T30" s="80"/>
      <c r="U30" s="80"/>
      <c r="V30" s="80"/>
    </row>
    <row r="31" spans="1:22">
      <c r="A31" s="97" t="s">
        <v>385</v>
      </c>
      <c r="B31" s="81"/>
      <c r="C31" s="229">
        <f>+C30</f>
        <v>1883.3295238095238</v>
      </c>
      <c r="D31" s="230">
        <f>+D30</f>
        <v>1862.3700000000001</v>
      </c>
      <c r="E31" s="230">
        <f>+E30</f>
        <v>1843.2330434782607</v>
      </c>
      <c r="F31" s="230">
        <f>+F30</f>
        <v>1825.6908333333333</v>
      </c>
      <c r="G31" s="230">
        <f>+G30</f>
        <v>1809.5520000000001</v>
      </c>
      <c r="H31" s="230">
        <f t="shared" ref="H31:P31" si="5">+H30</f>
        <v>1794.6546153846152</v>
      </c>
      <c r="I31" s="230">
        <f t="shared" si="5"/>
        <v>1780.8607407407408</v>
      </c>
      <c r="J31" s="230">
        <f t="shared" si="5"/>
        <v>1768.0521428571428</v>
      </c>
      <c r="K31" s="230">
        <f t="shared" si="5"/>
        <v>1756.126896551724</v>
      </c>
      <c r="L31" s="230">
        <f t="shared" si="5"/>
        <v>1792.404</v>
      </c>
      <c r="M31" s="230">
        <f t="shared" si="5"/>
        <v>1780.4625806451613</v>
      </c>
      <c r="N31" s="230">
        <f t="shared" si="5"/>
        <v>1769.2674999999999</v>
      </c>
      <c r="O31" s="230">
        <f t="shared" si="5"/>
        <v>1758.7509090909091</v>
      </c>
      <c r="P31" s="230">
        <f t="shared" si="5"/>
        <v>1748.8529411764705</v>
      </c>
      <c r="Q31" s="230">
        <f>+Q30</f>
        <v>1739.5205714285714</v>
      </c>
      <c r="R31" s="230">
        <f>+R30</f>
        <v>1730.7066666666665</v>
      </c>
      <c r="S31" s="80"/>
      <c r="T31" s="80"/>
      <c r="U31" s="80"/>
      <c r="V31" s="80"/>
    </row>
    <row r="32" spans="1:22">
      <c r="A32" s="103"/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1"/>
      <c r="R32" s="104"/>
      <c r="S32" s="80"/>
      <c r="T32" s="80"/>
      <c r="U32" s="80"/>
      <c r="V32" s="80"/>
    </row>
    <row r="33" spans="1:22">
      <c r="A33" s="81" t="s">
        <v>153</v>
      </c>
      <c r="B33" s="81"/>
      <c r="C33" s="89">
        <v>2</v>
      </c>
      <c r="D33" s="89">
        <v>2</v>
      </c>
      <c r="E33" s="89">
        <v>2</v>
      </c>
      <c r="F33" s="89">
        <v>2</v>
      </c>
      <c r="G33" s="89">
        <v>2</v>
      </c>
      <c r="H33" s="89">
        <v>2</v>
      </c>
      <c r="I33" s="89">
        <v>2</v>
      </c>
      <c r="J33" s="89">
        <v>2</v>
      </c>
      <c r="K33" s="89">
        <v>2</v>
      </c>
      <c r="L33" s="89">
        <v>2</v>
      </c>
      <c r="M33" s="89">
        <v>2</v>
      </c>
      <c r="N33" s="89">
        <v>2</v>
      </c>
      <c r="O33" s="89">
        <v>2</v>
      </c>
      <c r="P33" s="89">
        <v>2</v>
      </c>
      <c r="Q33" s="85">
        <v>3</v>
      </c>
      <c r="R33" s="85">
        <v>3</v>
      </c>
      <c r="S33" s="85">
        <v>3</v>
      </c>
      <c r="T33" s="85">
        <v>3</v>
      </c>
      <c r="U33" s="85">
        <v>3</v>
      </c>
      <c r="V33" s="80"/>
    </row>
    <row r="34" spans="1:22">
      <c r="A34" s="81" t="s">
        <v>154</v>
      </c>
      <c r="B34" s="81"/>
      <c r="C34" s="85" t="s">
        <v>422</v>
      </c>
      <c r="D34" s="85" t="s">
        <v>423</v>
      </c>
      <c r="E34" s="85" t="s">
        <v>424</v>
      </c>
      <c r="F34" s="85" t="s">
        <v>257</v>
      </c>
      <c r="G34" s="85" t="s">
        <v>425</v>
      </c>
      <c r="H34" s="85" t="s">
        <v>426</v>
      </c>
      <c r="I34" s="85" t="s">
        <v>427</v>
      </c>
      <c r="J34" s="85" t="s">
        <v>428</v>
      </c>
      <c r="K34" s="85" t="s">
        <v>256</v>
      </c>
      <c r="L34" s="85" t="s">
        <v>429</v>
      </c>
      <c r="M34" s="85" t="s">
        <v>430</v>
      </c>
      <c r="N34" s="85" t="s">
        <v>431</v>
      </c>
      <c r="O34" s="85" t="s">
        <v>432</v>
      </c>
      <c r="P34" s="85" t="s">
        <v>433</v>
      </c>
      <c r="Q34" s="85" t="s">
        <v>434</v>
      </c>
      <c r="R34" s="85" t="s">
        <v>435</v>
      </c>
      <c r="S34" s="85" t="s">
        <v>436</v>
      </c>
      <c r="T34" s="85" t="s">
        <v>437</v>
      </c>
      <c r="U34" s="85" t="s">
        <v>438</v>
      </c>
      <c r="V34" s="80"/>
    </row>
    <row r="35" spans="1:22" hidden="1">
      <c r="A35" s="81" t="s">
        <v>155</v>
      </c>
      <c r="B35" s="81"/>
      <c r="C35" s="81">
        <f>+F4+F4/37</f>
        <v>519.67567567567562</v>
      </c>
      <c r="D35" s="81">
        <f>+F4+F4/38</f>
        <v>519.31578947368416</v>
      </c>
      <c r="E35" s="81">
        <f>+F4+F4/39</f>
        <v>518.97435897435901</v>
      </c>
      <c r="F35" s="81">
        <f>+F4+F4/40</f>
        <v>518.65</v>
      </c>
      <c r="G35" s="81">
        <f>+F4+F4/41</f>
        <v>518.34146341463418</v>
      </c>
      <c r="H35" s="81">
        <f>+F4+F4/42</f>
        <v>518.04761904761904</v>
      </c>
      <c r="I35" s="81">
        <f>+F4+F4/43</f>
        <v>517.76744186046517</v>
      </c>
      <c r="J35" s="81">
        <f>+F4+F4/44</f>
        <v>517.5</v>
      </c>
      <c r="K35" s="81">
        <f>+F4+F4/45</f>
        <v>517.24444444444441</v>
      </c>
      <c r="L35" s="81">
        <f>+F4+F4/46</f>
        <v>517</v>
      </c>
      <c r="M35" s="81">
        <f>+F4+F4/47</f>
        <v>516.76595744680856</v>
      </c>
      <c r="N35" s="81">
        <f>+F4+F4/48</f>
        <v>516.54166666666663</v>
      </c>
      <c r="O35" s="81">
        <f>+F4+F4/49</f>
        <v>516.32653061224494</v>
      </c>
      <c r="P35" s="81">
        <f>+F4+F4/50</f>
        <v>516.12</v>
      </c>
      <c r="Q35" s="81">
        <f>+F4+F4/45*2</f>
        <v>528.48888888888894</v>
      </c>
      <c r="R35" s="81">
        <f>+F4+F4/46*2</f>
        <v>528</v>
      </c>
      <c r="S35" s="81">
        <f>+F4+F4/47*2</f>
        <v>527.531914893617</v>
      </c>
      <c r="T35" s="81">
        <f>+F4+F4/48*2</f>
        <v>527.08333333333337</v>
      </c>
      <c r="U35" s="81">
        <f>+F4+F4/49*2</f>
        <v>526.65306122448976</v>
      </c>
      <c r="V35" s="80"/>
    </row>
    <row r="36" spans="1:22" hidden="1">
      <c r="A36" s="81" t="s">
        <v>156</v>
      </c>
      <c r="B36" s="81"/>
      <c r="C36" s="81">
        <f>+E4</f>
        <v>916.22</v>
      </c>
      <c r="D36" s="81">
        <f>+E4</f>
        <v>916.22</v>
      </c>
      <c r="E36" s="81">
        <f>+E4</f>
        <v>916.22</v>
      </c>
      <c r="F36" s="81">
        <f>+E4</f>
        <v>916.22</v>
      </c>
      <c r="G36" s="81">
        <f>+E4</f>
        <v>916.22</v>
      </c>
      <c r="H36" s="81">
        <f>+E4</f>
        <v>916.22</v>
      </c>
      <c r="I36" s="81">
        <f>+E4</f>
        <v>916.22</v>
      </c>
      <c r="J36" s="81">
        <f>+E4</f>
        <v>916.22</v>
      </c>
      <c r="K36" s="81">
        <f>+E4</f>
        <v>916.22</v>
      </c>
      <c r="L36" s="81">
        <f>+E4</f>
        <v>916.22</v>
      </c>
      <c r="M36" s="81">
        <f>+E4</f>
        <v>916.22</v>
      </c>
      <c r="N36" s="81">
        <f>+E4</f>
        <v>916.22</v>
      </c>
      <c r="O36" s="81">
        <f>+E4</f>
        <v>916.22</v>
      </c>
      <c r="P36" s="81">
        <f>+E4</f>
        <v>916.22</v>
      </c>
      <c r="Q36" s="81">
        <f>+E4</f>
        <v>916.22</v>
      </c>
      <c r="R36" s="81">
        <f>+E4</f>
        <v>916.22</v>
      </c>
      <c r="S36" s="81">
        <f>+E4</f>
        <v>916.22</v>
      </c>
      <c r="T36" s="81">
        <f>+E4</f>
        <v>916.22</v>
      </c>
      <c r="U36" s="81">
        <f>+E4</f>
        <v>916.22</v>
      </c>
      <c r="V36" s="80"/>
    </row>
    <row r="37" spans="1:22" hidden="1">
      <c r="A37" s="81" t="s">
        <v>157</v>
      </c>
      <c r="B37" s="81"/>
      <c r="C37" s="81">
        <f>+(E4+K3)/37</f>
        <v>39.41135135135135</v>
      </c>
      <c r="D37" s="81">
        <f>+(E4+K3)/38</f>
        <v>38.374210526315792</v>
      </c>
      <c r="E37" s="81">
        <f>+(E4+K3)/39</f>
        <v>37.390256410256413</v>
      </c>
      <c r="F37" s="81">
        <f>+(D4+K3)/40</f>
        <v>17.455500000000001</v>
      </c>
      <c r="G37" s="81">
        <f>+(D4+K3)/41</f>
        <v>17.029756097560977</v>
      </c>
      <c r="H37" s="81">
        <f>+(D4+K3)/42</f>
        <v>16.624285714285715</v>
      </c>
      <c r="I37" s="81">
        <f>+(D4+K3)/43</f>
        <v>16.237674418604652</v>
      </c>
      <c r="J37" s="81">
        <f>+(D4+K3)/44</f>
        <v>15.868636363636364</v>
      </c>
      <c r="K37" s="81">
        <f>+(D4+K3)/45</f>
        <v>15.516</v>
      </c>
      <c r="L37" s="81">
        <f>+(D4+K3)/46</f>
        <v>15.178695652173914</v>
      </c>
      <c r="M37" s="81">
        <f>+(D4+K3)/47</f>
        <v>14.855744680851064</v>
      </c>
      <c r="N37" s="81">
        <f>+(D4+K3)/48</f>
        <v>14.546250000000001</v>
      </c>
      <c r="O37" s="81">
        <f>+(D4+K3)/49</f>
        <v>14.249387755102042</v>
      </c>
      <c r="P37" s="81">
        <f>+(D4+K3)/50</f>
        <v>13.964400000000001</v>
      </c>
      <c r="Q37" s="81">
        <f>+(E4+K3)/45</f>
        <v>32.404888888888891</v>
      </c>
      <c r="R37" s="81">
        <f>+(E4+K3)/46</f>
        <v>31.700434782608696</v>
      </c>
      <c r="S37" s="81">
        <f>+(E4+K3)/47</f>
        <v>31.025957446808512</v>
      </c>
      <c r="T37" s="81">
        <f>+(E4+K3)/48</f>
        <v>30.379583333333333</v>
      </c>
      <c r="U37" s="81">
        <f>+(E4+K3)/49</f>
        <v>29.759591836734696</v>
      </c>
      <c r="V37" s="80"/>
    </row>
    <row r="38" spans="1:22" hidden="1">
      <c r="A38" s="81" t="s">
        <v>95</v>
      </c>
      <c r="B38" s="81"/>
      <c r="C38" s="81">
        <f>+I4/37</f>
        <v>247.06216216216214</v>
      </c>
      <c r="D38" s="81">
        <f>+I4/38</f>
        <v>240.56052631578945</v>
      </c>
      <c r="E38" s="81">
        <f>+I4/39</f>
        <v>234.39230769230767</v>
      </c>
      <c r="F38" s="81">
        <f>+I4/40</f>
        <v>228.53249999999997</v>
      </c>
      <c r="G38" s="81">
        <f>+I4/41</f>
        <v>222.95853658536583</v>
      </c>
      <c r="H38" s="81">
        <f>+I4/42</f>
        <v>217.64999999999998</v>
      </c>
      <c r="I38" s="81">
        <f>+I4/43</f>
        <v>212.58837209302325</v>
      </c>
      <c r="J38" s="81">
        <f>+I4/44</f>
        <v>207.75681818181818</v>
      </c>
      <c r="K38" s="81">
        <f>+I4/45</f>
        <v>203.14</v>
      </c>
      <c r="L38" s="81">
        <f>+I4/46</f>
        <v>198.72391304347823</v>
      </c>
      <c r="M38" s="81">
        <f>+I4/47</f>
        <v>194.49574468085106</v>
      </c>
      <c r="N38" s="81">
        <f>+I4/48</f>
        <v>190.44374999999999</v>
      </c>
      <c r="O38" s="81">
        <f>+I4/49</f>
        <v>186.55714285714285</v>
      </c>
      <c r="P38" s="81">
        <f>+I4/50</f>
        <v>182.82599999999999</v>
      </c>
      <c r="Q38" s="81">
        <f>+I4/45</f>
        <v>203.14</v>
      </c>
      <c r="R38" s="81">
        <f>+I4/46</f>
        <v>198.72391304347823</v>
      </c>
      <c r="S38" s="81">
        <f>+I4/47</f>
        <v>194.49574468085106</v>
      </c>
      <c r="T38" s="81">
        <f>+I4/48</f>
        <v>190.44374999999999</v>
      </c>
      <c r="U38" s="81">
        <f>+I4/49</f>
        <v>186.55714285714285</v>
      </c>
      <c r="V38" s="80"/>
    </row>
    <row r="39" spans="1:22" hidden="1">
      <c r="A39" s="81" t="s">
        <v>158</v>
      </c>
      <c r="B39" s="81"/>
      <c r="C39" s="81">
        <f t="shared" ref="C39:U39" si="6">SUM(C35:C38)</f>
        <v>1722.3691891891892</v>
      </c>
      <c r="D39" s="81">
        <f t="shared" si="6"/>
        <v>1714.4705263157896</v>
      </c>
      <c r="E39" s="81">
        <f t="shared" si="6"/>
        <v>1706.9769230769232</v>
      </c>
      <c r="F39" s="81">
        <f t="shared" si="6"/>
        <v>1680.8579999999999</v>
      </c>
      <c r="G39" s="81">
        <f t="shared" si="6"/>
        <v>1674.5497560975609</v>
      </c>
      <c r="H39" s="81">
        <f t="shared" si="6"/>
        <v>1668.5419047619048</v>
      </c>
      <c r="I39" s="81">
        <f t="shared" si="6"/>
        <v>1662.8134883720932</v>
      </c>
      <c r="J39" s="81">
        <f t="shared" si="6"/>
        <v>1657.3454545454547</v>
      </c>
      <c r="K39" s="81">
        <f t="shared" si="6"/>
        <v>1652.1204444444443</v>
      </c>
      <c r="L39" s="81">
        <f t="shared" si="6"/>
        <v>1647.1226086956522</v>
      </c>
      <c r="M39" s="81">
        <f t="shared" si="6"/>
        <v>1642.3374468085108</v>
      </c>
      <c r="N39" s="81">
        <f t="shared" si="6"/>
        <v>1637.7516666666668</v>
      </c>
      <c r="O39" s="81">
        <f t="shared" si="6"/>
        <v>1633.3530612244901</v>
      </c>
      <c r="P39" s="81">
        <f t="shared" si="6"/>
        <v>1629.1304000000002</v>
      </c>
      <c r="Q39" s="81">
        <f t="shared" si="6"/>
        <v>1680.2537777777779</v>
      </c>
      <c r="R39" s="81">
        <f t="shared" si="6"/>
        <v>1674.6443478260869</v>
      </c>
      <c r="S39" s="81">
        <f t="shared" si="6"/>
        <v>1669.2736170212766</v>
      </c>
      <c r="T39" s="81">
        <f t="shared" si="6"/>
        <v>1664.1266666666666</v>
      </c>
      <c r="U39" s="81">
        <f t="shared" si="6"/>
        <v>1659.1897959183675</v>
      </c>
      <c r="V39" s="80"/>
    </row>
    <row r="40" spans="1:22">
      <c r="A40" s="97" t="s">
        <v>385</v>
      </c>
      <c r="B40" s="81"/>
      <c r="C40" s="230">
        <f t="shared" ref="C40:U40" si="7">+C39</f>
        <v>1722.3691891891892</v>
      </c>
      <c r="D40" s="230">
        <f t="shared" si="7"/>
        <v>1714.4705263157896</v>
      </c>
      <c r="E40" s="230">
        <f t="shared" si="7"/>
        <v>1706.9769230769232</v>
      </c>
      <c r="F40" s="230">
        <f t="shared" si="7"/>
        <v>1680.8579999999999</v>
      </c>
      <c r="G40" s="230">
        <f t="shared" si="7"/>
        <v>1674.5497560975609</v>
      </c>
      <c r="H40" s="230">
        <f t="shared" si="7"/>
        <v>1668.5419047619048</v>
      </c>
      <c r="I40" s="230">
        <f t="shared" si="7"/>
        <v>1662.8134883720932</v>
      </c>
      <c r="J40" s="230">
        <f t="shared" si="7"/>
        <v>1657.3454545454547</v>
      </c>
      <c r="K40" s="230">
        <f t="shared" si="7"/>
        <v>1652.1204444444443</v>
      </c>
      <c r="L40" s="230">
        <f t="shared" si="7"/>
        <v>1647.1226086956522</v>
      </c>
      <c r="M40" s="230">
        <f t="shared" si="7"/>
        <v>1642.3374468085108</v>
      </c>
      <c r="N40" s="230">
        <f t="shared" si="7"/>
        <v>1637.7516666666668</v>
      </c>
      <c r="O40" s="230">
        <f t="shared" si="7"/>
        <v>1633.3530612244901</v>
      </c>
      <c r="P40" s="230">
        <f t="shared" si="7"/>
        <v>1629.1304000000002</v>
      </c>
      <c r="Q40" s="230">
        <f t="shared" si="7"/>
        <v>1680.2537777777779</v>
      </c>
      <c r="R40" s="230">
        <f t="shared" si="7"/>
        <v>1674.6443478260869</v>
      </c>
      <c r="S40" s="230">
        <f t="shared" si="7"/>
        <v>1669.2736170212766</v>
      </c>
      <c r="T40" s="230">
        <f t="shared" si="7"/>
        <v>1664.1266666666666</v>
      </c>
      <c r="U40" s="230">
        <f t="shared" si="7"/>
        <v>1659.1897959183675</v>
      </c>
      <c r="V40" s="80"/>
    </row>
    <row r="41" spans="1:22" ht="19.5">
      <c r="A41" s="220" t="s">
        <v>410</v>
      </c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77"/>
      <c r="M41" s="77"/>
      <c r="N41" s="77"/>
      <c r="O41" s="77"/>
      <c r="P41" s="77"/>
      <c r="Q41" s="77"/>
      <c r="R41" s="103"/>
      <c r="S41" s="80"/>
      <c r="T41" s="80"/>
      <c r="U41" s="80"/>
      <c r="V41" s="80"/>
    </row>
    <row r="42" spans="1:22" ht="16" thickBot="1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80"/>
      <c r="L42" s="80"/>
      <c r="M42" s="80"/>
      <c r="N42" s="80"/>
      <c r="O42" s="80"/>
      <c r="P42" s="103"/>
      <c r="Q42" s="103"/>
      <c r="R42" s="103"/>
      <c r="S42" s="80"/>
      <c r="T42" s="80"/>
      <c r="U42" s="80"/>
      <c r="V42" s="80"/>
    </row>
    <row r="43" spans="1:22" ht="16" thickBot="1">
      <c r="A43" s="199"/>
      <c r="B43" s="200"/>
      <c r="C43" s="201"/>
      <c r="D43" s="201"/>
      <c r="E43" s="202" t="s">
        <v>97</v>
      </c>
      <c r="F43" s="201"/>
      <c r="G43" s="201"/>
      <c r="H43" s="201"/>
      <c r="I43" s="201"/>
      <c r="J43" s="203" t="s">
        <v>115</v>
      </c>
      <c r="K43" s="204" t="s">
        <v>116</v>
      </c>
      <c r="L43" s="201"/>
      <c r="M43" s="201"/>
      <c r="N43" s="201"/>
      <c r="O43" s="201"/>
      <c r="P43" s="205"/>
      <c r="Q43" s="206"/>
      <c r="R43" s="206"/>
      <c r="S43" s="206"/>
      <c r="T43" s="207"/>
      <c r="U43" s="80"/>
      <c r="V43" s="80"/>
    </row>
    <row r="44" spans="1:22" ht="20" thickBot="1">
      <c r="A44" s="221" t="s">
        <v>414</v>
      </c>
      <c r="B44" s="196"/>
      <c r="C44" s="196"/>
      <c r="D44" s="196"/>
      <c r="E44" s="81" t="s">
        <v>117</v>
      </c>
      <c r="F44" s="81" t="s">
        <v>118</v>
      </c>
      <c r="G44" s="81" t="s">
        <v>119</v>
      </c>
      <c r="H44" s="81" t="s">
        <v>120</v>
      </c>
      <c r="I44" s="82" t="s">
        <v>121</v>
      </c>
      <c r="J44" s="83" t="s">
        <v>122</v>
      </c>
      <c r="K44" s="111" t="s">
        <v>123</v>
      </c>
      <c r="L44" s="81" t="s">
        <v>124</v>
      </c>
      <c r="M44" s="81" t="s">
        <v>124</v>
      </c>
      <c r="N44" s="81" t="s">
        <v>94</v>
      </c>
      <c r="O44" s="87" t="s">
        <v>439</v>
      </c>
      <c r="P44" s="105"/>
      <c r="Q44" s="195"/>
      <c r="R44" s="75" t="s">
        <v>72</v>
      </c>
      <c r="S44" s="76">
        <v>1</v>
      </c>
      <c r="T44" s="208"/>
      <c r="U44" s="80"/>
      <c r="V44" s="80"/>
    </row>
    <row r="45" spans="1:22">
      <c r="A45" s="81"/>
      <c r="B45" s="105"/>
      <c r="C45" s="81" t="s">
        <v>135</v>
      </c>
      <c r="D45" s="81" t="s">
        <v>135</v>
      </c>
      <c r="E45" s="84">
        <f>SUM(計價表!V2:V21)</f>
        <v>0</v>
      </c>
      <c r="F45" s="112">
        <f>SUM(計價表!W2:W21)</f>
        <v>0</v>
      </c>
      <c r="G45" s="112">
        <f>SUM(計價表!X2:X21)</f>
        <v>0</v>
      </c>
      <c r="H45" s="84">
        <f>SUM(計價表!Y2:Y21)</f>
        <v>0</v>
      </c>
      <c r="I45" s="89">
        <f>SUM(計價表!Z2:Z21)</f>
        <v>0</v>
      </c>
      <c r="J45" s="88">
        <f>SUM(計價表!AA2:AA21)</f>
        <v>0</v>
      </c>
      <c r="K45" s="89">
        <f>SUM(計價表!AD2:AD21)</f>
        <v>0</v>
      </c>
      <c r="L45" s="89">
        <f>SUM(計價表!AB2:AB21)</f>
        <v>0</v>
      </c>
      <c r="M45" s="89">
        <f>SUM(計價表!AC2:AC21)</f>
        <v>0</v>
      </c>
      <c r="N45" s="84">
        <f>SUM(計價表!AE2:AE21)</f>
        <v>0</v>
      </c>
      <c r="O45" s="114">
        <f>+F45+G45</f>
        <v>0</v>
      </c>
      <c r="P45" s="115"/>
      <c r="Q45" s="195"/>
      <c r="R45" s="195"/>
      <c r="S45" s="195"/>
      <c r="T45" s="208"/>
      <c r="U45" s="80"/>
      <c r="V45" s="80"/>
    </row>
    <row r="46" spans="1:22">
      <c r="A46" s="209"/>
      <c r="B46" s="81"/>
      <c r="C46" s="81" t="s">
        <v>135</v>
      </c>
      <c r="D46" s="81"/>
      <c r="E46" s="106">
        <f>+E45+H45+N45</f>
        <v>0</v>
      </c>
      <c r="F46" s="107">
        <f>+F45+G45</f>
        <v>0</v>
      </c>
      <c r="G46" s="108">
        <f>+E46+F46</f>
        <v>0</v>
      </c>
      <c r="H46" s="81">
        <f>+F45+G45+H45</f>
        <v>0</v>
      </c>
      <c r="I46" s="95">
        <f>+I45+J45+L45+M45</f>
        <v>0</v>
      </c>
      <c r="J46" s="95">
        <f>+J45</f>
        <v>0</v>
      </c>
      <c r="K46" s="95"/>
      <c r="L46" s="196"/>
      <c r="M46" s="196"/>
      <c r="N46" s="196"/>
      <c r="O46" s="196"/>
      <c r="P46" s="210"/>
      <c r="Q46" s="195"/>
      <c r="R46" s="195"/>
      <c r="S46" s="195"/>
      <c r="T46" s="208"/>
      <c r="U46" s="80"/>
      <c r="V46" s="80"/>
    </row>
    <row r="47" spans="1:22">
      <c r="A47" s="211"/>
      <c r="B47" s="195"/>
      <c r="C47" s="195"/>
      <c r="D47" s="195"/>
      <c r="E47" s="195"/>
      <c r="F47" s="195"/>
      <c r="G47" s="195"/>
      <c r="H47" s="195"/>
      <c r="I47" s="195"/>
      <c r="J47" s="195"/>
      <c r="K47" s="195"/>
      <c r="L47" s="195"/>
      <c r="M47" s="195"/>
      <c r="N47" s="195"/>
      <c r="O47" s="195"/>
      <c r="P47" s="195"/>
      <c r="Q47" s="195"/>
      <c r="R47" s="195"/>
      <c r="S47" s="195"/>
      <c r="T47" s="208"/>
      <c r="U47" s="80"/>
      <c r="V47" s="80"/>
    </row>
    <row r="48" spans="1:22" hidden="1">
      <c r="A48" s="212" t="s">
        <v>153</v>
      </c>
      <c r="B48" s="81"/>
      <c r="C48" s="81">
        <v>0</v>
      </c>
      <c r="D48" s="81">
        <v>0</v>
      </c>
      <c r="E48" s="81">
        <v>0</v>
      </c>
      <c r="F48" s="81">
        <v>0</v>
      </c>
      <c r="G48" s="81">
        <v>0</v>
      </c>
      <c r="H48" s="81">
        <v>0</v>
      </c>
      <c r="I48" s="81">
        <v>0</v>
      </c>
      <c r="J48" s="81">
        <v>0</v>
      </c>
      <c r="K48" s="81">
        <v>0</v>
      </c>
      <c r="L48" s="195"/>
      <c r="M48" s="81">
        <v>1</v>
      </c>
      <c r="N48" s="81">
        <v>1</v>
      </c>
      <c r="O48" s="81">
        <v>1</v>
      </c>
      <c r="P48" s="81">
        <v>1</v>
      </c>
      <c r="Q48" s="81">
        <v>1</v>
      </c>
      <c r="R48" s="81">
        <v>1</v>
      </c>
      <c r="S48" s="195"/>
      <c r="T48" s="208"/>
      <c r="U48" s="80"/>
      <c r="V48" s="80"/>
    </row>
    <row r="49" spans="1:22" hidden="1">
      <c r="A49" s="212" t="s">
        <v>154</v>
      </c>
      <c r="B49" s="81"/>
      <c r="C49" s="81">
        <v>2</v>
      </c>
      <c r="D49" s="81">
        <v>3</v>
      </c>
      <c r="E49" s="81">
        <v>4</v>
      </c>
      <c r="F49" s="81">
        <v>5</v>
      </c>
      <c r="G49" s="81">
        <v>6</v>
      </c>
      <c r="H49" s="81">
        <v>7</v>
      </c>
      <c r="I49" s="81">
        <v>8</v>
      </c>
      <c r="J49" s="81">
        <v>9</v>
      </c>
      <c r="K49" s="81">
        <v>10</v>
      </c>
      <c r="L49" s="195"/>
      <c r="M49" s="81">
        <v>5</v>
      </c>
      <c r="N49" s="81">
        <v>6</v>
      </c>
      <c r="O49" s="81">
        <v>7</v>
      </c>
      <c r="P49" s="81">
        <v>8</v>
      </c>
      <c r="Q49" s="81">
        <v>9</v>
      </c>
      <c r="R49" s="81">
        <v>10</v>
      </c>
      <c r="S49" s="195"/>
      <c r="T49" s="208"/>
      <c r="U49" s="80"/>
      <c r="V49" s="80"/>
    </row>
    <row r="50" spans="1:22" hidden="1">
      <c r="A50" s="212" t="s">
        <v>155</v>
      </c>
      <c r="B50" s="81"/>
      <c r="C50" s="81">
        <f>+F46+F46/2</f>
        <v>0</v>
      </c>
      <c r="D50" s="81">
        <f>+F46+F46/3</f>
        <v>0</v>
      </c>
      <c r="E50" s="81">
        <f>+F46+F46/4</f>
        <v>0</v>
      </c>
      <c r="F50" s="81">
        <f>+F46+F46/5</f>
        <v>0</v>
      </c>
      <c r="G50" s="81">
        <f>+F46+F46/6</f>
        <v>0</v>
      </c>
      <c r="H50" s="81">
        <f>+F46+F46/7</f>
        <v>0</v>
      </c>
      <c r="I50" s="81">
        <f>+F46+F46/8</f>
        <v>0</v>
      </c>
      <c r="J50" s="81">
        <f>+F46+F46/9</f>
        <v>0</v>
      </c>
      <c r="K50" s="81">
        <f>+F46+F46/10</f>
        <v>0</v>
      </c>
      <c r="L50" s="195"/>
      <c r="M50" s="81">
        <f>+F46+F46/5</f>
        <v>0</v>
      </c>
      <c r="N50" s="81">
        <f>+F46+F46/6</f>
        <v>0</v>
      </c>
      <c r="O50" s="81">
        <f>+F46+F46/7</f>
        <v>0</v>
      </c>
      <c r="P50" s="81">
        <f>+F46+F46/8</f>
        <v>0</v>
      </c>
      <c r="Q50" s="81">
        <f>+F46+F46/9</f>
        <v>0</v>
      </c>
      <c r="R50" s="81">
        <f>+F46+F46/10</f>
        <v>0</v>
      </c>
      <c r="S50" s="195"/>
      <c r="T50" s="208"/>
      <c r="U50" s="80"/>
      <c r="V50" s="80"/>
    </row>
    <row r="51" spans="1:22" hidden="1">
      <c r="A51" s="212" t="s">
        <v>156</v>
      </c>
      <c r="B51" s="81"/>
      <c r="C51" s="81">
        <f>+E46</f>
        <v>0</v>
      </c>
      <c r="D51" s="81">
        <f>+E46</f>
        <v>0</v>
      </c>
      <c r="E51" s="81">
        <f>+E46</f>
        <v>0</v>
      </c>
      <c r="F51" s="81">
        <f>+E46</f>
        <v>0</v>
      </c>
      <c r="G51" s="81">
        <f>+E46</f>
        <v>0</v>
      </c>
      <c r="H51" s="81">
        <f>+E46</f>
        <v>0</v>
      </c>
      <c r="I51" s="81">
        <f>+E46</f>
        <v>0</v>
      </c>
      <c r="J51" s="81">
        <f>+E46</f>
        <v>0</v>
      </c>
      <c r="K51" s="81">
        <f>+E46</f>
        <v>0</v>
      </c>
      <c r="L51" s="195"/>
      <c r="M51" s="81">
        <f>+E46</f>
        <v>0</v>
      </c>
      <c r="N51" s="81">
        <f>+E46</f>
        <v>0</v>
      </c>
      <c r="O51" s="81">
        <f>+E46</f>
        <v>0</v>
      </c>
      <c r="P51" s="81">
        <f>+E46</f>
        <v>0</v>
      </c>
      <c r="Q51" s="81">
        <f>+E46</f>
        <v>0</v>
      </c>
      <c r="R51" s="81">
        <f>+E46</f>
        <v>0</v>
      </c>
      <c r="S51" s="195"/>
      <c r="T51" s="208"/>
      <c r="U51" s="80"/>
      <c r="V51" s="80"/>
    </row>
    <row r="52" spans="1:22" hidden="1">
      <c r="A52" s="212" t="s">
        <v>157</v>
      </c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195"/>
      <c r="M52" s="81">
        <f>+(G46+K45)/5</f>
        <v>0</v>
      </c>
      <c r="N52" s="81">
        <f>+(G46+K45)/6</f>
        <v>0</v>
      </c>
      <c r="O52" s="81">
        <f>+(G46+K45)/7</f>
        <v>0</v>
      </c>
      <c r="P52" s="81">
        <f>+(G46+K45)/8</f>
        <v>0</v>
      </c>
      <c r="Q52" s="81">
        <f>+(G46+K45)/9</f>
        <v>0</v>
      </c>
      <c r="R52" s="81">
        <f>+(E46+K45)/10</f>
        <v>0</v>
      </c>
      <c r="S52" s="195"/>
      <c r="T52" s="208"/>
      <c r="U52" s="80"/>
      <c r="V52" s="80"/>
    </row>
    <row r="53" spans="1:22" hidden="1">
      <c r="A53" s="212" t="s">
        <v>95</v>
      </c>
      <c r="B53" s="81"/>
      <c r="C53" s="81">
        <f>+I46/2</f>
        <v>0</v>
      </c>
      <c r="D53" s="81">
        <f>+I46/3</f>
        <v>0</v>
      </c>
      <c r="E53" s="81">
        <f>+I46/4</f>
        <v>0</v>
      </c>
      <c r="F53" s="81">
        <f>+I46/5</f>
        <v>0</v>
      </c>
      <c r="G53" s="81">
        <f>+I46/6</f>
        <v>0</v>
      </c>
      <c r="H53" s="81">
        <f>+I46/7</f>
        <v>0</v>
      </c>
      <c r="I53" s="81">
        <f>+I46/8</f>
        <v>0</v>
      </c>
      <c r="J53" s="81">
        <f>+I46/9</f>
        <v>0</v>
      </c>
      <c r="K53" s="81">
        <f>+I46/10</f>
        <v>0</v>
      </c>
      <c r="L53" s="195"/>
      <c r="M53" s="81">
        <f>+I46/5</f>
        <v>0</v>
      </c>
      <c r="N53" s="81">
        <f>+I46/6</f>
        <v>0</v>
      </c>
      <c r="O53" s="81">
        <f>+I46/7</f>
        <v>0</v>
      </c>
      <c r="P53" s="81">
        <f>+I46/8</f>
        <v>0</v>
      </c>
      <c r="Q53" s="81">
        <f>+I46/9</f>
        <v>0</v>
      </c>
      <c r="R53" s="81">
        <f>+I46/10</f>
        <v>0</v>
      </c>
      <c r="S53" s="195"/>
      <c r="T53" s="208"/>
      <c r="U53" s="80"/>
      <c r="V53" s="80"/>
    </row>
    <row r="54" spans="1:22" hidden="1">
      <c r="A54" s="212" t="s">
        <v>158</v>
      </c>
      <c r="B54" s="81"/>
      <c r="C54" s="81">
        <f t="shared" ref="C54:K54" si="8">SUM(C50:C53)</f>
        <v>0</v>
      </c>
      <c r="D54" s="81">
        <f t="shared" si="8"/>
        <v>0</v>
      </c>
      <c r="E54" s="81">
        <f t="shared" si="8"/>
        <v>0</v>
      </c>
      <c r="F54" s="81">
        <f t="shared" si="8"/>
        <v>0</v>
      </c>
      <c r="G54" s="81">
        <f t="shared" si="8"/>
        <v>0</v>
      </c>
      <c r="H54" s="81">
        <f t="shared" si="8"/>
        <v>0</v>
      </c>
      <c r="I54" s="81">
        <f t="shared" si="8"/>
        <v>0</v>
      </c>
      <c r="J54" s="81">
        <f t="shared" si="8"/>
        <v>0</v>
      </c>
      <c r="K54" s="81">
        <f t="shared" si="8"/>
        <v>0</v>
      </c>
      <c r="L54" s="195"/>
      <c r="M54" s="81">
        <f t="shared" ref="M54:R54" si="9">SUM(M50:M53)</f>
        <v>0</v>
      </c>
      <c r="N54" s="81">
        <f t="shared" si="9"/>
        <v>0</v>
      </c>
      <c r="O54" s="81">
        <f t="shared" si="9"/>
        <v>0</v>
      </c>
      <c r="P54" s="81">
        <f t="shared" si="9"/>
        <v>0</v>
      </c>
      <c r="Q54" s="81">
        <f t="shared" si="9"/>
        <v>0</v>
      </c>
      <c r="R54" s="81">
        <f t="shared" si="9"/>
        <v>0</v>
      </c>
      <c r="S54" s="195"/>
      <c r="T54" s="208"/>
      <c r="U54" s="80"/>
      <c r="V54" s="80"/>
    </row>
    <row r="55" spans="1:22" hidden="1">
      <c r="A55" s="213" t="s">
        <v>125</v>
      </c>
      <c r="B55" s="81"/>
      <c r="C55" s="95">
        <f t="shared" ref="C55:K55" si="10">+C54</f>
        <v>0</v>
      </c>
      <c r="D55" s="95">
        <f t="shared" si="10"/>
        <v>0</v>
      </c>
      <c r="E55" s="95">
        <f t="shared" si="10"/>
        <v>0</v>
      </c>
      <c r="F55" s="95">
        <f t="shared" si="10"/>
        <v>0</v>
      </c>
      <c r="G55" s="81">
        <f t="shared" si="10"/>
        <v>0</v>
      </c>
      <c r="H55" s="81">
        <f t="shared" si="10"/>
        <v>0</v>
      </c>
      <c r="I55" s="81">
        <f t="shared" si="10"/>
        <v>0</v>
      </c>
      <c r="J55" s="81">
        <f t="shared" si="10"/>
        <v>0</v>
      </c>
      <c r="K55" s="81">
        <f t="shared" si="10"/>
        <v>0</v>
      </c>
      <c r="L55" s="195"/>
      <c r="M55" s="81">
        <f t="shared" ref="M55:R55" si="11">+M54</f>
        <v>0</v>
      </c>
      <c r="N55" s="81">
        <f t="shared" si="11"/>
        <v>0</v>
      </c>
      <c r="O55" s="95">
        <f t="shared" si="11"/>
        <v>0</v>
      </c>
      <c r="P55" s="95">
        <f t="shared" si="11"/>
        <v>0</v>
      </c>
      <c r="Q55" s="95">
        <f t="shared" si="11"/>
        <v>0</v>
      </c>
      <c r="R55" s="95">
        <f t="shared" si="11"/>
        <v>0</v>
      </c>
      <c r="S55" s="195"/>
      <c r="T55" s="208"/>
      <c r="U55" s="80"/>
      <c r="V55" s="80"/>
    </row>
    <row r="56" spans="1:22" ht="17">
      <c r="A56" s="40" t="s">
        <v>411</v>
      </c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5"/>
      <c r="M56" s="196"/>
      <c r="N56" s="196"/>
      <c r="O56" s="196"/>
      <c r="P56" s="196"/>
      <c r="Q56" s="196"/>
      <c r="R56" s="196"/>
      <c r="S56" s="195"/>
      <c r="T56" s="208"/>
      <c r="U56" s="80"/>
      <c r="V56" s="80"/>
    </row>
    <row r="57" spans="1:22">
      <c r="A57" s="214"/>
      <c r="B57" s="109"/>
      <c r="C57" s="85" t="s">
        <v>98</v>
      </c>
      <c r="D57" s="85" t="s">
        <v>331</v>
      </c>
      <c r="E57" s="85" t="s">
        <v>332</v>
      </c>
      <c r="F57" s="85" t="s">
        <v>333</v>
      </c>
      <c r="G57" s="85" t="s">
        <v>126</v>
      </c>
      <c r="H57" s="85" t="s">
        <v>127</v>
      </c>
      <c r="I57" s="85" t="s">
        <v>128</v>
      </c>
      <c r="J57" s="85" t="s">
        <v>129</v>
      </c>
      <c r="K57" s="85" t="s">
        <v>130</v>
      </c>
      <c r="L57" s="195"/>
      <c r="M57" s="85" t="s">
        <v>386</v>
      </c>
      <c r="N57" s="85" t="s">
        <v>334</v>
      </c>
      <c r="O57" s="85" t="s">
        <v>335</v>
      </c>
      <c r="P57" s="85" t="s">
        <v>336</v>
      </c>
      <c r="Q57" s="85" t="s">
        <v>337</v>
      </c>
      <c r="R57" s="85" t="s">
        <v>338</v>
      </c>
      <c r="S57" s="195"/>
      <c r="T57" s="208"/>
      <c r="U57" s="80"/>
      <c r="V57" s="80"/>
    </row>
    <row r="58" spans="1:22">
      <c r="A58" s="212" t="s">
        <v>125</v>
      </c>
      <c r="B58" s="81"/>
      <c r="C58" s="230">
        <f>SUM(換算!C55:C55)</f>
        <v>0</v>
      </c>
      <c r="D58" s="230">
        <f>SUM(換算!D55:D55)</f>
        <v>0</v>
      </c>
      <c r="E58" s="230">
        <f>SUM(換算!E55:E55)</f>
        <v>0</v>
      </c>
      <c r="F58" s="230">
        <f>SUM(換算!F55:F55)</f>
        <v>0</v>
      </c>
      <c r="G58" s="231">
        <f>SUM(換算!G55:G55)</f>
        <v>0</v>
      </c>
      <c r="H58" s="231">
        <f>SUM(換算!H55:H55)</f>
        <v>0</v>
      </c>
      <c r="I58" s="231">
        <f>SUM(換算!I55:I55)</f>
        <v>0</v>
      </c>
      <c r="J58" s="231">
        <f>SUM(換算!J55:J55)</f>
        <v>0</v>
      </c>
      <c r="K58" s="231">
        <f>SUM(換算!K55:K55)</f>
        <v>0</v>
      </c>
      <c r="L58" s="232"/>
      <c r="M58" s="231">
        <f>SUM(換算!M55:M55)</f>
        <v>0</v>
      </c>
      <c r="N58" s="231">
        <f>SUM(換算!N55:N55)</f>
        <v>0</v>
      </c>
      <c r="O58" s="230">
        <f>SUM(換算!O55:O55)</f>
        <v>0</v>
      </c>
      <c r="P58" s="230">
        <f>SUM(換算!P55:P55)</f>
        <v>0</v>
      </c>
      <c r="Q58" s="230">
        <f>SUM(換算!Q55:Q55)</f>
        <v>0</v>
      </c>
      <c r="R58" s="230">
        <f>SUM(換算!R55:R55)</f>
        <v>0</v>
      </c>
      <c r="S58" s="195"/>
      <c r="T58" s="208"/>
      <c r="U58" s="80"/>
      <c r="V58" s="80"/>
    </row>
    <row r="59" spans="1:22" ht="16" thickBot="1">
      <c r="A59" s="215"/>
      <c r="B59" s="216"/>
      <c r="C59" s="217"/>
      <c r="D59" s="217"/>
      <c r="E59" s="217"/>
      <c r="F59" s="217"/>
      <c r="G59" s="217"/>
      <c r="H59" s="217"/>
      <c r="I59" s="217"/>
      <c r="J59" s="217"/>
      <c r="K59" s="217"/>
      <c r="L59" s="218"/>
      <c r="M59" s="217"/>
      <c r="N59" s="217"/>
      <c r="O59" s="217"/>
      <c r="P59" s="217"/>
      <c r="Q59" s="217"/>
      <c r="R59" s="217"/>
      <c r="S59" s="218"/>
      <c r="T59" s="219"/>
      <c r="U59" s="80"/>
      <c r="V59" s="80"/>
    </row>
    <row r="60" spans="1:22">
      <c r="A60" s="196"/>
      <c r="B60" s="196"/>
      <c r="C60" s="197"/>
      <c r="D60" s="197"/>
      <c r="E60" s="197"/>
      <c r="F60" s="197"/>
      <c r="G60" s="197"/>
      <c r="H60" s="197"/>
      <c r="I60" s="197"/>
      <c r="J60" s="197"/>
      <c r="K60" s="197"/>
      <c r="L60" s="198"/>
      <c r="M60" s="197"/>
      <c r="N60" s="197"/>
      <c r="O60" s="197"/>
      <c r="P60" s="197"/>
      <c r="Q60" s="197"/>
      <c r="R60" s="197"/>
      <c r="S60" s="195"/>
      <c r="T60" s="80"/>
      <c r="U60" s="80"/>
      <c r="V60" s="80"/>
    </row>
    <row r="61" spans="1:22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</row>
    <row r="62" spans="1:22" ht="16" thickBot="1"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</row>
    <row r="63" spans="1:22" ht="18">
      <c r="A63" s="117" t="s">
        <v>440</v>
      </c>
      <c r="B63" s="118"/>
      <c r="C63" s="118"/>
      <c r="D63" s="118"/>
      <c r="E63" s="118"/>
      <c r="F63" s="118"/>
      <c r="G63" s="118"/>
      <c r="H63" s="118"/>
      <c r="I63" s="118"/>
      <c r="J63" s="118"/>
      <c r="K63" s="119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</row>
    <row r="64" spans="1:22" ht="18">
      <c r="A64" s="120" t="s">
        <v>387</v>
      </c>
      <c r="B64" s="121"/>
      <c r="C64" s="121"/>
      <c r="D64" s="121"/>
      <c r="E64" s="121"/>
      <c r="F64" s="121"/>
      <c r="G64" s="121"/>
      <c r="H64" s="121"/>
      <c r="I64" s="121"/>
      <c r="J64" s="121"/>
      <c r="K64" s="122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</row>
    <row r="65" spans="1:22" ht="18">
      <c r="A65" s="120" t="s">
        <v>388</v>
      </c>
      <c r="B65" s="121"/>
      <c r="C65" s="121"/>
      <c r="D65" s="121"/>
      <c r="E65" s="121"/>
      <c r="F65" s="121"/>
      <c r="G65" s="121"/>
      <c r="H65" s="121"/>
      <c r="I65" s="121"/>
      <c r="J65" s="121"/>
      <c r="K65" s="122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</row>
    <row r="66" spans="1:22" ht="18">
      <c r="A66" s="123" t="s">
        <v>441</v>
      </c>
      <c r="B66" s="124"/>
      <c r="C66" s="124"/>
      <c r="D66" s="124"/>
      <c r="E66" s="124"/>
      <c r="F66" s="124"/>
      <c r="G66" s="124"/>
      <c r="H66" s="124"/>
      <c r="I66" s="124"/>
      <c r="J66" s="124"/>
      <c r="K66" s="125"/>
      <c r="S66" s="80"/>
      <c r="T66" s="80"/>
      <c r="U66" s="80"/>
      <c r="V66" s="80"/>
    </row>
    <row r="67" spans="1:22" ht="18.5" thickBot="1">
      <c r="A67" s="126" t="s">
        <v>389</v>
      </c>
      <c r="B67" s="127"/>
      <c r="C67" s="127"/>
      <c r="D67" s="127"/>
      <c r="E67" s="127"/>
      <c r="F67" s="127"/>
      <c r="G67" s="127"/>
      <c r="H67" s="127"/>
      <c r="I67" s="127"/>
      <c r="J67" s="127"/>
      <c r="K67" s="128"/>
      <c r="S67" s="80"/>
      <c r="T67" s="80"/>
      <c r="U67" s="80"/>
      <c r="V67" s="80"/>
    </row>
    <row r="68" spans="1:22">
      <c r="L68" s="74"/>
      <c r="M68" s="74"/>
      <c r="N68" s="74"/>
      <c r="O68" s="74"/>
      <c r="P68" s="74"/>
    </row>
    <row r="69" spans="1:22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</row>
    <row r="70" spans="1:22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</row>
    <row r="97" spans="12:12">
      <c r="L97" s="74"/>
    </row>
    <row r="98" spans="12:12">
      <c r="L98" s="74"/>
    </row>
  </sheetData>
  <sheetProtection password="C69B" sheet="1" objects="1" scenarios="1"/>
  <phoneticPr fontId="21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第&amp;P頁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7"/>
  <sheetViews>
    <sheetView zoomScale="70" zoomScaleNormal="70" workbookViewId="0">
      <selection activeCell="C151" sqref="C151:C154"/>
    </sheetView>
  </sheetViews>
  <sheetFormatPr defaultColWidth="10" defaultRowHeight="15.5"/>
  <cols>
    <col min="1" max="1" width="10" style="557"/>
    <col min="2" max="2" width="8" style="557" customWidth="1"/>
    <col min="3" max="3" width="37.25" style="557" bestFit="1" customWidth="1"/>
    <col min="4" max="4" width="12.58203125" style="557" bestFit="1" customWidth="1"/>
    <col min="5" max="6" width="10" style="557"/>
    <col min="7" max="7" width="12.83203125" style="557" bestFit="1" customWidth="1"/>
    <col min="8" max="8" width="87.25" style="557" bestFit="1" customWidth="1"/>
    <col min="9" max="9" width="38.83203125" style="1069" customWidth="1"/>
    <col min="10" max="10" width="10.33203125" style="557" bestFit="1" customWidth="1"/>
    <col min="11" max="11" width="10.75" style="557" bestFit="1" customWidth="1"/>
    <col min="12" max="12" width="12.75" style="557" bestFit="1" customWidth="1"/>
    <col min="13" max="16384" width="10" style="557"/>
  </cols>
  <sheetData>
    <row r="1" spans="1:14">
      <c r="A1" s="1070" t="s">
        <v>1683</v>
      </c>
      <c r="B1" s="1071" t="s">
        <v>360</v>
      </c>
      <c r="C1" s="1070" t="s">
        <v>327</v>
      </c>
      <c r="D1" s="1072" t="s">
        <v>2214</v>
      </c>
      <c r="E1" s="1072" t="s">
        <v>962</v>
      </c>
      <c r="F1" s="1072" t="s">
        <v>963</v>
      </c>
      <c r="G1" s="1072" t="s">
        <v>196</v>
      </c>
      <c r="H1" s="1072" t="s">
        <v>2215</v>
      </c>
      <c r="I1" s="1073" t="s">
        <v>2216</v>
      </c>
      <c r="J1" s="1072"/>
      <c r="K1" s="1072"/>
      <c r="L1" s="1072"/>
    </row>
    <row r="2" spans="1:14">
      <c r="A2" s="1426" t="s">
        <v>1687</v>
      </c>
      <c r="B2" s="1427" t="s">
        <v>1685</v>
      </c>
      <c r="C2" s="1428"/>
      <c r="D2" s="1429"/>
      <c r="E2" s="1430"/>
      <c r="F2" s="1431"/>
      <c r="G2" s="1432"/>
      <c r="H2" s="1433"/>
      <c r="I2" s="1434"/>
      <c r="J2" s="1435"/>
      <c r="K2" s="1436"/>
      <c r="L2" s="1436"/>
      <c r="M2" s="1069"/>
      <c r="N2" s="1069"/>
    </row>
    <row r="3" spans="1:14">
      <c r="A3" s="1426"/>
      <c r="B3" s="1427"/>
      <c r="C3" s="1428" t="s">
        <v>135</v>
      </c>
      <c r="D3" s="1429"/>
      <c r="E3" s="1430"/>
      <c r="F3" s="1431"/>
      <c r="G3" s="1432"/>
      <c r="H3" s="1433"/>
      <c r="I3" s="1434"/>
      <c r="J3" s="1436"/>
      <c r="K3" s="1436"/>
      <c r="L3" s="1436"/>
      <c r="M3" s="1069"/>
      <c r="N3" s="1069"/>
    </row>
    <row r="4" spans="1:14">
      <c r="A4" s="1426"/>
      <c r="B4" s="1427"/>
      <c r="C4" s="1428"/>
      <c r="D4" s="1437"/>
      <c r="E4" s="1438"/>
      <c r="F4" s="1431"/>
      <c r="G4" s="1432"/>
      <c r="H4" s="1433"/>
      <c r="I4" s="1434"/>
      <c r="J4" s="1436"/>
      <c r="K4" s="1436"/>
      <c r="L4" s="1436"/>
      <c r="M4" s="1069"/>
      <c r="N4" s="1069"/>
    </row>
    <row r="5" spans="1:14">
      <c r="A5" s="1439"/>
      <c r="B5" s="1440"/>
      <c r="C5" s="1441"/>
      <c r="D5" s="1442"/>
      <c r="E5" s="1443"/>
      <c r="F5" s="1444"/>
      <c r="G5" s="1445"/>
      <c r="H5" s="1446"/>
      <c r="I5" s="1447"/>
      <c r="J5" s="1448"/>
      <c r="K5" s="1448"/>
      <c r="L5" s="1448"/>
      <c r="M5" s="1069"/>
      <c r="N5" s="1069"/>
    </row>
    <row r="6" spans="1:14">
      <c r="A6" s="1091" t="s">
        <v>1684</v>
      </c>
      <c r="B6" s="1075" t="s">
        <v>1685</v>
      </c>
      <c r="C6" s="1091" t="s">
        <v>2221</v>
      </c>
      <c r="D6" s="1076">
        <v>28.5</v>
      </c>
      <c r="E6" s="1077">
        <v>52</v>
      </c>
      <c r="F6" s="1076"/>
      <c r="G6" s="1077">
        <v>3</v>
      </c>
      <c r="H6" s="1078" t="s">
        <v>2941</v>
      </c>
      <c r="I6" s="1079"/>
      <c r="J6" s="1081" t="s">
        <v>2217</v>
      </c>
      <c r="K6" s="1081"/>
      <c r="L6" s="1081"/>
      <c r="M6" s="1069"/>
      <c r="N6" s="1069"/>
    </row>
    <row r="7" spans="1:14">
      <c r="A7" s="1091"/>
      <c r="B7" s="1075"/>
      <c r="C7" s="1091" t="s">
        <v>2942</v>
      </c>
      <c r="D7" s="1076">
        <v>26</v>
      </c>
      <c r="E7" s="1077">
        <v>47</v>
      </c>
      <c r="F7" s="1076"/>
      <c r="G7" s="1077">
        <v>3</v>
      </c>
      <c r="H7" s="1082" t="s">
        <v>2941</v>
      </c>
      <c r="I7" s="1079"/>
      <c r="J7" s="1081"/>
      <c r="K7" s="1081"/>
      <c r="L7" s="1081"/>
      <c r="M7" s="1069"/>
      <c r="N7" s="1069"/>
    </row>
    <row r="8" spans="1:14">
      <c r="A8" s="1091"/>
      <c r="B8" s="1075"/>
      <c r="C8" s="1091" t="s">
        <v>2218</v>
      </c>
      <c r="D8" s="1076">
        <v>53.5</v>
      </c>
      <c r="E8" s="1077">
        <v>97</v>
      </c>
      <c r="F8" s="1076"/>
      <c r="G8" s="1077">
        <v>3</v>
      </c>
      <c r="H8" s="1082" t="s">
        <v>2943</v>
      </c>
      <c r="I8" s="1083"/>
      <c r="J8" s="1081" t="s">
        <v>2219</v>
      </c>
      <c r="K8" s="1081"/>
      <c r="L8" s="1081"/>
      <c r="M8" s="1069"/>
      <c r="N8" s="1069"/>
    </row>
    <row r="9" spans="1:14">
      <c r="A9" s="1091"/>
      <c r="B9" s="1075"/>
      <c r="C9" s="1091" t="s">
        <v>2942</v>
      </c>
      <c r="D9" s="1076">
        <v>51</v>
      </c>
      <c r="E9" s="1077">
        <v>92</v>
      </c>
      <c r="F9" s="1076"/>
      <c r="G9" s="1077">
        <v>3</v>
      </c>
      <c r="H9" s="1082" t="s">
        <v>2944</v>
      </c>
      <c r="I9" s="1083"/>
      <c r="J9" s="1081" t="s">
        <v>2220</v>
      </c>
      <c r="K9" s="1081"/>
      <c r="L9" s="1081"/>
      <c r="M9" s="1069"/>
      <c r="N9" s="1069"/>
    </row>
    <row r="10" spans="1:14">
      <c r="A10" s="1091"/>
      <c r="B10" s="1075"/>
      <c r="C10" s="1091" t="s">
        <v>2218</v>
      </c>
      <c r="D10" s="1076">
        <v>39.5</v>
      </c>
      <c r="E10" s="1077">
        <v>69</v>
      </c>
      <c r="F10" s="1076"/>
      <c r="G10" s="1077">
        <v>3</v>
      </c>
      <c r="H10" s="1082" t="s">
        <v>2945</v>
      </c>
      <c r="I10" s="1083"/>
      <c r="J10" s="1449" t="s">
        <v>2946</v>
      </c>
      <c r="K10" s="1081"/>
      <c r="L10" s="1081"/>
      <c r="M10" s="1069"/>
      <c r="N10" s="1069"/>
    </row>
    <row r="11" spans="1:14">
      <c r="A11" s="1091"/>
      <c r="B11" s="1075"/>
      <c r="C11" s="1091" t="s">
        <v>2942</v>
      </c>
      <c r="D11" s="1076">
        <v>37</v>
      </c>
      <c r="E11" s="1077">
        <v>64</v>
      </c>
      <c r="F11" s="1076"/>
      <c r="G11" s="1077">
        <v>3</v>
      </c>
      <c r="H11" s="1082" t="s">
        <v>2945</v>
      </c>
      <c r="I11" s="1083"/>
      <c r="J11" s="1081"/>
      <c r="K11" s="1081"/>
      <c r="L11" s="1081"/>
      <c r="M11" s="1069"/>
      <c r="N11" s="1069"/>
    </row>
    <row r="12" spans="1:14">
      <c r="A12" s="1091"/>
      <c r="B12" s="1075"/>
      <c r="C12" s="1091" t="s">
        <v>2221</v>
      </c>
      <c r="D12" s="1076">
        <v>28.5</v>
      </c>
      <c r="E12" s="1077">
        <v>52</v>
      </c>
      <c r="F12" s="1076"/>
      <c r="G12" s="1077">
        <v>3</v>
      </c>
      <c r="H12" s="1082" t="s">
        <v>2947</v>
      </c>
      <c r="I12" s="1083"/>
      <c r="J12" s="1081"/>
      <c r="K12" s="1081"/>
      <c r="L12" s="1081"/>
      <c r="M12" s="1069"/>
      <c r="N12" s="1069"/>
    </row>
    <row r="13" spans="1:14">
      <c r="A13" s="1091"/>
      <c r="B13" s="1075"/>
      <c r="C13" s="1091" t="s">
        <v>2942</v>
      </c>
      <c r="D13" s="1076">
        <v>26</v>
      </c>
      <c r="E13" s="1077">
        <v>47</v>
      </c>
      <c r="F13" s="1076"/>
      <c r="G13" s="1077">
        <v>3</v>
      </c>
      <c r="H13" s="1082" t="s">
        <v>2948</v>
      </c>
      <c r="I13" s="1083"/>
      <c r="J13" s="1081"/>
      <c r="K13" s="1081"/>
      <c r="L13" s="1081"/>
      <c r="M13" s="1069"/>
      <c r="N13" s="1069"/>
    </row>
    <row r="14" spans="1:14">
      <c r="A14" s="1092"/>
      <c r="B14" s="1085"/>
      <c r="C14" s="1092" t="s">
        <v>1085</v>
      </c>
      <c r="D14" s="1086">
        <v>68.5</v>
      </c>
      <c r="E14" s="1087">
        <v>127</v>
      </c>
      <c r="F14" s="1086"/>
      <c r="G14" s="1087">
        <v>3</v>
      </c>
      <c r="H14" s="1088" t="s">
        <v>2949</v>
      </c>
      <c r="I14" s="1089"/>
      <c r="J14" s="1090"/>
      <c r="K14" s="1090"/>
      <c r="L14" s="1090"/>
      <c r="M14" s="1069"/>
      <c r="N14" s="1069"/>
    </row>
    <row r="15" spans="1:14">
      <c r="A15" s="1074" t="s">
        <v>1687</v>
      </c>
      <c r="B15" s="1075" t="s">
        <v>1685</v>
      </c>
      <c r="C15" s="1074" t="s">
        <v>2222</v>
      </c>
      <c r="D15" s="1093">
        <v>43</v>
      </c>
      <c r="E15" s="1094">
        <v>44</v>
      </c>
      <c r="F15" s="1093"/>
      <c r="G15" s="1094"/>
      <c r="H15" s="1133" t="s">
        <v>2950</v>
      </c>
      <c r="I15" s="1083"/>
      <c r="J15" s="1095" t="s">
        <v>2217</v>
      </c>
      <c r="K15" s="1095"/>
      <c r="L15" s="1095"/>
      <c r="M15" s="1069"/>
      <c r="N15" s="1069"/>
    </row>
    <row r="16" spans="1:14">
      <c r="A16" s="1074"/>
      <c r="B16" s="1075"/>
      <c r="C16" s="1074" t="s">
        <v>2222</v>
      </c>
      <c r="D16" s="1093">
        <v>45</v>
      </c>
      <c r="E16" s="1094">
        <v>85</v>
      </c>
      <c r="F16" s="1093"/>
      <c r="G16" s="1094"/>
      <c r="H16" s="1082" t="s">
        <v>2951</v>
      </c>
      <c r="I16" s="1083"/>
      <c r="J16" s="1095"/>
      <c r="K16" s="1095"/>
      <c r="L16" s="1095"/>
      <c r="M16" s="1069"/>
      <c r="N16" s="1069"/>
    </row>
    <row r="17" spans="1:14">
      <c r="A17" s="1074"/>
      <c r="B17" s="1075"/>
      <c r="C17" s="1074" t="s">
        <v>2222</v>
      </c>
      <c r="D17" s="1093">
        <v>39</v>
      </c>
      <c r="E17" s="1094">
        <v>75</v>
      </c>
      <c r="F17" s="1093"/>
      <c r="G17" s="1094"/>
      <c r="H17" s="1082" t="s">
        <v>2952</v>
      </c>
      <c r="I17" s="1083"/>
      <c r="J17" s="1095" t="s">
        <v>2953</v>
      </c>
      <c r="K17" s="1095"/>
      <c r="L17" s="1095"/>
      <c r="M17" s="1069"/>
      <c r="N17" s="1069"/>
    </row>
    <row r="18" spans="1:14">
      <c r="A18" s="1074"/>
      <c r="B18" s="1075"/>
      <c r="C18" s="1074" t="s">
        <v>2222</v>
      </c>
      <c r="D18" s="1093">
        <v>32.5</v>
      </c>
      <c r="E18" s="1094">
        <v>62</v>
      </c>
      <c r="F18" s="1093"/>
      <c r="G18" s="1094"/>
      <c r="H18" s="1082" t="s">
        <v>2954</v>
      </c>
      <c r="I18" s="1083"/>
      <c r="J18" s="1095" t="s">
        <v>2955</v>
      </c>
      <c r="K18" s="1095"/>
      <c r="L18" s="1095"/>
      <c r="M18" s="1069"/>
      <c r="N18" s="1069"/>
    </row>
    <row r="19" spans="1:14">
      <c r="A19" s="1074"/>
      <c r="B19" s="1075"/>
      <c r="C19" s="1074" t="s">
        <v>2222</v>
      </c>
      <c r="D19" s="1093">
        <v>37.5</v>
      </c>
      <c r="E19" s="1094">
        <v>72</v>
      </c>
      <c r="F19" s="1093"/>
      <c r="G19" s="1094"/>
      <c r="H19" s="1082" t="s">
        <v>2956</v>
      </c>
      <c r="I19" s="1083"/>
      <c r="J19" s="1095" t="s">
        <v>2957</v>
      </c>
      <c r="K19" s="1095"/>
      <c r="L19" s="1095"/>
      <c r="M19" s="1069"/>
      <c r="N19" s="1069"/>
    </row>
    <row r="20" spans="1:14" ht="18" customHeight="1">
      <c r="A20" s="1074"/>
      <c r="B20" s="1096"/>
      <c r="C20" s="1450" t="s">
        <v>2222</v>
      </c>
      <c r="D20" s="1451">
        <v>55</v>
      </c>
      <c r="E20" s="1094">
        <v>105</v>
      </c>
      <c r="F20" s="1093"/>
      <c r="G20" s="1094"/>
      <c r="H20" s="1082" t="s">
        <v>2958</v>
      </c>
      <c r="I20" s="1083"/>
      <c r="J20" s="1095"/>
      <c r="K20" s="1095"/>
      <c r="L20" s="1095"/>
      <c r="M20" s="1069"/>
      <c r="N20" s="1069"/>
    </row>
    <row r="21" spans="1:14">
      <c r="A21" s="1074"/>
      <c r="B21" s="1096"/>
      <c r="C21" s="1450" t="s">
        <v>2959</v>
      </c>
      <c r="D21" s="1451">
        <v>52.5</v>
      </c>
      <c r="E21" s="1094">
        <v>100</v>
      </c>
      <c r="F21" s="1093"/>
      <c r="G21" s="1094"/>
      <c r="H21" s="1082" t="s">
        <v>2960</v>
      </c>
      <c r="I21" s="1083"/>
      <c r="J21" s="1095"/>
      <c r="K21" s="1095"/>
      <c r="L21" s="1095"/>
      <c r="M21" s="1069"/>
      <c r="N21" s="1069"/>
    </row>
    <row r="22" spans="1:14">
      <c r="A22" s="1074"/>
      <c r="B22" s="1096"/>
      <c r="C22" s="1097" t="s">
        <v>2222</v>
      </c>
      <c r="D22" s="1098">
        <v>65</v>
      </c>
      <c r="E22" s="1099">
        <v>125</v>
      </c>
      <c r="F22" s="1100"/>
      <c r="G22" s="1099"/>
      <c r="H22" s="1082" t="s">
        <v>2961</v>
      </c>
      <c r="I22" s="1101"/>
      <c r="J22" s="1095"/>
      <c r="K22" s="1095"/>
      <c r="L22" s="1095"/>
      <c r="M22" s="1069"/>
      <c r="N22" s="1069"/>
    </row>
    <row r="23" spans="1:14">
      <c r="A23" s="1128" t="s">
        <v>1684</v>
      </c>
      <c r="B23" s="1129" t="s">
        <v>1685</v>
      </c>
      <c r="C23" s="1130" t="s">
        <v>2223</v>
      </c>
      <c r="D23" s="1452">
        <v>29.5</v>
      </c>
      <c r="E23" s="1453">
        <v>56</v>
      </c>
      <c r="F23" s="1452"/>
      <c r="G23" s="1453"/>
      <c r="H23" s="1133" t="s">
        <v>2950</v>
      </c>
      <c r="I23" s="1454"/>
      <c r="J23" s="1080" t="str">
        <f>J15</f>
        <v>free CXL deadline until 30 days prior to arrival</v>
      </c>
      <c r="K23" s="1080"/>
      <c r="L23" s="1080"/>
      <c r="M23" s="1069"/>
      <c r="N23" s="1069"/>
    </row>
    <row r="24" spans="1:14">
      <c r="A24" s="1103"/>
      <c r="B24" s="1075"/>
      <c r="C24" s="1103" t="s">
        <v>2223</v>
      </c>
      <c r="D24" s="1093">
        <v>45</v>
      </c>
      <c r="E24" s="1094">
        <v>87</v>
      </c>
      <c r="F24" s="1093"/>
      <c r="G24" s="1094"/>
      <c r="H24" s="1082" t="s">
        <v>2962</v>
      </c>
      <c r="I24" s="1083"/>
      <c r="J24" s="1081" t="str">
        <f>J17</f>
        <v>29 - 15 days prior to arrival: 25% CXL fees</v>
      </c>
      <c r="K24" s="1081"/>
      <c r="L24" s="1081"/>
      <c r="M24" s="1069"/>
      <c r="N24" s="1069"/>
    </row>
    <row r="25" spans="1:14">
      <c r="A25" s="1103"/>
      <c r="B25" s="1075"/>
      <c r="C25" s="1103" t="s">
        <v>2223</v>
      </c>
      <c r="D25" s="1093">
        <v>39</v>
      </c>
      <c r="E25" s="1094">
        <v>75</v>
      </c>
      <c r="F25" s="1093"/>
      <c r="G25" s="1094"/>
      <c r="H25" s="1082" t="s">
        <v>2954</v>
      </c>
      <c r="I25" s="1083"/>
      <c r="J25" s="1081" t="str">
        <f>J18</f>
        <v>14 - 7 days prior to arrival: 50% CXL fees, after that: 100%</v>
      </c>
      <c r="K25" s="1081"/>
      <c r="L25" s="1081"/>
      <c r="M25" s="1069"/>
      <c r="N25" s="1069"/>
    </row>
    <row r="26" spans="1:14">
      <c r="A26" s="1103"/>
      <c r="B26" s="1075"/>
      <c r="C26" s="1103" t="s">
        <v>2223</v>
      </c>
      <c r="D26" s="1093">
        <v>41.5</v>
      </c>
      <c r="E26" s="1094">
        <v>80</v>
      </c>
      <c r="F26" s="1093"/>
      <c r="G26" s="1094"/>
      <c r="H26" s="1082" t="s">
        <v>2956</v>
      </c>
      <c r="I26" s="1083"/>
      <c r="J26" s="1081" t="str">
        <f>J19</f>
        <v>after 7 days prior to arrival: no partial cancellation possible</v>
      </c>
      <c r="K26" s="1081"/>
      <c r="L26" s="1081"/>
      <c r="M26" s="1069"/>
      <c r="N26" s="1069"/>
    </row>
    <row r="27" spans="1:14" s="1109" customFormat="1">
      <c r="A27" s="1103"/>
      <c r="B27" s="1075"/>
      <c r="C27" s="1103" t="s">
        <v>2223</v>
      </c>
      <c r="D27" s="1093">
        <v>62.5</v>
      </c>
      <c r="E27" s="1094">
        <v>120</v>
      </c>
      <c r="F27" s="1093"/>
      <c r="G27" s="1094"/>
      <c r="H27" s="1082" t="s">
        <v>2963</v>
      </c>
      <c r="I27" s="1083"/>
      <c r="J27" s="1081"/>
      <c r="K27" s="1081"/>
      <c r="L27" s="1081"/>
      <c r="M27" s="1482"/>
      <c r="N27" s="1482"/>
    </row>
    <row r="28" spans="1:14">
      <c r="A28" s="1103"/>
      <c r="B28" s="1075"/>
      <c r="C28" s="1103" t="s">
        <v>2223</v>
      </c>
      <c r="D28" s="1093" t="s">
        <v>696</v>
      </c>
      <c r="E28" s="1094" t="s">
        <v>696</v>
      </c>
      <c r="F28" s="1093"/>
      <c r="G28" s="1094"/>
      <c r="H28" s="1082" t="s">
        <v>2961</v>
      </c>
      <c r="I28" s="1083"/>
      <c r="J28" s="1081"/>
      <c r="K28" s="1081"/>
      <c r="L28" s="1081"/>
      <c r="M28" s="1069"/>
      <c r="N28" s="1069"/>
    </row>
    <row r="29" spans="1:14">
      <c r="A29" s="1455" t="s">
        <v>1687</v>
      </c>
      <c r="B29" s="1129" t="s">
        <v>1685</v>
      </c>
      <c r="C29" s="1129" t="s">
        <v>2964</v>
      </c>
      <c r="D29" s="1131">
        <v>24</v>
      </c>
      <c r="E29" s="1132">
        <v>47</v>
      </c>
      <c r="F29" s="1131"/>
      <c r="G29" s="1132">
        <v>5</v>
      </c>
      <c r="H29" s="1456" t="s">
        <v>2941</v>
      </c>
      <c r="I29" s="1457"/>
      <c r="J29" s="1080" t="s">
        <v>2225</v>
      </c>
      <c r="K29" s="1080"/>
      <c r="L29" s="1080"/>
      <c r="M29" s="1069"/>
      <c r="N29" s="1069"/>
    </row>
    <row r="30" spans="1:14">
      <c r="A30" s="1106"/>
      <c r="B30" s="1075"/>
      <c r="C30" s="1075" t="s">
        <v>2964</v>
      </c>
      <c r="D30" s="1076">
        <v>38.5</v>
      </c>
      <c r="E30" s="1077">
        <v>71</v>
      </c>
      <c r="F30" s="1076"/>
      <c r="G30" s="1077">
        <v>5</v>
      </c>
      <c r="H30" s="1078" t="s">
        <v>2965</v>
      </c>
      <c r="I30" s="1079"/>
      <c r="J30" s="1081" t="s">
        <v>2226</v>
      </c>
      <c r="K30" s="1081"/>
      <c r="L30" s="1081"/>
      <c r="M30" s="1069"/>
      <c r="N30" s="1069"/>
    </row>
    <row r="31" spans="1:14" s="1109" customFormat="1">
      <c r="A31" s="1106"/>
      <c r="B31" s="1075"/>
      <c r="C31" s="1075" t="s">
        <v>2964</v>
      </c>
      <c r="D31" s="1076">
        <v>33.5</v>
      </c>
      <c r="E31" s="1077">
        <v>61</v>
      </c>
      <c r="F31" s="1076"/>
      <c r="G31" s="1077">
        <v>5</v>
      </c>
      <c r="H31" s="1078" t="s">
        <v>2945</v>
      </c>
      <c r="I31" s="1079"/>
      <c r="J31" s="1081" t="s">
        <v>2227</v>
      </c>
      <c r="K31" s="1081"/>
      <c r="L31" s="1081"/>
      <c r="M31" s="1482"/>
      <c r="N31" s="1482"/>
    </row>
    <row r="32" spans="1:14">
      <c r="A32" s="1106"/>
      <c r="B32" s="1075"/>
      <c r="C32" s="1075" t="s">
        <v>2964</v>
      </c>
      <c r="D32" s="1076">
        <v>25.5</v>
      </c>
      <c r="E32" s="1077">
        <v>45</v>
      </c>
      <c r="F32" s="1076"/>
      <c r="G32" s="1077">
        <v>5</v>
      </c>
      <c r="H32" s="1078" t="s">
        <v>2966</v>
      </c>
      <c r="I32" s="1079"/>
      <c r="J32" s="1081"/>
      <c r="K32" s="1081"/>
      <c r="L32" s="1081"/>
      <c r="M32" s="1069"/>
      <c r="N32" s="1069"/>
    </row>
    <row r="33" spans="1:14">
      <c r="A33" s="1106"/>
      <c r="B33" s="1075"/>
      <c r="C33" s="1075" t="s">
        <v>2964</v>
      </c>
      <c r="D33" s="1076">
        <v>58.5</v>
      </c>
      <c r="E33" s="1077">
        <v>116</v>
      </c>
      <c r="F33" s="1076"/>
      <c r="G33" s="1077">
        <v>5</v>
      </c>
      <c r="H33" s="1078" t="s">
        <v>2967</v>
      </c>
      <c r="I33" s="1079"/>
      <c r="J33" s="1081"/>
      <c r="K33" s="1081"/>
      <c r="L33" s="1081"/>
      <c r="M33" s="1069"/>
      <c r="N33" s="1069"/>
    </row>
    <row r="34" spans="1:14">
      <c r="A34" s="1092"/>
      <c r="B34" s="1085"/>
      <c r="C34" s="1085" t="s">
        <v>2964</v>
      </c>
      <c r="D34" s="1086">
        <v>26</v>
      </c>
      <c r="E34" s="1087">
        <v>46</v>
      </c>
      <c r="F34" s="1086"/>
      <c r="G34" s="1087">
        <v>5</v>
      </c>
      <c r="H34" s="1107" t="s">
        <v>2968</v>
      </c>
      <c r="I34" s="1108"/>
      <c r="J34" s="1090" t="s">
        <v>2969</v>
      </c>
      <c r="K34" s="1090"/>
      <c r="L34" s="1090"/>
      <c r="M34" s="1069"/>
      <c r="N34" s="1069"/>
    </row>
    <row r="35" spans="1:14">
      <c r="A35" s="1091" t="s">
        <v>1687</v>
      </c>
      <c r="B35" s="1075" t="s">
        <v>1685</v>
      </c>
      <c r="C35" s="1091" t="s">
        <v>2970</v>
      </c>
      <c r="D35" s="1076">
        <v>23</v>
      </c>
      <c r="E35" s="1077">
        <v>45</v>
      </c>
      <c r="F35" s="1076"/>
      <c r="G35" s="1077">
        <v>5</v>
      </c>
      <c r="H35" s="1078" t="s">
        <v>2971</v>
      </c>
      <c r="I35" s="1079"/>
      <c r="J35" s="1080" t="s">
        <v>2225</v>
      </c>
      <c r="K35" s="1081"/>
      <c r="L35" s="1081"/>
      <c r="M35" s="1069"/>
      <c r="N35" s="1069"/>
    </row>
    <row r="36" spans="1:14" ht="15.75" customHeight="1">
      <c r="A36" s="1091"/>
      <c r="B36" s="1075"/>
      <c r="C36" s="1091" t="s">
        <v>2970</v>
      </c>
      <c r="D36" s="1076">
        <v>36.5</v>
      </c>
      <c r="E36" s="1077">
        <v>67</v>
      </c>
      <c r="F36" s="1076"/>
      <c r="G36" s="1077">
        <v>5</v>
      </c>
      <c r="H36" s="1078" t="s">
        <v>2972</v>
      </c>
      <c r="I36" s="1079"/>
      <c r="J36" s="1081" t="s">
        <v>2226</v>
      </c>
      <c r="K36" s="1081"/>
      <c r="L36" s="1081"/>
      <c r="M36" s="1069"/>
      <c r="N36" s="1069"/>
    </row>
    <row r="37" spans="1:14">
      <c r="A37" s="1091"/>
      <c r="B37" s="1075"/>
      <c r="C37" s="1091" t="s">
        <v>2970</v>
      </c>
      <c r="D37" s="1076">
        <v>31</v>
      </c>
      <c r="E37" s="1077">
        <v>56</v>
      </c>
      <c r="F37" s="1076"/>
      <c r="G37" s="1077">
        <v>5</v>
      </c>
      <c r="H37" s="1078" t="s">
        <v>2945</v>
      </c>
      <c r="I37" s="1079"/>
      <c r="J37" s="1081" t="s">
        <v>2227</v>
      </c>
      <c r="K37" s="1081"/>
      <c r="L37" s="1081"/>
      <c r="M37" s="1069"/>
      <c r="N37" s="1069"/>
    </row>
    <row r="38" spans="1:14">
      <c r="A38" s="1091"/>
      <c r="B38" s="1075"/>
      <c r="C38" s="1091" t="s">
        <v>2973</v>
      </c>
      <c r="D38" s="1076">
        <v>25.5</v>
      </c>
      <c r="E38" s="1077">
        <v>45</v>
      </c>
      <c r="F38" s="1076"/>
      <c r="G38" s="1077">
        <v>5</v>
      </c>
      <c r="H38" s="1078" t="s">
        <v>2974</v>
      </c>
      <c r="I38" s="1079"/>
      <c r="J38" s="1081"/>
      <c r="K38" s="1081"/>
      <c r="L38" s="1081"/>
      <c r="M38" s="1069"/>
      <c r="N38" s="1069"/>
    </row>
    <row r="39" spans="1:14">
      <c r="A39" s="1092"/>
      <c r="B39" s="1085"/>
      <c r="C39" s="1092" t="s">
        <v>2973</v>
      </c>
      <c r="D39" s="1086" t="s">
        <v>696</v>
      </c>
      <c r="E39" s="1087" t="s">
        <v>696</v>
      </c>
      <c r="F39" s="1086"/>
      <c r="G39" s="1087">
        <v>5</v>
      </c>
      <c r="H39" s="1107" t="s">
        <v>2975</v>
      </c>
      <c r="I39" s="1108"/>
      <c r="J39" s="1090" t="s">
        <v>2969</v>
      </c>
      <c r="K39" s="1090"/>
      <c r="L39" s="1090"/>
      <c r="M39" s="1069"/>
      <c r="N39" s="1069"/>
    </row>
    <row r="40" spans="1:14">
      <c r="A40" s="1091"/>
      <c r="B40" s="1075"/>
      <c r="C40" s="1091"/>
      <c r="D40" s="1076"/>
      <c r="E40" s="1077"/>
      <c r="F40" s="1076"/>
      <c r="G40" s="1077"/>
      <c r="H40" s="1078"/>
      <c r="I40" s="1079"/>
      <c r="J40" s="1080"/>
      <c r="K40" s="1080"/>
      <c r="L40" s="1080"/>
      <c r="M40" s="1069"/>
      <c r="N40" s="1069"/>
    </row>
    <row r="41" spans="1:14">
      <c r="A41" s="1091"/>
      <c r="B41" s="1075"/>
      <c r="C41" s="1091"/>
      <c r="D41" s="1076"/>
      <c r="E41" s="1077"/>
      <c r="F41" s="1076"/>
      <c r="G41" s="1077"/>
      <c r="H41" s="1078"/>
      <c r="I41" s="1079"/>
      <c r="J41" s="1081"/>
      <c r="K41" s="1081"/>
      <c r="L41" s="1081"/>
      <c r="M41" s="1069"/>
      <c r="N41" s="1069"/>
    </row>
    <row r="42" spans="1:14">
      <c r="A42" s="1091"/>
      <c r="B42" s="1075"/>
      <c r="C42" s="1110"/>
      <c r="D42" s="1111"/>
      <c r="E42" s="1112"/>
      <c r="F42" s="1111"/>
      <c r="G42" s="1077"/>
      <c r="H42" s="1078"/>
      <c r="I42" s="1079"/>
      <c r="J42" s="1081"/>
      <c r="K42" s="1081"/>
      <c r="L42" s="1081"/>
      <c r="M42" s="1069"/>
      <c r="N42" s="1069"/>
    </row>
    <row r="43" spans="1:14">
      <c r="A43" s="1113"/>
      <c r="B43" s="1085"/>
      <c r="C43" s="1113"/>
      <c r="D43" s="1114"/>
      <c r="E43" s="1115"/>
      <c r="F43" s="1114"/>
      <c r="G43" s="1087"/>
      <c r="H43" s="1107"/>
      <c r="I43" s="1116"/>
      <c r="J43" s="1105"/>
      <c r="K43" s="1105"/>
      <c r="L43" s="1090"/>
      <c r="M43" s="1069"/>
      <c r="N43" s="1069"/>
    </row>
    <row r="44" spans="1:14">
      <c r="A44" s="1074" t="s">
        <v>1684</v>
      </c>
      <c r="B44" s="1075" t="s">
        <v>1685</v>
      </c>
      <c r="C44" s="1074" t="s">
        <v>1690</v>
      </c>
      <c r="D44" s="1076">
        <v>22</v>
      </c>
      <c r="E44" s="1077">
        <v>44</v>
      </c>
      <c r="F44" s="1076"/>
      <c r="G44" s="1077"/>
      <c r="H44" s="1082" t="s">
        <v>2950</v>
      </c>
      <c r="I44" s="1117"/>
      <c r="J44" s="2847" t="s">
        <v>2976</v>
      </c>
      <c r="K44" s="2847"/>
      <c r="L44" s="2847"/>
      <c r="M44" s="1069"/>
      <c r="N44" s="1069"/>
    </row>
    <row r="45" spans="1:14">
      <c r="A45" s="1074"/>
      <c r="B45" s="1075"/>
      <c r="C45" s="1074" t="s">
        <v>1690</v>
      </c>
      <c r="D45" s="1076">
        <v>47.5</v>
      </c>
      <c r="E45" s="1077">
        <v>95</v>
      </c>
      <c r="F45" s="1076"/>
      <c r="G45" s="1077"/>
      <c r="H45" s="1082" t="s">
        <v>2977</v>
      </c>
      <c r="I45" s="1117"/>
      <c r="J45" s="2847"/>
      <c r="K45" s="2847"/>
      <c r="L45" s="2847"/>
      <c r="M45" s="1069"/>
      <c r="N45" s="1069"/>
    </row>
    <row r="46" spans="1:14">
      <c r="A46" s="1074"/>
      <c r="B46" s="1075"/>
      <c r="C46" s="1074" t="s">
        <v>1690</v>
      </c>
      <c r="D46" s="1076">
        <v>30</v>
      </c>
      <c r="E46" s="1077">
        <v>60</v>
      </c>
      <c r="F46" s="1076"/>
      <c r="G46" s="1077"/>
      <c r="H46" s="1082" t="s">
        <v>2978</v>
      </c>
      <c r="I46" s="1117"/>
      <c r="J46" s="2847"/>
      <c r="K46" s="2847"/>
      <c r="L46" s="2847"/>
      <c r="M46" s="1069"/>
      <c r="N46" s="1069"/>
    </row>
    <row r="47" spans="1:14">
      <c r="A47" s="1458"/>
      <c r="B47" s="1075"/>
      <c r="C47" s="1450" t="s">
        <v>1690</v>
      </c>
      <c r="D47" s="1076">
        <v>24</v>
      </c>
      <c r="E47" s="1076">
        <v>48</v>
      </c>
      <c r="F47" s="1076"/>
      <c r="G47" s="1076"/>
      <c r="H47" s="1082" t="s">
        <v>2979</v>
      </c>
      <c r="I47" s="1117"/>
      <c r="J47" s="2847"/>
      <c r="K47" s="2847"/>
      <c r="L47" s="2847"/>
      <c r="M47" s="1069"/>
      <c r="N47" s="1069"/>
    </row>
    <row r="48" spans="1:14">
      <c r="A48" s="1074"/>
      <c r="B48" s="1075"/>
      <c r="C48" s="1450" t="s">
        <v>1690</v>
      </c>
      <c r="D48" s="1076">
        <v>95</v>
      </c>
      <c r="E48" s="1077">
        <v>190</v>
      </c>
      <c r="F48" s="1076"/>
      <c r="G48" s="1077"/>
      <c r="H48" s="1082" t="s">
        <v>2980</v>
      </c>
      <c r="I48" s="2848" t="s">
        <v>2981</v>
      </c>
      <c r="J48" s="2849"/>
      <c r="K48" s="2849"/>
      <c r="L48" s="2850"/>
      <c r="M48" s="1069"/>
      <c r="N48" s="1069"/>
    </row>
    <row r="49" spans="1:14">
      <c r="A49" s="1084"/>
      <c r="B49" s="1085"/>
      <c r="C49" s="1122" t="s">
        <v>1690</v>
      </c>
      <c r="D49" s="1086"/>
      <c r="E49" s="1087"/>
      <c r="F49" s="1086"/>
      <c r="G49" s="1087"/>
      <c r="H49" s="1088"/>
      <c r="I49" s="2835" t="s">
        <v>2982</v>
      </c>
      <c r="J49" s="2836"/>
      <c r="K49" s="2836"/>
      <c r="L49" s="2837"/>
      <c r="M49" s="1069"/>
      <c r="N49" s="1069"/>
    </row>
    <row r="50" spans="1:14">
      <c r="A50" s="1074" t="s">
        <v>1684</v>
      </c>
      <c r="B50" s="1075" t="s">
        <v>1685</v>
      </c>
      <c r="C50" s="1074" t="s">
        <v>2983</v>
      </c>
      <c r="D50" s="1076"/>
      <c r="E50" s="1077"/>
      <c r="F50" s="1076"/>
      <c r="G50" s="1077"/>
      <c r="H50" s="1082" t="s">
        <v>2984</v>
      </c>
      <c r="I50" s="1117"/>
      <c r="J50" s="2847" t="s">
        <v>2976</v>
      </c>
      <c r="K50" s="2847"/>
      <c r="L50" s="2847"/>
      <c r="M50" s="1069"/>
      <c r="N50" s="1069"/>
    </row>
    <row r="51" spans="1:14">
      <c r="A51" s="1103"/>
      <c r="B51" s="1075"/>
      <c r="C51" s="1074" t="s">
        <v>2983</v>
      </c>
      <c r="D51" s="1076"/>
      <c r="E51" s="1077"/>
      <c r="F51" s="1076"/>
      <c r="G51" s="1077"/>
      <c r="H51" s="1119" t="s">
        <v>2232</v>
      </c>
      <c r="I51" s="1117"/>
      <c r="J51" s="2847"/>
      <c r="K51" s="2847"/>
      <c r="L51" s="2847"/>
      <c r="M51" s="1069"/>
      <c r="N51" s="1069"/>
    </row>
    <row r="52" spans="1:14">
      <c r="A52" s="1103"/>
      <c r="B52" s="1075"/>
      <c r="C52" s="1074" t="s">
        <v>2983</v>
      </c>
      <c r="D52" s="1076"/>
      <c r="E52" s="1077"/>
      <c r="F52" s="1076"/>
      <c r="G52" s="1077"/>
      <c r="H52" s="1082" t="s">
        <v>2233</v>
      </c>
      <c r="I52" s="1117"/>
      <c r="J52" s="2847"/>
      <c r="K52" s="2847"/>
      <c r="L52" s="2847"/>
      <c r="M52" s="1069"/>
      <c r="N52" s="1069"/>
    </row>
    <row r="53" spans="1:14">
      <c r="A53" s="1103"/>
      <c r="B53" s="1075"/>
      <c r="C53" s="1074" t="s">
        <v>2983</v>
      </c>
      <c r="D53" s="1076"/>
      <c r="E53" s="1076"/>
      <c r="F53" s="1076"/>
      <c r="G53" s="1076"/>
      <c r="H53" s="1119" t="s">
        <v>2234</v>
      </c>
      <c r="I53" s="1117"/>
      <c r="J53" s="2847"/>
      <c r="K53" s="2847"/>
      <c r="L53" s="2847"/>
      <c r="M53" s="1069"/>
      <c r="N53" s="1069"/>
    </row>
    <row r="54" spans="1:14">
      <c r="A54" s="1103"/>
      <c r="B54" s="1075"/>
      <c r="C54" s="1074" t="s">
        <v>2983</v>
      </c>
      <c r="D54" s="1076"/>
      <c r="E54" s="1077"/>
      <c r="F54" s="1076"/>
      <c r="G54" s="1077"/>
      <c r="H54" s="1119"/>
      <c r="I54" s="2848" t="s">
        <v>2981</v>
      </c>
      <c r="J54" s="2849"/>
      <c r="K54" s="2849"/>
      <c r="L54" s="2850"/>
      <c r="M54" s="1069"/>
      <c r="N54" s="1069"/>
    </row>
    <row r="55" spans="1:14">
      <c r="A55" s="1103"/>
      <c r="B55" s="1075"/>
      <c r="C55" s="1074" t="s">
        <v>2983</v>
      </c>
      <c r="D55" s="1076"/>
      <c r="E55" s="1077"/>
      <c r="F55" s="1076"/>
      <c r="G55" s="1077"/>
      <c r="H55" s="1119"/>
      <c r="I55" s="2835" t="s">
        <v>2982</v>
      </c>
      <c r="J55" s="2836"/>
      <c r="K55" s="2836"/>
      <c r="L55" s="2837"/>
      <c r="M55" s="1069"/>
      <c r="N55" s="1069"/>
    </row>
    <row r="56" spans="1:14">
      <c r="A56" s="1130" t="s">
        <v>1687</v>
      </c>
      <c r="B56" s="1129" t="s">
        <v>1691</v>
      </c>
      <c r="C56" s="1128" t="s">
        <v>1692</v>
      </c>
      <c r="D56" s="1131"/>
      <c r="E56" s="1132"/>
      <c r="F56" s="1131"/>
      <c r="G56" s="1132"/>
      <c r="H56" s="1459"/>
      <c r="I56" s="2838" t="s">
        <v>2985</v>
      </c>
      <c r="J56" s="2839"/>
      <c r="K56" s="2839"/>
      <c r="L56" s="2840"/>
      <c r="M56" s="1069"/>
      <c r="N56" s="1069"/>
    </row>
    <row r="57" spans="1:14">
      <c r="A57" s="1103"/>
      <c r="B57" s="1075"/>
      <c r="C57" s="1074" t="s">
        <v>1692</v>
      </c>
      <c r="D57" s="1076"/>
      <c r="E57" s="1077"/>
      <c r="F57" s="1076"/>
      <c r="G57" s="1077"/>
      <c r="H57" s="1119"/>
      <c r="I57" s="2841" t="s">
        <v>2986</v>
      </c>
      <c r="J57" s="2842"/>
      <c r="K57" s="2842"/>
      <c r="L57" s="2843"/>
      <c r="M57" s="1069"/>
      <c r="N57" s="1069"/>
    </row>
    <row r="58" spans="1:14">
      <c r="A58" s="1103"/>
      <c r="B58" s="1075"/>
      <c r="C58" s="1074" t="s">
        <v>1692</v>
      </c>
      <c r="D58" s="1076"/>
      <c r="E58" s="1077"/>
      <c r="F58" s="1076"/>
      <c r="G58" s="1077"/>
      <c r="H58" s="1119" t="s">
        <v>2235</v>
      </c>
      <c r="I58" s="2844" t="s">
        <v>2252</v>
      </c>
      <c r="J58" s="2845"/>
      <c r="K58" s="2845"/>
      <c r="L58" s="2846"/>
      <c r="M58" s="1069"/>
      <c r="N58" s="1069"/>
    </row>
    <row r="59" spans="1:14">
      <c r="A59" s="1103"/>
      <c r="B59" s="1075"/>
      <c r="C59" s="1074" t="s">
        <v>1692</v>
      </c>
      <c r="D59" s="1076"/>
      <c r="E59" s="1077"/>
      <c r="F59" s="1076"/>
      <c r="G59" s="1077"/>
      <c r="H59" s="1119"/>
      <c r="I59" s="2844" t="s">
        <v>2987</v>
      </c>
      <c r="J59" s="2845"/>
      <c r="K59" s="2845"/>
      <c r="L59" s="2846"/>
      <c r="M59" s="1069"/>
      <c r="N59" s="1069"/>
    </row>
    <row r="60" spans="1:14">
      <c r="A60" s="1103"/>
      <c r="B60" s="1075"/>
      <c r="C60" s="1074" t="s">
        <v>1692</v>
      </c>
      <c r="D60" s="1076"/>
      <c r="E60" s="1077"/>
      <c r="F60" s="1076"/>
      <c r="G60" s="1077"/>
      <c r="H60" s="1119"/>
      <c r="I60" s="1460" t="s">
        <v>2988</v>
      </c>
      <c r="J60" s="1120"/>
      <c r="K60" s="1120"/>
      <c r="L60" s="1461"/>
      <c r="M60" s="1069"/>
      <c r="N60" s="1069"/>
    </row>
    <row r="61" spans="1:14">
      <c r="A61" s="1103"/>
      <c r="B61" s="1075"/>
      <c r="C61" s="1074" t="s">
        <v>1692</v>
      </c>
      <c r="D61" s="1076"/>
      <c r="E61" s="1077"/>
      <c r="F61" s="1076"/>
      <c r="G61" s="1077"/>
      <c r="H61" s="1119"/>
      <c r="I61" s="1462" t="s">
        <v>2989</v>
      </c>
      <c r="J61" s="1120"/>
      <c r="K61" s="1120"/>
      <c r="L61" s="1461"/>
      <c r="M61" s="1069"/>
      <c r="N61" s="1069"/>
    </row>
    <row r="62" spans="1:14">
      <c r="A62" s="1104"/>
      <c r="B62" s="1085"/>
      <c r="C62" s="1122" t="s">
        <v>1692</v>
      </c>
      <c r="D62" s="1086"/>
      <c r="E62" s="1087"/>
      <c r="F62" s="1086"/>
      <c r="G62" s="1087"/>
      <c r="H62" s="1121"/>
      <c r="I62" s="2828" t="s">
        <v>2990</v>
      </c>
      <c r="J62" s="2829"/>
      <c r="K62" s="2829"/>
      <c r="L62" s="2830"/>
      <c r="M62" s="1069"/>
      <c r="N62" s="1069"/>
    </row>
    <row r="63" spans="1:14">
      <c r="A63" s="1103" t="s">
        <v>1687</v>
      </c>
      <c r="B63" s="1075" t="s">
        <v>1691</v>
      </c>
      <c r="C63" s="1074" t="s">
        <v>2991</v>
      </c>
      <c r="D63" s="1076">
        <v>23.5</v>
      </c>
      <c r="E63" s="1077">
        <v>43</v>
      </c>
      <c r="F63" s="1076"/>
      <c r="G63" s="1077"/>
      <c r="H63" s="1082" t="s">
        <v>2992</v>
      </c>
      <c r="I63" s="1117" t="s">
        <v>2993</v>
      </c>
      <c r="J63" s="1081"/>
      <c r="K63" s="1081"/>
      <c r="L63" s="1081"/>
      <c r="M63" s="1069"/>
      <c r="N63" s="1069"/>
    </row>
    <row r="64" spans="1:14">
      <c r="A64" s="1103"/>
      <c r="B64" s="1075"/>
      <c r="C64" s="1074" t="s">
        <v>2991</v>
      </c>
      <c r="D64" s="1076">
        <v>31</v>
      </c>
      <c r="E64" s="1077">
        <v>56</v>
      </c>
      <c r="F64" s="1076"/>
      <c r="G64" s="1077"/>
      <c r="H64" s="1082" t="s">
        <v>2994</v>
      </c>
      <c r="I64" s="1117" t="s">
        <v>2995</v>
      </c>
      <c r="J64" s="1081"/>
      <c r="K64" s="1081"/>
      <c r="L64" s="1081"/>
      <c r="M64" s="1069"/>
      <c r="N64" s="1069"/>
    </row>
    <row r="65" spans="1:18">
      <c r="A65" s="1103"/>
      <c r="B65" s="1075"/>
      <c r="C65" s="1074" t="s">
        <v>2996</v>
      </c>
      <c r="D65" s="1076">
        <v>38.5</v>
      </c>
      <c r="E65" s="1077">
        <v>71</v>
      </c>
      <c r="F65" s="1076"/>
      <c r="G65" s="1077"/>
      <c r="H65" s="1082" t="s">
        <v>2997</v>
      </c>
      <c r="I65" s="1117" t="s">
        <v>2998</v>
      </c>
      <c r="J65" s="1081"/>
      <c r="K65" s="1081"/>
      <c r="L65" s="1081"/>
      <c r="M65" s="1069"/>
      <c r="N65" s="1069"/>
    </row>
    <row r="66" spans="1:18">
      <c r="A66" s="1103"/>
      <c r="B66" s="1075"/>
      <c r="C66" s="1074" t="s">
        <v>2991</v>
      </c>
      <c r="D66" s="1076">
        <v>98.5</v>
      </c>
      <c r="E66" s="1077">
        <v>86</v>
      </c>
      <c r="F66" s="1076"/>
      <c r="G66" s="1077"/>
      <c r="H66" s="1082" t="s">
        <v>2999</v>
      </c>
      <c r="I66" s="1117" t="s">
        <v>3000</v>
      </c>
      <c r="J66" s="1081"/>
      <c r="K66" s="1081"/>
      <c r="L66" s="1081"/>
      <c r="M66" s="1069"/>
      <c r="N66" s="1069"/>
    </row>
    <row r="67" spans="1:18">
      <c r="A67" s="1104"/>
      <c r="B67" s="1085"/>
      <c r="C67" s="1084" t="s">
        <v>2991</v>
      </c>
      <c r="D67" s="1086">
        <v>73.5</v>
      </c>
      <c r="E67" s="1087">
        <v>136</v>
      </c>
      <c r="F67" s="1086"/>
      <c r="G67" s="1087"/>
      <c r="H67" s="1088" t="s">
        <v>3001</v>
      </c>
      <c r="I67" s="1118" t="s">
        <v>3002</v>
      </c>
      <c r="J67" s="1090"/>
      <c r="K67" s="1090"/>
      <c r="L67" s="1090"/>
      <c r="M67" s="1069"/>
      <c r="N67" s="1069"/>
    </row>
    <row r="68" spans="1:18">
      <c r="A68" s="1106"/>
      <c r="B68" s="1075" t="s">
        <v>1685</v>
      </c>
      <c r="C68" s="1106" t="s">
        <v>1082</v>
      </c>
      <c r="D68" s="1076">
        <v>16</v>
      </c>
      <c r="E68" s="1077">
        <v>28</v>
      </c>
      <c r="F68" s="1076">
        <v>16</v>
      </c>
      <c r="G68" s="1077">
        <v>4</v>
      </c>
      <c r="H68" s="1123" t="s">
        <v>3003</v>
      </c>
      <c r="I68" s="1124"/>
      <c r="J68" s="1081" t="s">
        <v>2244</v>
      </c>
      <c r="K68" s="1081"/>
      <c r="L68" s="1081"/>
      <c r="M68" s="1069"/>
      <c r="N68" s="1069"/>
    </row>
    <row r="69" spans="1:18" s="1109" customFormat="1">
      <c r="A69" s="1106"/>
      <c r="B69" s="1075"/>
      <c r="C69" s="1106" t="s">
        <v>1082</v>
      </c>
      <c r="D69" s="1076">
        <v>24.5</v>
      </c>
      <c r="E69" s="1077">
        <v>45</v>
      </c>
      <c r="F69" s="1076">
        <v>23</v>
      </c>
      <c r="G69" s="1077">
        <v>4</v>
      </c>
      <c r="H69" s="1123" t="s">
        <v>3004</v>
      </c>
      <c r="I69" s="1124"/>
      <c r="J69" s="1081" t="s">
        <v>2245</v>
      </c>
      <c r="K69" s="1081"/>
      <c r="L69" s="1081"/>
      <c r="M69" s="1482"/>
      <c r="N69" s="1482"/>
    </row>
    <row r="70" spans="1:18">
      <c r="A70" s="1106"/>
      <c r="B70" s="1075"/>
      <c r="C70" s="1106" t="s">
        <v>3005</v>
      </c>
      <c r="D70" s="1076">
        <v>29.5</v>
      </c>
      <c r="E70" s="1077">
        <v>55</v>
      </c>
      <c r="F70" s="1076">
        <v>26.5</v>
      </c>
      <c r="G70" s="1077">
        <v>4</v>
      </c>
      <c r="H70" s="1123" t="s">
        <v>3006</v>
      </c>
      <c r="I70" s="1124"/>
      <c r="J70" s="1081"/>
      <c r="K70" s="1081"/>
      <c r="L70" s="1081"/>
      <c r="M70" s="1069"/>
      <c r="N70" s="1069"/>
    </row>
    <row r="71" spans="1:18">
      <c r="A71" s="1127"/>
      <c r="B71" s="1085"/>
      <c r="C71" s="1127" t="s">
        <v>1082</v>
      </c>
      <c r="D71" s="1086">
        <v>49.5</v>
      </c>
      <c r="E71" s="1087">
        <v>95</v>
      </c>
      <c r="F71" s="1086">
        <v>40</v>
      </c>
      <c r="G71" s="1086">
        <v>4</v>
      </c>
      <c r="H71" s="1125" t="s">
        <v>3007</v>
      </c>
      <c r="I71" s="1124"/>
      <c r="J71" s="1081"/>
      <c r="K71" s="1081"/>
      <c r="L71" s="1081"/>
      <c r="M71" s="1069"/>
      <c r="N71" s="1069"/>
    </row>
    <row r="72" spans="1:18">
      <c r="A72" s="1091" t="s">
        <v>1687</v>
      </c>
      <c r="B72" s="1075" t="s">
        <v>1685</v>
      </c>
      <c r="C72" s="1106" t="s">
        <v>1425</v>
      </c>
      <c r="D72" s="1076"/>
      <c r="E72" s="1077"/>
      <c r="F72" s="1076"/>
      <c r="G72" s="1077"/>
      <c r="H72" s="1463"/>
      <c r="I72" s="1464"/>
      <c r="J72" s="1465" t="s">
        <v>3008</v>
      </c>
      <c r="K72" s="1465"/>
      <c r="L72" s="1465"/>
      <c r="M72" s="1069"/>
      <c r="N72" s="1069"/>
    </row>
    <row r="73" spans="1:18" s="1135" customFormat="1">
      <c r="A73" s="1106"/>
      <c r="B73" s="1075"/>
      <c r="C73" s="1106" t="s">
        <v>1425</v>
      </c>
      <c r="D73" s="1076"/>
      <c r="E73" s="1077"/>
      <c r="F73" s="1076"/>
      <c r="G73" s="1077"/>
      <c r="H73" s="1123"/>
      <c r="I73" s="1124"/>
      <c r="J73" s="1466" t="s">
        <v>2246</v>
      </c>
      <c r="K73" s="1466"/>
      <c r="L73" s="1466"/>
      <c r="M73" s="1486"/>
      <c r="N73" s="1486"/>
    </row>
    <row r="74" spans="1:18">
      <c r="A74" s="1106"/>
      <c r="B74" s="1075"/>
      <c r="C74" s="1106" t="s">
        <v>1425</v>
      </c>
      <c r="D74" s="1076"/>
      <c r="E74" s="1077"/>
      <c r="F74" s="1076"/>
      <c r="G74" s="1077"/>
      <c r="H74" s="1123"/>
      <c r="I74" s="1124"/>
      <c r="J74" s="1466" t="s">
        <v>2247</v>
      </c>
      <c r="K74" s="1466"/>
      <c r="L74" s="1466"/>
      <c r="M74" s="1069"/>
      <c r="N74" s="1069"/>
    </row>
    <row r="75" spans="1:18">
      <c r="A75" s="1467"/>
      <c r="B75" s="1075"/>
      <c r="C75" s="1075" t="s">
        <v>1425</v>
      </c>
      <c r="D75" s="1076"/>
      <c r="E75" s="1076"/>
      <c r="F75" s="1076"/>
      <c r="G75" s="1076"/>
      <c r="H75" s="1123"/>
      <c r="I75" s="1124"/>
      <c r="J75" s="1466" t="s">
        <v>2248</v>
      </c>
      <c r="K75" s="1466"/>
      <c r="L75" s="1466"/>
      <c r="M75" s="454"/>
      <c r="N75" s="454"/>
      <c r="O75" s="454"/>
      <c r="P75" s="454"/>
      <c r="Q75" s="454"/>
      <c r="R75" s="454"/>
    </row>
    <row r="76" spans="1:18">
      <c r="A76" s="1106"/>
      <c r="B76" s="1075"/>
      <c r="C76" s="1106"/>
      <c r="D76" s="1076"/>
      <c r="E76" s="1077"/>
      <c r="F76" s="1076"/>
      <c r="G76" s="1077"/>
      <c r="H76" s="1123"/>
      <c r="I76" s="1124" t="s">
        <v>3009</v>
      </c>
      <c r="J76" s="1466"/>
      <c r="K76" s="1466"/>
      <c r="L76" s="1466"/>
      <c r="M76" s="454"/>
      <c r="N76" s="454"/>
      <c r="O76" s="454"/>
      <c r="P76" s="454"/>
      <c r="Q76" s="454"/>
      <c r="R76" s="454"/>
    </row>
    <row r="77" spans="1:18">
      <c r="A77" s="1106"/>
      <c r="B77" s="1075"/>
      <c r="C77" s="1106"/>
      <c r="D77" s="1076"/>
      <c r="E77" s="1077"/>
      <c r="F77" s="1076"/>
      <c r="G77" s="1077"/>
      <c r="H77" s="1125"/>
      <c r="I77" s="1126"/>
      <c r="J77" s="1468" t="s">
        <v>3010</v>
      </c>
      <c r="K77" s="1468"/>
      <c r="L77" s="1468"/>
      <c r="M77" s="1069"/>
      <c r="N77" s="1069"/>
    </row>
    <row r="78" spans="1:18">
      <c r="A78" s="1469"/>
      <c r="B78" s="1129"/>
      <c r="C78" s="1469" t="s">
        <v>2249</v>
      </c>
      <c r="D78" s="1131"/>
      <c r="E78" s="1132"/>
      <c r="F78" s="1131"/>
      <c r="G78" s="1132"/>
      <c r="H78" s="1123"/>
      <c r="I78" s="1124"/>
      <c r="J78" s="1081"/>
      <c r="K78" s="1081"/>
      <c r="L78" s="1081"/>
      <c r="M78" s="1069"/>
      <c r="N78" s="1069"/>
    </row>
    <row r="79" spans="1:18">
      <c r="A79" s="1106"/>
      <c r="B79" s="1075"/>
      <c r="C79" s="1106" t="s">
        <v>2249</v>
      </c>
      <c r="D79" s="1076"/>
      <c r="E79" s="1077"/>
      <c r="F79" s="1076"/>
      <c r="G79" s="1077"/>
      <c r="H79" s="1123"/>
      <c r="I79" s="1124"/>
      <c r="J79" s="1081"/>
      <c r="K79" s="1081"/>
      <c r="L79" s="1081"/>
      <c r="M79" s="1069"/>
      <c r="N79" s="1069"/>
    </row>
    <row r="80" spans="1:18">
      <c r="A80" s="1106"/>
      <c r="B80" s="1075"/>
      <c r="C80" s="1106" t="s">
        <v>2249</v>
      </c>
      <c r="D80" s="1076"/>
      <c r="E80" s="1077"/>
      <c r="F80" s="1076"/>
      <c r="G80" s="1077"/>
      <c r="H80" s="1123"/>
      <c r="I80" s="1124"/>
      <c r="J80" s="1081"/>
      <c r="K80" s="1081"/>
      <c r="L80" s="1081"/>
      <c r="M80" s="1069"/>
      <c r="N80" s="1069"/>
    </row>
    <row r="81" spans="1:14">
      <c r="A81" s="1106"/>
      <c r="B81" s="1075"/>
      <c r="C81" s="1106" t="s">
        <v>2249</v>
      </c>
      <c r="D81" s="1076"/>
      <c r="E81" s="1077"/>
      <c r="F81" s="1076"/>
      <c r="G81" s="1077"/>
      <c r="H81" s="1123"/>
      <c r="I81" s="1124"/>
      <c r="J81" s="1081"/>
      <c r="K81" s="1081"/>
      <c r="L81" s="1081"/>
      <c r="M81" s="1069"/>
      <c r="N81" s="1069"/>
    </row>
    <row r="82" spans="1:14">
      <c r="A82" s="1127"/>
      <c r="B82" s="1085"/>
      <c r="C82" s="1127" t="s">
        <v>2249</v>
      </c>
      <c r="D82" s="1086"/>
      <c r="E82" s="1087"/>
      <c r="F82" s="1086"/>
      <c r="G82" s="1087"/>
      <c r="H82" s="1125"/>
      <c r="I82" s="1126"/>
      <c r="J82" s="1090"/>
      <c r="K82" s="1090"/>
      <c r="L82" s="1090"/>
      <c r="M82" s="1069"/>
      <c r="N82" s="1069"/>
    </row>
    <row r="83" spans="1:14">
      <c r="A83" s="1106" t="s">
        <v>1687</v>
      </c>
      <c r="B83" s="1075" t="s">
        <v>1685</v>
      </c>
      <c r="C83" s="1106" t="s">
        <v>593</v>
      </c>
      <c r="D83" s="1076"/>
      <c r="E83" s="1077"/>
      <c r="F83" s="1076"/>
      <c r="G83" s="1077"/>
      <c r="H83" s="1123"/>
      <c r="I83" s="1124"/>
      <c r="J83" s="1081" t="s">
        <v>2299</v>
      </c>
      <c r="K83" s="1081"/>
      <c r="L83" s="1081"/>
      <c r="M83" s="1069"/>
      <c r="N83" s="1069"/>
    </row>
    <row r="84" spans="1:14">
      <c r="A84" s="1106"/>
      <c r="B84" s="1075"/>
      <c r="C84" s="1106" t="s">
        <v>593</v>
      </c>
      <c r="D84" s="1076"/>
      <c r="E84" s="1077"/>
      <c r="F84" s="1076"/>
      <c r="G84" s="1077"/>
      <c r="H84" s="1123"/>
      <c r="I84" s="1124"/>
      <c r="J84" s="1081"/>
      <c r="K84" s="1081"/>
      <c r="L84" s="1081"/>
      <c r="M84" s="1069"/>
      <c r="N84" s="1069"/>
    </row>
    <row r="85" spans="1:14">
      <c r="A85" s="1106"/>
      <c r="B85" s="1075"/>
      <c r="C85" s="1106" t="s">
        <v>593</v>
      </c>
      <c r="D85" s="1076"/>
      <c r="E85" s="1077"/>
      <c r="F85" s="1076"/>
      <c r="G85" s="1077"/>
      <c r="H85" s="1123"/>
      <c r="I85" s="1124"/>
      <c r="J85" s="1081"/>
      <c r="K85" s="1081"/>
      <c r="L85" s="1081"/>
      <c r="M85" s="1069"/>
      <c r="N85" s="1069"/>
    </row>
    <row r="86" spans="1:14">
      <c r="A86" s="1106"/>
      <c r="B86" s="1075"/>
      <c r="C86" s="1106" t="s">
        <v>593</v>
      </c>
      <c r="D86" s="1076"/>
      <c r="E86" s="1077"/>
      <c r="F86" s="1076"/>
      <c r="G86" s="1077"/>
      <c r="H86" s="1123"/>
      <c r="I86" s="1124"/>
      <c r="J86" s="1081"/>
      <c r="K86" s="1081"/>
      <c r="L86" s="1081"/>
      <c r="M86" s="1069"/>
      <c r="N86" s="1069"/>
    </row>
    <row r="87" spans="1:14">
      <c r="A87" s="1128" t="s">
        <v>1684</v>
      </c>
      <c r="B87" s="1129" t="s">
        <v>1685</v>
      </c>
      <c r="C87" s="1128" t="s">
        <v>1427</v>
      </c>
      <c r="D87" s="1131"/>
      <c r="E87" s="1132"/>
      <c r="F87" s="1131"/>
      <c r="G87" s="1132"/>
      <c r="H87" s="1133"/>
      <c r="I87" s="1134"/>
      <c r="J87" s="1080"/>
      <c r="K87" s="1080"/>
      <c r="L87" s="1080"/>
      <c r="M87" s="1069"/>
      <c r="N87" s="1069"/>
    </row>
    <row r="88" spans="1:14">
      <c r="A88" s="1074"/>
      <c r="B88" s="1075"/>
      <c r="C88" s="1074" t="s">
        <v>1427</v>
      </c>
      <c r="D88" s="1076"/>
      <c r="E88" s="1077"/>
      <c r="F88" s="1076"/>
      <c r="G88" s="1077"/>
      <c r="H88" s="1082"/>
      <c r="I88" s="1117"/>
      <c r="J88" s="1081"/>
      <c r="K88" s="1081"/>
      <c r="L88" s="1081"/>
      <c r="M88" s="1069"/>
      <c r="N88" s="1069"/>
    </row>
    <row r="89" spans="1:14">
      <c r="A89" s="1074"/>
      <c r="B89" s="1075"/>
      <c r="C89" s="1074" t="s">
        <v>1427</v>
      </c>
      <c r="D89" s="1076"/>
      <c r="E89" s="1077"/>
      <c r="F89" s="1076"/>
      <c r="G89" s="1077"/>
      <c r="H89" s="1082" t="s">
        <v>2224</v>
      </c>
      <c r="I89" s="1117"/>
      <c r="J89" s="1081"/>
      <c r="K89" s="1081"/>
      <c r="L89" s="1081"/>
      <c r="M89" s="1069"/>
      <c r="N89" s="1069"/>
    </row>
    <row r="90" spans="1:14">
      <c r="A90" s="1084"/>
      <c r="B90" s="1085"/>
      <c r="C90" s="1084" t="s">
        <v>1427</v>
      </c>
      <c r="D90" s="1086"/>
      <c r="E90" s="1087"/>
      <c r="F90" s="1086"/>
      <c r="G90" s="1087"/>
      <c r="H90" s="1088"/>
      <c r="I90" s="1118"/>
      <c r="J90" s="1090"/>
      <c r="K90" s="1090"/>
      <c r="L90" s="1090"/>
      <c r="M90" s="1069"/>
      <c r="N90" s="1069"/>
    </row>
    <row r="91" spans="1:14">
      <c r="A91" s="1091" t="s">
        <v>1687</v>
      </c>
      <c r="B91" s="1075" t="s">
        <v>1685</v>
      </c>
      <c r="C91" s="1091" t="s">
        <v>1084</v>
      </c>
      <c r="D91" s="1076">
        <v>21</v>
      </c>
      <c r="E91" s="1077">
        <v>42</v>
      </c>
      <c r="F91" s="1076">
        <v>21</v>
      </c>
      <c r="G91" s="1077">
        <v>4</v>
      </c>
      <c r="H91" s="1123" t="s">
        <v>2941</v>
      </c>
      <c r="I91" s="1124"/>
      <c r="J91" s="1095" t="s">
        <v>2225</v>
      </c>
      <c r="K91" s="1095"/>
      <c r="L91" s="1081"/>
      <c r="M91" s="1069"/>
      <c r="N91" s="1069"/>
    </row>
    <row r="92" spans="1:14">
      <c r="A92" s="1091"/>
      <c r="B92" s="1075"/>
      <c r="C92" s="1091" t="s">
        <v>1084</v>
      </c>
      <c r="D92" s="1076">
        <v>45</v>
      </c>
      <c r="E92" s="1077">
        <v>90</v>
      </c>
      <c r="F92" s="1076">
        <v>39</v>
      </c>
      <c r="G92" s="1077">
        <v>4</v>
      </c>
      <c r="H92" s="1123" t="s">
        <v>3011</v>
      </c>
      <c r="I92" s="1124"/>
      <c r="J92" s="1095"/>
      <c r="K92" s="1095"/>
      <c r="L92" s="1081"/>
      <c r="M92" s="1069"/>
      <c r="N92" s="1069"/>
    </row>
    <row r="93" spans="1:14">
      <c r="A93" s="1091"/>
      <c r="B93" s="1075"/>
      <c r="C93" s="1091" t="s">
        <v>1084</v>
      </c>
      <c r="D93" s="1076">
        <v>32</v>
      </c>
      <c r="E93" s="1077">
        <v>64</v>
      </c>
      <c r="F93" s="1076">
        <v>30</v>
      </c>
      <c r="G93" s="1077">
        <v>4</v>
      </c>
      <c r="H93" s="1123" t="s">
        <v>3012</v>
      </c>
      <c r="I93" s="1124"/>
      <c r="J93" s="1095"/>
      <c r="K93" s="1095"/>
      <c r="L93" s="1081"/>
      <c r="M93" s="1069"/>
      <c r="N93" s="1069"/>
    </row>
    <row r="94" spans="1:14">
      <c r="A94" s="1110"/>
      <c r="B94" s="1075"/>
      <c r="C94" s="1110" t="s">
        <v>3013</v>
      </c>
      <c r="D94" s="1111">
        <v>22</v>
      </c>
      <c r="E94" s="1112">
        <v>44</v>
      </c>
      <c r="F94" s="1111">
        <v>22</v>
      </c>
      <c r="G94" s="1112">
        <v>4</v>
      </c>
      <c r="H94" s="1078" t="s">
        <v>3014</v>
      </c>
      <c r="I94" s="1136"/>
      <c r="J94" s="1095" t="s">
        <v>2255</v>
      </c>
      <c r="K94" s="1095"/>
      <c r="L94" s="1081"/>
      <c r="M94" s="1069"/>
      <c r="N94" s="1069"/>
    </row>
    <row r="95" spans="1:14">
      <c r="A95" s="1091"/>
      <c r="B95" s="1075"/>
      <c r="C95" s="1091" t="s">
        <v>1084</v>
      </c>
      <c r="D95" s="1076">
        <v>25</v>
      </c>
      <c r="E95" s="1077">
        <v>25</v>
      </c>
      <c r="F95" s="1076">
        <v>25</v>
      </c>
      <c r="G95" s="1077">
        <v>4</v>
      </c>
      <c r="H95" s="1123" t="s">
        <v>3015</v>
      </c>
      <c r="I95" s="1124"/>
      <c r="J95" s="1095" t="s">
        <v>2256</v>
      </c>
      <c r="K95" s="1095"/>
      <c r="L95" s="1081"/>
      <c r="M95" s="1069"/>
      <c r="N95" s="1069"/>
    </row>
    <row r="96" spans="1:14">
      <c r="A96" s="1092"/>
      <c r="B96" s="1085"/>
      <c r="C96" s="1092" t="s">
        <v>1084</v>
      </c>
      <c r="D96" s="1086">
        <v>65</v>
      </c>
      <c r="E96" s="1087">
        <v>130</v>
      </c>
      <c r="F96" s="1086">
        <v>52</v>
      </c>
      <c r="G96" s="1087">
        <v>4</v>
      </c>
      <c r="H96" s="1125" t="s">
        <v>3016</v>
      </c>
      <c r="I96" s="1126"/>
      <c r="J96" s="1102" t="s">
        <v>2257</v>
      </c>
      <c r="K96" s="1102"/>
      <c r="L96" s="1090"/>
      <c r="M96" s="1069"/>
      <c r="N96" s="1069"/>
    </row>
    <row r="97" spans="1:14">
      <c r="A97" s="1091" t="s">
        <v>1687</v>
      </c>
      <c r="B97" s="1075" t="s">
        <v>1685</v>
      </c>
      <c r="C97" s="1091" t="s">
        <v>695</v>
      </c>
      <c r="D97" s="1076">
        <v>20</v>
      </c>
      <c r="E97" s="1077">
        <v>38</v>
      </c>
      <c r="F97" s="1076">
        <v>18</v>
      </c>
      <c r="G97" s="1077"/>
      <c r="H97" s="1123" t="s">
        <v>3017</v>
      </c>
      <c r="I97" s="1124"/>
      <c r="J97" s="1081" t="s">
        <v>2225</v>
      </c>
      <c r="K97" s="1081"/>
      <c r="L97" s="1081"/>
      <c r="M97" s="1069"/>
      <c r="N97" s="1069"/>
    </row>
    <row r="98" spans="1:14">
      <c r="A98" s="1091"/>
      <c r="B98" s="1075"/>
      <c r="C98" s="1091" t="s">
        <v>695</v>
      </c>
      <c r="D98" s="1076">
        <v>18</v>
      </c>
      <c r="E98" s="1077">
        <v>33</v>
      </c>
      <c r="F98" s="1076">
        <v>17</v>
      </c>
      <c r="G98" s="1077"/>
      <c r="H98" s="1078" t="s">
        <v>3018</v>
      </c>
      <c r="I98" s="1136"/>
      <c r="J98" s="1081" t="s">
        <v>2258</v>
      </c>
      <c r="K98" s="1081"/>
      <c r="L98" s="1081"/>
      <c r="M98" s="1069"/>
      <c r="N98" s="1069"/>
    </row>
    <row r="99" spans="1:14" s="1109" customFormat="1">
      <c r="A99" s="1091"/>
      <c r="B99" s="1075"/>
      <c r="C99" s="1091" t="s">
        <v>3019</v>
      </c>
      <c r="D99" s="1076">
        <v>24</v>
      </c>
      <c r="E99" s="1077">
        <v>46</v>
      </c>
      <c r="F99" s="1076">
        <v>24</v>
      </c>
      <c r="G99" s="1077"/>
      <c r="H99" s="1078" t="s">
        <v>3020</v>
      </c>
      <c r="I99" s="1136"/>
      <c r="J99" s="1081" t="s">
        <v>2259</v>
      </c>
      <c r="K99" s="1081"/>
      <c r="L99" s="1081"/>
      <c r="M99" s="1482"/>
      <c r="N99" s="1482"/>
    </row>
    <row r="100" spans="1:14">
      <c r="A100" s="1091"/>
      <c r="B100" s="1075"/>
      <c r="C100" s="1091" t="s">
        <v>2260</v>
      </c>
      <c r="D100" s="1076">
        <v>22</v>
      </c>
      <c r="E100" s="1077">
        <v>42</v>
      </c>
      <c r="F100" s="1076">
        <v>21</v>
      </c>
      <c r="G100" s="1077"/>
      <c r="H100" s="1078" t="s">
        <v>3021</v>
      </c>
      <c r="I100" s="1136"/>
      <c r="J100" s="1081" t="s">
        <v>2261</v>
      </c>
      <c r="K100" s="1081"/>
      <c r="L100" s="1081"/>
      <c r="M100" s="1069"/>
      <c r="N100" s="1069"/>
    </row>
    <row r="101" spans="1:14">
      <c r="A101" s="1091"/>
      <c r="B101" s="1075"/>
      <c r="C101" s="1091" t="s">
        <v>695</v>
      </c>
      <c r="D101" s="1076">
        <v>19</v>
      </c>
      <c r="E101" s="1077">
        <v>36</v>
      </c>
      <c r="F101" s="1076">
        <v>19</v>
      </c>
      <c r="G101" s="1077"/>
      <c r="H101" s="1078" t="s">
        <v>3022</v>
      </c>
      <c r="I101" s="1136"/>
      <c r="J101" s="1081"/>
      <c r="K101" s="1081"/>
      <c r="L101" s="1081"/>
      <c r="M101" s="1069"/>
      <c r="N101" s="1069"/>
    </row>
    <row r="102" spans="1:14">
      <c r="A102" s="1091"/>
      <c r="B102" s="1075"/>
      <c r="C102" s="1091" t="s">
        <v>695</v>
      </c>
      <c r="D102" s="1076">
        <v>36</v>
      </c>
      <c r="E102" s="1077">
        <v>65</v>
      </c>
      <c r="F102" s="1076">
        <v>33</v>
      </c>
      <c r="G102" s="1077"/>
      <c r="H102" s="1078" t="s">
        <v>3023</v>
      </c>
      <c r="I102" s="1136"/>
      <c r="J102" s="1081"/>
      <c r="K102" s="1081"/>
      <c r="L102" s="1081"/>
      <c r="M102" s="1069"/>
      <c r="N102" s="1069"/>
    </row>
    <row r="103" spans="1:14">
      <c r="A103" s="1092"/>
      <c r="B103" s="1085"/>
      <c r="C103" s="1092" t="s">
        <v>695</v>
      </c>
      <c r="D103" s="1086">
        <v>42</v>
      </c>
      <c r="E103" s="1087">
        <v>80</v>
      </c>
      <c r="F103" s="1086">
        <v>41</v>
      </c>
      <c r="G103" s="1087"/>
      <c r="H103" s="1107" t="s">
        <v>3024</v>
      </c>
      <c r="I103" s="1116"/>
      <c r="J103" s="1090"/>
      <c r="K103" s="1090"/>
      <c r="L103" s="1090"/>
      <c r="M103" s="1069"/>
      <c r="N103" s="1069"/>
    </row>
    <row r="104" spans="1:14">
      <c r="A104" s="1110" t="s">
        <v>1687</v>
      </c>
      <c r="B104" s="1075" t="s">
        <v>1685</v>
      </c>
      <c r="C104" s="1110" t="s">
        <v>1083</v>
      </c>
      <c r="D104" s="1076">
        <v>20</v>
      </c>
      <c r="E104" s="1077">
        <v>38</v>
      </c>
      <c r="F104" s="1076"/>
      <c r="G104" s="1077">
        <v>3</v>
      </c>
      <c r="H104" s="1123" t="s">
        <v>3025</v>
      </c>
      <c r="I104" s="1124"/>
      <c r="J104" s="1081" t="s">
        <v>2262</v>
      </c>
      <c r="K104" s="1081"/>
      <c r="L104" s="1081"/>
      <c r="M104" s="1069"/>
      <c r="N104" s="1069"/>
    </row>
    <row r="105" spans="1:14" ht="15.75" customHeight="1">
      <c r="A105" s="1110"/>
      <c r="B105" s="1075"/>
      <c r="C105" s="1110" t="s">
        <v>1083</v>
      </c>
      <c r="D105" s="1076">
        <v>28</v>
      </c>
      <c r="E105" s="1077">
        <v>54</v>
      </c>
      <c r="F105" s="1076"/>
      <c r="G105" s="1077">
        <v>3</v>
      </c>
      <c r="H105" s="1123" t="s">
        <v>3026</v>
      </c>
      <c r="I105" s="1124"/>
      <c r="J105" s="1081" t="s">
        <v>3027</v>
      </c>
      <c r="K105" s="1081"/>
      <c r="L105" s="1081"/>
      <c r="M105" s="1069"/>
      <c r="N105" s="1069"/>
    </row>
    <row r="106" spans="1:14">
      <c r="A106" s="1110"/>
      <c r="B106" s="1075"/>
      <c r="C106" s="1110" t="s">
        <v>1083</v>
      </c>
      <c r="D106" s="1076">
        <v>37</v>
      </c>
      <c r="E106" s="1077">
        <v>71</v>
      </c>
      <c r="F106" s="1076"/>
      <c r="G106" s="1077">
        <v>3</v>
      </c>
      <c r="H106" s="1123" t="s">
        <v>3028</v>
      </c>
      <c r="I106" s="1124"/>
      <c r="J106" s="1081" t="s">
        <v>3029</v>
      </c>
      <c r="K106" s="1081"/>
      <c r="L106" s="1081"/>
      <c r="M106" s="1069"/>
      <c r="N106" s="1069"/>
    </row>
    <row r="107" spans="1:14">
      <c r="A107" s="1110"/>
      <c r="B107" s="1075"/>
      <c r="C107" s="1110" t="s">
        <v>1083</v>
      </c>
      <c r="D107" s="1076">
        <v>21</v>
      </c>
      <c r="E107" s="1077">
        <v>40</v>
      </c>
      <c r="F107" s="1076"/>
      <c r="G107" s="1077">
        <v>3</v>
      </c>
      <c r="H107" s="1123" t="s">
        <v>3030</v>
      </c>
      <c r="I107" s="1124"/>
      <c r="J107" s="1081" t="s">
        <v>3031</v>
      </c>
      <c r="K107" s="1081"/>
      <c r="L107" s="1081"/>
      <c r="M107" s="1069"/>
      <c r="N107" s="1069"/>
    </row>
    <row r="108" spans="1:14">
      <c r="A108" s="1110"/>
      <c r="B108" s="1075"/>
      <c r="C108" s="1110" t="s">
        <v>1083</v>
      </c>
      <c r="D108" s="1076">
        <v>21</v>
      </c>
      <c r="E108" s="1077">
        <v>40</v>
      </c>
      <c r="F108" s="1076"/>
      <c r="G108" s="1077">
        <v>3</v>
      </c>
      <c r="H108" s="1123" t="s">
        <v>3032</v>
      </c>
      <c r="I108" s="1124"/>
      <c r="J108" s="1081" t="s">
        <v>3033</v>
      </c>
      <c r="K108" s="1081"/>
      <c r="L108" s="1081"/>
      <c r="M108" s="1069"/>
      <c r="N108" s="1069"/>
    </row>
    <row r="109" spans="1:14">
      <c r="A109" s="1110"/>
      <c r="B109" s="1075"/>
      <c r="C109" s="1110" t="s">
        <v>1083</v>
      </c>
      <c r="D109" s="1076">
        <v>27.5</v>
      </c>
      <c r="E109" s="1077">
        <v>53</v>
      </c>
      <c r="F109" s="1076"/>
      <c r="G109" s="1077">
        <v>3</v>
      </c>
      <c r="H109" s="1123" t="s">
        <v>3034</v>
      </c>
      <c r="I109" s="1124"/>
      <c r="J109" s="1081" t="s">
        <v>3035</v>
      </c>
      <c r="K109" s="1081"/>
      <c r="L109" s="1081"/>
      <c r="M109" s="1069"/>
      <c r="N109" s="1069"/>
    </row>
    <row r="110" spans="1:14">
      <c r="A110" s="1110"/>
      <c r="B110" s="1075"/>
      <c r="C110" s="1110" t="s">
        <v>1083</v>
      </c>
      <c r="D110" s="1076">
        <v>56</v>
      </c>
      <c r="E110" s="1077">
        <v>105</v>
      </c>
      <c r="F110" s="1076"/>
      <c r="G110" s="1077">
        <v>3</v>
      </c>
      <c r="H110" s="1123" t="s">
        <v>3036</v>
      </c>
      <c r="I110" s="1124"/>
      <c r="J110" s="1081" t="s">
        <v>3037</v>
      </c>
      <c r="K110" s="1081"/>
      <c r="L110" s="1081"/>
      <c r="M110" s="1069"/>
      <c r="N110" s="1069"/>
    </row>
    <row r="111" spans="1:14">
      <c r="A111" s="1110"/>
      <c r="B111" s="1075"/>
      <c r="C111" s="1110" t="s">
        <v>1083</v>
      </c>
      <c r="D111" s="1076">
        <v>46.5</v>
      </c>
      <c r="E111" s="1077">
        <v>90</v>
      </c>
      <c r="F111" s="1076"/>
      <c r="G111" s="1077">
        <v>3</v>
      </c>
      <c r="H111" s="1123" t="s">
        <v>3038</v>
      </c>
      <c r="I111" s="1124"/>
      <c r="J111" s="1081" t="s">
        <v>3039</v>
      </c>
      <c r="K111" s="1081"/>
      <c r="L111" s="1081"/>
      <c r="M111" s="1069"/>
      <c r="N111" s="1069"/>
    </row>
    <row r="112" spans="1:14">
      <c r="A112" s="1137"/>
      <c r="B112" s="1085"/>
      <c r="C112" s="1137" t="s">
        <v>1083</v>
      </c>
      <c r="D112" s="1086"/>
      <c r="E112" s="1087"/>
      <c r="F112" s="1086"/>
      <c r="G112" s="1087"/>
      <c r="H112" s="1125"/>
      <c r="I112" s="1126"/>
      <c r="J112" s="1081" t="s">
        <v>3040</v>
      </c>
      <c r="K112" s="1090"/>
      <c r="L112" s="1090"/>
      <c r="M112" s="1069"/>
      <c r="N112" s="1069"/>
    </row>
    <row r="113" spans="1:14">
      <c r="A113" s="1074" t="s">
        <v>1684</v>
      </c>
      <c r="B113" s="1075" t="s">
        <v>1685</v>
      </c>
      <c r="C113" s="1074" t="s">
        <v>1426</v>
      </c>
      <c r="D113" s="1076"/>
      <c r="E113" s="1077"/>
      <c r="F113" s="1076"/>
      <c r="G113" s="1077"/>
      <c r="H113" s="1082" t="s">
        <v>2264</v>
      </c>
      <c r="I113" s="1117"/>
      <c r="J113" s="1081" t="s">
        <v>2217</v>
      </c>
      <c r="K113" s="1081"/>
      <c r="L113" s="1081"/>
      <c r="M113" s="1069"/>
      <c r="N113" s="1069"/>
    </row>
    <row r="114" spans="1:14">
      <c r="A114" s="1074"/>
      <c r="B114" s="1075"/>
      <c r="C114" s="1074" t="s">
        <v>1426</v>
      </c>
      <c r="D114" s="1076"/>
      <c r="E114" s="1077"/>
      <c r="F114" s="1076"/>
      <c r="G114" s="1077"/>
      <c r="H114" s="1082" t="s">
        <v>2265</v>
      </c>
      <c r="I114" s="1117"/>
      <c r="J114" s="1081" t="s">
        <v>2266</v>
      </c>
      <c r="K114" s="1081"/>
      <c r="L114" s="1081"/>
      <c r="M114" s="1069"/>
      <c r="N114" s="1069"/>
    </row>
    <row r="115" spans="1:14">
      <c r="A115" s="1084"/>
      <c r="B115" s="1085"/>
      <c r="C115" s="1084" t="s">
        <v>1426</v>
      </c>
      <c r="D115" s="1086"/>
      <c r="E115" s="1087"/>
      <c r="F115" s="1086"/>
      <c r="G115" s="1087"/>
      <c r="H115" s="1088" t="s">
        <v>2267</v>
      </c>
      <c r="I115" s="1118"/>
      <c r="J115" s="1090" t="s">
        <v>2268</v>
      </c>
      <c r="K115" s="1090"/>
      <c r="L115" s="1090"/>
      <c r="M115" s="1069"/>
      <c r="N115" s="1069"/>
    </row>
    <row r="116" spans="1:14">
      <c r="A116" s="1074" t="s">
        <v>1687</v>
      </c>
      <c r="B116" s="1075" t="s">
        <v>1685</v>
      </c>
      <c r="C116" s="1074" t="s">
        <v>729</v>
      </c>
      <c r="D116" s="1076">
        <v>28</v>
      </c>
      <c r="E116" s="1077">
        <v>48</v>
      </c>
      <c r="F116" s="1076">
        <v>25.5</v>
      </c>
      <c r="G116" s="1077">
        <v>3</v>
      </c>
      <c r="H116" s="1082" t="s">
        <v>3041</v>
      </c>
      <c r="I116" s="1117"/>
      <c r="J116" s="1081"/>
      <c r="K116" s="1081"/>
      <c r="L116" s="1081"/>
      <c r="M116" s="1069"/>
      <c r="N116" s="1069"/>
    </row>
    <row r="117" spans="1:14">
      <c r="A117" s="1074"/>
      <c r="B117" s="1075"/>
      <c r="C117" s="1074" t="s">
        <v>729</v>
      </c>
      <c r="D117" s="1077">
        <v>48</v>
      </c>
      <c r="E117" s="1076">
        <v>25.5</v>
      </c>
      <c r="F117" s="1076">
        <v>20</v>
      </c>
      <c r="G117" s="1077">
        <v>3</v>
      </c>
      <c r="H117" s="1082" t="s">
        <v>3042</v>
      </c>
      <c r="I117" s="1117"/>
      <c r="J117" s="1081"/>
      <c r="K117" s="1081"/>
      <c r="L117" s="1081"/>
      <c r="M117" s="1069"/>
      <c r="N117" s="1069"/>
    </row>
    <row r="118" spans="1:14">
      <c r="A118" s="1074"/>
      <c r="B118" s="1075"/>
      <c r="C118" s="1074" t="s">
        <v>729</v>
      </c>
      <c r="D118" s="1076">
        <v>33</v>
      </c>
      <c r="E118" s="1077">
        <v>56</v>
      </c>
      <c r="F118" s="1076">
        <v>29</v>
      </c>
      <c r="G118" s="1077">
        <v>3</v>
      </c>
      <c r="H118" s="1082" t="s">
        <v>3043</v>
      </c>
      <c r="I118" s="1117"/>
      <c r="J118" s="1081"/>
      <c r="K118" s="1081"/>
      <c r="L118" s="1081"/>
      <c r="M118" s="1069"/>
      <c r="N118" s="1069"/>
    </row>
    <row r="119" spans="1:14">
      <c r="A119" s="1074"/>
      <c r="B119" s="1075"/>
      <c r="C119" s="1074" t="s">
        <v>729</v>
      </c>
      <c r="D119" s="1076">
        <v>28</v>
      </c>
      <c r="E119" s="1077">
        <v>48</v>
      </c>
      <c r="F119" s="1076">
        <v>25.5</v>
      </c>
      <c r="G119" s="1077">
        <v>3</v>
      </c>
      <c r="H119" s="1082" t="s">
        <v>3044</v>
      </c>
      <c r="I119" s="1117"/>
      <c r="J119" s="1081"/>
      <c r="K119" s="1081"/>
      <c r="L119" s="1081"/>
      <c r="M119" s="1069"/>
      <c r="N119" s="1069"/>
    </row>
    <row r="120" spans="1:14">
      <c r="A120" s="1074"/>
      <c r="B120" s="1075"/>
      <c r="C120" s="1106" t="s">
        <v>3045</v>
      </c>
      <c r="D120" s="1076">
        <v>33</v>
      </c>
      <c r="E120" s="1077">
        <v>56</v>
      </c>
      <c r="F120" s="1076">
        <v>29</v>
      </c>
      <c r="G120" s="1077">
        <v>3</v>
      </c>
      <c r="H120" s="1123" t="s">
        <v>3046</v>
      </c>
      <c r="I120" s="1117"/>
      <c r="J120" s="1081"/>
      <c r="K120" s="1081"/>
      <c r="L120" s="1081"/>
      <c r="M120" s="1069"/>
      <c r="N120" s="1069"/>
    </row>
    <row r="121" spans="1:14">
      <c r="A121" s="1091"/>
      <c r="B121" s="1075"/>
      <c r="C121" s="1106" t="s">
        <v>729</v>
      </c>
      <c r="D121" s="1076">
        <v>25</v>
      </c>
      <c r="E121" s="1077">
        <v>44</v>
      </c>
      <c r="F121" s="1076">
        <v>23.5</v>
      </c>
      <c r="G121" s="1077">
        <v>3</v>
      </c>
      <c r="H121" s="1082" t="s">
        <v>3047</v>
      </c>
      <c r="I121" s="1117"/>
      <c r="J121" s="1081" t="s">
        <v>3048</v>
      </c>
      <c r="K121" s="1081"/>
      <c r="L121" s="1081"/>
      <c r="M121" s="1069"/>
      <c r="N121" s="1069"/>
    </row>
    <row r="122" spans="1:14">
      <c r="A122" s="1091"/>
      <c r="B122" s="1075"/>
      <c r="C122" s="1138" t="s">
        <v>729</v>
      </c>
      <c r="D122" s="1076">
        <v>41</v>
      </c>
      <c r="E122" s="1077">
        <v>72</v>
      </c>
      <c r="F122" s="1076">
        <v>34</v>
      </c>
      <c r="G122" s="1112">
        <v>3</v>
      </c>
      <c r="H122" s="1078" t="s">
        <v>3049</v>
      </c>
      <c r="I122" s="1117"/>
      <c r="J122" s="1081"/>
      <c r="K122" s="1081"/>
      <c r="L122" s="1081"/>
      <c r="M122" s="1069"/>
      <c r="N122" s="1069"/>
    </row>
    <row r="123" spans="1:14">
      <c r="A123" s="1127"/>
      <c r="B123" s="1085"/>
      <c r="C123" s="1139" t="s">
        <v>729</v>
      </c>
      <c r="D123" s="1086">
        <v>41</v>
      </c>
      <c r="E123" s="1087">
        <v>72</v>
      </c>
      <c r="F123" s="1086">
        <v>34</v>
      </c>
      <c r="G123" s="1087">
        <v>3</v>
      </c>
      <c r="H123" s="1088" t="s">
        <v>3050</v>
      </c>
      <c r="I123" s="1470"/>
      <c r="J123" s="1090"/>
      <c r="K123" s="1090"/>
      <c r="L123" s="1090"/>
      <c r="M123" s="1069"/>
      <c r="N123" s="1069"/>
    </row>
    <row r="124" spans="1:14">
      <c r="A124" s="1070" t="s">
        <v>1683</v>
      </c>
      <c r="B124" s="1071" t="s">
        <v>360</v>
      </c>
      <c r="C124" s="1070" t="s">
        <v>327</v>
      </c>
      <c r="D124" s="1141" t="s">
        <v>2214</v>
      </c>
      <c r="E124" s="1142" t="s">
        <v>962</v>
      </c>
      <c r="F124" s="1141"/>
      <c r="G124" s="1142" t="s">
        <v>196</v>
      </c>
      <c r="H124" s="1141" t="s">
        <v>2215</v>
      </c>
      <c r="I124" s="1143" t="s">
        <v>2216</v>
      </c>
      <c r="J124" s="1142"/>
      <c r="K124" s="1141"/>
      <c r="L124" s="1141"/>
      <c r="M124" s="1069"/>
      <c r="N124" s="1069"/>
    </row>
    <row r="125" spans="1:14">
      <c r="A125" s="1145" t="s">
        <v>1687</v>
      </c>
      <c r="B125" s="743" t="s">
        <v>1707</v>
      </c>
      <c r="C125" s="1144" t="s">
        <v>3051</v>
      </c>
      <c r="D125" s="1146">
        <v>30</v>
      </c>
      <c r="E125" s="1146">
        <v>43</v>
      </c>
      <c r="F125" s="1146"/>
      <c r="G125" s="1146"/>
      <c r="H125" s="1549" t="s">
        <v>3025</v>
      </c>
      <c r="I125" s="1147"/>
      <c r="J125" s="1147" t="s">
        <v>3052</v>
      </c>
      <c r="K125" s="1147"/>
      <c r="L125" s="1148"/>
      <c r="M125" s="1069"/>
      <c r="N125" s="1069"/>
    </row>
    <row r="126" spans="1:14">
      <c r="A126" s="1197"/>
      <c r="B126" s="1550"/>
      <c r="C126" s="1197" t="s">
        <v>3051</v>
      </c>
      <c r="D126" s="1155">
        <v>35</v>
      </c>
      <c r="E126" s="1155">
        <v>45</v>
      </c>
      <c r="F126" s="1155"/>
      <c r="G126" s="1155"/>
      <c r="H126" s="1196" t="s">
        <v>3053</v>
      </c>
      <c r="I126" s="1449"/>
      <c r="J126" s="1551" t="s">
        <v>2299</v>
      </c>
      <c r="K126" s="1449"/>
      <c r="L126" s="1551"/>
      <c r="M126" s="1069"/>
      <c r="N126" s="1069"/>
    </row>
    <row r="127" spans="1:14">
      <c r="A127" s="1197"/>
      <c r="B127" s="1550"/>
      <c r="C127" s="1197"/>
      <c r="D127" s="1155"/>
      <c r="E127" s="1155"/>
      <c r="F127" s="1155"/>
      <c r="G127" s="1155"/>
      <c r="H127" s="1151"/>
      <c r="I127" s="1449"/>
      <c r="J127" s="1551" t="s">
        <v>3054</v>
      </c>
      <c r="K127" s="1449"/>
      <c r="L127" s="1551"/>
      <c r="M127" s="1069"/>
      <c r="N127" s="1069"/>
    </row>
    <row r="128" spans="1:14">
      <c r="A128" s="1197"/>
      <c r="B128" s="1550"/>
      <c r="C128" s="1197"/>
      <c r="D128" s="1155"/>
      <c r="E128" s="1155"/>
      <c r="F128" s="1155"/>
      <c r="G128" s="1155"/>
      <c r="H128" s="1151"/>
      <c r="I128" s="1449"/>
      <c r="J128" s="1551" t="s">
        <v>3055</v>
      </c>
      <c r="K128" s="1449"/>
      <c r="L128" s="1551"/>
      <c r="M128" s="1069"/>
      <c r="N128" s="1069"/>
    </row>
    <row r="129" spans="1:18">
      <c r="A129" s="1149"/>
      <c r="B129" s="744"/>
      <c r="C129" s="1149"/>
      <c r="D129" s="1150"/>
      <c r="E129" s="1150"/>
      <c r="F129" s="1150"/>
      <c r="G129" s="1150"/>
      <c r="H129" s="1198"/>
      <c r="I129" s="1449"/>
      <c r="J129" s="1449" t="s">
        <v>3056</v>
      </c>
      <c r="K129" s="1449"/>
      <c r="L129" s="1551"/>
      <c r="M129" s="1069"/>
      <c r="N129" s="1069"/>
    </row>
    <row r="130" spans="1:18" s="1135" customFormat="1">
      <c r="A130" s="1552" t="s">
        <v>1687</v>
      </c>
      <c r="B130" s="1552" t="s">
        <v>1707</v>
      </c>
      <c r="C130" s="1636" t="s">
        <v>210</v>
      </c>
      <c r="D130" s="1146">
        <v>28.6</v>
      </c>
      <c r="E130" s="1146">
        <v>38.6</v>
      </c>
      <c r="F130" s="1146"/>
      <c r="G130" s="1146"/>
      <c r="H130" s="1156" t="s">
        <v>3161</v>
      </c>
      <c r="I130" s="1633"/>
      <c r="J130" s="2831" t="s">
        <v>2312</v>
      </c>
      <c r="K130" s="2831"/>
      <c r="L130" s="2831"/>
      <c r="R130" s="1135">
        <v>3</v>
      </c>
    </row>
    <row r="131" spans="1:18">
      <c r="A131" s="743"/>
      <c r="B131" s="743"/>
      <c r="C131" s="1637" t="s">
        <v>210</v>
      </c>
      <c r="D131" s="1155">
        <v>31.6</v>
      </c>
      <c r="E131" s="1155">
        <v>41.6</v>
      </c>
      <c r="F131" s="1155"/>
      <c r="G131" s="1155"/>
      <c r="H131" s="1157" t="s">
        <v>3068</v>
      </c>
      <c r="I131" s="1631"/>
      <c r="J131" s="2832"/>
      <c r="K131" s="2832"/>
      <c r="L131" s="2832"/>
    </row>
    <row r="132" spans="1:18">
      <c r="A132" s="1550"/>
      <c r="B132" s="1550"/>
      <c r="C132" s="1637" t="s">
        <v>210</v>
      </c>
      <c r="D132" s="1155"/>
      <c r="E132" s="1155"/>
      <c r="F132" s="1155"/>
      <c r="G132" s="1155"/>
      <c r="H132" s="1157"/>
      <c r="I132" s="1631"/>
      <c r="J132" s="2832"/>
      <c r="K132" s="2832"/>
      <c r="L132" s="2832"/>
      <c r="R132" s="557">
        <v>3</v>
      </c>
    </row>
    <row r="133" spans="1:18" s="464" customFormat="1">
      <c r="A133" s="744"/>
      <c r="B133" s="744"/>
      <c r="C133" s="1634"/>
      <c r="D133" s="1150"/>
      <c r="E133" s="1150"/>
      <c r="F133" s="1150"/>
      <c r="G133" s="1150"/>
      <c r="H133" s="1158"/>
      <c r="I133" s="1554" t="s">
        <v>3057</v>
      </c>
      <c r="J133" s="1423"/>
      <c r="K133" s="1423"/>
      <c r="L133" s="1423"/>
    </row>
    <row r="134" spans="1:18" s="1135" customFormat="1">
      <c r="A134" s="1552" t="s">
        <v>1687</v>
      </c>
      <c r="B134" s="1552" t="s">
        <v>1707</v>
      </c>
      <c r="C134" s="1636" t="s">
        <v>1422</v>
      </c>
      <c r="D134" s="1146">
        <v>24</v>
      </c>
      <c r="E134" s="1146">
        <v>33</v>
      </c>
      <c r="F134" s="1146">
        <v>24</v>
      </c>
      <c r="G134" s="1146"/>
      <c r="H134" s="1156" t="s">
        <v>3162</v>
      </c>
      <c r="I134" s="1147"/>
      <c r="J134" s="1147" t="s">
        <v>2313</v>
      </c>
      <c r="K134" s="1147"/>
      <c r="L134" s="1193"/>
      <c r="R134" s="1135">
        <v>2</v>
      </c>
    </row>
    <row r="135" spans="1:18">
      <c r="A135" s="743"/>
      <c r="B135" s="743"/>
      <c r="C135" s="1637" t="s">
        <v>1422</v>
      </c>
      <c r="D135" s="1155">
        <v>39</v>
      </c>
      <c r="E135" s="1155">
        <v>48</v>
      </c>
      <c r="F135" s="1155">
        <v>39</v>
      </c>
      <c r="G135" s="1155"/>
      <c r="H135" s="1157" t="s">
        <v>3163</v>
      </c>
      <c r="I135" s="1152"/>
      <c r="J135" s="1152" t="s">
        <v>2314</v>
      </c>
      <c r="K135" s="1152"/>
      <c r="L135" s="1160"/>
      <c r="R135" s="557">
        <v>2</v>
      </c>
    </row>
    <row r="136" spans="1:18">
      <c r="A136" s="743"/>
      <c r="B136" s="743"/>
      <c r="C136" s="1637" t="s">
        <v>1422</v>
      </c>
      <c r="D136" s="1155">
        <v>48</v>
      </c>
      <c r="E136" s="1155">
        <v>57</v>
      </c>
      <c r="F136" s="1155">
        <v>48</v>
      </c>
      <c r="G136" s="1155"/>
      <c r="H136" s="1157" t="s">
        <v>3164</v>
      </c>
      <c r="I136" s="1152"/>
      <c r="J136" s="1152" t="s">
        <v>2315</v>
      </c>
      <c r="K136" s="1152"/>
      <c r="L136" s="1160"/>
    </row>
    <row r="137" spans="1:18">
      <c r="A137" s="1550"/>
      <c r="B137" s="1550"/>
      <c r="C137" s="1637" t="s">
        <v>1422</v>
      </c>
      <c r="D137" s="1155">
        <v>39</v>
      </c>
      <c r="E137" s="1155">
        <v>48</v>
      </c>
      <c r="F137" s="1155">
        <v>39</v>
      </c>
      <c r="G137" s="1155"/>
      <c r="H137" s="1157" t="s">
        <v>3165</v>
      </c>
      <c r="I137" s="1152"/>
      <c r="J137" s="1152" t="s">
        <v>2316</v>
      </c>
      <c r="K137" s="1152"/>
      <c r="L137" s="1160"/>
      <c r="R137" s="557">
        <v>2</v>
      </c>
    </row>
    <row r="138" spans="1:18">
      <c r="A138" s="1550"/>
      <c r="B138" s="1550"/>
      <c r="C138" s="1637" t="s">
        <v>1422</v>
      </c>
      <c r="D138" s="1155">
        <v>24</v>
      </c>
      <c r="E138" s="1155">
        <v>33</v>
      </c>
      <c r="F138" s="1155">
        <v>24</v>
      </c>
      <c r="G138" s="1155"/>
      <c r="H138" s="1157" t="s">
        <v>3166</v>
      </c>
      <c r="I138" s="1632"/>
      <c r="J138" s="1632"/>
      <c r="K138" s="1632"/>
      <c r="L138" s="1632"/>
    </row>
    <row r="139" spans="1:18" s="464" customFormat="1">
      <c r="A139" s="744"/>
      <c r="B139" s="744"/>
      <c r="C139" s="746" t="s">
        <v>1422</v>
      </c>
      <c r="D139" s="1150">
        <v>48</v>
      </c>
      <c r="E139" s="1150">
        <v>57</v>
      </c>
      <c r="F139" s="1150">
        <v>48</v>
      </c>
      <c r="G139" s="1150"/>
      <c r="H139" s="1158" t="s">
        <v>3167</v>
      </c>
      <c r="I139" s="1632"/>
      <c r="J139" s="1632" t="s">
        <v>3058</v>
      </c>
      <c r="K139" s="1632"/>
      <c r="L139" s="1632"/>
    </row>
    <row r="140" spans="1:18" s="1135" customFormat="1">
      <c r="A140" s="1552" t="s">
        <v>1687</v>
      </c>
      <c r="B140" s="1552" t="s">
        <v>1707</v>
      </c>
      <c r="C140" s="747" t="s">
        <v>168</v>
      </c>
      <c r="D140" s="1146"/>
      <c r="E140" s="1146"/>
      <c r="F140" s="1146"/>
      <c r="G140" s="1146"/>
      <c r="H140" s="1162"/>
      <c r="I140" s="1147"/>
      <c r="J140" s="1147"/>
      <c r="K140" s="1147"/>
      <c r="L140" s="1193"/>
    </row>
    <row r="141" spans="1:18">
      <c r="A141" s="748"/>
      <c r="B141" s="748"/>
      <c r="C141" s="746" t="s">
        <v>168</v>
      </c>
      <c r="D141" s="1150"/>
      <c r="E141" s="1150"/>
      <c r="F141" s="1150"/>
      <c r="G141" s="1150"/>
      <c r="H141" s="1163"/>
      <c r="I141" s="1153"/>
      <c r="J141" s="1153"/>
      <c r="K141" s="1153"/>
      <c r="L141" s="1161"/>
    </row>
    <row r="142" spans="1:18">
      <c r="A142" s="1154"/>
      <c r="B142" s="743"/>
      <c r="C142" s="1154" t="s">
        <v>3061</v>
      </c>
      <c r="D142" s="1155">
        <v>63.6</v>
      </c>
      <c r="E142" s="1155">
        <v>100.6</v>
      </c>
      <c r="F142" s="1155">
        <v>57.6</v>
      </c>
      <c r="G142" s="1155">
        <v>3</v>
      </c>
      <c r="H142" s="1157" t="s">
        <v>3062</v>
      </c>
      <c r="I142" s="1152"/>
      <c r="J142" s="1152" t="s">
        <v>2317</v>
      </c>
      <c r="K142" s="1152"/>
      <c r="L142" s="1160"/>
      <c r="M142" s="1069"/>
      <c r="N142" s="1069"/>
    </row>
    <row r="143" spans="1:18">
      <c r="A143" s="745"/>
      <c r="B143" s="743"/>
      <c r="C143" s="1154" t="s">
        <v>3061</v>
      </c>
      <c r="D143" s="1155">
        <v>53.6</v>
      </c>
      <c r="E143" s="1155">
        <v>82.6</v>
      </c>
      <c r="F143" s="1155">
        <v>57.6</v>
      </c>
      <c r="G143" s="1155">
        <v>3</v>
      </c>
      <c r="H143" s="1157" t="s">
        <v>3063</v>
      </c>
      <c r="I143" s="1152"/>
      <c r="J143" s="1152" t="s">
        <v>2318</v>
      </c>
      <c r="K143" s="1152"/>
      <c r="L143" s="1160"/>
      <c r="M143" s="1069"/>
      <c r="N143" s="1069"/>
    </row>
    <row r="144" spans="1:18">
      <c r="A144" s="745"/>
      <c r="B144" s="743"/>
      <c r="C144" s="1154" t="s">
        <v>3064</v>
      </c>
      <c r="D144" s="1155">
        <v>74.099999999999994</v>
      </c>
      <c r="E144" s="1155">
        <v>125.6</v>
      </c>
      <c r="F144" s="1155">
        <v>57.6</v>
      </c>
      <c r="G144" s="1155">
        <v>3</v>
      </c>
      <c r="H144" s="1157" t="s">
        <v>3062</v>
      </c>
      <c r="I144" s="1553"/>
      <c r="J144" s="1153" t="s">
        <v>2248</v>
      </c>
      <c r="K144" s="1160"/>
      <c r="L144" s="1160"/>
      <c r="M144" s="1069"/>
      <c r="N144" s="1069"/>
    </row>
    <row r="145" spans="1:18">
      <c r="A145" s="745"/>
      <c r="B145" s="743"/>
      <c r="C145" s="1154" t="s">
        <v>3064</v>
      </c>
      <c r="D145" s="1155">
        <v>62.1</v>
      </c>
      <c r="E145" s="1155">
        <v>103.6</v>
      </c>
      <c r="F145" s="1155">
        <v>57.6</v>
      </c>
      <c r="G145" s="1164">
        <v>3</v>
      </c>
      <c r="H145" s="1157" t="s">
        <v>3063</v>
      </c>
      <c r="I145" s="1449"/>
      <c r="J145" s="1153"/>
      <c r="K145" s="1160"/>
      <c r="L145" s="1160"/>
      <c r="M145" s="1069"/>
      <c r="N145" s="1069"/>
    </row>
    <row r="146" spans="1:18">
      <c r="A146" s="1165"/>
      <c r="B146" s="748"/>
      <c r="C146" s="1165" t="s">
        <v>3059</v>
      </c>
      <c r="D146" s="1166" t="s">
        <v>696</v>
      </c>
      <c r="E146" s="1166" t="s">
        <v>696</v>
      </c>
      <c r="F146" s="1150"/>
      <c r="G146" s="1194">
        <v>3</v>
      </c>
      <c r="H146" s="1158" t="s">
        <v>3065</v>
      </c>
      <c r="I146" s="1161"/>
      <c r="J146" s="1153" t="s">
        <v>3066</v>
      </c>
      <c r="K146" s="1153"/>
      <c r="L146" s="1161"/>
      <c r="M146" s="1069"/>
      <c r="N146" s="1069"/>
    </row>
    <row r="147" spans="1:18">
      <c r="A147" s="1154" t="s">
        <v>1687</v>
      </c>
      <c r="B147" s="1550" t="s">
        <v>1707</v>
      </c>
      <c r="C147" s="1154" t="s">
        <v>3067</v>
      </c>
      <c r="D147" s="1168">
        <v>30</v>
      </c>
      <c r="E147" s="1168">
        <v>50</v>
      </c>
      <c r="F147" s="1168"/>
      <c r="G147" s="1168"/>
      <c r="H147" s="1157" t="s">
        <v>3025</v>
      </c>
      <c r="I147" s="1555"/>
      <c r="J147" s="1555" t="s">
        <v>2217</v>
      </c>
      <c r="K147" s="1555"/>
      <c r="L147" s="1555"/>
      <c r="M147" s="1069"/>
      <c r="N147" s="1069"/>
    </row>
    <row r="148" spans="1:18">
      <c r="A148" s="1154"/>
      <c r="B148" s="749"/>
      <c r="C148" s="1556" t="s">
        <v>3067</v>
      </c>
      <c r="D148" s="1168">
        <v>35</v>
      </c>
      <c r="E148" s="1168">
        <v>60</v>
      </c>
      <c r="F148" s="1168"/>
      <c r="G148" s="1168"/>
      <c r="H148" s="1157" t="s">
        <v>3068</v>
      </c>
      <c r="I148" s="1551"/>
      <c r="J148" s="1551" t="s">
        <v>3069</v>
      </c>
      <c r="K148" s="1551"/>
      <c r="L148" s="1551"/>
      <c r="M148" s="1069"/>
      <c r="N148" s="1069"/>
    </row>
    <row r="149" spans="1:18">
      <c r="A149" s="1154"/>
      <c r="B149" s="749"/>
      <c r="C149" s="1556" t="s">
        <v>3067</v>
      </c>
      <c r="D149" s="1168">
        <v>30</v>
      </c>
      <c r="E149" s="1168">
        <v>50</v>
      </c>
      <c r="F149" s="1168"/>
      <c r="G149" s="1168"/>
      <c r="H149" s="1157" t="s">
        <v>3070</v>
      </c>
      <c r="I149" s="1551"/>
      <c r="J149" s="1551" t="s">
        <v>3071</v>
      </c>
      <c r="K149" s="1551"/>
      <c r="L149" s="1551"/>
      <c r="M149" s="1069"/>
      <c r="N149" s="1069"/>
    </row>
    <row r="150" spans="1:18">
      <c r="A150" s="1165"/>
      <c r="B150" s="749"/>
      <c r="C150" s="1557"/>
      <c r="D150" s="1166"/>
      <c r="E150" s="1166"/>
      <c r="F150" s="1166"/>
      <c r="G150" s="1166"/>
      <c r="H150" s="1158"/>
      <c r="I150" s="1551"/>
      <c r="J150" s="1551" t="s">
        <v>3072</v>
      </c>
      <c r="K150" s="1551"/>
      <c r="L150" s="1551"/>
      <c r="M150" s="1069"/>
      <c r="N150" s="1069"/>
    </row>
    <row r="151" spans="1:18" s="1135" customFormat="1">
      <c r="A151" s="1552" t="s">
        <v>1687</v>
      </c>
      <c r="B151" s="1552" t="s">
        <v>1707</v>
      </c>
      <c r="C151" s="1159" t="s">
        <v>1423</v>
      </c>
      <c r="D151" s="1167">
        <v>94</v>
      </c>
      <c r="E151" s="1167">
        <v>104</v>
      </c>
      <c r="F151" s="1167"/>
      <c r="G151" s="1167"/>
      <c r="H151" s="1156" t="s">
        <v>3168</v>
      </c>
      <c r="I151" s="1147"/>
      <c r="J151" s="1147" t="s">
        <v>2313</v>
      </c>
      <c r="K151" s="1147"/>
      <c r="L151" s="1193"/>
      <c r="R151" s="1135">
        <v>2</v>
      </c>
    </row>
    <row r="152" spans="1:18" ht="14.25" customHeight="1">
      <c r="A152" s="743"/>
      <c r="B152" s="743"/>
      <c r="C152" s="1154" t="s">
        <v>1423</v>
      </c>
      <c r="D152" s="1168">
        <v>75</v>
      </c>
      <c r="E152" s="1168">
        <v>85</v>
      </c>
      <c r="F152" s="1168"/>
      <c r="G152" s="1168"/>
      <c r="H152" s="1157" t="s">
        <v>3169</v>
      </c>
      <c r="I152" s="1152"/>
      <c r="J152" s="1152" t="s">
        <v>2314</v>
      </c>
      <c r="K152" s="1152"/>
      <c r="L152" s="1160"/>
      <c r="R152" s="557">
        <v>2</v>
      </c>
    </row>
    <row r="153" spans="1:18" ht="14.25" customHeight="1">
      <c r="A153" s="743"/>
      <c r="B153" s="743"/>
      <c r="C153" s="1154" t="s">
        <v>1423</v>
      </c>
      <c r="D153" s="1168">
        <v>94</v>
      </c>
      <c r="E153" s="1168">
        <v>104</v>
      </c>
      <c r="F153" s="1168"/>
      <c r="G153" s="1168"/>
      <c r="H153" s="1157" t="s">
        <v>3170</v>
      </c>
      <c r="I153" s="1152"/>
      <c r="J153" s="1152" t="s">
        <v>2319</v>
      </c>
      <c r="K153" s="1152"/>
      <c r="L153" s="1160"/>
    </row>
    <row r="154" spans="1:18">
      <c r="A154" s="1550"/>
      <c r="B154" s="1550"/>
      <c r="C154" s="1154" t="s">
        <v>1423</v>
      </c>
      <c r="D154" s="1168">
        <v>75</v>
      </c>
      <c r="E154" s="1168">
        <v>85</v>
      </c>
      <c r="F154" s="1168"/>
      <c r="G154" s="1168"/>
      <c r="H154" s="1157" t="s">
        <v>3171</v>
      </c>
      <c r="I154" s="1152"/>
      <c r="J154" s="1152" t="s">
        <v>2320</v>
      </c>
      <c r="K154" s="1152"/>
      <c r="L154" s="1160"/>
      <c r="R154" s="557">
        <v>2</v>
      </c>
    </row>
    <row r="155" spans="1:18" s="464" customFormat="1">
      <c r="A155" s="744"/>
      <c r="B155" s="744"/>
      <c r="C155" s="1165"/>
      <c r="D155" s="1166"/>
      <c r="E155" s="1166"/>
      <c r="F155" s="1166"/>
      <c r="G155" s="1166"/>
      <c r="H155" s="1158"/>
      <c r="I155" s="1632"/>
      <c r="J155" s="1632" t="s">
        <v>3073</v>
      </c>
      <c r="K155" s="1632"/>
      <c r="L155" s="1632"/>
    </row>
    <row r="156" spans="1:18">
      <c r="A156" s="747" t="s">
        <v>1687</v>
      </c>
      <c r="B156" s="1159" t="s">
        <v>1713</v>
      </c>
      <c r="C156" s="1552" t="s">
        <v>328</v>
      </c>
      <c r="D156" s="1182">
        <v>29</v>
      </c>
      <c r="E156" s="1146">
        <v>44</v>
      </c>
      <c r="F156" s="1146">
        <v>29</v>
      </c>
      <c r="G156" s="1146"/>
      <c r="H156" s="1183" t="s">
        <v>3074</v>
      </c>
      <c r="I156" s="1184"/>
      <c r="J156" s="1172"/>
      <c r="K156" s="1173"/>
      <c r="L156" s="1174"/>
      <c r="M156" s="1069"/>
      <c r="N156" s="1069"/>
    </row>
    <row r="157" spans="1:18">
      <c r="A157" s="745"/>
      <c r="B157" s="745"/>
      <c r="C157" s="743" t="s">
        <v>328</v>
      </c>
      <c r="D157" s="1175">
        <v>38</v>
      </c>
      <c r="E157" s="1155">
        <v>59</v>
      </c>
      <c r="F157" s="1155">
        <v>39</v>
      </c>
      <c r="G157" s="1155"/>
      <c r="H157" s="1170" t="s">
        <v>3075</v>
      </c>
      <c r="I157" s="1171"/>
      <c r="J157" s="1176"/>
      <c r="K157" s="1177"/>
      <c r="L157" s="1178"/>
      <c r="M157" s="1069"/>
      <c r="N157" s="1069"/>
    </row>
    <row r="158" spans="1:18">
      <c r="A158" s="745"/>
      <c r="B158" s="745"/>
      <c r="C158" s="743" t="s">
        <v>328</v>
      </c>
      <c r="D158" s="1175">
        <v>33</v>
      </c>
      <c r="E158" s="1155">
        <v>49</v>
      </c>
      <c r="F158" s="1155">
        <v>34</v>
      </c>
      <c r="G158" s="1155"/>
      <c r="H158" s="1170" t="s">
        <v>3076</v>
      </c>
      <c r="I158" s="1171"/>
      <c r="J158" s="1176" t="s">
        <v>2321</v>
      </c>
      <c r="K158" s="1177"/>
      <c r="L158" s="1178"/>
      <c r="M158" s="1069"/>
      <c r="N158" s="1069"/>
    </row>
    <row r="159" spans="1:18">
      <c r="A159" s="745"/>
      <c r="B159" s="745"/>
      <c r="C159" s="746" t="s">
        <v>328</v>
      </c>
      <c r="D159" s="1175">
        <v>38</v>
      </c>
      <c r="E159" s="1155">
        <v>59</v>
      </c>
      <c r="F159" s="1155">
        <v>39</v>
      </c>
      <c r="G159" s="1155"/>
      <c r="H159" s="1170" t="s">
        <v>3077</v>
      </c>
      <c r="I159" s="1171"/>
      <c r="J159" s="1179" t="s">
        <v>3078</v>
      </c>
      <c r="K159" s="1180"/>
      <c r="L159" s="1181"/>
      <c r="M159" s="1069"/>
      <c r="N159" s="1069"/>
    </row>
    <row r="160" spans="1:18">
      <c r="A160" s="747" t="s">
        <v>1701</v>
      </c>
      <c r="B160" s="1159" t="s">
        <v>1713</v>
      </c>
      <c r="C160" s="743" t="s">
        <v>329</v>
      </c>
      <c r="D160" s="1182">
        <v>57</v>
      </c>
      <c r="E160" s="1146">
        <v>106</v>
      </c>
      <c r="F160" s="1146">
        <v>48</v>
      </c>
      <c r="G160" s="1146"/>
      <c r="H160" s="1183" t="s">
        <v>3079</v>
      </c>
      <c r="I160" s="1184"/>
      <c r="J160" s="1185" t="s">
        <v>2321</v>
      </c>
      <c r="K160" s="1147"/>
      <c r="L160" s="1147"/>
      <c r="M160" s="1069"/>
      <c r="N160" s="1069"/>
    </row>
    <row r="161" spans="1:14" s="1109" customFormat="1">
      <c r="A161" s="745"/>
      <c r="B161" s="1154"/>
      <c r="C161" s="743" t="s">
        <v>329</v>
      </c>
      <c r="D161" s="1169">
        <v>52</v>
      </c>
      <c r="E161" s="1155">
        <v>96</v>
      </c>
      <c r="F161" s="1155">
        <v>45</v>
      </c>
      <c r="G161" s="1155"/>
      <c r="H161" s="1170" t="s">
        <v>3080</v>
      </c>
      <c r="I161" s="1171"/>
      <c r="J161" s="1186"/>
      <c r="K161" s="1152"/>
      <c r="L161" s="1152"/>
      <c r="M161" s="1482"/>
      <c r="N161" s="1482"/>
    </row>
    <row r="162" spans="1:14">
      <c r="A162" s="745"/>
      <c r="B162" s="745"/>
      <c r="C162" s="743" t="s">
        <v>329</v>
      </c>
      <c r="D162" s="1175">
        <v>62</v>
      </c>
      <c r="E162" s="1155">
        <v>114</v>
      </c>
      <c r="F162" s="1155">
        <v>51.5</v>
      </c>
      <c r="G162" s="1155"/>
      <c r="H162" s="1170" t="s">
        <v>3081</v>
      </c>
      <c r="I162" s="1171"/>
      <c r="J162" s="1186"/>
      <c r="K162" s="1152"/>
      <c r="L162" s="1152"/>
      <c r="M162" s="1069"/>
      <c r="N162" s="1069"/>
    </row>
    <row r="163" spans="1:14">
      <c r="A163" s="745"/>
      <c r="B163" s="745"/>
      <c r="C163" s="743" t="s">
        <v>329</v>
      </c>
      <c r="D163" s="1175">
        <v>57</v>
      </c>
      <c r="E163" s="1155">
        <v>106</v>
      </c>
      <c r="F163" s="1155">
        <v>48</v>
      </c>
      <c r="G163" s="1155"/>
      <c r="H163" s="1170" t="s">
        <v>3076</v>
      </c>
      <c r="I163" s="1171"/>
      <c r="J163" s="1186"/>
      <c r="K163" s="1152"/>
      <c r="L163" s="1152"/>
      <c r="M163" s="1069"/>
      <c r="N163" s="1069"/>
    </row>
    <row r="164" spans="1:14">
      <c r="A164" s="746"/>
      <c r="B164" s="746"/>
      <c r="C164" s="746" t="s">
        <v>329</v>
      </c>
      <c r="D164" s="1187">
        <v>62</v>
      </c>
      <c r="E164" s="1150">
        <v>114</v>
      </c>
      <c r="F164" s="1150">
        <v>51.5</v>
      </c>
      <c r="G164" s="1150"/>
      <c r="H164" s="1188" t="s">
        <v>3077</v>
      </c>
      <c r="I164" s="1189"/>
      <c r="J164" s="1190"/>
      <c r="K164" s="1191"/>
      <c r="L164" s="1191"/>
      <c r="M164" s="1069"/>
      <c r="N164" s="1069"/>
    </row>
    <row r="165" spans="1:14">
      <c r="A165" s="1145" t="s">
        <v>1687</v>
      </c>
      <c r="B165" s="1145" t="s">
        <v>3085</v>
      </c>
      <c r="C165" s="1145" t="s">
        <v>3082</v>
      </c>
      <c r="D165" s="1146"/>
      <c r="E165" s="1146"/>
      <c r="F165" s="1146"/>
      <c r="G165" s="1146"/>
      <c r="H165" s="1156"/>
      <c r="I165" s="1192"/>
      <c r="J165" s="1147">
        <f>[1]Prag!J169</f>
        <v>0</v>
      </c>
      <c r="K165" s="1473"/>
      <c r="L165" s="1473"/>
      <c r="M165" s="1069"/>
      <c r="N165" s="1069"/>
    </row>
    <row r="166" spans="1:14">
      <c r="A166" s="1195"/>
      <c r="B166" s="1195"/>
      <c r="C166" s="1195" t="s">
        <v>3082</v>
      </c>
      <c r="D166" s="1155"/>
      <c r="E166" s="1155"/>
      <c r="F166" s="1155"/>
      <c r="G166" s="1155"/>
      <c r="H166" s="1196"/>
      <c r="I166" s="1186"/>
      <c r="J166" s="1152">
        <f>[1]Prag!J171</f>
        <v>0</v>
      </c>
      <c r="K166" s="1473"/>
      <c r="L166" s="1473"/>
      <c r="M166" s="1069"/>
      <c r="N166" s="1069"/>
    </row>
    <row r="167" spans="1:14">
      <c r="A167" s="1195"/>
      <c r="B167" s="1195"/>
      <c r="C167" s="1195" t="s">
        <v>3082</v>
      </c>
      <c r="D167" s="1155"/>
      <c r="E167" s="1155"/>
      <c r="F167" s="1155"/>
      <c r="G167" s="1155"/>
      <c r="H167" s="1196"/>
      <c r="I167" s="1186"/>
      <c r="J167" s="1152">
        <f>[1]Prag!J172</f>
        <v>0</v>
      </c>
      <c r="K167" s="1477"/>
      <c r="L167" s="1477"/>
      <c r="M167" s="1069"/>
      <c r="N167" s="1069"/>
    </row>
    <row r="168" spans="1:14">
      <c r="A168" s="1195"/>
      <c r="B168" s="1195"/>
      <c r="C168" s="1195"/>
      <c r="D168" s="1155"/>
      <c r="E168" s="1155"/>
      <c r="F168" s="1155"/>
      <c r="G168" s="1155"/>
      <c r="H168" s="1196"/>
      <c r="I168" s="1559"/>
      <c r="J168" s="1449" t="s">
        <v>2946</v>
      </c>
      <c r="K168" s="1473"/>
      <c r="L168" s="1473"/>
      <c r="M168" s="1069"/>
      <c r="N168" s="1069"/>
    </row>
    <row r="169" spans="1:14">
      <c r="A169" s="1145" t="s">
        <v>1687</v>
      </c>
      <c r="B169" s="1145" t="s">
        <v>3085</v>
      </c>
      <c r="C169" s="1145" t="s">
        <v>3083</v>
      </c>
      <c r="D169" s="1146"/>
      <c r="E169" s="1146"/>
      <c r="F169" s="1146"/>
      <c r="G169" s="1146"/>
      <c r="H169" s="1549"/>
      <c r="I169" s="1560"/>
      <c r="J169" s="1193"/>
      <c r="K169" s="1473"/>
      <c r="L169" s="1473"/>
      <c r="M169" s="1069"/>
      <c r="N169" s="1069"/>
    </row>
    <row r="170" spans="1:14">
      <c r="A170" s="1195"/>
      <c r="B170" s="1195"/>
      <c r="C170" s="1195" t="s">
        <v>3083</v>
      </c>
      <c r="D170" s="1155"/>
      <c r="E170" s="1155"/>
      <c r="F170" s="1155"/>
      <c r="G170" s="1155"/>
      <c r="H170" s="1196"/>
      <c r="I170" s="1559"/>
      <c r="J170" s="1160"/>
      <c r="K170" s="1473"/>
      <c r="L170" s="1473"/>
      <c r="M170" s="1069"/>
      <c r="N170" s="1069"/>
    </row>
    <row r="171" spans="1:14">
      <c r="A171" s="1195"/>
      <c r="B171" s="1195"/>
      <c r="C171" s="1195" t="s">
        <v>3083</v>
      </c>
      <c r="D171" s="1155"/>
      <c r="E171" s="1155"/>
      <c r="F171" s="1155"/>
      <c r="G171" s="1155"/>
      <c r="H171" s="1196"/>
      <c r="I171" s="1559"/>
      <c r="J171" s="1160"/>
      <c r="K171" s="1473"/>
      <c r="L171" s="1473"/>
      <c r="M171" s="1069"/>
      <c r="N171" s="1069"/>
    </row>
    <row r="172" spans="1:14">
      <c r="A172" s="1558"/>
      <c r="B172" s="1558"/>
      <c r="C172" s="1558" t="s">
        <v>3083</v>
      </c>
      <c r="D172" s="1150"/>
      <c r="E172" s="1150"/>
      <c r="F172" s="1150"/>
      <c r="G172" s="1150"/>
      <c r="H172" s="1561"/>
      <c r="I172" s="1562"/>
      <c r="J172" s="1161"/>
      <c r="K172" s="1473"/>
      <c r="L172" s="1473"/>
      <c r="M172" s="1069"/>
      <c r="N172" s="1069"/>
    </row>
    <row r="173" spans="1:14">
      <c r="A173" s="1195" t="s">
        <v>1687</v>
      </c>
      <c r="B173" s="1145" t="s">
        <v>3085</v>
      </c>
      <c r="C173" s="1195" t="s">
        <v>3084</v>
      </c>
      <c r="D173" s="1155"/>
      <c r="E173" s="1155"/>
      <c r="F173" s="1155"/>
      <c r="G173" s="1155"/>
      <c r="H173" s="1196"/>
      <c r="I173" s="1559"/>
      <c r="J173" s="1449"/>
      <c r="K173" s="1477"/>
      <c r="L173" s="1477"/>
      <c r="M173" s="1069"/>
      <c r="N173" s="1069"/>
    </row>
    <row r="174" spans="1:14">
      <c r="A174" s="1195"/>
      <c r="B174" s="1195"/>
      <c r="C174" s="1195" t="s">
        <v>3084</v>
      </c>
      <c r="D174" s="1155"/>
      <c r="E174" s="1155"/>
      <c r="F174" s="1155"/>
      <c r="G174" s="1155"/>
      <c r="H174" s="1196"/>
      <c r="I174" s="1559"/>
      <c r="J174" s="1449"/>
      <c r="K174" s="1069"/>
      <c r="L174" s="1490"/>
      <c r="M174" s="1069"/>
      <c r="N174" s="1069"/>
    </row>
    <row r="175" spans="1:14">
      <c r="A175" s="1195"/>
      <c r="B175" s="1195"/>
      <c r="C175" s="1195" t="s">
        <v>3084</v>
      </c>
      <c r="D175" s="1155"/>
      <c r="E175" s="1155"/>
      <c r="F175" s="1155"/>
      <c r="G175" s="1155"/>
      <c r="H175" s="1196"/>
      <c r="I175" s="1559"/>
      <c r="J175" s="1449"/>
      <c r="K175" s="1069"/>
      <c r="L175" s="1492"/>
      <c r="M175" s="1069"/>
      <c r="N175" s="1069"/>
    </row>
    <row r="176" spans="1:14">
      <c r="A176" s="1144" t="s">
        <v>1687</v>
      </c>
      <c r="B176" s="1145" t="s">
        <v>3085</v>
      </c>
      <c r="C176" s="1144" t="s">
        <v>1424</v>
      </c>
      <c r="D176" s="1146">
        <v>21</v>
      </c>
      <c r="E176" s="1146">
        <v>42</v>
      </c>
      <c r="F176" s="1146"/>
      <c r="G176" s="1146"/>
      <c r="H176" s="1549" t="s">
        <v>3025</v>
      </c>
      <c r="I176" s="2833" t="s">
        <v>2217</v>
      </c>
      <c r="J176" s="2834"/>
      <c r="K176" s="1069"/>
      <c r="L176" s="1492"/>
      <c r="M176" s="1069"/>
      <c r="N176" s="1069"/>
    </row>
    <row r="177" spans="1:16">
      <c r="A177" s="1197"/>
      <c r="B177" s="1197"/>
      <c r="C177" s="1197" t="s">
        <v>1424</v>
      </c>
      <c r="D177" s="1155">
        <v>25</v>
      </c>
      <c r="E177" s="1155">
        <v>50</v>
      </c>
      <c r="F177" s="1155"/>
      <c r="G177" s="1155"/>
      <c r="H177" s="1196" t="s">
        <v>3086</v>
      </c>
      <c r="I177" s="2851" t="s">
        <v>2324</v>
      </c>
      <c r="J177" s="2852"/>
      <c r="K177" s="1069"/>
      <c r="L177" s="1492"/>
      <c r="M177" s="1069"/>
      <c r="N177" s="1069"/>
    </row>
    <row r="178" spans="1:16">
      <c r="A178" s="1197"/>
      <c r="B178" s="1197"/>
      <c r="C178" s="1197" t="s">
        <v>1424</v>
      </c>
      <c r="D178" s="1155">
        <v>27</v>
      </c>
      <c r="E178" s="1155">
        <v>54</v>
      </c>
      <c r="F178" s="1155"/>
      <c r="G178" s="1155"/>
      <c r="H178" s="1196" t="s">
        <v>3087</v>
      </c>
      <c r="I178" s="2851" t="s">
        <v>2302</v>
      </c>
      <c r="J178" s="2852"/>
      <c r="K178" s="1069"/>
      <c r="L178" s="1492"/>
      <c r="M178" s="1069"/>
      <c r="N178" s="1069"/>
    </row>
    <row r="179" spans="1:16">
      <c r="A179" s="1197"/>
      <c r="B179" s="1197"/>
      <c r="C179" s="1197" t="s">
        <v>1424</v>
      </c>
      <c r="D179" s="1155">
        <v>25</v>
      </c>
      <c r="E179" s="1155">
        <v>50</v>
      </c>
      <c r="F179" s="1155"/>
      <c r="G179" s="1155"/>
      <c r="H179" s="1151" t="s">
        <v>2978</v>
      </c>
      <c r="I179" s="2851" t="s">
        <v>2327</v>
      </c>
      <c r="J179" s="2852"/>
      <c r="K179" s="1069"/>
      <c r="L179" s="1492"/>
      <c r="M179" s="1069"/>
      <c r="N179" s="1069"/>
    </row>
    <row r="180" spans="1:16">
      <c r="A180" s="1197"/>
      <c r="B180" s="1197"/>
      <c r="C180" s="1197" t="s">
        <v>1424</v>
      </c>
      <c r="D180" s="1155">
        <v>27</v>
      </c>
      <c r="E180" s="1155">
        <v>54</v>
      </c>
      <c r="F180" s="1155"/>
      <c r="G180" s="1155"/>
      <c r="H180" s="1151" t="s">
        <v>3088</v>
      </c>
      <c r="I180" s="2853" t="s">
        <v>3089</v>
      </c>
      <c r="J180" s="2849"/>
      <c r="K180" s="1069"/>
      <c r="L180" s="1492"/>
      <c r="M180" s="1069"/>
      <c r="N180" s="1069"/>
    </row>
    <row r="181" spans="1:16">
      <c r="A181" s="1197"/>
      <c r="B181" s="1197"/>
      <c r="C181" s="1195" t="s">
        <v>1424</v>
      </c>
      <c r="D181" s="1155">
        <v>22</v>
      </c>
      <c r="E181" s="1155">
        <v>44</v>
      </c>
      <c r="F181" s="1155"/>
      <c r="G181" s="1155"/>
      <c r="H181" s="1196" t="s">
        <v>3090</v>
      </c>
      <c r="I181" s="1563" t="s">
        <v>3091</v>
      </c>
      <c r="J181" s="1564"/>
      <c r="K181" s="1069"/>
      <c r="L181" s="1492"/>
      <c r="M181" s="1069"/>
      <c r="N181" s="1069"/>
    </row>
    <row r="182" spans="1:16">
      <c r="A182" s="1149"/>
      <c r="B182" s="1149"/>
      <c r="C182" s="1149" t="s">
        <v>1424</v>
      </c>
      <c r="D182" s="1150">
        <v>38.5</v>
      </c>
      <c r="E182" s="1150">
        <v>77</v>
      </c>
      <c r="F182" s="1150"/>
      <c r="G182" s="1150"/>
      <c r="H182" s="1561" t="s">
        <v>3001</v>
      </c>
      <c r="I182" s="2835" t="s">
        <v>3092</v>
      </c>
      <c r="J182" s="2836"/>
      <c r="K182" s="1069"/>
      <c r="L182" s="1492"/>
      <c r="M182" s="1069"/>
      <c r="N182" s="1069"/>
    </row>
    <row r="183" spans="1:16">
      <c r="A183" s="1069"/>
      <c r="B183" s="1491"/>
      <c r="C183" s="1472"/>
      <c r="D183" s="1473"/>
      <c r="E183" s="1474"/>
      <c r="F183" s="1491"/>
      <c r="G183" s="1069"/>
      <c r="H183" s="1472"/>
      <c r="I183" s="1491"/>
      <c r="J183" s="1069"/>
      <c r="K183" s="1069"/>
      <c r="L183" s="1492"/>
      <c r="M183" s="1069"/>
      <c r="N183" s="1069"/>
    </row>
    <row r="184" spans="1:16">
      <c r="A184" s="1069"/>
      <c r="B184" s="1491"/>
      <c r="C184" s="1472"/>
      <c r="D184" s="1473"/>
      <c r="E184" s="1474"/>
      <c r="F184" s="1491"/>
      <c r="G184" s="1069"/>
      <c r="H184" s="1472"/>
      <c r="I184" s="1491"/>
      <c r="J184" s="1069"/>
      <c r="K184" s="1069"/>
      <c r="L184" s="1492"/>
      <c r="M184" s="1069"/>
      <c r="N184" s="1069"/>
    </row>
    <row r="185" spans="1:16">
      <c r="A185" s="1069"/>
      <c r="B185" s="1491"/>
      <c r="C185" s="1472"/>
      <c r="D185" s="1473"/>
      <c r="E185" s="1474"/>
      <c r="F185" s="1491"/>
      <c r="G185" s="1069"/>
      <c r="H185" s="1472"/>
      <c r="I185" s="1491"/>
      <c r="J185" s="1069"/>
      <c r="K185" s="1069"/>
      <c r="L185" s="1492"/>
      <c r="M185" s="1069"/>
      <c r="N185" s="1069"/>
    </row>
    <row r="186" spans="1:16">
      <c r="A186" s="1069"/>
      <c r="B186" s="1491"/>
      <c r="C186" s="1472"/>
      <c r="D186" s="1473"/>
      <c r="E186" s="1474"/>
      <c r="F186" s="1491"/>
      <c r="G186" s="1069"/>
      <c r="H186" s="1472"/>
      <c r="I186" s="1491"/>
      <c r="J186" s="1069"/>
      <c r="K186" s="1069"/>
      <c r="L186" s="1492"/>
      <c r="M186" s="1069"/>
      <c r="N186" s="1069"/>
    </row>
    <row r="187" spans="1:16">
      <c r="A187" s="1069"/>
      <c r="B187" s="1491"/>
      <c r="C187" s="1472"/>
      <c r="D187" s="1473"/>
      <c r="E187" s="1474"/>
      <c r="F187" s="1491"/>
      <c r="G187" s="1069"/>
      <c r="H187" s="1472"/>
      <c r="I187" s="1491"/>
      <c r="J187" s="1069"/>
      <c r="K187" s="1069"/>
      <c r="L187" s="1492"/>
      <c r="M187" s="1069"/>
      <c r="N187" s="1069"/>
    </row>
    <row r="188" spans="1:16">
      <c r="A188" s="1069"/>
      <c r="B188" s="1491"/>
      <c r="C188" s="1472"/>
      <c r="D188" s="1473"/>
      <c r="E188" s="1474"/>
      <c r="F188" s="1491"/>
      <c r="G188" s="1069"/>
      <c r="H188" s="1472"/>
      <c r="I188" s="1491"/>
      <c r="J188" s="1069"/>
      <c r="K188" s="1069"/>
      <c r="L188" s="1492"/>
      <c r="M188" s="1069"/>
      <c r="N188" s="1069"/>
    </row>
    <row r="189" spans="1:16" s="1109" customFormat="1">
      <c r="A189" s="1482"/>
      <c r="B189" s="1493"/>
      <c r="C189" s="1476"/>
      <c r="D189" s="1477"/>
      <c r="E189" s="1478"/>
      <c r="F189" s="1493"/>
      <c r="G189" s="1482"/>
      <c r="H189" s="1476"/>
      <c r="I189" s="1493"/>
      <c r="J189" s="1482"/>
      <c r="K189" s="1482"/>
      <c r="L189" s="1494"/>
      <c r="M189" s="1482"/>
      <c r="N189" s="1482"/>
    </row>
    <row r="190" spans="1:16">
      <c r="A190" s="1069"/>
      <c r="B190" s="1489"/>
      <c r="C190" s="1480"/>
      <c r="D190" s="1481"/>
      <c r="E190" s="1481"/>
      <c r="F190" s="1490"/>
      <c r="G190" s="1495"/>
      <c r="H190" s="1480"/>
      <c r="I190" s="1489"/>
      <c r="J190" s="1496"/>
      <c r="K190" s="1496"/>
      <c r="L190" s="1497"/>
      <c r="M190" s="1496"/>
      <c r="N190" s="1069"/>
    </row>
    <row r="191" spans="1:16">
      <c r="A191" s="1069"/>
      <c r="B191" s="1491"/>
      <c r="C191" s="1472"/>
      <c r="D191" s="1473"/>
      <c r="E191" s="1473"/>
      <c r="F191" s="1491"/>
      <c r="G191" s="1498"/>
      <c r="H191" s="1472"/>
      <c r="I191" s="1491"/>
      <c r="J191" s="1496"/>
      <c r="K191" s="1496"/>
      <c r="L191" s="1497"/>
      <c r="M191" s="1496"/>
      <c r="N191" s="1069"/>
    </row>
    <row r="192" spans="1:16">
      <c r="A192" s="1069"/>
      <c r="B192" s="1491"/>
      <c r="C192" s="1472"/>
      <c r="D192" s="1473"/>
      <c r="E192" s="1473"/>
      <c r="F192" s="1491"/>
      <c r="G192" s="1498"/>
      <c r="H192" s="1472"/>
      <c r="I192" s="1491"/>
      <c r="J192" s="1496"/>
      <c r="K192" s="1496"/>
      <c r="L192" s="1497"/>
      <c r="M192" s="1496"/>
      <c r="N192" s="1496"/>
      <c r="O192" s="1140"/>
      <c r="P192" s="1140"/>
    </row>
    <row r="193" spans="1:14">
      <c r="A193" s="1069"/>
      <c r="B193" s="1491"/>
      <c r="C193" s="1472"/>
      <c r="D193" s="1473"/>
      <c r="E193" s="1473"/>
      <c r="F193" s="1491"/>
      <c r="G193" s="1498"/>
      <c r="H193" s="1472"/>
      <c r="I193" s="1491"/>
      <c r="J193" s="1496"/>
      <c r="K193" s="1069"/>
      <c r="L193" s="1492"/>
      <c r="M193" s="1069"/>
      <c r="N193" s="1069"/>
    </row>
    <row r="194" spans="1:14">
      <c r="A194" s="1069"/>
      <c r="B194" s="1491"/>
      <c r="C194" s="1472"/>
      <c r="D194" s="1473"/>
      <c r="E194" s="1473"/>
      <c r="F194" s="1491"/>
      <c r="G194" s="1498"/>
      <c r="H194" s="1472"/>
      <c r="I194" s="1491"/>
      <c r="J194" s="1069"/>
      <c r="K194" s="1069"/>
      <c r="L194" s="1492"/>
      <c r="M194" s="1069"/>
      <c r="N194" s="1069"/>
    </row>
    <row r="195" spans="1:14">
      <c r="A195" s="1069"/>
      <c r="B195" s="1491"/>
      <c r="C195" s="1472"/>
      <c r="D195" s="1473"/>
      <c r="E195" s="1473"/>
      <c r="F195" s="1491"/>
      <c r="G195" s="1498"/>
      <c r="H195" s="1472"/>
      <c r="I195" s="1491"/>
      <c r="J195" s="1069"/>
      <c r="K195" s="1069"/>
      <c r="L195" s="1492"/>
      <c r="M195" s="1069"/>
      <c r="N195" s="1069"/>
    </row>
    <row r="196" spans="1:14" s="464" customFormat="1">
      <c r="A196" s="454"/>
      <c r="B196" s="1491"/>
      <c r="C196" s="1472"/>
      <c r="D196" s="1473"/>
      <c r="E196" s="1473"/>
      <c r="F196" s="1491"/>
      <c r="G196" s="1498"/>
      <c r="H196" s="1472"/>
      <c r="I196" s="1499"/>
      <c r="J196" s="1499"/>
      <c r="K196" s="454"/>
      <c r="L196" s="1492"/>
      <c r="M196" s="454"/>
      <c r="N196" s="454"/>
    </row>
    <row r="197" spans="1:14" s="1109" customFormat="1">
      <c r="A197" s="1482"/>
      <c r="B197" s="1493"/>
      <c r="C197" s="1476"/>
      <c r="D197" s="1493"/>
      <c r="E197" s="1493"/>
      <c r="F197" s="1493"/>
      <c r="G197" s="1493"/>
      <c r="H197" s="1476"/>
      <c r="I197" s="1482"/>
      <c r="J197" s="1500"/>
      <c r="K197" s="1482"/>
      <c r="L197" s="1494"/>
      <c r="M197" s="1482"/>
      <c r="N197" s="1482"/>
    </row>
    <row r="198" spans="1:14">
      <c r="A198" s="1069"/>
      <c r="B198" s="1069"/>
      <c r="C198" s="1069"/>
      <c r="D198" s="1069"/>
      <c r="E198" s="1069"/>
      <c r="F198" s="1069"/>
      <c r="G198" s="1069"/>
      <c r="H198" s="1069"/>
      <c r="J198" s="1069"/>
      <c r="K198" s="1069"/>
      <c r="L198" s="1069"/>
      <c r="M198" s="1069"/>
      <c r="N198" s="1069"/>
    </row>
    <row r="199" spans="1:14">
      <c r="A199" s="1501"/>
      <c r="B199" s="1502"/>
      <c r="C199" s="1143"/>
      <c r="D199" s="1502"/>
      <c r="E199" s="1143"/>
      <c r="F199" s="1502"/>
      <c r="G199" s="1143"/>
      <c r="H199" s="1502"/>
      <c r="I199" s="1143"/>
      <c r="J199" s="1143"/>
      <c r="K199" s="1502"/>
      <c r="L199" s="1502"/>
      <c r="M199" s="1069"/>
      <c r="N199" s="1069"/>
    </row>
    <row r="200" spans="1:14">
      <c r="A200" s="1069"/>
      <c r="B200" s="1503"/>
      <c r="C200" s="1504"/>
      <c r="D200" s="1505"/>
      <c r="E200" s="1505"/>
      <c r="F200" s="1505"/>
      <c r="G200" s="1505"/>
      <c r="H200" s="1503"/>
      <c r="I200" s="1505"/>
      <c r="J200" s="1505"/>
      <c r="K200" s="1505"/>
      <c r="L200" s="1506"/>
      <c r="M200" s="1069"/>
      <c r="N200" s="1069"/>
    </row>
    <row r="201" spans="1:14">
      <c r="A201" s="1494"/>
      <c r="B201" s="1507"/>
      <c r="C201" s="1507"/>
      <c r="D201" s="1508"/>
      <c r="E201" s="1508"/>
      <c r="F201" s="1508"/>
      <c r="G201" s="1508"/>
      <c r="H201" s="1509"/>
      <c r="I201" s="1510"/>
      <c r="J201" s="1510"/>
      <c r="K201" s="1508"/>
      <c r="L201" s="1511"/>
      <c r="M201" s="1069"/>
      <c r="N201" s="1069"/>
    </row>
    <row r="202" spans="1:14" ht="15.75" customHeight="1">
      <c r="A202" s="1069"/>
      <c r="B202" s="1491"/>
      <c r="C202" s="1240"/>
      <c r="D202" s="1510"/>
      <c r="E202" s="1510"/>
      <c r="F202" s="1510"/>
      <c r="G202" s="1510"/>
      <c r="H202" s="1239"/>
      <c r="I202" s="1505"/>
      <c r="J202" s="1540"/>
      <c r="K202" s="1541"/>
      <c r="L202" s="1542"/>
      <c r="M202" s="1069"/>
      <c r="N202" s="1069"/>
    </row>
    <row r="203" spans="1:14">
      <c r="A203" s="1069"/>
      <c r="B203" s="1491"/>
      <c r="C203" s="1240"/>
      <c r="D203" s="1510"/>
      <c r="E203" s="1510"/>
      <c r="F203" s="1510"/>
      <c r="G203" s="1510"/>
      <c r="H203" s="1240"/>
      <c r="I203" s="1510"/>
      <c r="J203" s="1543"/>
      <c r="K203" s="1544"/>
      <c r="L203" s="1545"/>
      <c r="M203" s="1069"/>
      <c r="N203" s="1069"/>
    </row>
    <row r="204" spans="1:14">
      <c r="A204" s="1494"/>
      <c r="B204" s="1493"/>
      <c r="C204" s="1493"/>
      <c r="D204" s="1508"/>
      <c r="E204" s="1508"/>
      <c r="F204" s="1508"/>
      <c r="G204" s="1508"/>
      <c r="H204" s="1512"/>
      <c r="I204" s="1508"/>
      <c r="J204" s="1546"/>
      <c r="K204" s="1547"/>
      <c r="L204" s="1548"/>
      <c r="M204" s="1069"/>
      <c r="N204" s="1069"/>
    </row>
    <row r="205" spans="1:14">
      <c r="A205" s="1069"/>
      <c r="B205" s="1489"/>
      <c r="C205" s="1239"/>
      <c r="D205" s="1505"/>
      <c r="E205" s="1505"/>
      <c r="F205" s="1505"/>
      <c r="G205" s="1505"/>
      <c r="H205" s="1239"/>
      <c r="I205" s="1505"/>
      <c r="J205" s="1505"/>
      <c r="K205" s="1505"/>
      <c r="L205" s="1513"/>
      <c r="M205" s="1069"/>
      <c r="N205" s="1069"/>
    </row>
    <row r="206" spans="1:14">
      <c r="A206" s="1069"/>
      <c r="B206" s="1491"/>
      <c r="C206" s="1491"/>
      <c r="D206" s="1510"/>
      <c r="E206" s="1510"/>
      <c r="F206" s="1510"/>
      <c r="G206" s="1510"/>
      <c r="H206" s="1240"/>
      <c r="I206" s="1510"/>
      <c r="J206" s="1510"/>
      <c r="K206" s="1510"/>
      <c r="L206" s="1513"/>
      <c r="M206" s="1069"/>
      <c r="N206" s="1069"/>
    </row>
    <row r="207" spans="1:14">
      <c r="A207" s="1069"/>
      <c r="B207" s="1491"/>
      <c r="C207" s="1491"/>
      <c r="D207" s="1510"/>
      <c r="E207" s="1510"/>
      <c r="F207" s="1510"/>
      <c r="G207" s="1510"/>
      <c r="H207" s="1240"/>
      <c r="I207" s="1510"/>
      <c r="J207" s="1510"/>
      <c r="K207" s="1510"/>
      <c r="L207" s="1513"/>
      <c r="M207" s="1069"/>
      <c r="N207" s="1069"/>
    </row>
    <row r="208" spans="1:14">
      <c r="A208" s="1494"/>
      <c r="B208" s="1493"/>
      <c r="C208" s="1493"/>
      <c r="D208" s="1508"/>
      <c r="E208" s="1508"/>
      <c r="F208" s="1508"/>
      <c r="G208" s="1508"/>
      <c r="H208" s="1512"/>
      <c r="I208" s="1508"/>
      <c r="J208" s="1508"/>
      <c r="K208" s="1508"/>
      <c r="L208" s="1514"/>
      <c r="M208" s="1069"/>
      <c r="N208" s="1069"/>
    </row>
    <row r="209" spans="1:14">
      <c r="A209" s="1069"/>
      <c r="B209" s="1489"/>
      <c r="C209" s="1239"/>
      <c r="D209" s="1505"/>
      <c r="E209" s="1505"/>
      <c r="F209" s="1505"/>
      <c r="G209" s="1505"/>
      <c r="H209" s="1489"/>
      <c r="I209" s="1505"/>
      <c r="J209" s="1505"/>
      <c r="K209" s="1505"/>
      <c r="L209" s="1513"/>
      <c r="M209" s="1069"/>
      <c r="N209" s="1069"/>
    </row>
    <row r="210" spans="1:14">
      <c r="A210" s="1482"/>
      <c r="B210" s="1493"/>
      <c r="C210" s="1493"/>
      <c r="D210" s="1508"/>
      <c r="E210" s="1508"/>
      <c r="F210" s="1508"/>
      <c r="G210" s="1508"/>
      <c r="H210" s="1493"/>
      <c r="I210" s="1508"/>
      <c r="J210" s="1508"/>
      <c r="K210" s="1508"/>
      <c r="L210" s="1514"/>
      <c r="M210" s="1069"/>
      <c r="N210" s="1069"/>
    </row>
    <row r="211" spans="1:14">
      <c r="A211" s="1069"/>
      <c r="B211" s="1240"/>
      <c r="C211" s="1240"/>
      <c r="D211" s="1510"/>
      <c r="E211" s="1510"/>
      <c r="F211" s="1510"/>
      <c r="G211" s="1515"/>
      <c r="H211" s="1240"/>
      <c r="I211" s="1513"/>
      <c r="J211" s="1510"/>
      <c r="K211" s="1510"/>
      <c r="L211" s="1513"/>
      <c r="M211" s="1069"/>
      <c r="N211" s="1069"/>
    </row>
    <row r="212" spans="1:14">
      <c r="A212" s="1069"/>
      <c r="B212" s="1240"/>
      <c r="C212" s="1240"/>
      <c r="D212" s="1510"/>
      <c r="E212" s="1510"/>
      <c r="F212" s="1510"/>
      <c r="G212" s="1510"/>
      <c r="H212" s="1240"/>
      <c r="I212" s="1510"/>
      <c r="J212" s="1510"/>
      <c r="K212" s="1510"/>
      <c r="L212" s="1513"/>
      <c r="M212" s="1069"/>
      <c r="N212" s="1069"/>
    </row>
    <row r="213" spans="1:14">
      <c r="A213" s="1069"/>
      <c r="B213" s="1491"/>
      <c r="C213" s="1491"/>
      <c r="D213" s="1510"/>
      <c r="E213" s="1510"/>
      <c r="F213" s="1510"/>
      <c r="G213" s="1510"/>
      <c r="H213" s="1240"/>
      <c r="I213" s="1510"/>
      <c r="J213" s="1510"/>
      <c r="K213" s="1510"/>
      <c r="L213" s="1513"/>
      <c r="M213" s="1069"/>
      <c r="N213" s="1069"/>
    </row>
    <row r="214" spans="1:14">
      <c r="A214" s="1482"/>
      <c r="B214" s="1512"/>
      <c r="C214" s="1512"/>
      <c r="D214" s="1508"/>
      <c r="E214" s="1508"/>
      <c r="F214" s="1508"/>
      <c r="G214" s="1508"/>
      <c r="H214" s="1493"/>
      <c r="I214" s="1508"/>
      <c r="J214" s="1508"/>
      <c r="K214" s="1508"/>
      <c r="L214" s="1514"/>
      <c r="M214" s="1069"/>
      <c r="N214" s="1069"/>
    </row>
    <row r="215" spans="1:14">
      <c r="A215" s="1494"/>
      <c r="B215" s="1512"/>
      <c r="C215" s="1512"/>
      <c r="D215" s="1511"/>
      <c r="E215" s="1511"/>
      <c r="F215" s="1511"/>
      <c r="G215" s="1511"/>
      <c r="H215" s="1512"/>
      <c r="I215" s="1511"/>
      <c r="J215" s="1511"/>
      <c r="K215" s="1511"/>
      <c r="L215" s="1511"/>
      <c r="M215" s="1069"/>
      <c r="N215" s="1069"/>
    </row>
    <row r="216" spans="1:14">
      <c r="A216" s="1069"/>
      <c r="B216" s="1239"/>
      <c r="C216" s="1239"/>
      <c r="D216" s="1506"/>
      <c r="E216" s="1506"/>
      <c r="F216" s="1506"/>
      <c r="G216" s="1506"/>
      <c r="H216" s="1239"/>
      <c r="I216" s="1510"/>
      <c r="J216" s="1505"/>
      <c r="K216" s="1510"/>
      <c r="L216" s="1513"/>
      <c r="M216" s="1069"/>
      <c r="N216" s="1069"/>
    </row>
    <row r="217" spans="1:14">
      <c r="A217" s="1069"/>
      <c r="B217" s="1240"/>
      <c r="C217" s="1240"/>
      <c r="D217" s="1516"/>
      <c r="E217" s="1516"/>
      <c r="F217" s="1516"/>
      <c r="G217" s="1516"/>
      <c r="H217" s="1240"/>
      <c r="I217" s="1510"/>
      <c r="J217" s="1510"/>
      <c r="K217" s="1510"/>
      <c r="L217" s="1513"/>
      <c r="M217" s="1069"/>
      <c r="N217" s="1069"/>
    </row>
    <row r="218" spans="1:14">
      <c r="A218" s="1069"/>
      <c r="B218" s="1240"/>
      <c r="C218" s="1240"/>
      <c r="D218" s="1516"/>
      <c r="E218" s="1516"/>
      <c r="F218" s="1516"/>
      <c r="G218" s="1516"/>
      <c r="H218" s="1240"/>
      <c r="I218" s="1510"/>
      <c r="J218" s="1510"/>
      <c r="K218" s="1510"/>
      <c r="L218" s="1513"/>
      <c r="M218" s="1069"/>
      <c r="N218" s="1069"/>
    </row>
    <row r="219" spans="1:14">
      <c r="A219" s="1494"/>
      <c r="B219" s="1512"/>
      <c r="C219" s="1512"/>
      <c r="D219" s="1511"/>
      <c r="E219" s="1511"/>
      <c r="F219" s="1511"/>
      <c r="G219" s="1511"/>
      <c r="H219" s="1512"/>
      <c r="I219" s="1508"/>
      <c r="J219" s="1510"/>
      <c r="K219" s="1508"/>
      <c r="L219" s="1514"/>
      <c r="M219" s="1069"/>
      <c r="N219" s="1069"/>
    </row>
    <row r="220" spans="1:14">
      <c r="A220" s="1240"/>
      <c r="B220" s="1069"/>
      <c r="C220" s="1491"/>
      <c r="D220" s="1517"/>
      <c r="E220" s="1510"/>
      <c r="F220" s="1510"/>
      <c r="G220" s="1510"/>
      <c r="H220" s="1518"/>
      <c r="I220" s="1518"/>
      <c r="J220" s="1519"/>
      <c r="K220" s="1520"/>
      <c r="L220" s="1521"/>
      <c r="M220" s="1069"/>
      <c r="N220" s="1069"/>
    </row>
    <row r="221" spans="1:14">
      <c r="A221" s="1491"/>
      <c r="B221" s="1069"/>
      <c r="C221" s="1491"/>
      <c r="D221" s="1522"/>
      <c r="E221" s="1510"/>
      <c r="F221" s="1510"/>
      <c r="G221" s="1510"/>
      <c r="H221" s="1518"/>
      <c r="I221" s="1518"/>
      <c r="J221" s="1523"/>
      <c r="K221" s="1524"/>
      <c r="L221" s="1525"/>
      <c r="M221" s="1069"/>
      <c r="N221" s="1069"/>
    </row>
    <row r="222" spans="1:14">
      <c r="A222" s="1491"/>
      <c r="B222" s="1069"/>
      <c r="C222" s="1491"/>
      <c r="D222" s="1522"/>
      <c r="E222" s="1510"/>
      <c r="F222" s="1510"/>
      <c r="G222" s="1510"/>
      <c r="H222" s="1518"/>
      <c r="I222" s="1518"/>
      <c r="J222" s="1523"/>
      <c r="K222" s="1524"/>
      <c r="L222" s="1525"/>
      <c r="M222" s="1069"/>
      <c r="N222" s="1069"/>
    </row>
    <row r="223" spans="1:14">
      <c r="A223" s="1491"/>
      <c r="B223" s="1493"/>
      <c r="C223" s="1491"/>
      <c r="D223" s="1522"/>
      <c r="E223" s="1510"/>
      <c r="F223" s="1510"/>
      <c r="G223" s="1510"/>
      <c r="H223" s="1518"/>
      <c r="I223" s="1518"/>
      <c r="J223" s="1526"/>
      <c r="K223" s="1527"/>
      <c r="L223" s="1528"/>
      <c r="M223" s="1069"/>
      <c r="N223" s="1069"/>
    </row>
    <row r="224" spans="1:14">
      <c r="A224" s="1239"/>
      <c r="B224" s="1069"/>
      <c r="C224" s="1489"/>
      <c r="D224" s="1529"/>
      <c r="E224" s="1505"/>
      <c r="F224" s="1505"/>
      <c r="G224" s="1505"/>
      <c r="H224" s="1530"/>
      <c r="I224" s="1530"/>
      <c r="J224" s="1504"/>
      <c r="K224" s="1505"/>
      <c r="L224" s="1505"/>
      <c r="M224" s="1069"/>
      <c r="N224" s="1069"/>
    </row>
    <row r="225" spans="1:14">
      <c r="A225" s="1491"/>
      <c r="B225" s="1069"/>
      <c r="C225" s="1491"/>
      <c r="D225" s="1522"/>
      <c r="E225" s="1510"/>
      <c r="F225" s="1510"/>
      <c r="G225" s="1510"/>
      <c r="H225" s="1518"/>
      <c r="I225" s="1518"/>
      <c r="J225" s="1531"/>
      <c r="K225" s="1510"/>
      <c r="L225" s="1510"/>
      <c r="M225" s="1069"/>
      <c r="N225" s="1069"/>
    </row>
    <row r="226" spans="1:14">
      <c r="A226" s="1491"/>
      <c r="B226" s="1069"/>
      <c r="C226" s="1491"/>
      <c r="D226" s="1522"/>
      <c r="E226" s="1510"/>
      <c r="F226" s="1510"/>
      <c r="G226" s="1510"/>
      <c r="H226" s="1518"/>
      <c r="I226" s="1518"/>
      <c r="J226" s="1531"/>
      <c r="K226" s="1510"/>
      <c r="L226" s="1510"/>
      <c r="M226" s="1069"/>
      <c r="N226" s="1069"/>
    </row>
    <row r="227" spans="1:14">
      <c r="A227" s="1493"/>
      <c r="B227" s="1493"/>
      <c r="C227" s="1493"/>
      <c r="D227" s="1532"/>
      <c r="E227" s="1508"/>
      <c r="F227" s="1508"/>
      <c r="G227" s="1508"/>
      <c r="H227" s="1533"/>
      <c r="I227" s="1533"/>
      <c r="J227" s="1534"/>
      <c r="K227" s="1508"/>
      <c r="L227" s="1508"/>
      <c r="M227" s="1069"/>
      <c r="N227" s="1069"/>
    </row>
    <row r="228" spans="1:14">
      <c r="A228" s="1069"/>
      <c r="B228" s="1069"/>
      <c r="C228" s="1069"/>
      <c r="D228" s="1069"/>
      <c r="E228" s="1069"/>
      <c r="F228" s="1069"/>
      <c r="G228" s="1069"/>
      <c r="H228" s="1069"/>
      <c r="J228" s="1069"/>
      <c r="K228" s="1069"/>
      <c r="L228" s="1069"/>
      <c r="M228" s="1069"/>
      <c r="N228" s="1069"/>
    </row>
    <row r="229" spans="1:14">
      <c r="A229" s="1535"/>
      <c r="B229" s="1536"/>
      <c r="C229" s="1535"/>
      <c r="D229" s="1536"/>
      <c r="E229" s="1535"/>
      <c r="F229" s="1536"/>
      <c r="G229" s="1535"/>
      <c r="H229" s="1536"/>
      <c r="I229" s="1535"/>
      <c r="J229" s="1535"/>
      <c r="K229" s="1536"/>
      <c r="L229" s="1536"/>
      <c r="M229" s="1069"/>
      <c r="N229" s="1069"/>
    </row>
    <row r="230" spans="1:14">
      <c r="A230" s="1069"/>
      <c r="B230" s="1489"/>
      <c r="C230" s="1239"/>
      <c r="D230" s="1505"/>
      <c r="E230" s="1505"/>
      <c r="F230" s="1505"/>
      <c r="G230" s="1505"/>
      <c r="H230" s="1489"/>
      <c r="I230" s="1239"/>
      <c r="J230" s="1505"/>
      <c r="K230" s="1505"/>
      <c r="L230" s="1537"/>
      <c r="M230" s="1069"/>
      <c r="N230" s="1069"/>
    </row>
    <row r="231" spans="1:14">
      <c r="A231" s="1494"/>
      <c r="B231" s="1493"/>
      <c r="C231" s="1493"/>
      <c r="D231" s="1508"/>
      <c r="E231" s="1508"/>
      <c r="F231" s="1508"/>
      <c r="G231" s="1508"/>
      <c r="H231" s="1491"/>
      <c r="I231" s="1512"/>
      <c r="J231" s="1508"/>
      <c r="K231" s="1508"/>
      <c r="L231" s="1514"/>
      <c r="M231" s="1069"/>
      <c r="N231" s="1069"/>
    </row>
    <row r="232" spans="1:14">
      <c r="A232" s="1069"/>
      <c r="B232" s="1239"/>
      <c r="C232" s="1239"/>
      <c r="D232" s="1505"/>
      <c r="E232" s="1505"/>
      <c r="F232" s="1505"/>
      <c r="G232" s="1505"/>
      <c r="H232" s="1239"/>
      <c r="I232" s="1239"/>
      <c r="J232" s="1505"/>
      <c r="K232" s="1505"/>
      <c r="L232" s="1513"/>
      <c r="M232" s="1069"/>
      <c r="N232" s="1069"/>
    </row>
    <row r="233" spans="1:14">
      <c r="A233" s="1069"/>
      <c r="B233" s="1240"/>
      <c r="C233" s="1240"/>
      <c r="D233" s="1510"/>
      <c r="E233" s="1510"/>
      <c r="F233" s="1510"/>
      <c r="G233" s="1510"/>
      <c r="H233" s="1240"/>
      <c r="I233" s="1240"/>
      <c r="J233" s="1510"/>
      <c r="K233" s="1510"/>
      <c r="L233" s="1513"/>
      <c r="M233" s="1069"/>
      <c r="N233" s="1069"/>
    </row>
    <row r="234" spans="1:14">
      <c r="A234" s="1069"/>
      <c r="B234" s="1491"/>
      <c r="C234" s="1491"/>
      <c r="D234" s="1510"/>
      <c r="E234" s="1510"/>
      <c r="F234" s="1510"/>
      <c r="G234" s="1510"/>
      <c r="H234" s="1240"/>
      <c r="I234" s="1240"/>
      <c r="J234" s="1510"/>
      <c r="K234" s="1510"/>
      <c r="L234" s="1513"/>
      <c r="M234" s="1069"/>
      <c r="N234" s="1069"/>
    </row>
    <row r="235" spans="1:14">
      <c r="A235" s="1482"/>
      <c r="B235" s="1493"/>
      <c r="C235" s="1493"/>
      <c r="D235" s="1508"/>
      <c r="E235" s="1508"/>
      <c r="F235" s="1508"/>
      <c r="G235" s="1508"/>
      <c r="H235" s="1240"/>
      <c r="I235" s="1512"/>
      <c r="J235" s="1508"/>
      <c r="K235" s="1508"/>
      <c r="L235" s="1514"/>
      <c r="M235" s="1069"/>
      <c r="N235" s="1069"/>
    </row>
    <row r="236" spans="1:14">
      <c r="A236" s="454"/>
      <c r="B236" s="1240"/>
      <c r="C236" s="1240"/>
      <c r="D236" s="1510"/>
      <c r="E236" s="1510"/>
      <c r="F236" s="1510"/>
      <c r="G236" s="1515"/>
      <c r="H236" s="1489"/>
      <c r="I236" s="1538"/>
      <c r="J236" s="1510"/>
      <c r="K236" s="1510"/>
      <c r="L236" s="1513"/>
      <c r="M236" s="1069"/>
      <c r="N236" s="1069"/>
    </row>
    <row r="237" spans="1:14">
      <c r="A237" s="454"/>
      <c r="B237" s="1240"/>
      <c r="C237" s="1491"/>
      <c r="D237" s="1510"/>
      <c r="E237" s="1510"/>
      <c r="F237" s="1510"/>
      <c r="G237" s="1515"/>
      <c r="H237" s="1491"/>
      <c r="I237" s="1538"/>
      <c r="J237" s="1510"/>
      <c r="K237" s="1510"/>
      <c r="L237" s="1513"/>
      <c r="M237" s="1069"/>
      <c r="N237" s="1069"/>
    </row>
    <row r="238" spans="1:14">
      <c r="A238" s="1069"/>
      <c r="B238" s="1491"/>
      <c r="C238" s="1240"/>
      <c r="D238" s="1510"/>
      <c r="E238" s="1510"/>
      <c r="F238" s="1510"/>
      <c r="G238" s="1515"/>
      <c r="H238" s="1491"/>
      <c r="I238" s="1492"/>
      <c r="J238" s="1510"/>
      <c r="K238" s="1510"/>
      <c r="L238" s="1513"/>
      <c r="M238" s="1069"/>
      <c r="N238" s="1069"/>
    </row>
    <row r="239" spans="1:14">
      <c r="A239" s="1494"/>
      <c r="B239" s="1493"/>
      <c r="C239" s="1493"/>
      <c r="D239" s="1508"/>
      <c r="E239" s="1508"/>
      <c r="F239" s="1508"/>
      <c r="G239" s="1539"/>
      <c r="H239" s="1493"/>
      <c r="I239" s="1494"/>
      <c r="J239" s="1508"/>
      <c r="K239" s="1508"/>
      <c r="L239" s="1514"/>
      <c r="M239" s="1069"/>
      <c r="N239" s="1069"/>
    </row>
    <row r="240" spans="1:14">
      <c r="A240" s="1069"/>
      <c r="B240" s="1240"/>
      <c r="C240" s="1240"/>
      <c r="D240" s="1510"/>
      <c r="E240" s="1510"/>
      <c r="F240" s="1510"/>
      <c r="G240" s="1510"/>
      <c r="H240" s="1240"/>
      <c r="I240" s="1240"/>
      <c r="J240" s="1510"/>
      <c r="K240" s="1510"/>
      <c r="L240" s="1513"/>
      <c r="M240" s="1069"/>
      <c r="N240" s="1069"/>
    </row>
    <row r="241" spans="1:14">
      <c r="A241" s="1069"/>
      <c r="B241" s="1240"/>
      <c r="C241" s="1240"/>
      <c r="D241" s="1510"/>
      <c r="E241" s="1510"/>
      <c r="F241" s="1510"/>
      <c r="G241" s="1510"/>
      <c r="H241" s="1240"/>
      <c r="I241" s="1240"/>
      <c r="J241" s="1510"/>
      <c r="K241" s="1510"/>
      <c r="L241" s="1513"/>
      <c r="M241" s="1069"/>
      <c r="N241" s="1069"/>
    </row>
    <row r="242" spans="1:14">
      <c r="A242" s="1069"/>
      <c r="B242" s="1240"/>
      <c r="C242" s="1240"/>
      <c r="D242" s="1510"/>
      <c r="E242" s="1510"/>
      <c r="F242" s="1510"/>
      <c r="G242" s="1510"/>
      <c r="H242" s="1240"/>
      <c r="I242" s="1240"/>
      <c r="J242" s="1510"/>
      <c r="K242" s="1510"/>
      <c r="L242" s="1513"/>
      <c r="M242" s="1069"/>
      <c r="N242" s="1069"/>
    </row>
    <row r="243" spans="1:14">
      <c r="A243" s="1069"/>
      <c r="B243" s="1240"/>
      <c r="C243" s="1240"/>
      <c r="D243" s="1510"/>
      <c r="E243" s="1510"/>
      <c r="F243" s="1510"/>
      <c r="G243" s="1510"/>
      <c r="H243" s="1240"/>
      <c r="I243" s="1240"/>
      <c r="J243" s="1510"/>
      <c r="K243" s="1510"/>
      <c r="L243" s="1513"/>
      <c r="M243" s="1069"/>
      <c r="N243" s="1069"/>
    </row>
    <row r="244" spans="1:14">
      <c r="A244" s="1069"/>
      <c r="B244" s="1240"/>
      <c r="C244" s="1240"/>
      <c r="D244" s="1510"/>
      <c r="E244" s="1510"/>
      <c r="F244" s="1510"/>
      <c r="G244" s="1510"/>
      <c r="H244" s="1240"/>
      <c r="I244" s="1240"/>
      <c r="J244" s="1510"/>
      <c r="K244" s="1510"/>
      <c r="L244" s="1513"/>
      <c r="M244" s="1069"/>
      <c r="N244" s="1069"/>
    </row>
    <row r="245" spans="1:14">
      <c r="A245" s="1069"/>
      <c r="B245" s="1240"/>
      <c r="C245" s="1240"/>
      <c r="D245" s="1510"/>
      <c r="E245" s="1510"/>
      <c r="F245" s="1510"/>
      <c r="G245" s="1510"/>
      <c r="H245" s="1240"/>
      <c r="I245" s="1240"/>
      <c r="J245" s="1510"/>
      <c r="K245" s="1510"/>
      <c r="L245" s="1513"/>
      <c r="M245" s="1069"/>
      <c r="N245" s="1069"/>
    </row>
    <row r="246" spans="1:14">
      <c r="A246" s="1482"/>
      <c r="B246" s="1512"/>
      <c r="C246" s="1512"/>
      <c r="D246" s="1508"/>
      <c r="E246" s="1508"/>
      <c r="F246" s="1508"/>
      <c r="G246" s="1508"/>
      <c r="H246" s="1512"/>
      <c r="I246" s="1512"/>
      <c r="J246" s="1508"/>
      <c r="K246" s="1508"/>
      <c r="L246" s="1514"/>
      <c r="M246" s="1069"/>
      <c r="N246" s="1069"/>
    </row>
    <row r="247" spans="1:14">
      <c r="A247" s="1489"/>
      <c r="B247" s="1489"/>
      <c r="C247" s="1489"/>
      <c r="D247" s="1505"/>
      <c r="E247" s="1505"/>
      <c r="F247" s="1505"/>
      <c r="G247" s="1505"/>
      <c r="H247" s="1489"/>
      <c r="I247" s="1489"/>
      <c r="J247" s="1505"/>
      <c r="K247" s="1505"/>
      <c r="L247" s="1505"/>
      <c r="M247" s="1069"/>
      <c r="N247" s="1069"/>
    </row>
    <row r="248" spans="1:14">
      <c r="A248" s="1491"/>
      <c r="B248" s="1491"/>
      <c r="C248" s="1491"/>
      <c r="D248" s="1510"/>
      <c r="E248" s="1510"/>
      <c r="F248" s="1510"/>
      <c r="G248" s="1515"/>
      <c r="H248" s="1491"/>
      <c r="I248" s="1492"/>
      <c r="J248" s="1510"/>
      <c r="K248" s="1510"/>
      <c r="L248" s="1510"/>
      <c r="M248" s="1069"/>
      <c r="N248" s="1069"/>
    </row>
    <row r="249" spans="1:14">
      <c r="A249" s="1491"/>
      <c r="B249" s="1491"/>
      <c r="C249" s="1491"/>
      <c r="D249" s="1510"/>
      <c r="E249" s="1510"/>
      <c r="F249" s="1510"/>
      <c r="G249" s="1510"/>
      <c r="H249" s="1491"/>
      <c r="I249" s="1491"/>
      <c r="J249" s="1510"/>
      <c r="K249" s="1510"/>
      <c r="L249" s="1510"/>
      <c r="M249" s="1069"/>
      <c r="N249" s="1069"/>
    </row>
    <row r="250" spans="1:14">
      <c r="A250" s="1491"/>
      <c r="B250" s="1491"/>
      <c r="C250" s="1491"/>
      <c r="D250" s="1510"/>
      <c r="E250" s="1510"/>
      <c r="F250" s="1510"/>
      <c r="G250" s="1510"/>
      <c r="H250" s="1491"/>
      <c r="I250" s="1491"/>
      <c r="J250" s="1510"/>
      <c r="K250" s="1510"/>
      <c r="L250" s="1510"/>
      <c r="M250" s="1069"/>
      <c r="N250" s="1069"/>
    </row>
    <row r="251" spans="1:14">
      <c r="A251" s="1491"/>
      <c r="B251" s="1491"/>
      <c r="C251" s="1491"/>
      <c r="D251" s="1510"/>
      <c r="E251" s="1510"/>
      <c r="F251" s="1510"/>
      <c r="G251" s="1510"/>
      <c r="H251" s="1491"/>
      <c r="I251" s="1491"/>
      <c r="J251" s="1510"/>
      <c r="K251" s="1510"/>
      <c r="L251" s="1510"/>
      <c r="M251" s="1069"/>
      <c r="N251" s="1069"/>
    </row>
    <row r="252" spans="1:14">
      <c r="A252" s="1493"/>
      <c r="B252" s="1493"/>
      <c r="C252" s="1493"/>
      <c r="D252" s="1508"/>
      <c r="E252" s="1508"/>
      <c r="F252" s="1508"/>
      <c r="G252" s="1508"/>
      <c r="H252" s="1493"/>
      <c r="I252" s="1493"/>
      <c r="J252" s="1508"/>
      <c r="K252" s="1508"/>
      <c r="L252" s="1508"/>
      <c r="M252" s="1069"/>
      <c r="N252" s="1069"/>
    </row>
    <row r="253" spans="1:14">
      <c r="A253" s="1069"/>
      <c r="B253" s="1491"/>
      <c r="C253" s="1491"/>
      <c r="D253" s="1510"/>
      <c r="E253" s="1510"/>
      <c r="F253" s="1510"/>
      <c r="G253" s="1510"/>
      <c r="H253" s="1491"/>
      <c r="I253" s="1491"/>
      <c r="J253" s="1510"/>
      <c r="K253" s="1510"/>
      <c r="L253" s="1510"/>
      <c r="M253" s="1069"/>
      <c r="N253" s="1069"/>
    </row>
    <row r="254" spans="1:14">
      <c r="A254" s="1069"/>
      <c r="B254" s="1491"/>
      <c r="C254" s="1491"/>
      <c r="D254" s="1510"/>
      <c r="E254" s="1510"/>
      <c r="F254" s="1510"/>
      <c r="G254" s="1510"/>
      <c r="H254" s="1491"/>
      <c r="I254" s="1491"/>
      <c r="J254" s="1510"/>
      <c r="K254" s="1510"/>
      <c r="L254" s="1510"/>
      <c r="M254" s="1069"/>
      <c r="N254" s="1069"/>
    </row>
    <row r="255" spans="1:14">
      <c r="A255" s="1069"/>
      <c r="B255" s="1491"/>
      <c r="C255" s="1491"/>
      <c r="D255" s="1510"/>
      <c r="E255" s="1510"/>
      <c r="F255" s="1510"/>
      <c r="G255" s="1510"/>
      <c r="H255" s="1491"/>
      <c r="I255" s="1491"/>
      <c r="J255" s="1510"/>
      <c r="K255" s="1510"/>
      <c r="L255" s="1510"/>
      <c r="M255" s="1069"/>
      <c r="N255" s="1069"/>
    </row>
    <row r="256" spans="1:14">
      <c r="A256" s="1069"/>
      <c r="B256" s="1491"/>
      <c r="C256" s="1491"/>
      <c r="D256" s="1510"/>
      <c r="E256" s="1510"/>
      <c r="F256" s="1510"/>
      <c r="G256" s="1510"/>
      <c r="H256" s="1491"/>
      <c r="I256" s="1491"/>
      <c r="J256" s="1510"/>
      <c r="K256" s="1510"/>
      <c r="L256" s="1510"/>
      <c r="M256" s="1069"/>
      <c r="N256" s="1069"/>
    </row>
    <row r="257" spans="1:14">
      <c r="A257" s="1069"/>
      <c r="B257" s="1491"/>
      <c r="C257" s="1491"/>
      <c r="D257" s="1510"/>
      <c r="E257" s="1510"/>
      <c r="F257" s="1510"/>
      <c r="G257" s="1510"/>
      <c r="H257" s="1491"/>
      <c r="I257" s="1491"/>
      <c r="J257" s="1510"/>
      <c r="K257" s="1510"/>
      <c r="L257" s="1510"/>
      <c r="M257" s="1069"/>
      <c r="N257" s="1069"/>
    </row>
    <row r="258" spans="1:14">
      <c r="A258" s="1489"/>
      <c r="B258" s="1504"/>
      <c r="C258" s="1504"/>
      <c r="D258" s="1505"/>
      <c r="E258" s="1505"/>
      <c r="F258" s="1505"/>
      <c r="G258" s="1505"/>
      <c r="H258" s="1239"/>
      <c r="I258" s="1239"/>
      <c r="J258" s="1505"/>
      <c r="K258" s="1505"/>
      <c r="L258" s="1505"/>
      <c r="M258" s="1069"/>
      <c r="N258" s="1069"/>
    </row>
    <row r="259" spans="1:14">
      <c r="A259" s="1491"/>
      <c r="B259" s="1531"/>
      <c r="C259" s="1531"/>
      <c r="D259" s="1510"/>
      <c r="E259" s="1510"/>
      <c r="F259" s="1510"/>
      <c r="G259" s="1510"/>
      <c r="H259" s="1531"/>
      <c r="I259" s="1531"/>
      <c r="J259" s="1510"/>
      <c r="K259" s="1510"/>
      <c r="L259" s="1510"/>
      <c r="M259" s="1069"/>
      <c r="N259" s="1069"/>
    </row>
    <row r="260" spans="1:14">
      <c r="A260" s="1493"/>
      <c r="B260" s="1531"/>
      <c r="C260" s="1531"/>
      <c r="D260" s="1510"/>
      <c r="E260" s="1510"/>
      <c r="F260" s="1510"/>
      <c r="G260" s="1510"/>
      <c r="H260" s="1531"/>
      <c r="I260" s="1531"/>
      <c r="J260" s="1510"/>
      <c r="K260" s="1510"/>
      <c r="L260" s="1510"/>
      <c r="M260" s="1069"/>
      <c r="N260" s="1069"/>
    </row>
    <row r="261" spans="1:14">
      <c r="A261" s="1069"/>
      <c r="B261" s="1503"/>
      <c r="C261" s="1503"/>
      <c r="D261" s="1505"/>
      <c r="E261" s="1505"/>
      <c r="F261" s="1505"/>
      <c r="G261" s="1505"/>
      <c r="H261" s="1503"/>
      <c r="I261" s="1503"/>
      <c r="J261" s="1505"/>
      <c r="K261" s="1505"/>
      <c r="L261" s="1505"/>
      <c r="M261" s="1069"/>
      <c r="N261" s="1069"/>
    </row>
    <row r="262" spans="1:14">
      <c r="A262" s="1069"/>
      <c r="B262" s="1509"/>
      <c r="C262" s="1509"/>
      <c r="D262" s="1510"/>
      <c r="E262" s="1510"/>
      <c r="F262" s="1510"/>
      <c r="G262" s="1510"/>
      <c r="H262" s="1531"/>
      <c r="I262" s="1531"/>
      <c r="J262" s="1510"/>
      <c r="K262" s="1510"/>
      <c r="L262" s="1510"/>
      <c r="M262" s="1069"/>
      <c r="N262" s="1069"/>
    </row>
    <row r="263" spans="1:14">
      <c r="A263" s="1069"/>
      <c r="B263" s="1509"/>
      <c r="C263" s="1509"/>
      <c r="D263" s="1510"/>
      <c r="E263" s="1510"/>
      <c r="F263" s="1510"/>
      <c r="G263" s="1510"/>
      <c r="H263" s="1531"/>
      <c r="I263" s="1531"/>
      <c r="J263" s="1510"/>
      <c r="K263" s="1510"/>
      <c r="L263" s="1510"/>
      <c r="M263" s="1069"/>
      <c r="N263" s="1069"/>
    </row>
    <row r="264" spans="1:14">
      <c r="A264" s="454"/>
      <c r="B264" s="1509"/>
      <c r="C264" s="1509"/>
      <c r="D264" s="1510"/>
      <c r="E264" s="1510"/>
      <c r="F264" s="1510"/>
      <c r="G264" s="1510"/>
      <c r="H264" s="1509"/>
      <c r="I264" s="1509"/>
      <c r="J264" s="1510"/>
      <c r="K264" s="1510"/>
      <c r="L264" s="1510"/>
      <c r="M264" s="1069"/>
      <c r="N264" s="1069"/>
    </row>
    <row r="265" spans="1:14">
      <c r="A265" s="454"/>
      <c r="B265" s="1509"/>
      <c r="C265" s="1509"/>
      <c r="D265" s="1510"/>
      <c r="E265" s="1510"/>
      <c r="F265" s="1510"/>
      <c r="G265" s="1510"/>
      <c r="H265" s="1509"/>
      <c r="I265" s="1509"/>
      <c r="J265" s="1510"/>
      <c r="K265" s="1510"/>
      <c r="L265" s="1510"/>
      <c r="M265" s="1069"/>
      <c r="N265" s="1069"/>
    </row>
    <row r="266" spans="1:14">
      <c r="A266" s="1482"/>
      <c r="B266" s="1507"/>
      <c r="C266" s="1507"/>
      <c r="D266" s="1508"/>
      <c r="E266" s="1508"/>
      <c r="F266" s="1508"/>
      <c r="G266" s="1508"/>
      <c r="H266" s="1507"/>
      <c r="I266" s="1507"/>
      <c r="J266" s="1508"/>
      <c r="K266" s="1508"/>
      <c r="L266" s="1508"/>
      <c r="M266" s="1069"/>
      <c r="N266" s="1069"/>
    </row>
    <row r="267" spans="1:14">
      <c r="A267" s="1069"/>
      <c r="B267" s="1069"/>
      <c r="C267" s="1069"/>
      <c r="D267" s="1069"/>
      <c r="E267" s="1069"/>
      <c r="F267" s="1069"/>
      <c r="G267" s="1069"/>
      <c r="H267" s="1069"/>
      <c r="J267" s="1069"/>
      <c r="K267" s="1069"/>
      <c r="L267" s="1069"/>
      <c r="M267" s="1069"/>
      <c r="N267" s="1069"/>
    </row>
    <row r="268" spans="1:14">
      <c r="A268" s="1069"/>
      <c r="B268" s="1069"/>
      <c r="C268" s="1069"/>
      <c r="D268" s="1069"/>
      <c r="E268" s="1069"/>
      <c r="F268" s="1069"/>
      <c r="G268" s="1069"/>
      <c r="H268" s="1069"/>
      <c r="J268" s="1069"/>
      <c r="K268" s="1069"/>
      <c r="L268" s="1069"/>
      <c r="M268" s="1069"/>
      <c r="N268" s="1069"/>
    </row>
    <row r="269" spans="1:14">
      <c r="A269" s="1069"/>
      <c r="B269" s="1069"/>
      <c r="C269" s="1069"/>
      <c r="D269" s="1069"/>
      <c r="E269" s="1069"/>
      <c r="F269" s="1069"/>
      <c r="G269" s="1069"/>
      <c r="H269" s="1069"/>
      <c r="J269" s="1069"/>
      <c r="K269" s="1069"/>
      <c r="L269" s="1069"/>
      <c r="M269" s="1069"/>
      <c r="N269" s="1069"/>
    </row>
    <row r="270" spans="1:14">
      <c r="A270" s="1069"/>
      <c r="B270" s="1069"/>
      <c r="C270" s="1069"/>
      <c r="D270" s="1069"/>
      <c r="E270" s="1069"/>
      <c r="F270" s="1069"/>
      <c r="G270" s="1069"/>
      <c r="H270" s="1069"/>
      <c r="J270" s="1069"/>
      <c r="K270" s="1069"/>
      <c r="L270" s="1069"/>
      <c r="M270" s="1069"/>
      <c r="N270" s="1069"/>
    </row>
    <row r="271" spans="1:14">
      <c r="A271" s="1069"/>
      <c r="B271" s="1069"/>
      <c r="C271" s="1069"/>
      <c r="D271" s="1069"/>
      <c r="E271" s="1069"/>
      <c r="F271" s="1069"/>
      <c r="G271" s="1069"/>
      <c r="H271" s="1069"/>
      <c r="J271" s="1069"/>
      <c r="K271" s="1069"/>
      <c r="L271" s="1069"/>
      <c r="M271" s="1069"/>
      <c r="N271" s="1069"/>
    </row>
    <row r="272" spans="1:14">
      <c r="A272" s="1069"/>
      <c r="B272" s="1069"/>
      <c r="C272" s="1069"/>
      <c r="D272" s="1069"/>
      <c r="E272" s="1069"/>
      <c r="F272" s="1069"/>
      <c r="G272" s="1069"/>
      <c r="H272" s="1069"/>
      <c r="J272" s="1069"/>
      <c r="K272" s="1069"/>
      <c r="L272" s="1069"/>
      <c r="M272" s="1069"/>
      <c r="N272" s="1069"/>
    </row>
    <row r="273" spans="1:14">
      <c r="A273" s="1069"/>
      <c r="B273" s="1069"/>
      <c r="C273" s="1069"/>
      <c r="D273" s="1069"/>
      <c r="E273" s="1069"/>
      <c r="F273" s="1069"/>
      <c r="G273" s="1069"/>
      <c r="H273" s="1069"/>
      <c r="J273" s="1069"/>
      <c r="K273" s="1069"/>
      <c r="L273" s="1069"/>
      <c r="M273" s="1069"/>
      <c r="N273" s="1069"/>
    </row>
    <row r="274" spans="1:14">
      <c r="A274" s="1069"/>
      <c r="B274" s="1069"/>
      <c r="C274" s="1069"/>
      <c r="D274" s="1069"/>
      <c r="E274" s="1069"/>
      <c r="F274" s="1069"/>
      <c r="G274" s="1069"/>
      <c r="H274" s="1069"/>
      <c r="J274" s="1069"/>
      <c r="K274" s="1069"/>
      <c r="L274" s="1069"/>
      <c r="M274" s="1069"/>
      <c r="N274" s="1069"/>
    </row>
    <row r="275" spans="1:14">
      <c r="A275" s="1069"/>
      <c r="B275" s="1069"/>
      <c r="C275" s="1069"/>
      <c r="D275" s="1069"/>
      <c r="E275" s="1069"/>
      <c r="F275" s="1069"/>
      <c r="G275" s="1069"/>
      <c r="H275" s="1069"/>
      <c r="J275" s="1069"/>
      <c r="K275" s="1069"/>
      <c r="L275" s="1069"/>
      <c r="M275" s="1069"/>
      <c r="N275" s="1069"/>
    </row>
    <row r="276" spans="1:14">
      <c r="A276" s="1069"/>
      <c r="B276" s="1069"/>
      <c r="C276" s="1069"/>
      <c r="D276" s="1069"/>
      <c r="E276" s="1069"/>
      <c r="F276" s="1069"/>
      <c r="G276" s="1069"/>
      <c r="H276" s="1069"/>
      <c r="J276" s="1069"/>
      <c r="K276" s="1069"/>
      <c r="L276" s="1069"/>
      <c r="M276" s="1069"/>
      <c r="N276" s="1069"/>
    </row>
    <row r="277" spans="1:14">
      <c r="A277" s="1069"/>
      <c r="B277" s="1069"/>
      <c r="C277" s="1069"/>
      <c r="D277" s="1069"/>
      <c r="E277" s="1069"/>
      <c r="F277" s="1069"/>
      <c r="G277" s="1069"/>
      <c r="H277" s="1069"/>
      <c r="J277" s="1069"/>
      <c r="K277" s="1069"/>
      <c r="L277" s="1069"/>
      <c r="M277" s="1069"/>
      <c r="N277" s="1069"/>
    </row>
    <row r="278" spans="1:14">
      <c r="A278" s="1069"/>
      <c r="B278" s="1069"/>
      <c r="C278" s="1069"/>
      <c r="D278" s="1069"/>
      <c r="E278" s="1069"/>
      <c r="F278" s="1069"/>
      <c r="G278" s="1069"/>
      <c r="H278" s="1069"/>
      <c r="J278" s="1069"/>
      <c r="K278" s="1069"/>
      <c r="L278" s="1069"/>
      <c r="M278" s="1069"/>
      <c r="N278" s="1069"/>
    </row>
    <row r="279" spans="1:14">
      <c r="A279" s="1069"/>
      <c r="B279" s="1069"/>
      <c r="C279" s="1069"/>
      <c r="D279" s="1069"/>
      <c r="E279" s="1069"/>
      <c r="F279" s="1069"/>
      <c r="G279" s="1069"/>
      <c r="H279" s="1069"/>
      <c r="J279" s="1069"/>
      <c r="K279" s="1069"/>
      <c r="L279" s="1069"/>
      <c r="M279" s="1069"/>
      <c r="N279" s="1069"/>
    </row>
    <row r="280" spans="1:14">
      <c r="A280" s="1069"/>
      <c r="B280" s="1069"/>
      <c r="C280" s="1069"/>
      <c r="D280" s="1069"/>
      <c r="E280" s="1069"/>
      <c r="F280" s="1069"/>
      <c r="G280" s="1069"/>
      <c r="H280" s="1069"/>
      <c r="J280" s="1069"/>
      <c r="K280" s="1069"/>
      <c r="L280" s="1069"/>
      <c r="M280" s="1069"/>
      <c r="N280" s="1069"/>
    </row>
    <row r="281" spans="1:14">
      <c r="A281" s="1069"/>
      <c r="B281" s="1069"/>
      <c r="C281" s="1069"/>
      <c r="D281" s="1069"/>
      <c r="E281" s="1069"/>
      <c r="F281" s="1069"/>
      <c r="G281" s="1069"/>
      <c r="H281" s="1069"/>
      <c r="J281" s="1069"/>
      <c r="K281" s="1069"/>
      <c r="L281" s="1069"/>
      <c r="M281" s="1069"/>
      <c r="N281" s="1069"/>
    </row>
    <row r="282" spans="1:14">
      <c r="A282" s="1069"/>
      <c r="B282" s="1069"/>
      <c r="C282" s="1069"/>
      <c r="D282" s="1069"/>
      <c r="E282" s="1069"/>
      <c r="F282" s="1069"/>
      <c r="G282" s="1069"/>
      <c r="H282" s="1069"/>
      <c r="J282" s="1069"/>
      <c r="K282" s="1069"/>
      <c r="L282" s="1069"/>
      <c r="M282" s="1069"/>
      <c r="N282" s="1069"/>
    </row>
    <row r="283" spans="1:14">
      <c r="A283" s="1069"/>
      <c r="B283" s="1069"/>
      <c r="C283" s="1069"/>
      <c r="D283" s="1069"/>
      <c r="E283" s="1069"/>
      <c r="F283" s="1069"/>
      <c r="G283" s="1069"/>
      <c r="H283" s="1069"/>
      <c r="J283" s="1069"/>
      <c r="K283" s="1069"/>
      <c r="L283" s="1069"/>
      <c r="M283" s="1069"/>
      <c r="N283" s="1069"/>
    </row>
    <row r="284" spans="1:14">
      <c r="A284" s="1069"/>
      <c r="B284" s="1069"/>
      <c r="C284" s="1069"/>
      <c r="D284" s="1069"/>
      <c r="E284" s="1069"/>
      <c r="F284" s="1069"/>
      <c r="G284" s="1069"/>
      <c r="H284" s="1069"/>
      <c r="J284" s="1069"/>
      <c r="K284" s="1069"/>
      <c r="L284" s="1069"/>
      <c r="M284" s="1069"/>
      <c r="N284" s="1069"/>
    </row>
    <row r="285" spans="1:14">
      <c r="A285" s="1069"/>
      <c r="B285" s="1069"/>
      <c r="C285" s="1069"/>
      <c r="D285" s="1069"/>
      <c r="E285" s="1069"/>
      <c r="F285" s="1069"/>
      <c r="G285" s="1069"/>
      <c r="H285" s="1069"/>
      <c r="J285" s="1069"/>
      <c r="K285" s="1069"/>
      <c r="L285" s="1069"/>
      <c r="M285" s="1069"/>
      <c r="N285" s="1069"/>
    </row>
    <row r="286" spans="1:14">
      <c r="A286" s="1069"/>
      <c r="B286" s="1069"/>
      <c r="C286" s="1069"/>
      <c r="D286" s="1069"/>
      <c r="E286" s="1069"/>
      <c r="F286" s="1069"/>
      <c r="G286" s="1069"/>
      <c r="H286" s="1069"/>
      <c r="J286" s="1069"/>
      <c r="K286" s="1069"/>
      <c r="L286" s="1069"/>
      <c r="M286" s="1069"/>
      <c r="N286" s="1069"/>
    </row>
    <row r="287" spans="1:14">
      <c r="A287" s="1069"/>
      <c r="B287" s="1069"/>
      <c r="C287" s="1069"/>
      <c r="D287" s="1069"/>
      <c r="E287" s="1069"/>
      <c r="F287" s="1069"/>
      <c r="G287" s="1069"/>
      <c r="H287" s="1069"/>
      <c r="J287" s="1069"/>
      <c r="K287" s="1069"/>
      <c r="L287" s="1069"/>
      <c r="M287" s="1069"/>
      <c r="N287" s="1069"/>
    </row>
    <row r="288" spans="1:14">
      <c r="A288" s="1069"/>
      <c r="B288" s="1069"/>
      <c r="C288" s="1069"/>
      <c r="D288" s="1069"/>
      <c r="E288" s="1069"/>
      <c r="F288" s="1069"/>
      <c r="G288" s="1069"/>
      <c r="H288" s="1069"/>
      <c r="J288" s="1069"/>
      <c r="K288" s="1069"/>
      <c r="L288" s="1069"/>
      <c r="M288" s="1069"/>
      <c r="N288" s="1069"/>
    </row>
    <row r="289" spans="1:14">
      <c r="A289" s="1069"/>
      <c r="B289" s="1069"/>
      <c r="C289" s="1069"/>
      <c r="D289" s="1069"/>
      <c r="E289" s="1069"/>
      <c r="F289" s="1069"/>
      <c r="G289" s="1069"/>
      <c r="H289" s="1069"/>
      <c r="J289" s="1069"/>
      <c r="K289" s="1069"/>
      <c r="L289" s="1069"/>
      <c r="M289" s="1069"/>
      <c r="N289" s="1069"/>
    </row>
    <row r="290" spans="1:14">
      <c r="A290" s="1069"/>
      <c r="B290" s="1069"/>
      <c r="C290" s="1069"/>
      <c r="D290" s="1069"/>
      <c r="E290" s="1069"/>
      <c r="F290" s="1069"/>
      <c r="G290" s="1069"/>
      <c r="H290" s="1069"/>
      <c r="J290" s="1069"/>
      <c r="K290" s="1069"/>
      <c r="L290" s="1069"/>
      <c r="M290" s="1069"/>
      <c r="N290" s="1069"/>
    </row>
    <row r="291" spans="1:14">
      <c r="A291" s="1069"/>
      <c r="B291" s="1069"/>
      <c r="C291" s="1069"/>
      <c r="D291" s="1069"/>
      <c r="E291" s="1069"/>
      <c r="F291" s="1069"/>
      <c r="G291" s="1069"/>
      <c r="H291" s="1069"/>
      <c r="J291" s="1069"/>
      <c r="K291" s="1069"/>
      <c r="L291" s="1069"/>
      <c r="M291" s="1069"/>
      <c r="N291" s="1069"/>
    </row>
    <row r="292" spans="1:14">
      <c r="A292" s="1069"/>
      <c r="B292" s="1069"/>
      <c r="C292" s="1069"/>
      <c r="D292" s="1069"/>
      <c r="E292" s="1069"/>
      <c r="F292" s="1069"/>
      <c r="G292" s="1069"/>
      <c r="H292" s="1069"/>
      <c r="J292" s="1069"/>
      <c r="K292" s="1069"/>
      <c r="L292" s="1069"/>
      <c r="M292" s="1069"/>
      <c r="N292" s="1069"/>
    </row>
    <row r="293" spans="1:14">
      <c r="A293" s="1069"/>
      <c r="B293" s="1069"/>
      <c r="C293" s="1069"/>
      <c r="D293" s="1069"/>
      <c r="E293" s="1069"/>
      <c r="F293" s="1069"/>
      <c r="G293" s="1069"/>
      <c r="H293" s="1069"/>
      <c r="J293" s="1069"/>
      <c r="K293" s="1069"/>
      <c r="L293" s="1069"/>
      <c r="M293" s="1069"/>
      <c r="N293" s="1069"/>
    </row>
    <row r="294" spans="1:14">
      <c r="A294" s="1069"/>
      <c r="B294" s="1069"/>
      <c r="C294" s="1069"/>
      <c r="D294" s="1069"/>
      <c r="E294" s="1069"/>
      <c r="F294" s="1069"/>
      <c r="G294" s="1069"/>
      <c r="H294" s="1069"/>
      <c r="J294" s="1069"/>
      <c r="K294" s="1069"/>
      <c r="L294" s="1069"/>
      <c r="M294" s="1069"/>
      <c r="N294" s="1069"/>
    </row>
    <row r="295" spans="1:14">
      <c r="A295" s="1069"/>
      <c r="B295" s="1069"/>
      <c r="C295" s="1069"/>
      <c r="D295" s="1069"/>
      <c r="E295" s="1069"/>
      <c r="F295" s="1069"/>
      <c r="G295" s="1069"/>
      <c r="H295" s="1069"/>
      <c r="J295" s="1069"/>
      <c r="K295" s="1069"/>
      <c r="L295" s="1069"/>
      <c r="M295" s="1069"/>
      <c r="N295" s="1069"/>
    </row>
    <row r="296" spans="1:14">
      <c r="A296" s="1069"/>
      <c r="B296" s="1069"/>
      <c r="C296" s="1069"/>
      <c r="D296" s="1069"/>
      <c r="E296" s="1069"/>
      <c r="F296" s="1069"/>
      <c r="G296" s="1069"/>
      <c r="H296" s="1069"/>
      <c r="J296" s="1069"/>
      <c r="K296" s="1069"/>
      <c r="L296" s="1069"/>
      <c r="M296" s="1069"/>
      <c r="N296" s="1069"/>
    </row>
    <row r="297" spans="1:14">
      <c r="A297" s="1069"/>
      <c r="B297" s="1069"/>
      <c r="C297" s="1069"/>
      <c r="D297" s="1069"/>
      <c r="E297" s="1069"/>
      <c r="F297" s="1069"/>
      <c r="G297" s="1069"/>
      <c r="H297" s="1069"/>
      <c r="J297" s="1069"/>
      <c r="K297" s="1069"/>
      <c r="L297" s="1069"/>
      <c r="M297" s="1069"/>
      <c r="N297" s="1069"/>
    </row>
    <row r="298" spans="1:14">
      <c r="A298" s="1069"/>
      <c r="B298" s="1069"/>
      <c r="C298" s="1069"/>
      <c r="D298" s="1069"/>
      <c r="E298" s="1069"/>
      <c r="F298" s="1069"/>
      <c r="G298" s="1069"/>
      <c r="H298" s="1069"/>
      <c r="J298" s="1069"/>
      <c r="K298" s="1069"/>
      <c r="L298" s="1069"/>
      <c r="M298" s="1069"/>
      <c r="N298" s="1069"/>
    </row>
    <row r="299" spans="1:14">
      <c r="A299" s="1069"/>
      <c r="B299" s="1069"/>
      <c r="C299" s="1069"/>
      <c r="D299" s="1069"/>
      <c r="E299" s="1069"/>
      <c r="F299" s="1069"/>
      <c r="G299" s="1069"/>
      <c r="H299" s="1069"/>
      <c r="J299" s="1069"/>
      <c r="K299" s="1069"/>
      <c r="L299" s="1069"/>
      <c r="M299" s="1069"/>
      <c r="N299" s="1069"/>
    </row>
    <row r="300" spans="1:14">
      <c r="A300" s="1069"/>
      <c r="B300" s="1069"/>
      <c r="C300" s="1069"/>
      <c r="D300" s="1069"/>
      <c r="E300" s="1069"/>
      <c r="F300" s="1069"/>
      <c r="G300" s="1069"/>
      <c r="H300" s="1069"/>
      <c r="J300" s="1069"/>
      <c r="K300" s="1069"/>
      <c r="L300" s="1069"/>
      <c r="M300" s="1069"/>
      <c r="N300" s="1069"/>
    </row>
    <row r="301" spans="1:14">
      <c r="A301" s="1069"/>
      <c r="B301" s="1069"/>
      <c r="C301" s="1069"/>
      <c r="D301" s="1069"/>
      <c r="E301" s="1069"/>
      <c r="F301" s="1069"/>
      <c r="G301" s="1069"/>
      <c r="H301" s="1069"/>
      <c r="J301" s="1069"/>
      <c r="K301" s="1069"/>
      <c r="L301" s="1069"/>
      <c r="M301" s="1069"/>
      <c r="N301" s="1069"/>
    </row>
    <row r="302" spans="1:14">
      <c r="A302" s="1069"/>
      <c r="B302" s="1069"/>
      <c r="C302" s="1069"/>
      <c r="D302" s="1069"/>
      <c r="E302" s="1069"/>
      <c r="F302" s="1069"/>
      <c r="G302" s="1069"/>
      <c r="H302" s="1069"/>
      <c r="J302" s="1069"/>
      <c r="K302" s="1069"/>
      <c r="L302" s="1069"/>
      <c r="M302" s="1069"/>
      <c r="N302" s="1069"/>
    </row>
    <row r="303" spans="1:14">
      <c r="A303" s="1069"/>
      <c r="B303" s="1069"/>
      <c r="C303" s="1069"/>
      <c r="D303" s="1069"/>
      <c r="E303" s="1069"/>
      <c r="F303" s="1069"/>
      <c r="G303" s="1069"/>
      <c r="H303" s="1069"/>
      <c r="J303" s="1069"/>
      <c r="K303" s="1069"/>
      <c r="L303" s="1069"/>
      <c r="M303" s="1069"/>
      <c r="N303" s="1069"/>
    </row>
    <row r="304" spans="1:14">
      <c r="A304" s="1069"/>
      <c r="B304" s="1069"/>
      <c r="C304" s="1069"/>
      <c r="D304" s="1069"/>
      <c r="E304" s="1069"/>
      <c r="F304" s="1069"/>
      <c r="G304" s="1069"/>
      <c r="H304" s="1069"/>
      <c r="J304" s="1069"/>
      <c r="K304" s="1069"/>
      <c r="L304" s="1069"/>
      <c r="M304" s="1069"/>
      <c r="N304" s="1069"/>
    </row>
    <row r="305" spans="1:14">
      <c r="A305" s="1069"/>
      <c r="B305" s="1069"/>
      <c r="C305" s="1069"/>
      <c r="D305" s="1069"/>
      <c r="E305" s="1069"/>
      <c r="F305" s="1069"/>
      <c r="G305" s="1069"/>
      <c r="H305" s="1069"/>
      <c r="J305" s="1069"/>
      <c r="K305" s="1069"/>
      <c r="L305" s="1069"/>
      <c r="M305" s="1069"/>
      <c r="N305" s="1069"/>
    </row>
    <row r="306" spans="1:14">
      <c r="A306" s="1069"/>
      <c r="B306" s="1069"/>
      <c r="C306" s="1069"/>
      <c r="D306" s="1069"/>
      <c r="E306" s="1069"/>
      <c r="F306" s="1069"/>
      <c r="G306" s="1069"/>
      <c r="H306" s="1069"/>
      <c r="J306" s="1069"/>
      <c r="K306" s="1069"/>
      <c r="L306" s="1069"/>
      <c r="M306" s="1069"/>
      <c r="N306" s="1069"/>
    </row>
    <row r="307" spans="1:14">
      <c r="A307" s="1069"/>
      <c r="B307" s="1069"/>
      <c r="C307" s="1069"/>
      <c r="D307" s="1069"/>
      <c r="E307" s="1069"/>
      <c r="F307" s="1069"/>
      <c r="G307" s="1069"/>
      <c r="H307" s="1069"/>
      <c r="J307" s="1069"/>
      <c r="K307" s="1069"/>
      <c r="L307" s="1069"/>
      <c r="M307" s="1069"/>
      <c r="N307" s="1069"/>
    </row>
    <row r="308" spans="1:14">
      <c r="A308" s="1069"/>
      <c r="B308" s="1069"/>
      <c r="C308" s="1069"/>
      <c r="D308" s="1069"/>
      <c r="E308" s="1069"/>
      <c r="F308" s="1069"/>
      <c r="G308" s="1069"/>
      <c r="H308" s="1069"/>
      <c r="J308" s="1069"/>
      <c r="K308" s="1069"/>
      <c r="L308" s="1069"/>
      <c r="M308" s="1069"/>
      <c r="N308" s="1069"/>
    </row>
    <row r="309" spans="1:14">
      <c r="A309" s="1069"/>
      <c r="B309" s="1069"/>
      <c r="C309" s="1069"/>
      <c r="D309" s="1069"/>
      <c r="E309" s="1069"/>
      <c r="F309" s="1069"/>
      <c r="G309" s="1069"/>
      <c r="H309" s="1069"/>
      <c r="J309" s="1069"/>
      <c r="K309" s="1069"/>
      <c r="L309" s="1069"/>
      <c r="M309" s="1069"/>
      <c r="N309" s="1069"/>
    </row>
    <row r="310" spans="1:14">
      <c r="A310" s="1069"/>
      <c r="B310" s="1069"/>
      <c r="C310" s="1069"/>
      <c r="D310" s="1069"/>
      <c r="E310" s="1069"/>
      <c r="F310" s="1069"/>
      <c r="G310" s="1069"/>
      <c r="H310" s="1069"/>
      <c r="J310" s="1069"/>
      <c r="K310" s="1069"/>
      <c r="L310" s="1069"/>
      <c r="M310" s="1069"/>
      <c r="N310" s="1069"/>
    </row>
    <row r="311" spans="1:14">
      <c r="A311" s="1069"/>
      <c r="B311" s="1069"/>
      <c r="C311" s="1069"/>
      <c r="D311" s="1069"/>
      <c r="E311" s="1069"/>
      <c r="F311" s="1069"/>
      <c r="G311" s="1069"/>
      <c r="H311" s="1069"/>
      <c r="J311" s="1069"/>
      <c r="K311" s="1069"/>
      <c r="L311" s="1069"/>
      <c r="M311" s="1069"/>
      <c r="N311" s="1069"/>
    </row>
    <row r="312" spans="1:14">
      <c r="A312" s="1069"/>
      <c r="B312" s="1069"/>
      <c r="C312" s="1069"/>
      <c r="D312" s="1069"/>
      <c r="E312" s="1069"/>
      <c r="F312" s="1069"/>
      <c r="G312" s="1069"/>
      <c r="H312" s="1069"/>
      <c r="J312" s="1069"/>
      <c r="K312" s="1069"/>
      <c r="L312" s="1069"/>
      <c r="M312" s="1069"/>
      <c r="N312" s="1069"/>
    </row>
    <row r="313" spans="1:14">
      <c r="A313" s="1069"/>
      <c r="B313" s="1069"/>
      <c r="C313" s="1069"/>
      <c r="D313" s="1069"/>
      <c r="E313" s="1069"/>
      <c r="F313" s="1069"/>
      <c r="G313" s="1069"/>
      <c r="H313" s="1069"/>
      <c r="J313" s="1069"/>
      <c r="K313" s="1069"/>
      <c r="L313" s="1069"/>
      <c r="M313" s="1069"/>
      <c r="N313" s="1069"/>
    </row>
    <row r="314" spans="1:14">
      <c r="A314" s="1069"/>
      <c r="B314" s="1069"/>
      <c r="C314" s="1069"/>
      <c r="D314" s="1069"/>
      <c r="E314" s="1069"/>
      <c r="F314" s="1069"/>
      <c r="G314" s="1069"/>
      <c r="H314" s="1069"/>
      <c r="J314" s="1069"/>
      <c r="K314" s="1069"/>
      <c r="L314" s="1069"/>
      <c r="M314" s="1069"/>
      <c r="N314" s="1069"/>
    </row>
    <row r="315" spans="1:14">
      <c r="A315" s="1069"/>
      <c r="B315" s="1069"/>
      <c r="C315" s="1069"/>
      <c r="D315" s="1069"/>
      <c r="E315" s="1069"/>
      <c r="F315" s="1069"/>
      <c r="G315" s="1069"/>
      <c r="H315" s="1069"/>
      <c r="J315" s="1069"/>
      <c r="K315" s="1069"/>
      <c r="L315" s="1069"/>
      <c r="M315" s="1069"/>
      <c r="N315" s="1069"/>
    </row>
    <row r="316" spans="1:14">
      <c r="A316" s="1069"/>
      <c r="B316" s="1069"/>
      <c r="C316" s="1069"/>
      <c r="D316" s="1069"/>
      <c r="E316" s="1069"/>
      <c r="F316" s="1069"/>
      <c r="G316" s="1069"/>
      <c r="H316" s="1069"/>
      <c r="J316" s="1069"/>
      <c r="K316" s="1069"/>
      <c r="L316" s="1069"/>
      <c r="M316" s="1069"/>
      <c r="N316" s="1069"/>
    </row>
    <row r="317" spans="1:14">
      <c r="A317" s="1069"/>
      <c r="B317" s="1069"/>
      <c r="C317" s="1069"/>
      <c r="D317" s="1069"/>
      <c r="E317" s="1069"/>
      <c r="F317" s="1069"/>
      <c r="G317" s="1069"/>
      <c r="H317" s="1069"/>
      <c r="J317" s="1069"/>
      <c r="K317" s="1069"/>
      <c r="L317" s="1069"/>
      <c r="M317" s="1069"/>
      <c r="N317" s="1069"/>
    </row>
    <row r="318" spans="1:14">
      <c r="A318" s="1069"/>
      <c r="B318" s="1069"/>
      <c r="C318" s="1069"/>
      <c r="D318" s="1069"/>
      <c r="E318" s="1069"/>
      <c r="F318" s="1069"/>
      <c r="G318" s="1069"/>
      <c r="H318" s="1069"/>
      <c r="J318" s="1069"/>
      <c r="K318" s="1069"/>
      <c r="L318" s="1069"/>
      <c r="M318" s="1069"/>
      <c r="N318" s="1069"/>
    </row>
    <row r="319" spans="1:14">
      <c r="A319" s="1069"/>
      <c r="B319" s="1069"/>
      <c r="C319" s="1069"/>
      <c r="D319" s="1069"/>
      <c r="E319" s="1069"/>
      <c r="F319" s="1069"/>
      <c r="G319" s="1069"/>
      <c r="H319" s="1069"/>
      <c r="J319" s="1069"/>
      <c r="K319" s="1069"/>
      <c r="L319" s="1069"/>
      <c r="M319" s="1069"/>
      <c r="N319" s="1069"/>
    </row>
    <row r="320" spans="1:14">
      <c r="A320" s="1069"/>
      <c r="B320" s="1069"/>
      <c r="C320" s="1069"/>
      <c r="D320" s="1069"/>
      <c r="E320" s="1069"/>
      <c r="F320" s="1069"/>
      <c r="G320" s="1069"/>
      <c r="H320" s="1069"/>
      <c r="J320" s="1069"/>
      <c r="K320" s="1069"/>
      <c r="L320" s="1069"/>
      <c r="M320" s="1069"/>
      <c r="N320" s="1069"/>
    </row>
    <row r="321" spans="1:14">
      <c r="A321" s="1069"/>
      <c r="B321" s="1069"/>
      <c r="C321" s="1069"/>
      <c r="D321" s="1069"/>
      <c r="E321" s="1069"/>
      <c r="F321" s="1069"/>
      <c r="G321" s="1069"/>
      <c r="H321" s="1069"/>
      <c r="J321" s="1069"/>
      <c r="K321" s="1069"/>
      <c r="L321" s="1069"/>
      <c r="M321" s="1069"/>
      <c r="N321" s="1069"/>
    </row>
    <row r="322" spans="1:14">
      <c r="A322" s="1069"/>
      <c r="B322" s="1069"/>
      <c r="C322" s="1069"/>
      <c r="D322" s="1069"/>
      <c r="E322" s="1069"/>
      <c r="F322" s="1069"/>
      <c r="G322" s="1069"/>
      <c r="H322" s="1069"/>
      <c r="J322" s="1069"/>
      <c r="K322" s="1069"/>
      <c r="L322" s="1069"/>
      <c r="M322" s="1069"/>
      <c r="N322" s="1069"/>
    </row>
    <row r="323" spans="1:14">
      <c r="A323" s="1069"/>
      <c r="B323" s="1069"/>
      <c r="C323" s="1069"/>
      <c r="D323" s="1069"/>
      <c r="E323" s="1069"/>
      <c r="F323" s="1069"/>
      <c r="G323" s="1069"/>
      <c r="H323" s="1069"/>
      <c r="J323" s="1069"/>
      <c r="K323" s="1069"/>
      <c r="L323" s="1069"/>
      <c r="M323" s="1069"/>
      <c r="N323" s="1069"/>
    </row>
    <row r="324" spans="1:14">
      <c r="A324" s="1069"/>
      <c r="B324" s="1069"/>
      <c r="C324" s="1069"/>
      <c r="D324" s="1069"/>
      <c r="E324" s="1069"/>
      <c r="F324" s="1069"/>
      <c r="G324" s="1069"/>
      <c r="H324" s="1069"/>
      <c r="J324" s="1069"/>
      <c r="K324" s="1069"/>
      <c r="L324" s="1069"/>
      <c r="M324" s="1069"/>
      <c r="N324" s="1069"/>
    </row>
    <row r="325" spans="1:14">
      <c r="A325" s="1069"/>
      <c r="B325" s="1069"/>
      <c r="C325" s="1069"/>
      <c r="D325" s="1069"/>
      <c r="E325" s="1069"/>
      <c r="F325" s="1069"/>
      <c r="G325" s="1069"/>
      <c r="H325" s="1069"/>
      <c r="J325" s="1069"/>
      <c r="K325" s="1069"/>
      <c r="L325" s="1069"/>
      <c r="M325" s="1069"/>
      <c r="N325" s="1069"/>
    </row>
    <row r="326" spans="1:14">
      <c r="A326" s="1069"/>
      <c r="B326" s="1069"/>
      <c r="C326" s="1069"/>
      <c r="D326" s="1069"/>
      <c r="E326" s="1069"/>
      <c r="F326" s="1069"/>
      <c r="G326" s="1069"/>
      <c r="H326" s="1069"/>
      <c r="J326" s="1069"/>
      <c r="K326" s="1069"/>
      <c r="L326" s="1069"/>
      <c r="M326" s="1069"/>
      <c r="N326" s="1069"/>
    </row>
    <row r="327" spans="1:14">
      <c r="A327" s="1069"/>
      <c r="B327" s="1069"/>
      <c r="C327" s="1069"/>
      <c r="D327" s="1069"/>
      <c r="E327" s="1069"/>
      <c r="F327" s="1069"/>
      <c r="G327" s="1069"/>
      <c r="H327" s="1069"/>
      <c r="J327" s="1069"/>
      <c r="K327" s="1069"/>
      <c r="L327" s="1069"/>
      <c r="M327" s="1069"/>
      <c r="N327" s="1069"/>
    </row>
    <row r="328" spans="1:14">
      <c r="A328" s="1069"/>
      <c r="B328" s="1069"/>
      <c r="C328" s="1069"/>
      <c r="D328" s="1069"/>
      <c r="E328" s="1069"/>
      <c r="F328" s="1069"/>
      <c r="G328" s="1069"/>
      <c r="H328" s="1069"/>
      <c r="J328" s="1069"/>
      <c r="K328" s="1069"/>
      <c r="L328" s="1069"/>
      <c r="M328" s="1069"/>
      <c r="N328" s="1069"/>
    </row>
    <row r="329" spans="1:14">
      <c r="A329" s="1069"/>
      <c r="B329" s="1069"/>
      <c r="C329" s="1069"/>
      <c r="D329" s="1069"/>
      <c r="E329" s="1069"/>
      <c r="F329" s="1069"/>
      <c r="G329" s="1069"/>
      <c r="H329" s="1069"/>
      <c r="J329" s="1069"/>
      <c r="K329" s="1069"/>
      <c r="L329" s="1069"/>
      <c r="M329" s="1069"/>
      <c r="N329" s="1069"/>
    </row>
    <row r="330" spans="1:14">
      <c r="A330" s="1069"/>
      <c r="B330" s="1069"/>
      <c r="C330" s="1069"/>
      <c r="D330" s="1069"/>
      <c r="E330" s="1069"/>
      <c r="F330" s="1069"/>
      <c r="G330" s="1069"/>
      <c r="H330" s="1069"/>
      <c r="J330" s="1069"/>
      <c r="K330" s="1069"/>
      <c r="L330" s="1069"/>
      <c r="M330" s="1069"/>
      <c r="N330" s="1069"/>
    </row>
    <row r="331" spans="1:14">
      <c r="A331" s="1069"/>
      <c r="B331" s="1069"/>
      <c r="C331" s="1069"/>
      <c r="D331" s="1069"/>
      <c r="E331" s="1069"/>
      <c r="F331" s="1069"/>
      <c r="G331" s="1069"/>
      <c r="H331" s="1069"/>
      <c r="J331" s="1069"/>
      <c r="K331" s="1069"/>
      <c r="L331" s="1069"/>
      <c r="M331" s="1069"/>
      <c r="N331" s="1069"/>
    </row>
    <row r="332" spans="1:14">
      <c r="A332" s="1069"/>
      <c r="B332" s="1069"/>
      <c r="C332" s="1069"/>
      <c r="D332" s="1069"/>
      <c r="E332" s="1069"/>
      <c r="F332" s="1069"/>
      <c r="G332" s="1069"/>
      <c r="H332" s="1069"/>
      <c r="J332" s="1069"/>
      <c r="K332" s="1069"/>
      <c r="L332" s="1069"/>
      <c r="M332" s="1069"/>
      <c r="N332" s="1069"/>
    </row>
    <row r="333" spans="1:14">
      <c r="A333" s="1069"/>
      <c r="B333" s="1069"/>
      <c r="C333" s="1069"/>
      <c r="D333" s="1069"/>
      <c r="E333" s="1069"/>
      <c r="F333" s="1069"/>
      <c r="G333" s="1069"/>
      <c r="H333" s="1069"/>
      <c r="J333" s="1069"/>
      <c r="K333" s="1069"/>
      <c r="L333" s="1069"/>
      <c r="M333" s="1069"/>
      <c r="N333" s="1069"/>
    </row>
    <row r="334" spans="1:14">
      <c r="A334" s="1069"/>
      <c r="B334" s="1069"/>
      <c r="C334" s="1069"/>
      <c r="D334" s="1069"/>
      <c r="E334" s="1069"/>
      <c r="F334" s="1069"/>
      <c r="G334" s="1069"/>
      <c r="H334" s="1069"/>
      <c r="J334" s="1069"/>
      <c r="K334" s="1069"/>
      <c r="L334" s="1069"/>
      <c r="M334" s="1069"/>
      <c r="N334" s="1069"/>
    </row>
    <row r="335" spans="1:14">
      <c r="A335" s="1069"/>
      <c r="B335" s="1069"/>
      <c r="C335" s="1069"/>
      <c r="D335" s="1069"/>
      <c r="E335" s="1069"/>
      <c r="F335" s="1069"/>
      <c r="G335" s="1069"/>
      <c r="H335" s="1069"/>
      <c r="J335" s="1069"/>
      <c r="K335" s="1069"/>
      <c r="L335" s="1069"/>
      <c r="M335" s="1069"/>
      <c r="N335" s="1069"/>
    </row>
    <row r="336" spans="1:14">
      <c r="A336" s="1069"/>
      <c r="B336" s="1069"/>
      <c r="C336" s="1069"/>
      <c r="D336" s="1069"/>
      <c r="E336" s="1069"/>
      <c r="F336" s="1069"/>
      <c r="G336" s="1069"/>
      <c r="H336" s="1069"/>
      <c r="J336" s="1069"/>
      <c r="K336" s="1069"/>
      <c r="L336" s="1069"/>
      <c r="M336" s="1069"/>
      <c r="N336" s="1069"/>
    </row>
    <row r="337" spans="1:14">
      <c r="A337" s="1069"/>
      <c r="B337" s="1069"/>
      <c r="C337" s="1069"/>
      <c r="D337" s="1069"/>
      <c r="E337" s="1069"/>
      <c r="F337" s="1069"/>
      <c r="G337" s="1069"/>
      <c r="H337" s="1069"/>
      <c r="J337" s="1069"/>
      <c r="K337" s="1069"/>
      <c r="L337" s="1069"/>
      <c r="M337" s="1069"/>
      <c r="N337" s="1069"/>
    </row>
    <row r="338" spans="1:14">
      <c r="A338" s="1069"/>
      <c r="B338" s="1069"/>
      <c r="C338" s="1069"/>
      <c r="D338" s="1069"/>
      <c r="E338" s="1069"/>
      <c r="F338" s="1069"/>
      <c r="G338" s="1069"/>
      <c r="H338" s="1069"/>
      <c r="J338" s="1069"/>
      <c r="K338" s="1069"/>
      <c r="L338" s="1069"/>
      <c r="M338" s="1069"/>
      <c r="N338" s="1069"/>
    </row>
    <row r="339" spans="1:14">
      <c r="A339" s="1069"/>
      <c r="B339" s="1069"/>
      <c r="C339" s="1069"/>
      <c r="D339" s="1069"/>
      <c r="E339" s="1069"/>
      <c r="F339" s="1069"/>
      <c r="G339" s="1069"/>
      <c r="H339" s="1069"/>
      <c r="J339" s="1069"/>
      <c r="K339" s="1069"/>
      <c r="L339" s="1069"/>
      <c r="M339" s="1069"/>
      <c r="N339" s="1069"/>
    </row>
    <row r="340" spans="1:14">
      <c r="A340" s="1069"/>
      <c r="B340" s="1069"/>
      <c r="C340" s="1069"/>
      <c r="D340" s="1069"/>
      <c r="E340" s="1069"/>
      <c r="F340" s="1069"/>
      <c r="G340" s="1069"/>
      <c r="H340" s="1069"/>
      <c r="J340" s="1069"/>
      <c r="K340" s="1069"/>
      <c r="L340" s="1069"/>
      <c r="M340" s="1069"/>
      <c r="N340" s="1069"/>
    </row>
    <row r="341" spans="1:14">
      <c r="A341" s="1069"/>
      <c r="B341" s="1069"/>
      <c r="C341" s="1069"/>
      <c r="D341" s="1069"/>
      <c r="E341" s="1069"/>
      <c r="F341" s="1069"/>
      <c r="G341" s="1069"/>
      <c r="H341" s="1069"/>
      <c r="J341" s="1069"/>
      <c r="K341" s="1069"/>
      <c r="L341" s="1069"/>
      <c r="M341" s="1069"/>
      <c r="N341" s="1069"/>
    </row>
    <row r="342" spans="1:14">
      <c r="A342" s="1069"/>
      <c r="B342" s="1069"/>
      <c r="C342" s="1069"/>
      <c r="D342" s="1069"/>
      <c r="E342" s="1069"/>
      <c r="F342" s="1069"/>
      <c r="G342" s="1069"/>
      <c r="H342" s="1069"/>
      <c r="J342" s="1069"/>
      <c r="K342" s="1069"/>
      <c r="L342" s="1069"/>
      <c r="M342" s="1069"/>
      <c r="N342" s="1069"/>
    </row>
    <row r="343" spans="1:14">
      <c r="A343" s="1069"/>
      <c r="B343" s="1069"/>
      <c r="C343" s="1069"/>
      <c r="D343" s="1069"/>
      <c r="E343" s="1069"/>
      <c r="F343" s="1069"/>
      <c r="G343" s="1069"/>
      <c r="H343" s="1069"/>
      <c r="J343" s="1069"/>
      <c r="K343" s="1069"/>
      <c r="L343" s="1069"/>
      <c r="M343" s="1069"/>
      <c r="N343" s="1069"/>
    </row>
    <row r="344" spans="1:14">
      <c r="A344" s="1069"/>
      <c r="B344" s="1069"/>
      <c r="C344" s="1069"/>
      <c r="D344" s="1069"/>
      <c r="E344" s="1069"/>
      <c r="F344" s="1069"/>
      <c r="G344" s="1069"/>
      <c r="H344" s="1069"/>
      <c r="J344" s="1069"/>
      <c r="K344" s="1069"/>
      <c r="L344" s="1069"/>
      <c r="M344" s="1069"/>
      <c r="N344" s="1069"/>
    </row>
    <row r="345" spans="1:14">
      <c r="A345" s="1069"/>
      <c r="B345" s="1069"/>
      <c r="C345" s="1069"/>
      <c r="D345" s="1069"/>
      <c r="E345" s="1069"/>
      <c r="F345" s="1069"/>
      <c r="G345" s="1069"/>
      <c r="H345" s="1069"/>
      <c r="J345" s="1069"/>
      <c r="K345" s="1069"/>
      <c r="L345" s="1069"/>
      <c r="M345" s="1069"/>
      <c r="N345" s="1069"/>
    </row>
    <row r="346" spans="1:14">
      <c r="A346" s="1069"/>
      <c r="B346" s="1069"/>
      <c r="C346" s="1069"/>
      <c r="D346" s="1069"/>
      <c r="E346" s="1069"/>
      <c r="F346" s="1069"/>
      <c r="G346" s="1069"/>
      <c r="H346" s="1069"/>
      <c r="J346" s="1069"/>
      <c r="K346" s="1069"/>
      <c r="L346" s="1069"/>
      <c r="M346" s="1069"/>
      <c r="N346" s="1069"/>
    </row>
    <row r="347" spans="1:14">
      <c r="A347" s="1069"/>
      <c r="B347" s="1069"/>
      <c r="C347" s="1069"/>
      <c r="D347" s="1069"/>
      <c r="E347" s="1069"/>
      <c r="F347" s="1069"/>
      <c r="G347" s="1069"/>
      <c r="H347" s="1069"/>
      <c r="J347" s="1069"/>
      <c r="K347" s="1069"/>
      <c r="L347" s="1069"/>
      <c r="M347" s="1069"/>
      <c r="N347" s="1069"/>
    </row>
    <row r="348" spans="1:14">
      <c r="A348" s="1069"/>
      <c r="B348" s="1069"/>
      <c r="C348" s="1069"/>
      <c r="D348" s="1069"/>
      <c r="E348" s="1069"/>
      <c r="F348" s="1069"/>
      <c r="G348" s="1069"/>
      <c r="H348" s="1069"/>
      <c r="J348" s="1069"/>
      <c r="K348" s="1069"/>
      <c r="L348" s="1069"/>
      <c r="M348" s="1069"/>
      <c r="N348" s="1069"/>
    </row>
    <row r="349" spans="1:14">
      <c r="A349" s="1069"/>
      <c r="B349" s="1069"/>
      <c r="C349" s="1069"/>
      <c r="D349" s="1069"/>
      <c r="E349" s="1069"/>
      <c r="F349" s="1069"/>
      <c r="G349" s="1069"/>
      <c r="H349" s="1069"/>
      <c r="J349" s="1069"/>
      <c r="K349" s="1069"/>
      <c r="L349" s="1069"/>
      <c r="M349" s="1069"/>
      <c r="N349" s="1069"/>
    </row>
    <row r="350" spans="1:14">
      <c r="A350" s="1069"/>
      <c r="B350" s="1069"/>
      <c r="C350" s="1069"/>
      <c r="D350" s="1069"/>
      <c r="E350" s="1069"/>
      <c r="F350" s="1069"/>
      <c r="G350" s="1069"/>
      <c r="H350" s="1069"/>
      <c r="J350" s="1069"/>
      <c r="K350" s="1069"/>
      <c r="L350" s="1069"/>
      <c r="M350" s="1069"/>
      <c r="N350" s="1069"/>
    </row>
    <row r="351" spans="1:14">
      <c r="A351" s="1069"/>
      <c r="B351" s="1069"/>
      <c r="C351" s="1069"/>
      <c r="D351" s="1069"/>
      <c r="E351" s="1069"/>
      <c r="F351" s="1069"/>
      <c r="G351" s="1069"/>
      <c r="H351" s="1069"/>
      <c r="J351" s="1069"/>
      <c r="K351" s="1069"/>
      <c r="L351" s="1069"/>
      <c r="M351" s="1069"/>
      <c r="N351" s="1069"/>
    </row>
    <row r="352" spans="1:14">
      <c r="A352" s="1069"/>
      <c r="B352" s="1069"/>
      <c r="C352" s="1069"/>
      <c r="D352" s="1069"/>
      <c r="E352" s="1069"/>
      <c r="F352" s="1069"/>
      <c r="G352" s="1069"/>
      <c r="H352" s="1069"/>
      <c r="J352" s="1069"/>
      <c r="K352" s="1069"/>
      <c r="L352" s="1069"/>
      <c r="M352" s="1069"/>
      <c r="N352" s="1069"/>
    </row>
    <row r="353" spans="1:14">
      <c r="A353" s="1069"/>
      <c r="B353" s="1069"/>
      <c r="C353" s="1069"/>
      <c r="D353" s="1069"/>
      <c r="E353" s="1069"/>
      <c r="F353" s="1069"/>
      <c r="G353" s="1069"/>
      <c r="H353" s="1069"/>
      <c r="J353" s="1069"/>
      <c r="K353" s="1069"/>
      <c r="L353" s="1069"/>
      <c r="M353" s="1069"/>
      <c r="N353" s="1069"/>
    </row>
    <row r="354" spans="1:14">
      <c r="A354" s="1069"/>
      <c r="B354" s="1069"/>
      <c r="C354" s="1069"/>
      <c r="D354" s="1069"/>
      <c r="E354" s="1069"/>
      <c r="F354" s="1069"/>
      <c r="G354" s="1069"/>
      <c r="H354" s="1069"/>
      <c r="J354" s="1069"/>
      <c r="K354" s="1069"/>
      <c r="L354" s="1069"/>
      <c r="M354" s="1069"/>
      <c r="N354" s="1069"/>
    </row>
    <row r="355" spans="1:14">
      <c r="A355" s="1069"/>
      <c r="B355" s="1069"/>
      <c r="C355" s="1069"/>
      <c r="D355" s="1069"/>
      <c r="E355" s="1069"/>
      <c r="F355" s="1069"/>
      <c r="G355" s="1069"/>
      <c r="H355" s="1069"/>
      <c r="J355" s="1069"/>
      <c r="K355" s="1069"/>
      <c r="L355" s="1069"/>
      <c r="M355" s="1069"/>
      <c r="N355" s="1069"/>
    </row>
    <row r="356" spans="1:14">
      <c r="A356" s="1069"/>
      <c r="B356" s="1069"/>
      <c r="C356" s="1069"/>
      <c r="D356" s="1069"/>
      <c r="E356" s="1069"/>
      <c r="F356" s="1069"/>
      <c r="G356" s="1069"/>
      <c r="H356" s="1069"/>
      <c r="J356" s="1069"/>
      <c r="K356" s="1069"/>
      <c r="L356" s="1069"/>
      <c r="M356" s="1069"/>
      <c r="N356" s="1069"/>
    </row>
    <row r="357" spans="1:14">
      <c r="A357" s="1069"/>
      <c r="B357" s="1069"/>
      <c r="C357" s="1069"/>
      <c r="D357" s="1069"/>
      <c r="E357" s="1069"/>
      <c r="F357" s="1069"/>
      <c r="G357" s="1069"/>
      <c r="H357" s="1069"/>
      <c r="J357" s="1069"/>
      <c r="K357" s="1069"/>
      <c r="L357" s="1069"/>
      <c r="M357" s="1069"/>
      <c r="N357" s="1069"/>
    </row>
    <row r="358" spans="1:14">
      <c r="A358" s="1069"/>
      <c r="B358" s="1069"/>
      <c r="C358" s="1069"/>
      <c r="D358" s="1069"/>
      <c r="E358" s="1069"/>
      <c r="F358" s="1069"/>
      <c r="G358" s="1069"/>
      <c r="H358" s="1069"/>
      <c r="J358" s="1069"/>
      <c r="K358" s="1069"/>
      <c r="L358" s="1069"/>
      <c r="M358" s="1069"/>
      <c r="N358" s="1069"/>
    </row>
    <row r="359" spans="1:14">
      <c r="A359" s="1069"/>
      <c r="B359" s="1069"/>
      <c r="C359" s="1069"/>
      <c r="D359" s="1069"/>
      <c r="E359" s="1069"/>
      <c r="F359" s="1069"/>
      <c r="G359" s="1069"/>
      <c r="H359" s="1069"/>
      <c r="J359" s="1069"/>
      <c r="K359" s="1069"/>
      <c r="L359" s="1069"/>
      <c r="M359" s="1069"/>
      <c r="N359" s="1069"/>
    </row>
    <row r="360" spans="1:14">
      <c r="A360" s="1069"/>
      <c r="B360" s="1069"/>
      <c r="C360" s="1069"/>
      <c r="D360" s="1069"/>
      <c r="E360" s="1069"/>
      <c r="F360" s="1069"/>
      <c r="G360" s="1069"/>
      <c r="H360" s="1069"/>
      <c r="J360" s="1069"/>
      <c r="K360" s="1069"/>
      <c r="L360" s="1069"/>
      <c r="M360" s="1069"/>
      <c r="N360" s="1069"/>
    </row>
    <row r="361" spans="1:14">
      <c r="A361" s="1069"/>
      <c r="B361" s="1069"/>
      <c r="C361" s="1069"/>
      <c r="D361" s="1069"/>
      <c r="E361" s="1069"/>
      <c r="F361" s="1069"/>
      <c r="G361" s="1069"/>
      <c r="H361" s="1069"/>
      <c r="J361" s="1069"/>
      <c r="K361" s="1069"/>
      <c r="L361" s="1069"/>
      <c r="M361" s="1069"/>
      <c r="N361" s="1069"/>
    </row>
    <row r="362" spans="1:14">
      <c r="A362" s="1069"/>
      <c r="B362" s="1069"/>
      <c r="C362" s="1069"/>
      <c r="D362" s="1069"/>
      <c r="E362" s="1069"/>
      <c r="F362" s="1069"/>
      <c r="G362" s="1069"/>
      <c r="H362" s="1069"/>
      <c r="J362" s="1069"/>
      <c r="K362" s="1069"/>
      <c r="L362" s="1069"/>
      <c r="M362" s="1069"/>
      <c r="N362" s="1069"/>
    </row>
    <row r="363" spans="1:14">
      <c r="A363" s="1069"/>
      <c r="B363" s="1069"/>
      <c r="C363" s="1069"/>
      <c r="D363" s="1069"/>
      <c r="E363" s="1069"/>
      <c r="F363" s="1069"/>
      <c r="G363" s="1069"/>
      <c r="H363" s="1069"/>
      <c r="J363" s="1069"/>
      <c r="K363" s="1069"/>
      <c r="L363" s="1069"/>
      <c r="M363" s="1069"/>
      <c r="N363" s="1069"/>
    </row>
    <row r="364" spans="1:14">
      <c r="A364" s="1069"/>
      <c r="B364" s="1069"/>
      <c r="C364" s="1069"/>
      <c r="D364" s="1069"/>
      <c r="E364" s="1069"/>
      <c r="F364" s="1069"/>
      <c r="G364" s="1069"/>
      <c r="H364" s="1069"/>
      <c r="J364" s="1069"/>
      <c r="K364" s="1069"/>
      <c r="L364" s="1069"/>
      <c r="M364" s="1069"/>
      <c r="N364" s="1069"/>
    </row>
    <row r="365" spans="1:14">
      <c r="A365" s="1069"/>
      <c r="B365" s="1069"/>
      <c r="C365" s="1069"/>
      <c r="D365" s="1069"/>
      <c r="E365" s="1069"/>
      <c r="F365" s="1069"/>
      <c r="G365" s="1069"/>
      <c r="H365" s="1069"/>
      <c r="J365" s="1069"/>
      <c r="K365" s="1069"/>
      <c r="L365" s="1069"/>
      <c r="M365" s="1069"/>
      <c r="N365" s="1069"/>
    </row>
    <row r="366" spans="1:14">
      <c r="A366" s="1069"/>
      <c r="B366" s="1069"/>
      <c r="C366" s="1069"/>
      <c r="D366" s="1069"/>
      <c r="E366" s="1069"/>
      <c r="F366" s="1069"/>
      <c r="G366" s="1069"/>
      <c r="H366" s="1069"/>
      <c r="J366" s="1069"/>
      <c r="K366" s="1069"/>
      <c r="L366" s="1069"/>
      <c r="M366" s="1069"/>
      <c r="N366" s="1069"/>
    </row>
    <row r="367" spans="1:14">
      <c r="A367" s="1069"/>
      <c r="B367" s="1069"/>
      <c r="C367" s="1069"/>
      <c r="D367" s="1069"/>
      <c r="E367" s="1069"/>
      <c r="F367" s="1069"/>
      <c r="G367" s="1069"/>
      <c r="H367" s="1069"/>
      <c r="J367" s="1069"/>
      <c r="K367" s="1069"/>
      <c r="L367" s="1069"/>
      <c r="M367" s="1069"/>
      <c r="N367" s="1069"/>
    </row>
    <row r="368" spans="1:14">
      <c r="A368" s="1069"/>
      <c r="B368" s="1069"/>
      <c r="C368" s="1069"/>
      <c r="D368" s="1069"/>
      <c r="E368" s="1069"/>
      <c r="F368" s="1069"/>
      <c r="G368" s="1069"/>
      <c r="H368" s="1069"/>
      <c r="J368" s="1069"/>
      <c r="K368" s="1069"/>
      <c r="L368" s="1069"/>
      <c r="M368" s="1069"/>
      <c r="N368" s="1069"/>
    </row>
    <row r="369" spans="1:14">
      <c r="A369" s="1069"/>
      <c r="B369" s="1069"/>
      <c r="C369" s="1069"/>
      <c r="D369" s="1069"/>
      <c r="E369" s="1069"/>
      <c r="F369" s="1069"/>
      <c r="G369" s="1069"/>
      <c r="H369" s="1069"/>
      <c r="J369" s="1069"/>
      <c r="K369" s="1069"/>
      <c r="L369" s="1069"/>
      <c r="M369" s="1069"/>
      <c r="N369" s="1069"/>
    </row>
    <row r="370" spans="1:14">
      <c r="A370" s="1069"/>
      <c r="B370" s="1069"/>
      <c r="C370" s="1069"/>
      <c r="D370" s="1069"/>
      <c r="E370" s="1069"/>
      <c r="F370" s="1069"/>
      <c r="G370" s="1069"/>
      <c r="H370" s="1069"/>
      <c r="J370" s="1069"/>
      <c r="K370" s="1069"/>
      <c r="L370" s="1069"/>
      <c r="M370" s="1069"/>
      <c r="N370" s="1069"/>
    </row>
    <row r="371" spans="1:14">
      <c r="A371" s="1069"/>
      <c r="B371" s="1069"/>
      <c r="C371" s="1069"/>
      <c r="D371" s="1069"/>
      <c r="E371" s="1069"/>
      <c r="F371" s="1069"/>
      <c r="G371" s="1069"/>
      <c r="H371" s="1069"/>
      <c r="J371" s="1069"/>
      <c r="K371" s="1069"/>
      <c r="L371" s="1069"/>
      <c r="M371" s="1069"/>
      <c r="N371" s="1069"/>
    </row>
    <row r="372" spans="1:14">
      <c r="A372" s="1069"/>
      <c r="B372" s="1069"/>
      <c r="C372" s="1069"/>
      <c r="D372" s="1069"/>
      <c r="E372" s="1069"/>
      <c r="F372" s="1069"/>
      <c r="G372" s="1069"/>
      <c r="H372" s="1069"/>
      <c r="J372" s="1069"/>
      <c r="K372" s="1069"/>
      <c r="L372" s="1069"/>
      <c r="M372" s="1069"/>
      <c r="N372" s="1069"/>
    </row>
    <row r="373" spans="1:14">
      <c r="A373" s="1069"/>
      <c r="B373" s="1069"/>
      <c r="C373" s="1069"/>
      <c r="D373" s="1069"/>
      <c r="E373" s="1069"/>
      <c r="F373" s="1069"/>
      <c r="G373" s="1069"/>
      <c r="H373" s="1069"/>
      <c r="J373" s="1069"/>
      <c r="K373" s="1069"/>
      <c r="L373" s="1069"/>
      <c r="M373" s="1069"/>
      <c r="N373" s="1069"/>
    </row>
    <row r="374" spans="1:14">
      <c r="A374" s="1069"/>
      <c r="B374" s="1069"/>
      <c r="C374" s="1069"/>
      <c r="D374" s="1069"/>
      <c r="E374" s="1069"/>
      <c r="F374" s="1069"/>
      <c r="G374" s="1069"/>
      <c r="H374" s="1069"/>
      <c r="J374" s="1069"/>
      <c r="K374" s="1069"/>
      <c r="L374" s="1069"/>
      <c r="M374" s="1069"/>
      <c r="N374" s="1069"/>
    </row>
    <row r="375" spans="1:14">
      <c r="A375" s="1069"/>
      <c r="B375" s="1069"/>
      <c r="C375" s="1069"/>
      <c r="D375" s="1069"/>
      <c r="E375" s="1069"/>
      <c r="F375" s="1069"/>
      <c r="G375" s="1069"/>
      <c r="H375" s="1069"/>
      <c r="J375" s="1069"/>
      <c r="K375" s="1069"/>
      <c r="L375" s="1069"/>
      <c r="M375" s="1069"/>
      <c r="N375" s="1069"/>
    </row>
    <row r="376" spans="1:14">
      <c r="A376" s="1069"/>
      <c r="B376" s="1069"/>
      <c r="C376" s="1069"/>
      <c r="D376" s="1069"/>
      <c r="E376" s="1069"/>
      <c r="F376" s="1069"/>
      <c r="G376" s="1069"/>
      <c r="H376" s="1069"/>
      <c r="J376" s="1069"/>
      <c r="K376" s="1069"/>
      <c r="L376" s="1069"/>
      <c r="M376" s="1069"/>
      <c r="N376" s="1069"/>
    </row>
    <row r="377" spans="1:14">
      <c r="A377" s="1069"/>
      <c r="B377" s="1069"/>
      <c r="C377" s="1069"/>
      <c r="D377" s="1069"/>
      <c r="E377" s="1069"/>
      <c r="F377" s="1069"/>
      <c r="G377" s="1069"/>
      <c r="H377" s="1069"/>
      <c r="J377" s="1069"/>
      <c r="K377" s="1069"/>
      <c r="L377" s="1069"/>
      <c r="M377" s="1069"/>
      <c r="N377" s="1069"/>
    </row>
    <row r="378" spans="1:14">
      <c r="A378" s="1069"/>
      <c r="B378" s="1069"/>
      <c r="C378" s="1069"/>
      <c r="D378" s="1069"/>
      <c r="E378" s="1069"/>
      <c r="F378" s="1069"/>
      <c r="G378" s="1069"/>
      <c r="H378" s="1069"/>
      <c r="J378" s="1069"/>
      <c r="K378" s="1069"/>
      <c r="L378" s="1069"/>
      <c r="M378" s="1069"/>
      <c r="N378" s="1069"/>
    </row>
    <row r="379" spans="1:14">
      <c r="A379" s="1069"/>
      <c r="B379" s="1069"/>
      <c r="C379" s="1069"/>
      <c r="D379" s="1069"/>
      <c r="E379" s="1069"/>
      <c r="F379" s="1069"/>
      <c r="G379" s="1069"/>
      <c r="H379" s="1069"/>
      <c r="J379" s="1069"/>
      <c r="K379" s="1069"/>
      <c r="L379" s="1069"/>
      <c r="M379" s="1069"/>
      <c r="N379" s="1069"/>
    </row>
    <row r="380" spans="1:14">
      <c r="A380" s="1069"/>
      <c r="B380" s="1069"/>
      <c r="C380" s="1069"/>
      <c r="D380" s="1069"/>
      <c r="E380" s="1069"/>
      <c r="F380" s="1069"/>
      <c r="G380" s="1069"/>
      <c r="H380" s="1069"/>
      <c r="J380" s="1069"/>
      <c r="K380" s="1069"/>
      <c r="L380" s="1069"/>
      <c r="M380" s="1069"/>
      <c r="N380" s="1069"/>
    </row>
    <row r="381" spans="1:14">
      <c r="A381" s="1069"/>
      <c r="B381" s="1069"/>
      <c r="C381" s="1069"/>
      <c r="D381" s="1069"/>
      <c r="E381" s="1069"/>
      <c r="F381" s="1069"/>
      <c r="G381" s="1069"/>
      <c r="H381" s="1069"/>
      <c r="J381" s="1069"/>
      <c r="K381" s="1069"/>
      <c r="L381" s="1069"/>
      <c r="M381" s="1069"/>
      <c r="N381" s="1069"/>
    </row>
    <row r="382" spans="1:14">
      <c r="A382" s="1069"/>
      <c r="B382" s="1069"/>
      <c r="C382" s="1069"/>
      <c r="D382" s="1069"/>
      <c r="E382" s="1069"/>
      <c r="F382" s="1069"/>
      <c r="G382" s="1069"/>
      <c r="H382" s="1069"/>
      <c r="J382" s="1069"/>
      <c r="K382" s="1069"/>
      <c r="L382" s="1069"/>
      <c r="M382" s="1069"/>
      <c r="N382" s="1069"/>
    </row>
    <row r="383" spans="1:14">
      <c r="A383" s="1069"/>
      <c r="B383" s="1069"/>
      <c r="C383" s="1069"/>
      <c r="D383" s="1069"/>
      <c r="E383" s="1069"/>
      <c r="F383" s="1069"/>
      <c r="G383" s="1069"/>
      <c r="H383" s="1069"/>
      <c r="J383" s="1069"/>
      <c r="K383" s="1069"/>
      <c r="L383" s="1069"/>
      <c r="M383" s="1069"/>
      <c r="N383" s="1069"/>
    </row>
    <row r="384" spans="1:14">
      <c r="A384" s="1069"/>
      <c r="B384" s="1069"/>
      <c r="C384" s="1069"/>
      <c r="D384" s="1069"/>
      <c r="E384" s="1069"/>
      <c r="F384" s="1069"/>
      <c r="G384" s="1069"/>
      <c r="H384" s="1069"/>
      <c r="J384" s="1069"/>
      <c r="K384" s="1069"/>
      <c r="L384" s="1069"/>
      <c r="M384" s="1069"/>
      <c r="N384" s="1069"/>
    </row>
    <row r="385" spans="1:14">
      <c r="A385" s="1069"/>
      <c r="B385" s="1069"/>
      <c r="C385" s="1069"/>
      <c r="D385" s="1069"/>
      <c r="E385" s="1069"/>
      <c r="F385" s="1069"/>
      <c r="G385" s="1069"/>
      <c r="H385" s="1069"/>
      <c r="J385" s="1069"/>
      <c r="K385" s="1069"/>
      <c r="L385" s="1069"/>
      <c r="M385" s="1069"/>
      <c r="N385" s="1069"/>
    </row>
    <row r="386" spans="1:14">
      <c r="A386" s="1069"/>
      <c r="B386" s="1069"/>
      <c r="C386" s="1069"/>
      <c r="D386" s="1069"/>
      <c r="E386" s="1069"/>
      <c r="F386" s="1069"/>
      <c r="G386" s="1069"/>
      <c r="H386" s="1069"/>
      <c r="J386" s="1069"/>
      <c r="K386" s="1069"/>
      <c r="L386" s="1069"/>
      <c r="M386" s="1069"/>
      <c r="N386" s="1069"/>
    </row>
    <row r="387" spans="1:14">
      <c r="A387" s="1069"/>
      <c r="B387" s="1069"/>
      <c r="C387" s="1069"/>
      <c r="D387" s="1069"/>
      <c r="E387" s="1069"/>
      <c r="F387" s="1069"/>
      <c r="G387" s="1069"/>
      <c r="H387" s="1069"/>
      <c r="J387" s="1069"/>
      <c r="K387" s="1069"/>
      <c r="L387" s="1069"/>
      <c r="M387" s="1069"/>
      <c r="N387" s="1069"/>
    </row>
    <row r="388" spans="1:14">
      <c r="A388" s="1069"/>
      <c r="B388" s="1069"/>
      <c r="C388" s="1069"/>
      <c r="D388" s="1069"/>
      <c r="E388" s="1069"/>
      <c r="F388" s="1069"/>
      <c r="G388" s="1069"/>
      <c r="H388" s="1069"/>
      <c r="J388" s="1069"/>
      <c r="K388" s="1069"/>
      <c r="L388" s="1069"/>
      <c r="M388" s="1069"/>
      <c r="N388" s="1069"/>
    </row>
    <row r="389" spans="1:14">
      <c r="A389" s="1069"/>
      <c r="B389" s="1069"/>
      <c r="C389" s="1069"/>
      <c r="D389" s="1069"/>
      <c r="E389" s="1069"/>
      <c r="F389" s="1069"/>
      <c r="G389" s="1069"/>
      <c r="H389" s="1069"/>
      <c r="J389" s="1069"/>
      <c r="K389" s="1069"/>
      <c r="L389" s="1069"/>
      <c r="M389" s="1069"/>
      <c r="N389" s="1069"/>
    </row>
    <row r="390" spans="1:14">
      <c r="A390" s="1069"/>
      <c r="B390" s="1069"/>
      <c r="C390" s="1069"/>
      <c r="D390" s="1069"/>
      <c r="E390" s="1069"/>
      <c r="F390" s="1069"/>
      <c r="G390" s="1069"/>
      <c r="H390" s="1069"/>
      <c r="J390" s="1069"/>
      <c r="K390" s="1069"/>
      <c r="L390" s="1069"/>
      <c r="M390" s="1069"/>
      <c r="N390" s="1069"/>
    </row>
    <row r="391" spans="1:14">
      <c r="A391" s="1069"/>
      <c r="B391" s="1069"/>
      <c r="C391" s="1069"/>
      <c r="D391" s="1069"/>
      <c r="E391" s="1069"/>
      <c r="F391" s="1069"/>
      <c r="G391" s="1069"/>
      <c r="H391" s="1069"/>
      <c r="J391" s="1069"/>
      <c r="K391" s="1069"/>
      <c r="L391" s="1069"/>
      <c r="M391" s="1069"/>
      <c r="N391" s="1069"/>
    </row>
    <row r="392" spans="1:14">
      <c r="A392" s="1069"/>
      <c r="B392" s="1069"/>
      <c r="C392" s="1069"/>
      <c r="D392" s="1069"/>
      <c r="E392" s="1069"/>
      <c r="F392" s="1069"/>
      <c r="G392" s="1069"/>
      <c r="H392" s="1069"/>
      <c r="J392" s="1069"/>
      <c r="K392" s="1069"/>
      <c r="L392" s="1069"/>
      <c r="M392" s="1069"/>
      <c r="N392" s="1069"/>
    </row>
    <row r="393" spans="1:14">
      <c r="A393" s="1069"/>
      <c r="B393" s="1069"/>
      <c r="C393" s="1069"/>
      <c r="D393" s="1069"/>
      <c r="E393" s="1069"/>
      <c r="F393" s="1069"/>
      <c r="G393" s="1069"/>
      <c r="H393" s="1069"/>
      <c r="J393" s="1069"/>
      <c r="K393" s="1069"/>
      <c r="L393" s="1069"/>
      <c r="M393" s="1069"/>
      <c r="N393" s="1069"/>
    </row>
    <row r="394" spans="1:14">
      <c r="A394" s="1069"/>
      <c r="B394" s="1069"/>
      <c r="C394" s="1069"/>
      <c r="D394" s="1069"/>
      <c r="E394" s="1069"/>
      <c r="F394" s="1069"/>
      <c r="G394" s="1069"/>
      <c r="H394" s="1069"/>
      <c r="J394" s="1069"/>
      <c r="K394" s="1069"/>
      <c r="L394" s="1069"/>
      <c r="M394" s="1069"/>
      <c r="N394" s="1069"/>
    </row>
    <row r="395" spans="1:14">
      <c r="A395" s="1069"/>
      <c r="B395" s="1069"/>
      <c r="C395" s="1069"/>
      <c r="D395" s="1069"/>
      <c r="E395" s="1069"/>
      <c r="F395" s="1069"/>
      <c r="G395" s="1069"/>
      <c r="H395" s="1069"/>
      <c r="J395" s="1069"/>
      <c r="K395" s="1069"/>
      <c r="L395" s="1069"/>
      <c r="M395" s="1069"/>
      <c r="N395" s="1069"/>
    </row>
    <row r="396" spans="1:14">
      <c r="A396" s="1069"/>
      <c r="B396" s="1069"/>
      <c r="C396" s="1069"/>
      <c r="D396" s="1069"/>
      <c r="E396" s="1069"/>
      <c r="F396" s="1069"/>
      <c r="G396" s="1069"/>
      <c r="H396" s="1069"/>
      <c r="J396" s="1069"/>
      <c r="K396" s="1069"/>
      <c r="L396" s="1069"/>
      <c r="M396" s="1069"/>
      <c r="N396" s="1069"/>
    </row>
    <row r="397" spans="1:14">
      <c r="A397" s="1069"/>
      <c r="B397" s="1069"/>
      <c r="C397" s="1069"/>
      <c r="D397" s="1069"/>
      <c r="E397" s="1069"/>
      <c r="F397" s="1069"/>
      <c r="G397" s="1069"/>
      <c r="H397" s="1069"/>
      <c r="J397" s="1069"/>
      <c r="K397" s="1069"/>
      <c r="L397" s="1069"/>
      <c r="M397" s="1069"/>
      <c r="N397" s="1069"/>
    </row>
    <row r="398" spans="1:14">
      <c r="A398" s="1069"/>
      <c r="B398" s="1069"/>
      <c r="C398" s="1069"/>
      <c r="D398" s="1069"/>
      <c r="E398" s="1069"/>
      <c r="F398" s="1069"/>
      <c r="G398" s="1069"/>
      <c r="H398" s="1069"/>
      <c r="J398" s="1069"/>
      <c r="K398" s="1069"/>
      <c r="L398" s="1069"/>
      <c r="M398" s="1069"/>
      <c r="N398" s="1069"/>
    </row>
    <row r="399" spans="1:14">
      <c r="A399" s="1069"/>
      <c r="B399" s="1069"/>
      <c r="C399" s="1069"/>
      <c r="D399" s="1069"/>
      <c r="E399" s="1069"/>
      <c r="F399" s="1069"/>
      <c r="G399" s="1069"/>
      <c r="H399" s="1069"/>
      <c r="J399" s="1069"/>
      <c r="K399" s="1069"/>
      <c r="L399" s="1069"/>
      <c r="M399" s="1069"/>
      <c r="N399" s="1069"/>
    </row>
    <row r="400" spans="1:14">
      <c r="A400" s="1069"/>
      <c r="B400" s="1069"/>
      <c r="C400" s="1069"/>
      <c r="D400" s="1069"/>
      <c r="E400" s="1069"/>
      <c r="F400" s="1069"/>
      <c r="G400" s="1069"/>
      <c r="H400" s="1069"/>
      <c r="J400" s="1069"/>
      <c r="K400" s="1069"/>
      <c r="L400" s="1069"/>
      <c r="M400" s="1069"/>
      <c r="N400" s="1069"/>
    </row>
    <row r="401" spans="1:14">
      <c r="A401" s="1069"/>
      <c r="B401" s="1069"/>
      <c r="C401" s="1069"/>
      <c r="D401" s="1069"/>
      <c r="E401" s="1069"/>
      <c r="F401" s="1069"/>
      <c r="G401" s="1069"/>
      <c r="H401" s="1069"/>
      <c r="J401" s="1069"/>
      <c r="K401" s="1069"/>
      <c r="L401" s="1069"/>
      <c r="M401" s="1069"/>
      <c r="N401" s="1069"/>
    </row>
    <row r="402" spans="1:14">
      <c r="A402" s="1069"/>
      <c r="B402" s="1069"/>
      <c r="C402" s="1069"/>
      <c r="D402" s="1069"/>
      <c r="E402" s="1069"/>
      <c r="F402" s="1069"/>
      <c r="G402" s="1069"/>
      <c r="H402" s="1069"/>
      <c r="J402" s="1069"/>
      <c r="K402" s="1069"/>
      <c r="L402" s="1069"/>
      <c r="M402" s="1069"/>
      <c r="N402" s="1069"/>
    </row>
    <row r="403" spans="1:14">
      <c r="A403" s="1069"/>
      <c r="B403" s="1069"/>
      <c r="C403" s="1069"/>
      <c r="D403" s="1069"/>
      <c r="E403" s="1069"/>
      <c r="F403" s="1069"/>
      <c r="G403" s="1069"/>
      <c r="H403" s="1069"/>
      <c r="J403" s="1069"/>
      <c r="K403" s="1069"/>
      <c r="L403" s="1069"/>
      <c r="M403" s="1069"/>
      <c r="N403" s="1069"/>
    </row>
    <row r="404" spans="1:14">
      <c r="A404" s="1069"/>
      <c r="B404" s="1069"/>
      <c r="C404" s="1069"/>
      <c r="D404" s="1069"/>
      <c r="E404" s="1069"/>
      <c r="F404" s="1069"/>
      <c r="G404" s="1069"/>
      <c r="H404" s="1069"/>
      <c r="J404" s="1069"/>
      <c r="K404" s="1069"/>
      <c r="L404" s="1069"/>
      <c r="M404" s="1069"/>
      <c r="N404" s="1069"/>
    </row>
    <row r="405" spans="1:14">
      <c r="A405" s="1069"/>
      <c r="B405" s="1069"/>
      <c r="C405" s="1069"/>
      <c r="D405" s="1069"/>
      <c r="E405" s="1069"/>
      <c r="F405" s="1069"/>
      <c r="G405" s="1069"/>
      <c r="H405" s="1069"/>
      <c r="J405" s="1069"/>
      <c r="K405" s="1069"/>
      <c r="L405" s="1069"/>
      <c r="M405" s="1069"/>
      <c r="N405" s="1069"/>
    </row>
    <row r="406" spans="1:14">
      <c r="A406" s="1069"/>
      <c r="B406" s="1069"/>
      <c r="C406" s="1069"/>
      <c r="D406" s="1069"/>
      <c r="E406" s="1069"/>
      <c r="F406" s="1069"/>
      <c r="G406" s="1069"/>
      <c r="H406" s="1069"/>
      <c r="J406" s="1069"/>
      <c r="K406" s="1069"/>
      <c r="L406" s="1069"/>
      <c r="M406" s="1069"/>
      <c r="N406" s="1069"/>
    </row>
    <row r="407" spans="1:14">
      <c r="A407" s="1069"/>
      <c r="B407" s="1069"/>
      <c r="C407" s="1069"/>
      <c r="D407" s="1069"/>
      <c r="E407" s="1069"/>
      <c r="F407" s="1069"/>
      <c r="G407" s="1069"/>
      <c r="H407" s="1069"/>
      <c r="J407" s="1069"/>
      <c r="K407" s="1069"/>
      <c r="L407" s="1069"/>
      <c r="M407" s="1069"/>
      <c r="N407" s="1069"/>
    </row>
    <row r="408" spans="1:14">
      <c r="A408" s="1069"/>
      <c r="B408" s="1069"/>
      <c r="C408" s="1069"/>
      <c r="D408" s="1069"/>
      <c r="E408" s="1069"/>
      <c r="F408" s="1069"/>
      <c r="G408" s="1069"/>
      <c r="H408" s="1069"/>
      <c r="J408" s="1069"/>
      <c r="K408" s="1069"/>
      <c r="L408" s="1069"/>
      <c r="M408" s="1069"/>
      <c r="N408" s="1069"/>
    </row>
    <row r="409" spans="1:14">
      <c r="A409" s="1069"/>
      <c r="B409" s="1069"/>
      <c r="C409" s="1069"/>
      <c r="D409" s="1069"/>
      <c r="E409" s="1069"/>
      <c r="F409" s="1069"/>
      <c r="G409" s="1069"/>
      <c r="H409" s="1069"/>
      <c r="J409" s="1069"/>
      <c r="K409" s="1069"/>
      <c r="L409" s="1069"/>
      <c r="M409" s="1069"/>
      <c r="N409" s="1069"/>
    </row>
    <row r="410" spans="1:14">
      <c r="A410" s="1069"/>
      <c r="B410" s="1069"/>
      <c r="C410" s="1069"/>
      <c r="D410" s="1069"/>
      <c r="E410" s="1069"/>
      <c r="F410" s="1069"/>
      <c r="G410" s="1069"/>
      <c r="H410" s="1069"/>
      <c r="J410" s="1069"/>
      <c r="K410" s="1069"/>
      <c r="L410" s="1069"/>
      <c r="M410" s="1069"/>
      <c r="N410" s="1069"/>
    </row>
    <row r="411" spans="1:14">
      <c r="A411" s="1069"/>
      <c r="B411" s="1069"/>
      <c r="C411" s="1069"/>
      <c r="D411" s="1069"/>
      <c r="E411" s="1069"/>
      <c r="F411" s="1069"/>
      <c r="G411" s="1069"/>
      <c r="H411" s="1069"/>
      <c r="J411" s="1069"/>
      <c r="K411" s="1069"/>
      <c r="L411" s="1069"/>
      <c r="M411" s="1069"/>
      <c r="N411" s="1069"/>
    </row>
    <row r="412" spans="1:14">
      <c r="A412" s="1069"/>
      <c r="B412" s="1069"/>
      <c r="C412" s="1069"/>
      <c r="D412" s="1069"/>
      <c r="E412" s="1069"/>
      <c r="F412" s="1069"/>
      <c r="G412" s="1069"/>
      <c r="H412" s="1069"/>
      <c r="J412" s="1069"/>
      <c r="K412" s="1069"/>
      <c r="L412" s="1069"/>
      <c r="M412" s="1069"/>
      <c r="N412" s="1069"/>
    </row>
    <row r="413" spans="1:14">
      <c r="A413" s="1069"/>
      <c r="B413" s="1069"/>
      <c r="C413" s="1069"/>
      <c r="D413" s="1069"/>
      <c r="E413" s="1069"/>
      <c r="F413" s="1069"/>
      <c r="G413" s="1069"/>
      <c r="H413" s="1069"/>
      <c r="J413" s="1069"/>
      <c r="K413" s="1069"/>
      <c r="L413" s="1069"/>
      <c r="M413" s="1069"/>
      <c r="N413" s="1069"/>
    </row>
    <row r="414" spans="1:14">
      <c r="A414" s="1069"/>
      <c r="B414" s="1069"/>
      <c r="C414" s="1069"/>
      <c r="D414" s="1069"/>
      <c r="E414" s="1069"/>
      <c r="F414" s="1069"/>
      <c r="G414" s="1069"/>
      <c r="H414" s="1069"/>
      <c r="J414" s="1069"/>
      <c r="K414" s="1069"/>
      <c r="L414" s="1069"/>
      <c r="M414" s="1069"/>
      <c r="N414" s="1069"/>
    </row>
    <row r="415" spans="1:14">
      <c r="A415" s="1069"/>
      <c r="B415" s="1069"/>
      <c r="C415" s="1069"/>
      <c r="D415" s="1069"/>
      <c r="E415" s="1069"/>
      <c r="F415" s="1069"/>
      <c r="G415" s="1069"/>
      <c r="H415" s="1069"/>
      <c r="J415" s="1069"/>
      <c r="K415" s="1069"/>
      <c r="L415" s="1069"/>
      <c r="M415" s="1069"/>
      <c r="N415" s="1069"/>
    </row>
    <row r="416" spans="1:14">
      <c r="A416" s="1069"/>
      <c r="B416" s="1069"/>
      <c r="C416" s="1069"/>
      <c r="D416" s="1069"/>
      <c r="E416" s="1069"/>
      <c r="F416" s="1069"/>
      <c r="G416" s="1069"/>
      <c r="H416" s="1069"/>
      <c r="J416" s="1069"/>
      <c r="K416" s="1069"/>
      <c r="L416" s="1069"/>
      <c r="M416" s="1069"/>
      <c r="N416" s="1069"/>
    </row>
    <row r="417" spans="1:14">
      <c r="A417" s="1069"/>
      <c r="B417" s="1069"/>
      <c r="C417" s="1069"/>
      <c r="D417" s="1069"/>
      <c r="E417" s="1069"/>
      <c r="F417" s="1069"/>
      <c r="G417" s="1069"/>
      <c r="H417" s="1069"/>
      <c r="J417" s="1069"/>
      <c r="K417" s="1069"/>
      <c r="L417" s="1069"/>
      <c r="M417" s="1069"/>
      <c r="N417" s="1069"/>
    </row>
    <row r="418" spans="1:14">
      <c r="A418" s="1069"/>
      <c r="B418" s="1069"/>
      <c r="C418" s="1069"/>
      <c r="D418" s="1069"/>
      <c r="E418" s="1069"/>
      <c r="F418" s="1069"/>
      <c r="G418" s="1069"/>
      <c r="H418" s="1069"/>
      <c r="J418" s="1069"/>
      <c r="K418" s="1069"/>
      <c r="L418" s="1069"/>
      <c r="M418" s="1069"/>
      <c r="N418" s="1069"/>
    </row>
    <row r="419" spans="1:14">
      <c r="A419" s="1069"/>
      <c r="B419" s="1069"/>
      <c r="C419" s="1069"/>
      <c r="D419" s="1069"/>
      <c r="E419" s="1069"/>
      <c r="F419" s="1069"/>
      <c r="G419" s="1069"/>
      <c r="H419" s="1069"/>
      <c r="J419" s="1069"/>
      <c r="K419" s="1069"/>
      <c r="L419" s="1069"/>
      <c r="M419" s="1069"/>
      <c r="N419" s="1069"/>
    </row>
    <row r="420" spans="1:14">
      <c r="A420" s="1069"/>
      <c r="B420" s="1069"/>
      <c r="C420" s="1069"/>
      <c r="D420" s="1069"/>
      <c r="E420" s="1069"/>
      <c r="F420" s="1069"/>
      <c r="G420" s="1069"/>
      <c r="H420" s="1069"/>
      <c r="J420" s="1069"/>
      <c r="K420" s="1069"/>
      <c r="L420" s="1069"/>
      <c r="M420" s="1069"/>
      <c r="N420" s="1069"/>
    </row>
    <row r="421" spans="1:14">
      <c r="A421" s="1069"/>
      <c r="B421" s="1069"/>
      <c r="C421" s="1069"/>
      <c r="D421" s="1069"/>
      <c r="E421" s="1069"/>
      <c r="F421" s="1069"/>
      <c r="G421" s="1069"/>
      <c r="H421" s="1069"/>
      <c r="J421" s="1069"/>
      <c r="K421" s="1069"/>
      <c r="L421" s="1069"/>
      <c r="M421" s="1069"/>
      <c r="N421" s="1069"/>
    </row>
    <row r="422" spans="1:14">
      <c r="A422" s="1069"/>
      <c r="B422" s="1069"/>
      <c r="C422" s="1069"/>
      <c r="D422" s="1069"/>
      <c r="E422" s="1069"/>
      <c r="F422" s="1069"/>
      <c r="G422" s="1069"/>
      <c r="H422" s="1069"/>
      <c r="J422" s="1069"/>
      <c r="K422" s="1069"/>
      <c r="L422" s="1069"/>
      <c r="M422" s="1069"/>
      <c r="N422" s="1069"/>
    </row>
    <row r="423" spans="1:14">
      <c r="A423" s="1069"/>
      <c r="B423" s="1069"/>
      <c r="C423" s="1069"/>
      <c r="D423" s="1069"/>
      <c r="E423" s="1069"/>
      <c r="F423" s="1069"/>
      <c r="G423" s="1069"/>
      <c r="H423" s="1069"/>
      <c r="J423" s="1069"/>
      <c r="K423" s="1069"/>
      <c r="L423" s="1069"/>
      <c r="M423" s="1069"/>
      <c r="N423" s="1069"/>
    </row>
    <row r="424" spans="1:14">
      <c r="A424" s="1069"/>
      <c r="B424" s="1069"/>
      <c r="C424" s="1069"/>
      <c r="D424" s="1069"/>
      <c r="E424" s="1069"/>
      <c r="F424" s="1069"/>
      <c r="G424" s="1069"/>
      <c r="H424" s="1069"/>
      <c r="J424" s="1069"/>
      <c r="K424" s="1069"/>
      <c r="L424" s="1069"/>
      <c r="M424" s="1069"/>
      <c r="N424" s="1069"/>
    </row>
    <row r="425" spans="1:14">
      <c r="A425" s="1069"/>
      <c r="B425" s="1069"/>
      <c r="C425" s="1069"/>
      <c r="D425" s="1069"/>
      <c r="E425" s="1069"/>
      <c r="F425" s="1069"/>
      <c r="G425" s="1069"/>
      <c r="H425" s="1069"/>
      <c r="J425" s="1069"/>
      <c r="K425" s="1069"/>
      <c r="L425" s="1069"/>
      <c r="M425" s="1069"/>
      <c r="N425" s="1069"/>
    </row>
    <row r="426" spans="1:14">
      <c r="A426" s="1069"/>
      <c r="B426" s="1069"/>
      <c r="C426" s="1069"/>
      <c r="D426" s="1069"/>
      <c r="E426" s="1069"/>
      <c r="F426" s="1069"/>
      <c r="G426" s="1069"/>
      <c r="H426" s="1069"/>
      <c r="J426" s="1069"/>
      <c r="K426" s="1069"/>
      <c r="L426" s="1069"/>
      <c r="M426" s="1069"/>
      <c r="N426" s="1069"/>
    </row>
    <row r="427" spans="1:14">
      <c r="A427" s="1069"/>
      <c r="B427" s="1069"/>
      <c r="C427" s="1069"/>
      <c r="D427" s="1069"/>
      <c r="E427" s="1069"/>
      <c r="F427" s="1069"/>
      <c r="G427" s="1069"/>
      <c r="H427" s="1069"/>
      <c r="J427" s="1069"/>
      <c r="K427" s="1069"/>
      <c r="L427" s="1069"/>
      <c r="M427" s="1069"/>
      <c r="N427" s="1069"/>
    </row>
    <row r="428" spans="1:14">
      <c r="A428" s="1069"/>
      <c r="B428" s="1069"/>
      <c r="C428" s="1069"/>
      <c r="D428" s="1069"/>
      <c r="E428" s="1069"/>
      <c r="F428" s="1069"/>
      <c r="G428" s="1069"/>
      <c r="H428" s="1069"/>
      <c r="J428" s="1069"/>
      <c r="K428" s="1069"/>
      <c r="L428" s="1069"/>
      <c r="M428" s="1069"/>
      <c r="N428" s="1069"/>
    </row>
    <row r="429" spans="1:14">
      <c r="A429" s="1069"/>
      <c r="B429" s="1069"/>
      <c r="C429" s="1069"/>
      <c r="D429" s="1069"/>
      <c r="E429" s="1069"/>
      <c r="F429" s="1069"/>
      <c r="G429" s="1069"/>
      <c r="H429" s="1069"/>
      <c r="J429" s="1069"/>
      <c r="K429" s="1069"/>
      <c r="L429" s="1069"/>
      <c r="M429" s="1069"/>
      <c r="N429" s="1069"/>
    </row>
    <row r="430" spans="1:14">
      <c r="A430" s="1069"/>
      <c r="B430" s="1069"/>
      <c r="C430" s="1069"/>
      <c r="D430" s="1069"/>
      <c r="E430" s="1069"/>
      <c r="F430" s="1069"/>
      <c r="G430" s="1069"/>
      <c r="H430" s="1069"/>
      <c r="J430" s="1069"/>
      <c r="K430" s="1069"/>
      <c r="L430" s="1069"/>
      <c r="M430" s="1069"/>
      <c r="N430" s="1069"/>
    </row>
    <row r="431" spans="1:14">
      <c r="A431" s="1069"/>
      <c r="B431" s="1069"/>
      <c r="C431" s="1069"/>
      <c r="D431" s="1069"/>
      <c r="E431" s="1069"/>
      <c r="F431" s="1069"/>
      <c r="G431" s="1069"/>
      <c r="H431" s="1069"/>
      <c r="J431" s="1069"/>
      <c r="K431" s="1069"/>
      <c r="L431" s="1069"/>
      <c r="M431" s="1069"/>
      <c r="N431" s="1069"/>
    </row>
    <row r="432" spans="1:14">
      <c r="A432" s="1069"/>
      <c r="B432" s="1069"/>
      <c r="C432" s="1069"/>
      <c r="D432" s="1069"/>
      <c r="E432" s="1069"/>
      <c r="F432" s="1069"/>
      <c r="G432" s="1069"/>
      <c r="H432" s="1069"/>
      <c r="J432" s="1069"/>
      <c r="K432" s="1069"/>
      <c r="L432" s="1069"/>
      <c r="M432" s="1069"/>
      <c r="N432" s="1069"/>
    </row>
    <row r="433" spans="1:14">
      <c r="A433" s="1069"/>
      <c r="B433" s="1069"/>
      <c r="C433" s="1069"/>
      <c r="D433" s="1069"/>
      <c r="E433" s="1069"/>
      <c r="F433" s="1069"/>
      <c r="G433" s="1069"/>
      <c r="H433" s="1069"/>
      <c r="J433" s="1069"/>
      <c r="K433" s="1069"/>
      <c r="L433" s="1069"/>
      <c r="M433" s="1069"/>
      <c r="N433" s="1069"/>
    </row>
    <row r="434" spans="1:14">
      <c r="A434" s="1069"/>
      <c r="B434" s="1069"/>
      <c r="C434" s="1069"/>
      <c r="D434" s="1069"/>
      <c r="E434" s="1069"/>
      <c r="F434" s="1069"/>
      <c r="G434" s="1069"/>
      <c r="H434" s="1069"/>
      <c r="J434" s="1069"/>
      <c r="K434" s="1069"/>
      <c r="L434" s="1069"/>
      <c r="M434" s="1069"/>
      <c r="N434" s="1069"/>
    </row>
    <row r="435" spans="1:14">
      <c r="A435" s="1069"/>
      <c r="B435" s="1069"/>
      <c r="C435" s="1069"/>
      <c r="D435" s="1069"/>
      <c r="E435" s="1069"/>
      <c r="F435" s="1069"/>
      <c r="G435" s="1069"/>
      <c r="H435" s="1069"/>
      <c r="J435" s="1069"/>
      <c r="K435" s="1069"/>
      <c r="L435" s="1069"/>
      <c r="M435" s="1069"/>
      <c r="N435" s="1069"/>
    </row>
    <row r="436" spans="1:14">
      <c r="A436" s="1069"/>
      <c r="B436" s="1069"/>
      <c r="C436" s="1069"/>
      <c r="D436" s="1069"/>
      <c r="E436" s="1069"/>
      <c r="F436" s="1069"/>
      <c r="G436" s="1069"/>
      <c r="H436" s="1069"/>
      <c r="J436" s="1069"/>
      <c r="K436" s="1069"/>
      <c r="L436" s="1069"/>
      <c r="M436" s="1069"/>
      <c r="N436" s="1069"/>
    </row>
    <row r="437" spans="1:14">
      <c r="A437" s="1069"/>
      <c r="B437" s="1069"/>
      <c r="C437" s="1069"/>
      <c r="D437" s="1069"/>
      <c r="E437" s="1069"/>
      <c r="F437" s="1069"/>
      <c r="G437" s="1069"/>
      <c r="H437" s="1069"/>
      <c r="J437" s="1069"/>
      <c r="K437" s="1069"/>
      <c r="L437" s="1069"/>
      <c r="M437" s="1069"/>
      <c r="N437" s="1069"/>
    </row>
    <row r="438" spans="1:14">
      <c r="A438" s="1069"/>
      <c r="B438" s="1069"/>
      <c r="C438" s="1069"/>
      <c r="D438" s="1069"/>
      <c r="E438" s="1069"/>
      <c r="F438" s="1069"/>
      <c r="G438" s="1069"/>
      <c r="H438" s="1069"/>
      <c r="J438" s="1069"/>
      <c r="K438" s="1069"/>
      <c r="L438" s="1069"/>
      <c r="M438" s="1069"/>
      <c r="N438" s="1069"/>
    </row>
    <row r="439" spans="1:14">
      <c r="A439" s="1069"/>
      <c r="B439" s="1069"/>
      <c r="C439" s="1069"/>
      <c r="D439" s="1069"/>
      <c r="E439" s="1069"/>
      <c r="F439" s="1069"/>
      <c r="G439" s="1069"/>
      <c r="H439" s="1069"/>
      <c r="J439" s="1069"/>
      <c r="K439" s="1069"/>
      <c r="L439" s="1069"/>
      <c r="M439" s="1069"/>
      <c r="N439" s="1069"/>
    </row>
    <row r="440" spans="1:14">
      <c r="A440" s="1069"/>
      <c r="B440" s="1069"/>
      <c r="C440" s="1069"/>
      <c r="D440" s="1069"/>
      <c r="E440" s="1069"/>
      <c r="F440" s="1069"/>
      <c r="G440" s="1069"/>
      <c r="H440" s="1069"/>
      <c r="J440" s="1069"/>
      <c r="K440" s="1069"/>
      <c r="L440" s="1069"/>
      <c r="M440" s="1069"/>
      <c r="N440" s="1069"/>
    </row>
    <row r="441" spans="1:14">
      <c r="A441" s="1069"/>
      <c r="B441" s="1069"/>
      <c r="C441" s="1069"/>
      <c r="D441" s="1069"/>
      <c r="E441" s="1069"/>
      <c r="F441" s="1069"/>
      <c r="G441" s="1069"/>
      <c r="H441" s="1069"/>
      <c r="J441" s="1069"/>
      <c r="K441" s="1069"/>
      <c r="L441" s="1069"/>
      <c r="M441" s="1069"/>
      <c r="N441" s="1069"/>
    </row>
    <row r="442" spans="1:14">
      <c r="A442" s="1069"/>
      <c r="B442" s="1069"/>
      <c r="C442" s="1069"/>
      <c r="D442" s="1069"/>
      <c r="E442" s="1069"/>
      <c r="F442" s="1069"/>
      <c r="G442" s="1069"/>
      <c r="H442" s="1069"/>
      <c r="J442" s="1069"/>
      <c r="K442" s="1069"/>
      <c r="L442" s="1069"/>
      <c r="M442" s="1069"/>
      <c r="N442" s="1069"/>
    </row>
    <row r="443" spans="1:14">
      <c r="A443" s="1069"/>
      <c r="B443" s="1069"/>
      <c r="C443" s="1069"/>
      <c r="D443" s="1069"/>
      <c r="E443" s="1069"/>
      <c r="F443" s="1069"/>
      <c r="G443" s="1069"/>
      <c r="H443" s="1069"/>
      <c r="J443" s="1069"/>
      <c r="K443" s="1069"/>
      <c r="L443" s="1069"/>
      <c r="M443" s="1069"/>
      <c r="N443" s="1069"/>
    </row>
    <row r="444" spans="1:14">
      <c r="A444" s="1069"/>
      <c r="B444" s="1069"/>
      <c r="C444" s="1069"/>
      <c r="D444" s="1069"/>
      <c r="E444" s="1069"/>
      <c r="F444" s="1069"/>
      <c r="G444" s="1069"/>
      <c r="H444" s="1069"/>
      <c r="J444" s="1069"/>
      <c r="K444" s="1069"/>
      <c r="L444" s="1069"/>
      <c r="M444" s="1069"/>
      <c r="N444" s="1069"/>
    </row>
    <row r="445" spans="1:14">
      <c r="A445" s="1069"/>
      <c r="B445" s="1069"/>
      <c r="C445" s="1069"/>
      <c r="D445" s="1069"/>
      <c r="E445" s="1069"/>
      <c r="F445" s="1069"/>
      <c r="G445" s="1069"/>
      <c r="H445" s="1069"/>
      <c r="J445" s="1069"/>
      <c r="K445" s="1069"/>
      <c r="L445" s="1069"/>
      <c r="M445" s="1069"/>
      <c r="N445" s="1069"/>
    </row>
    <row r="446" spans="1:14">
      <c r="A446" s="1069"/>
      <c r="B446" s="1069"/>
      <c r="C446" s="1069"/>
      <c r="D446" s="1069"/>
      <c r="E446" s="1069"/>
      <c r="F446" s="1069"/>
      <c r="G446" s="1069"/>
      <c r="H446" s="1069"/>
      <c r="J446" s="1069"/>
      <c r="K446" s="1069"/>
      <c r="L446" s="1069"/>
      <c r="M446" s="1069"/>
      <c r="N446" s="1069"/>
    </row>
    <row r="447" spans="1:14">
      <c r="A447" s="1069"/>
      <c r="B447" s="1069"/>
      <c r="C447" s="1069"/>
      <c r="D447" s="1069"/>
      <c r="E447" s="1069"/>
      <c r="F447" s="1069"/>
      <c r="G447" s="1069"/>
      <c r="H447" s="1069"/>
      <c r="J447" s="1069"/>
      <c r="K447" s="1069"/>
      <c r="L447" s="1069"/>
      <c r="M447" s="1069"/>
      <c r="N447" s="1069"/>
    </row>
    <row r="448" spans="1:14">
      <c r="A448" s="1069"/>
      <c r="B448" s="1069"/>
      <c r="C448" s="1069"/>
      <c r="D448" s="1069"/>
      <c r="E448" s="1069"/>
      <c r="F448" s="1069"/>
      <c r="G448" s="1069"/>
      <c r="H448" s="1069"/>
      <c r="J448" s="1069"/>
      <c r="K448" s="1069"/>
      <c r="L448" s="1069"/>
      <c r="M448" s="1069"/>
      <c r="N448" s="1069"/>
    </row>
    <row r="449" spans="1:14">
      <c r="A449" s="1069"/>
      <c r="B449" s="1069"/>
      <c r="C449" s="1069"/>
      <c r="D449" s="1069"/>
      <c r="E449" s="1069"/>
      <c r="F449" s="1069"/>
      <c r="G449" s="1069"/>
      <c r="H449" s="1069"/>
      <c r="J449" s="1069"/>
      <c r="K449" s="1069"/>
      <c r="L449" s="1069"/>
      <c r="M449" s="1069"/>
      <c r="N449" s="1069"/>
    </row>
    <row r="450" spans="1:14">
      <c r="A450" s="1069"/>
      <c r="B450" s="1069"/>
      <c r="C450" s="1069"/>
      <c r="D450" s="1069"/>
      <c r="E450" s="1069"/>
      <c r="F450" s="1069"/>
      <c r="G450" s="1069"/>
      <c r="H450" s="1069"/>
      <c r="J450" s="1069"/>
      <c r="K450" s="1069"/>
      <c r="L450" s="1069"/>
      <c r="M450" s="1069"/>
      <c r="N450" s="1069"/>
    </row>
    <row r="451" spans="1:14">
      <c r="A451" s="1069"/>
      <c r="B451" s="1069"/>
      <c r="C451" s="1069"/>
      <c r="D451" s="1069"/>
      <c r="E451" s="1069"/>
      <c r="F451" s="1069"/>
      <c r="G451" s="1069"/>
      <c r="H451" s="1069"/>
      <c r="J451" s="1069"/>
      <c r="K451" s="1069"/>
      <c r="L451" s="1069"/>
      <c r="M451" s="1069"/>
      <c r="N451" s="1069"/>
    </row>
    <row r="452" spans="1:14">
      <c r="A452" s="1069"/>
      <c r="B452" s="1069"/>
      <c r="C452" s="1069"/>
      <c r="D452" s="1069"/>
      <c r="E452" s="1069"/>
      <c r="F452" s="1069"/>
      <c r="G452" s="1069"/>
      <c r="H452" s="1069"/>
      <c r="J452" s="1069"/>
      <c r="K452" s="1069"/>
      <c r="L452" s="1069"/>
      <c r="M452" s="1069"/>
      <c r="N452" s="1069"/>
    </row>
    <row r="453" spans="1:14">
      <c r="A453" s="1069"/>
      <c r="B453" s="1069"/>
      <c r="C453" s="1069"/>
      <c r="D453" s="1069"/>
      <c r="E453" s="1069"/>
      <c r="F453" s="1069"/>
      <c r="G453" s="1069"/>
      <c r="H453" s="1069"/>
      <c r="J453" s="1069"/>
      <c r="K453" s="1069"/>
      <c r="L453" s="1069"/>
      <c r="M453" s="1069"/>
      <c r="N453" s="1069"/>
    </row>
    <row r="454" spans="1:14">
      <c r="A454" s="1069"/>
      <c r="B454" s="1069"/>
      <c r="C454" s="1069"/>
      <c r="D454" s="1069"/>
      <c r="E454" s="1069"/>
      <c r="F454" s="1069"/>
      <c r="G454" s="1069"/>
      <c r="H454" s="1069"/>
      <c r="J454" s="1069"/>
      <c r="K454" s="1069"/>
      <c r="L454" s="1069"/>
      <c r="M454" s="1069"/>
      <c r="N454" s="1069"/>
    </row>
    <row r="455" spans="1:14">
      <c r="A455" s="1069"/>
      <c r="B455" s="1069"/>
      <c r="C455" s="1069"/>
      <c r="D455" s="1069"/>
      <c r="E455" s="1069"/>
      <c r="F455" s="1069"/>
      <c r="G455" s="1069"/>
      <c r="H455" s="1069"/>
      <c r="J455" s="1069"/>
      <c r="K455" s="1069"/>
      <c r="L455" s="1069"/>
      <c r="M455" s="1069"/>
      <c r="N455" s="1069"/>
    </row>
    <row r="456" spans="1:14">
      <c r="A456" s="1069"/>
      <c r="B456" s="1069"/>
      <c r="C456" s="1069"/>
      <c r="D456" s="1069"/>
      <c r="E456" s="1069"/>
      <c r="F456" s="1069"/>
      <c r="G456" s="1069"/>
      <c r="H456" s="1069"/>
      <c r="J456" s="1069"/>
      <c r="K456" s="1069"/>
      <c r="L456" s="1069"/>
      <c r="M456" s="1069"/>
      <c r="N456" s="1069"/>
    </row>
    <row r="457" spans="1:14">
      <c r="A457" s="1069"/>
      <c r="B457" s="1069"/>
      <c r="C457" s="1069"/>
      <c r="D457" s="1069"/>
      <c r="E457" s="1069"/>
      <c r="F457" s="1069"/>
      <c r="G457" s="1069"/>
      <c r="H457" s="1069"/>
      <c r="J457" s="1069"/>
      <c r="K457" s="1069"/>
      <c r="L457" s="1069"/>
      <c r="M457" s="1069"/>
      <c r="N457" s="1069"/>
    </row>
    <row r="458" spans="1:14">
      <c r="A458" s="1069"/>
      <c r="B458" s="1069"/>
      <c r="C458" s="1069"/>
      <c r="D458" s="1069"/>
      <c r="E458" s="1069"/>
      <c r="F458" s="1069"/>
      <c r="G458" s="1069"/>
      <c r="H458" s="1069"/>
      <c r="J458" s="1069"/>
      <c r="K458" s="1069"/>
      <c r="L458" s="1069"/>
      <c r="M458" s="1069"/>
      <c r="N458" s="1069"/>
    </row>
    <row r="459" spans="1:14">
      <c r="A459" s="1069"/>
      <c r="B459" s="1069"/>
      <c r="C459" s="1069"/>
      <c r="D459" s="1069"/>
      <c r="E459" s="1069"/>
      <c r="F459" s="1069"/>
      <c r="G459" s="1069"/>
      <c r="H459" s="1069"/>
      <c r="J459" s="1069"/>
      <c r="K459" s="1069"/>
      <c r="L459" s="1069"/>
      <c r="M459" s="1069"/>
      <c r="N459" s="1069"/>
    </row>
    <row r="460" spans="1:14">
      <c r="A460" s="1069"/>
      <c r="B460" s="1069"/>
      <c r="C460" s="1069"/>
      <c r="D460" s="1069"/>
      <c r="E460" s="1069"/>
      <c r="F460" s="1069"/>
      <c r="G460" s="1069"/>
      <c r="H460" s="1069"/>
      <c r="J460" s="1069"/>
      <c r="K460" s="1069"/>
      <c r="L460" s="1069"/>
      <c r="M460" s="1069"/>
      <c r="N460" s="1069"/>
    </row>
    <row r="461" spans="1:14">
      <c r="A461" s="1069"/>
      <c r="B461" s="1069"/>
      <c r="C461" s="1069"/>
      <c r="D461" s="1069"/>
      <c r="E461" s="1069"/>
      <c r="F461" s="1069"/>
      <c r="G461" s="1069"/>
      <c r="H461" s="1069"/>
      <c r="J461" s="1069"/>
      <c r="K461" s="1069"/>
      <c r="L461" s="1069"/>
      <c r="M461" s="1069"/>
      <c r="N461" s="1069"/>
    </row>
    <row r="462" spans="1:14">
      <c r="A462" s="1069"/>
      <c r="B462" s="1069"/>
      <c r="C462" s="1069"/>
      <c r="D462" s="1069"/>
      <c r="E462" s="1069"/>
      <c r="F462" s="1069"/>
      <c r="G462" s="1069"/>
      <c r="H462" s="1069"/>
      <c r="J462" s="1069"/>
      <c r="K462" s="1069"/>
      <c r="L462" s="1069"/>
      <c r="M462" s="1069"/>
      <c r="N462" s="1069"/>
    </row>
    <row r="463" spans="1:14">
      <c r="A463" s="1069"/>
      <c r="B463" s="1069"/>
      <c r="C463" s="1069"/>
      <c r="D463" s="1069"/>
      <c r="E463" s="1069"/>
      <c r="F463" s="1069"/>
      <c r="G463" s="1069"/>
      <c r="H463" s="1069"/>
      <c r="J463" s="1069"/>
      <c r="K463" s="1069"/>
      <c r="L463" s="1069"/>
      <c r="M463" s="1069"/>
      <c r="N463" s="1069"/>
    </row>
    <row r="464" spans="1:14">
      <c r="A464" s="1069"/>
      <c r="B464" s="1069"/>
      <c r="C464" s="1069"/>
      <c r="D464" s="1069"/>
      <c r="E464" s="1069"/>
      <c r="F464" s="1069"/>
      <c r="G464" s="1069"/>
      <c r="H464" s="1069"/>
      <c r="J464" s="1069"/>
      <c r="K464" s="1069"/>
      <c r="L464" s="1069"/>
      <c r="M464" s="1069"/>
      <c r="N464" s="1069"/>
    </row>
    <row r="465" spans="1:14">
      <c r="A465" s="1069"/>
      <c r="B465" s="1069"/>
      <c r="C465" s="1069"/>
      <c r="D465" s="1069"/>
      <c r="E465" s="1069"/>
      <c r="F465" s="1069"/>
      <c r="G465" s="1069"/>
      <c r="H465" s="1069"/>
      <c r="J465" s="1069"/>
      <c r="K465" s="1069"/>
      <c r="L465" s="1069"/>
      <c r="M465" s="1069"/>
      <c r="N465" s="1069"/>
    </row>
    <row r="466" spans="1:14">
      <c r="A466" s="1069"/>
      <c r="B466" s="1069"/>
      <c r="C466" s="1069"/>
      <c r="D466" s="1069"/>
      <c r="E466" s="1069"/>
      <c r="F466" s="1069"/>
      <c r="G466" s="1069"/>
      <c r="H466" s="1069"/>
      <c r="J466" s="1069"/>
      <c r="K466" s="1069"/>
      <c r="L466" s="1069"/>
      <c r="M466" s="1069"/>
      <c r="N466" s="1069"/>
    </row>
    <row r="467" spans="1:14">
      <c r="A467" s="1069"/>
      <c r="B467" s="1069"/>
      <c r="C467" s="1069"/>
      <c r="D467" s="1069"/>
      <c r="E467" s="1069"/>
      <c r="F467" s="1069"/>
      <c r="G467" s="1069"/>
      <c r="H467" s="1069"/>
      <c r="J467" s="1069"/>
      <c r="K467" s="1069"/>
      <c r="L467" s="1069"/>
      <c r="M467" s="1069"/>
      <c r="N467" s="1069"/>
    </row>
    <row r="468" spans="1:14">
      <c r="A468" s="1069"/>
      <c r="B468" s="1069"/>
      <c r="C468" s="1069"/>
      <c r="D468" s="1069"/>
      <c r="E468" s="1069"/>
      <c r="F468" s="1069"/>
      <c r="G468" s="1069"/>
      <c r="H468" s="1069"/>
      <c r="J468" s="1069"/>
      <c r="K468" s="1069"/>
      <c r="L468" s="1069"/>
      <c r="M468" s="1069"/>
      <c r="N468" s="1069"/>
    </row>
    <row r="469" spans="1:14">
      <c r="A469" s="1069"/>
      <c r="B469" s="1069"/>
      <c r="C469" s="1069"/>
      <c r="D469" s="1069"/>
      <c r="E469" s="1069"/>
      <c r="F469" s="1069"/>
      <c r="G469" s="1069"/>
      <c r="H469" s="1069"/>
      <c r="J469" s="1069"/>
      <c r="K469" s="1069"/>
      <c r="L469" s="1069"/>
      <c r="M469" s="1069"/>
      <c r="N469" s="1069"/>
    </row>
    <row r="470" spans="1:14">
      <c r="A470" s="1069"/>
      <c r="B470" s="1069"/>
      <c r="C470" s="1069"/>
      <c r="D470" s="1069"/>
      <c r="E470" s="1069"/>
      <c r="F470" s="1069"/>
      <c r="G470" s="1069"/>
      <c r="H470" s="1069"/>
      <c r="J470" s="1069"/>
      <c r="K470" s="1069"/>
      <c r="L470" s="1069"/>
      <c r="M470" s="1069"/>
      <c r="N470" s="1069"/>
    </row>
    <row r="471" spans="1:14">
      <c r="A471" s="1069"/>
      <c r="B471" s="1069"/>
      <c r="C471" s="1069"/>
      <c r="D471" s="1069"/>
      <c r="E471" s="1069"/>
      <c r="F471" s="1069"/>
      <c r="G471" s="1069"/>
      <c r="H471" s="1069"/>
      <c r="J471" s="1069"/>
      <c r="K471" s="1069"/>
      <c r="L471" s="1069"/>
      <c r="M471" s="1069"/>
      <c r="N471" s="1069"/>
    </row>
    <row r="472" spans="1:14">
      <c r="A472" s="1069"/>
      <c r="B472" s="1069"/>
      <c r="C472" s="1069"/>
      <c r="D472" s="1069"/>
      <c r="E472" s="1069"/>
      <c r="F472" s="1069"/>
      <c r="G472" s="1069"/>
      <c r="H472" s="1069"/>
      <c r="J472" s="1069"/>
      <c r="K472" s="1069"/>
      <c r="L472" s="1069"/>
      <c r="M472" s="1069"/>
      <c r="N472" s="1069"/>
    </row>
    <row r="473" spans="1:14">
      <c r="A473" s="1069"/>
      <c r="B473" s="1069"/>
      <c r="C473" s="1069"/>
      <c r="D473" s="1069"/>
      <c r="E473" s="1069"/>
      <c r="F473" s="1069"/>
      <c r="G473" s="1069"/>
      <c r="H473" s="1069"/>
      <c r="J473" s="1069"/>
      <c r="K473" s="1069"/>
      <c r="L473" s="1069"/>
      <c r="M473" s="1069"/>
      <c r="N473" s="1069"/>
    </row>
    <row r="474" spans="1:14">
      <c r="A474" s="1069"/>
      <c r="B474" s="1069"/>
      <c r="C474" s="1069"/>
      <c r="D474" s="1069"/>
      <c r="E474" s="1069"/>
      <c r="F474" s="1069"/>
      <c r="G474" s="1069"/>
      <c r="H474" s="1069"/>
      <c r="J474" s="1069"/>
      <c r="K474" s="1069"/>
      <c r="L474" s="1069"/>
      <c r="M474" s="1069"/>
      <c r="N474" s="1069"/>
    </row>
    <row r="475" spans="1:14">
      <c r="A475" s="1069"/>
      <c r="B475" s="1069"/>
      <c r="C475" s="1069"/>
      <c r="D475" s="1069"/>
      <c r="E475" s="1069"/>
      <c r="F475" s="1069"/>
      <c r="G475" s="1069"/>
      <c r="H475" s="1069"/>
      <c r="J475" s="1069"/>
      <c r="K475" s="1069"/>
      <c r="L475" s="1069"/>
      <c r="M475" s="1069"/>
      <c r="N475" s="1069"/>
    </row>
    <row r="476" spans="1:14">
      <c r="A476" s="1069"/>
      <c r="B476" s="1069"/>
      <c r="C476" s="1069"/>
      <c r="D476" s="1069"/>
      <c r="E476" s="1069"/>
      <c r="F476" s="1069"/>
      <c r="G476" s="1069"/>
      <c r="H476" s="1069"/>
      <c r="J476" s="1069"/>
      <c r="K476" s="1069"/>
      <c r="L476" s="1069"/>
      <c r="M476" s="1069"/>
      <c r="N476" s="1069"/>
    </row>
    <row r="477" spans="1:14">
      <c r="A477" s="1069"/>
      <c r="B477" s="1069"/>
      <c r="C477" s="1069"/>
      <c r="D477" s="1069"/>
      <c r="E477" s="1069"/>
      <c r="F477" s="1069"/>
      <c r="G477" s="1069"/>
      <c r="H477" s="1069"/>
      <c r="J477" s="1069"/>
      <c r="K477" s="1069"/>
      <c r="L477" s="1069"/>
      <c r="M477" s="1069"/>
      <c r="N477" s="1069"/>
    </row>
    <row r="478" spans="1:14">
      <c r="A478" s="1069"/>
      <c r="B478" s="1069"/>
      <c r="C478" s="1069"/>
      <c r="D478" s="1069"/>
      <c r="E478" s="1069"/>
      <c r="F478" s="1069"/>
      <c r="G478" s="1069"/>
      <c r="H478" s="1069"/>
      <c r="J478" s="1069"/>
      <c r="K478" s="1069"/>
      <c r="L478" s="1069"/>
      <c r="M478" s="1069"/>
      <c r="N478" s="1069"/>
    </row>
    <row r="479" spans="1:14">
      <c r="A479" s="1069"/>
      <c r="B479" s="1069"/>
      <c r="C479" s="1069"/>
      <c r="D479" s="1069"/>
      <c r="E479" s="1069"/>
      <c r="F479" s="1069"/>
      <c r="G479" s="1069"/>
      <c r="H479" s="1069"/>
      <c r="J479" s="1069"/>
      <c r="K479" s="1069"/>
      <c r="L479" s="1069"/>
      <c r="M479" s="1069"/>
      <c r="N479" s="1069"/>
    </row>
    <row r="480" spans="1:14">
      <c r="A480" s="1069"/>
      <c r="B480" s="1069"/>
      <c r="C480" s="1069"/>
      <c r="D480" s="1069"/>
      <c r="E480" s="1069"/>
      <c r="F480" s="1069"/>
      <c r="G480" s="1069"/>
      <c r="H480" s="1069"/>
      <c r="J480" s="1069"/>
      <c r="K480" s="1069"/>
      <c r="L480" s="1069"/>
      <c r="M480" s="1069"/>
      <c r="N480" s="1069"/>
    </row>
    <row r="481" spans="1:14">
      <c r="A481" s="1069"/>
      <c r="B481" s="1069"/>
      <c r="C481" s="1069"/>
      <c r="D481" s="1069"/>
      <c r="E481" s="1069"/>
      <c r="F481" s="1069"/>
      <c r="G481" s="1069"/>
      <c r="H481" s="1069"/>
      <c r="J481" s="1069"/>
      <c r="K481" s="1069"/>
      <c r="L481" s="1069"/>
      <c r="M481" s="1069"/>
      <c r="N481" s="1069"/>
    </row>
    <row r="482" spans="1:14">
      <c r="A482" s="1069"/>
      <c r="B482" s="1069"/>
      <c r="C482" s="1069"/>
      <c r="D482" s="1069"/>
      <c r="E482" s="1069"/>
      <c r="F482" s="1069"/>
      <c r="G482" s="1069"/>
      <c r="H482" s="1069"/>
      <c r="J482" s="1069"/>
      <c r="K482" s="1069"/>
      <c r="L482" s="1069"/>
      <c r="M482" s="1069"/>
      <c r="N482" s="1069"/>
    </row>
    <row r="483" spans="1:14">
      <c r="A483" s="1069"/>
      <c r="B483" s="1069"/>
      <c r="C483" s="1069"/>
      <c r="D483" s="1069"/>
      <c r="E483" s="1069"/>
      <c r="F483" s="1069"/>
      <c r="G483" s="1069"/>
      <c r="H483" s="1069"/>
      <c r="J483" s="1069"/>
      <c r="K483" s="1069"/>
      <c r="L483" s="1069"/>
      <c r="M483" s="1069"/>
      <c r="N483" s="1069"/>
    </row>
    <row r="484" spans="1:14">
      <c r="A484" s="1069"/>
      <c r="B484" s="1069"/>
      <c r="C484" s="1069"/>
      <c r="D484" s="1069"/>
      <c r="E484" s="1069"/>
      <c r="F484" s="1069"/>
      <c r="G484" s="1069"/>
      <c r="H484" s="1069"/>
      <c r="J484" s="1069"/>
      <c r="K484" s="1069"/>
      <c r="L484" s="1069"/>
      <c r="M484" s="1069"/>
      <c r="N484" s="1069"/>
    </row>
    <row r="485" spans="1:14">
      <c r="A485" s="1069"/>
      <c r="B485" s="1069"/>
      <c r="C485" s="1069"/>
      <c r="D485" s="1069"/>
      <c r="E485" s="1069"/>
      <c r="F485" s="1069"/>
      <c r="G485" s="1069"/>
      <c r="H485" s="1069"/>
      <c r="J485" s="1069"/>
      <c r="K485" s="1069"/>
      <c r="L485" s="1069"/>
      <c r="M485" s="1069"/>
      <c r="N485" s="1069"/>
    </row>
    <row r="486" spans="1:14">
      <c r="A486" s="1069"/>
      <c r="B486" s="1069"/>
      <c r="C486" s="1069"/>
      <c r="D486" s="1069"/>
      <c r="E486" s="1069"/>
      <c r="F486" s="1069"/>
      <c r="G486" s="1069"/>
      <c r="H486" s="1069"/>
      <c r="J486" s="1069"/>
      <c r="K486" s="1069"/>
      <c r="L486" s="1069"/>
      <c r="M486" s="1069"/>
      <c r="N486" s="1069"/>
    </row>
    <row r="487" spans="1:14">
      <c r="A487" s="1069"/>
      <c r="B487" s="1069"/>
      <c r="C487" s="1069"/>
      <c r="D487" s="1069"/>
      <c r="E487" s="1069"/>
      <c r="F487" s="1069"/>
      <c r="G487" s="1069"/>
      <c r="H487" s="1069"/>
      <c r="J487" s="1069"/>
      <c r="K487" s="1069"/>
      <c r="L487" s="1069"/>
      <c r="M487" s="1069"/>
      <c r="N487" s="1069"/>
    </row>
    <row r="488" spans="1:14">
      <c r="A488" s="1069"/>
      <c r="B488" s="1069"/>
      <c r="C488" s="1069"/>
      <c r="D488" s="1069"/>
      <c r="E488" s="1069"/>
      <c r="F488" s="1069"/>
      <c r="G488" s="1069"/>
      <c r="H488" s="1069"/>
      <c r="J488" s="1069"/>
      <c r="K488" s="1069"/>
      <c r="L488" s="1069"/>
      <c r="M488" s="1069"/>
      <c r="N488" s="1069"/>
    </row>
    <row r="489" spans="1:14">
      <c r="A489" s="1069"/>
      <c r="B489" s="1069"/>
      <c r="C489" s="1069"/>
      <c r="D489" s="1069"/>
      <c r="E489" s="1069"/>
      <c r="F489" s="1069"/>
      <c r="G489" s="1069"/>
      <c r="H489" s="1069"/>
      <c r="J489" s="1069"/>
      <c r="K489" s="1069"/>
      <c r="L489" s="1069"/>
      <c r="M489" s="1069"/>
      <c r="N489" s="1069"/>
    </row>
    <row r="490" spans="1:14">
      <c r="A490" s="1069"/>
      <c r="B490" s="1069"/>
      <c r="C490" s="1069"/>
      <c r="D490" s="1069"/>
      <c r="E490" s="1069"/>
      <c r="F490" s="1069"/>
      <c r="G490" s="1069"/>
      <c r="H490" s="1069"/>
      <c r="J490" s="1069"/>
      <c r="K490" s="1069"/>
      <c r="L490" s="1069"/>
      <c r="M490" s="1069"/>
      <c r="N490" s="1069"/>
    </row>
    <row r="491" spans="1:14">
      <c r="A491" s="1069"/>
      <c r="B491" s="1069"/>
      <c r="C491" s="1069"/>
      <c r="D491" s="1069"/>
      <c r="E491" s="1069"/>
      <c r="F491" s="1069"/>
      <c r="G491" s="1069"/>
      <c r="H491" s="1069"/>
      <c r="J491" s="1069"/>
      <c r="K491" s="1069"/>
      <c r="L491" s="1069"/>
      <c r="M491" s="1069"/>
      <c r="N491" s="1069"/>
    </row>
    <row r="492" spans="1:14">
      <c r="A492" s="1069"/>
      <c r="B492" s="1069"/>
      <c r="C492" s="1069"/>
      <c r="D492" s="1069"/>
      <c r="E492" s="1069"/>
      <c r="F492" s="1069"/>
      <c r="G492" s="1069"/>
      <c r="H492" s="1069"/>
      <c r="J492" s="1069"/>
      <c r="K492" s="1069"/>
      <c r="L492" s="1069"/>
      <c r="M492" s="1069"/>
      <c r="N492" s="1069"/>
    </row>
    <row r="493" spans="1:14">
      <c r="A493" s="1069"/>
      <c r="B493" s="1069"/>
      <c r="C493" s="1069"/>
      <c r="D493" s="1069"/>
      <c r="E493" s="1069"/>
      <c r="F493" s="1069"/>
      <c r="G493" s="1069"/>
      <c r="H493" s="1069"/>
      <c r="J493" s="1069"/>
      <c r="K493" s="1069"/>
      <c r="L493" s="1069"/>
      <c r="M493" s="1069"/>
      <c r="N493" s="1069"/>
    </row>
    <row r="494" spans="1:14">
      <c r="A494" s="1069"/>
      <c r="B494" s="1069"/>
      <c r="C494" s="1069"/>
      <c r="D494" s="1069"/>
      <c r="E494" s="1069"/>
      <c r="F494" s="1069"/>
      <c r="G494" s="1069"/>
      <c r="H494" s="1069"/>
      <c r="J494" s="1069"/>
      <c r="K494" s="1069"/>
      <c r="L494" s="1069"/>
      <c r="M494" s="1069"/>
      <c r="N494" s="1069"/>
    </row>
    <row r="495" spans="1:14">
      <c r="A495" s="1069"/>
      <c r="B495" s="1069"/>
      <c r="C495" s="1069"/>
      <c r="D495" s="1069"/>
      <c r="E495" s="1069"/>
      <c r="F495" s="1069"/>
      <c r="G495" s="1069"/>
      <c r="H495" s="1069"/>
      <c r="J495" s="1069"/>
      <c r="K495" s="1069"/>
      <c r="L495" s="1069"/>
      <c r="M495" s="1069"/>
      <c r="N495" s="1069"/>
    </row>
    <row r="496" spans="1:14">
      <c r="A496" s="1069"/>
      <c r="B496" s="1069"/>
      <c r="C496" s="1069"/>
      <c r="D496" s="1069"/>
      <c r="E496" s="1069"/>
      <c r="F496" s="1069"/>
      <c r="G496" s="1069"/>
      <c r="H496" s="1069"/>
      <c r="J496" s="1069"/>
      <c r="K496" s="1069"/>
      <c r="L496" s="1069"/>
      <c r="M496" s="1069"/>
      <c r="N496" s="1069"/>
    </row>
    <row r="497" spans="1:14">
      <c r="A497" s="1069"/>
      <c r="B497" s="1069"/>
      <c r="C497" s="1069"/>
      <c r="D497" s="1069"/>
      <c r="E497" s="1069"/>
      <c r="F497" s="1069"/>
      <c r="G497" s="1069"/>
      <c r="H497" s="1069"/>
      <c r="J497" s="1069"/>
      <c r="K497" s="1069"/>
      <c r="L497" s="1069"/>
      <c r="M497" s="1069"/>
      <c r="N497" s="1069"/>
    </row>
    <row r="498" spans="1:14">
      <c r="A498" s="1069"/>
      <c r="B498" s="1069"/>
      <c r="C498" s="1069"/>
      <c r="D498" s="1069"/>
      <c r="E498" s="1069"/>
      <c r="F498" s="1069"/>
      <c r="G498" s="1069"/>
      <c r="H498" s="1069"/>
      <c r="J498" s="1069"/>
      <c r="K498" s="1069"/>
      <c r="L498" s="1069"/>
      <c r="M498" s="1069"/>
      <c r="N498" s="1069"/>
    </row>
    <row r="499" spans="1:14">
      <c r="A499" s="1069"/>
      <c r="B499" s="1069"/>
      <c r="C499" s="1069"/>
      <c r="D499" s="1069"/>
      <c r="E499" s="1069"/>
      <c r="F499" s="1069"/>
      <c r="G499" s="1069"/>
      <c r="H499" s="1069"/>
      <c r="J499" s="1069"/>
      <c r="K499" s="1069"/>
      <c r="L499" s="1069"/>
      <c r="M499" s="1069"/>
      <c r="N499" s="1069"/>
    </row>
    <row r="500" spans="1:14">
      <c r="A500" s="1069"/>
      <c r="B500" s="1069"/>
      <c r="C500" s="1069"/>
      <c r="D500" s="1069"/>
      <c r="E500" s="1069"/>
      <c r="F500" s="1069"/>
      <c r="G500" s="1069"/>
      <c r="H500" s="1069"/>
      <c r="J500" s="1069"/>
      <c r="K500" s="1069"/>
      <c r="L500" s="1069"/>
      <c r="M500" s="1069"/>
      <c r="N500" s="1069"/>
    </row>
    <row r="501" spans="1:14">
      <c r="A501" s="1069"/>
      <c r="B501" s="1069"/>
      <c r="C501" s="1069"/>
      <c r="D501" s="1069"/>
      <c r="E501" s="1069"/>
      <c r="F501" s="1069"/>
      <c r="G501" s="1069"/>
      <c r="H501" s="1069"/>
      <c r="J501" s="1069"/>
      <c r="K501" s="1069"/>
      <c r="L501" s="1069"/>
      <c r="M501" s="1069"/>
      <c r="N501" s="1069"/>
    </row>
    <row r="502" spans="1:14">
      <c r="A502" s="1069"/>
      <c r="B502" s="1069"/>
      <c r="C502" s="1069"/>
      <c r="D502" s="1069"/>
      <c r="E502" s="1069"/>
      <c r="F502" s="1069"/>
      <c r="G502" s="1069"/>
      <c r="H502" s="1069"/>
      <c r="J502" s="1069"/>
      <c r="K502" s="1069"/>
      <c r="L502" s="1069"/>
      <c r="M502" s="1069"/>
      <c r="N502" s="1069"/>
    </row>
    <row r="503" spans="1:14">
      <c r="A503" s="1069"/>
      <c r="B503" s="1069"/>
      <c r="C503" s="1069"/>
      <c r="D503" s="1069"/>
      <c r="E503" s="1069"/>
      <c r="F503" s="1069"/>
      <c r="G503" s="1069"/>
      <c r="H503" s="1069"/>
      <c r="J503" s="1069"/>
      <c r="K503" s="1069"/>
      <c r="L503" s="1069"/>
      <c r="M503" s="1069"/>
      <c r="N503" s="1069"/>
    </row>
    <row r="504" spans="1:14">
      <c r="A504" s="1069"/>
      <c r="B504" s="1069"/>
      <c r="C504" s="1069"/>
      <c r="D504" s="1069"/>
      <c r="E504" s="1069"/>
      <c r="F504" s="1069"/>
      <c r="G504" s="1069"/>
      <c r="H504" s="1069"/>
      <c r="J504" s="1069"/>
      <c r="K504" s="1069"/>
      <c r="L504" s="1069"/>
      <c r="M504" s="1069"/>
      <c r="N504" s="1069"/>
    </row>
    <row r="505" spans="1:14">
      <c r="A505" s="1069"/>
      <c r="B505" s="1069"/>
      <c r="C505" s="1069"/>
      <c r="D505" s="1069"/>
      <c r="E505" s="1069"/>
      <c r="F505" s="1069"/>
      <c r="G505" s="1069"/>
      <c r="H505" s="1069"/>
      <c r="J505" s="1069"/>
      <c r="K505" s="1069"/>
      <c r="L505" s="1069"/>
      <c r="M505" s="1069"/>
      <c r="N505" s="1069"/>
    </row>
    <row r="506" spans="1:14">
      <c r="A506" s="1069"/>
      <c r="B506" s="1069"/>
      <c r="C506" s="1069"/>
      <c r="D506" s="1069"/>
      <c r="E506" s="1069"/>
      <c r="F506" s="1069"/>
      <c r="G506" s="1069"/>
      <c r="H506" s="1069"/>
      <c r="J506" s="1069"/>
      <c r="K506" s="1069"/>
      <c r="L506" s="1069"/>
      <c r="M506" s="1069"/>
      <c r="N506" s="1069"/>
    </row>
    <row r="507" spans="1:14">
      <c r="A507" s="1069"/>
      <c r="B507" s="1069"/>
      <c r="C507" s="1069"/>
      <c r="D507" s="1069"/>
      <c r="E507" s="1069"/>
      <c r="F507" s="1069"/>
      <c r="G507" s="1069"/>
      <c r="H507" s="1069"/>
      <c r="J507" s="1069"/>
      <c r="K507" s="1069"/>
      <c r="L507" s="1069"/>
      <c r="M507" s="1069"/>
      <c r="N507" s="1069"/>
    </row>
    <row r="508" spans="1:14">
      <c r="A508" s="1069"/>
      <c r="B508" s="1069"/>
      <c r="C508" s="1069"/>
      <c r="D508" s="1069"/>
      <c r="E508" s="1069"/>
      <c r="F508" s="1069"/>
      <c r="G508" s="1069"/>
      <c r="H508" s="1069"/>
      <c r="J508" s="1069"/>
      <c r="K508" s="1069"/>
      <c r="L508" s="1069"/>
      <c r="M508" s="1069"/>
      <c r="N508" s="1069"/>
    </row>
    <row r="509" spans="1:14">
      <c r="A509" s="1069"/>
      <c r="B509" s="1069"/>
      <c r="C509" s="1069"/>
      <c r="D509" s="1069"/>
      <c r="E509" s="1069"/>
      <c r="F509" s="1069"/>
      <c r="G509" s="1069"/>
      <c r="H509" s="1069"/>
      <c r="J509" s="1069"/>
      <c r="K509" s="1069"/>
      <c r="L509" s="1069"/>
      <c r="M509" s="1069"/>
      <c r="N509" s="1069"/>
    </row>
    <row r="510" spans="1:14">
      <c r="A510" s="1069"/>
      <c r="B510" s="1069"/>
      <c r="C510" s="1069"/>
      <c r="D510" s="1069"/>
      <c r="E510" s="1069"/>
      <c r="F510" s="1069"/>
      <c r="G510" s="1069"/>
      <c r="H510" s="1069"/>
      <c r="J510" s="1069"/>
      <c r="K510" s="1069"/>
      <c r="L510" s="1069"/>
      <c r="M510" s="1069"/>
      <c r="N510" s="1069"/>
    </row>
    <row r="511" spans="1:14">
      <c r="A511" s="1069"/>
      <c r="B511" s="1069"/>
      <c r="C511" s="1069"/>
      <c r="D511" s="1069"/>
      <c r="E511" s="1069"/>
      <c r="F511" s="1069"/>
      <c r="G511" s="1069"/>
      <c r="H511" s="1069"/>
      <c r="J511" s="1069"/>
      <c r="K511" s="1069"/>
      <c r="L511" s="1069"/>
      <c r="M511" s="1069"/>
      <c r="N511" s="1069"/>
    </row>
    <row r="512" spans="1:14">
      <c r="A512" s="1069"/>
      <c r="B512" s="1069"/>
      <c r="C512" s="1069"/>
      <c r="D512" s="1069"/>
      <c r="E512" s="1069"/>
      <c r="F512" s="1069"/>
      <c r="G512" s="1069"/>
      <c r="H512" s="1069"/>
      <c r="J512" s="1069"/>
      <c r="K512" s="1069"/>
      <c r="L512" s="1069"/>
      <c r="M512" s="1069"/>
      <c r="N512" s="1069"/>
    </row>
    <row r="513" spans="1:14">
      <c r="A513" s="1069"/>
      <c r="B513" s="1069"/>
      <c r="C513" s="1069"/>
      <c r="D513" s="1069"/>
      <c r="E513" s="1069"/>
      <c r="F513" s="1069"/>
      <c r="G513" s="1069"/>
      <c r="H513" s="1069"/>
      <c r="J513" s="1069"/>
      <c r="K513" s="1069"/>
      <c r="L513" s="1069"/>
      <c r="M513" s="1069"/>
      <c r="N513" s="1069"/>
    </row>
    <row r="514" spans="1:14">
      <c r="A514" s="1069"/>
      <c r="B514" s="1069"/>
      <c r="C514" s="1069"/>
      <c r="D514" s="1069"/>
      <c r="E514" s="1069"/>
      <c r="F514" s="1069"/>
      <c r="G514" s="1069"/>
      <c r="H514" s="1069"/>
      <c r="J514" s="1069"/>
      <c r="K514" s="1069"/>
      <c r="L514" s="1069"/>
      <c r="M514" s="1069"/>
      <c r="N514" s="1069"/>
    </row>
    <row r="515" spans="1:14">
      <c r="A515" s="1069"/>
      <c r="B515" s="1069"/>
      <c r="C515" s="1069"/>
      <c r="D515" s="1069"/>
      <c r="E515" s="1069"/>
      <c r="F515" s="1069"/>
      <c r="G515" s="1069"/>
      <c r="H515" s="1069"/>
      <c r="J515" s="1069"/>
      <c r="K515" s="1069"/>
      <c r="L515" s="1069"/>
      <c r="M515" s="1069"/>
      <c r="N515" s="1069"/>
    </row>
    <row r="516" spans="1:14">
      <c r="A516" s="1069"/>
      <c r="B516" s="1069"/>
      <c r="C516" s="1069"/>
      <c r="D516" s="1069"/>
      <c r="E516" s="1069"/>
      <c r="F516" s="1069"/>
      <c r="G516" s="1069"/>
      <c r="H516" s="1069"/>
      <c r="J516" s="1069"/>
      <c r="K516" s="1069"/>
      <c r="L516" s="1069"/>
      <c r="M516" s="1069"/>
      <c r="N516" s="1069"/>
    </row>
    <row r="517" spans="1:14">
      <c r="A517" s="1069"/>
      <c r="B517" s="1069"/>
      <c r="C517" s="1069"/>
      <c r="D517" s="1069"/>
      <c r="E517" s="1069"/>
      <c r="F517" s="1069"/>
      <c r="G517" s="1069"/>
      <c r="H517" s="1069"/>
      <c r="J517" s="1069"/>
      <c r="K517" s="1069"/>
      <c r="L517" s="1069"/>
      <c r="M517" s="1069"/>
      <c r="N517" s="1069"/>
    </row>
    <row r="518" spans="1:14">
      <c r="A518" s="1069"/>
      <c r="B518" s="1069"/>
      <c r="C518" s="1069"/>
      <c r="D518" s="1069"/>
      <c r="E518" s="1069"/>
      <c r="F518" s="1069"/>
      <c r="G518" s="1069"/>
      <c r="H518" s="1069"/>
      <c r="J518" s="1069"/>
      <c r="K518" s="1069"/>
      <c r="L518" s="1069"/>
      <c r="M518" s="1069"/>
      <c r="N518" s="1069"/>
    </row>
    <row r="519" spans="1:14">
      <c r="A519" s="1069"/>
      <c r="B519" s="1069"/>
      <c r="C519" s="1069"/>
      <c r="D519" s="1069"/>
      <c r="E519" s="1069"/>
      <c r="F519" s="1069"/>
      <c r="G519" s="1069"/>
      <c r="H519" s="1069"/>
      <c r="J519" s="1069"/>
      <c r="K519" s="1069"/>
      <c r="L519" s="1069"/>
      <c r="M519" s="1069"/>
      <c r="N519" s="1069"/>
    </row>
    <row r="520" spans="1:14">
      <c r="A520" s="1069"/>
      <c r="B520" s="1069"/>
      <c r="C520" s="1069"/>
      <c r="D520" s="1069"/>
      <c r="E520" s="1069"/>
      <c r="F520" s="1069"/>
      <c r="G520" s="1069"/>
      <c r="H520" s="1069"/>
      <c r="J520" s="1069"/>
      <c r="K520" s="1069"/>
      <c r="L520" s="1069"/>
      <c r="M520" s="1069"/>
      <c r="N520" s="1069"/>
    </row>
    <row r="521" spans="1:14">
      <c r="A521" s="1069"/>
      <c r="B521" s="1069"/>
      <c r="C521" s="1069"/>
      <c r="D521" s="1069"/>
      <c r="E521" s="1069"/>
      <c r="F521" s="1069"/>
      <c r="G521" s="1069"/>
      <c r="H521" s="1069"/>
      <c r="J521" s="1069"/>
      <c r="K521" s="1069"/>
      <c r="L521" s="1069"/>
      <c r="M521" s="1069"/>
      <c r="N521" s="1069"/>
    </row>
    <row r="522" spans="1:14">
      <c r="A522" s="1069"/>
      <c r="B522" s="1069"/>
      <c r="C522" s="1069"/>
      <c r="D522" s="1069"/>
      <c r="E522" s="1069"/>
      <c r="F522" s="1069"/>
      <c r="G522" s="1069"/>
      <c r="H522" s="1069"/>
      <c r="J522" s="1069"/>
      <c r="K522" s="1069"/>
      <c r="L522" s="1069"/>
      <c r="M522" s="1069"/>
      <c r="N522" s="1069"/>
    </row>
    <row r="523" spans="1:14">
      <c r="A523" s="1069"/>
      <c r="B523" s="1069"/>
      <c r="C523" s="1069"/>
      <c r="D523" s="1069"/>
      <c r="E523" s="1069"/>
      <c r="F523" s="1069"/>
      <c r="G523" s="1069"/>
      <c r="H523" s="1069"/>
      <c r="J523" s="1069"/>
      <c r="K523" s="1069"/>
      <c r="L523" s="1069"/>
      <c r="M523" s="1069"/>
      <c r="N523" s="1069"/>
    </row>
    <row r="524" spans="1:14">
      <c r="A524" s="1069"/>
      <c r="B524" s="1069"/>
      <c r="C524" s="1069"/>
      <c r="D524" s="1069"/>
      <c r="E524" s="1069"/>
      <c r="F524" s="1069"/>
      <c r="G524" s="1069"/>
      <c r="H524" s="1069"/>
      <c r="J524" s="1069"/>
      <c r="K524" s="1069"/>
      <c r="L524" s="1069"/>
      <c r="M524" s="1069"/>
      <c r="N524" s="1069"/>
    </row>
    <row r="525" spans="1:14">
      <c r="A525" s="1069"/>
      <c r="B525" s="1069"/>
      <c r="C525" s="1069"/>
      <c r="D525" s="1069"/>
      <c r="E525" s="1069"/>
      <c r="F525" s="1069"/>
      <c r="G525" s="1069"/>
      <c r="H525" s="1069"/>
      <c r="J525" s="1069"/>
      <c r="K525" s="1069"/>
      <c r="L525" s="1069"/>
      <c r="M525" s="1069"/>
      <c r="N525" s="1069"/>
    </row>
    <row r="526" spans="1:14">
      <c r="A526" s="1069"/>
      <c r="B526" s="1069"/>
      <c r="C526" s="1069"/>
      <c r="D526" s="1069"/>
      <c r="E526" s="1069"/>
      <c r="F526" s="1069"/>
      <c r="G526" s="1069"/>
      <c r="H526" s="1069"/>
      <c r="J526" s="1069"/>
      <c r="K526" s="1069"/>
      <c r="L526" s="1069"/>
      <c r="M526" s="1069"/>
      <c r="N526" s="1069"/>
    </row>
    <row r="527" spans="1:14">
      <c r="A527" s="1069"/>
      <c r="B527" s="1069"/>
      <c r="C527" s="1069"/>
      <c r="D527" s="1069"/>
      <c r="E527" s="1069"/>
      <c r="F527" s="1069"/>
      <c r="G527" s="1069"/>
      <c r="H527" s="1069"/>
      <c r="J527" s="1069"/>
      <c r="K527" s="1069"/>
      <c r="L527" s="1069"/>
      <c r="M527" s="1069"/>
      <c r="N527" s="1069"/>
    </row>
    <row r="528" spans="1:14">
      <c r="A528" s="1069"/>
      <c r="B528" s="1069"/>
      <c r="C528" s="1069"/>
      <c r="D528" s="1069"/>
      <c r="E528" s="1069"/>
      <c r="F528" s="1069"/>
      <c r="G528" s="1069"/>
      <c r="H528" s="1069"/>
      <c r="J528" s="1069"/>
      <c r="K528" s="1069"/>
      <c r="L528" s="1069"/>
      <c r="M528" s="1069"/>
      <c r="N528" s="1069"/>
    </row>
    <row r="529" spans="1:14">
      <c r="A529" s="1069"/>
      <c r="B529" s="1069"/>
      <c r="C529" s="1069"/>
      <c r="D529" s="1069"/>
      <c r="E529" s="1069"/>
      <c r="F529" s="1069"/>
      <c r="G529" s="1069"/>
      <c r="H529" s="1069"/>
      <c r="J529" s="1069"/>
      <c r="K529" s="1069"/>
      <c r="L529" s="1069"/>
      <c r="M529" s="1069"/>
      <c r="N529" s="1069"/>
    </row>
    <row r="530" spans="1:14">
      <c r="A530" s="1069"/>
      <c r="B530" s="1069"/>
      <c r="C530" s="1069"/>
      <c r="D530" s="1069"/>
      <c r="E530" s="1069"/>
      <c r="F530" s="1069"/>
      <c r="G530" s="1069"/>
      <c r="H530" s="1069"/>
      <c r="J530" s="1069"/>
      <c r="K530" s="1069"/>
      <c r="L530" s="1069"/>
      <c r="M530" s="1069"/>
      <c r="N530" s="1069"/>
    </row>
    <row r="531" spans="1:14">
      <c r="A531" s="1069"/>
      <c r="B531" s="1069"/>
      <c r="C531" s="1069"/>
      <c r="D531" s="1069"/>
      <c r="E531" s="1069"/>
      <c r="F531" s="1069"/>
      <c r="G531" s="1069"/>
      <c r="H531" s="1069"/>
      <c r="J531" s="1069"/>
      <c r="K531" s="1069"/>
      <c r="L531" s="1069"/>
      <c r="M531" s="1069"/>
      <c r="N531" s="1069"/>
    </row>
    <row r="532" spans="1:14">
      <c r="A532" s="1069"/>
      <c r="B532" s="1069"/>
      <c r="C532" s="1069"/>
      <c r="D532" s="1069"/>
      <c r="E532" s="1069"/>
      <c r="F532" s="1069"/>
      <c r="G532" s="1069"/>
      <c r="H532" s="1069"/>
      <c r="J532" s="1069"/>
      <c r="K532" s="1069"/>
      <c r="L532" s="1069"/>
      <c r="M532" s="1069"/>
      <c r="N532" s="1069"/>
    </row>
    <row r="533" spans="1:14">
      <c r="A533" s="1069"/>
      <c r="B533" s="1069"/>
      <c r="C533" s="1069"/>
      <c r="D533" s="1069"/>
      <c r="E533" s="1069"/>
      <c r="F533" s="1069"/>
      <c r="G533" s="1069"/>
      <c r="H533" s="1069"/>
      <c r="J533" s="1069"/>
      <c r="K533" s="1069"/>
      <c r="L533" s="1069"/>
      <c r="M533" s="1069"/>
      <c r="N533" s="1069"/>
    </row>
    <row r="534" spans="1:14">
      <c r="A534" s="1069"/>
      <c r="B534" s="1069"/>
      <c r="C534" s="1069"/>
      <c r="D534" s="1069"/>
      <c r="E534" s="1069"/>
      <c r="F534" s="1069"/>
      <c r="G534" s="1069"/>
      <c r="H534" s="1069"/>
      <c r="J534" s="1069"/>
      <c r="K534" s="1069"/>
      <c r="L534" s="1069"/>
      <c r="M534" s="1069"/>
      <c r="N534" s="1069"/>
    </row>
    <row r="535" spans="1:14">
      <c r="A535" s="1069"/>
      <c r="B535" s="1069"/>
      <c r="C535" s="1069"/>
      <c r="D535" s="1069"/>
      <c r="E535" s="1069"/>
      <c r="F535" s="1069"/>
      <c r="G535" s="1069"/>
      <c r="H535" s="1069"/>
      <c r="J535" s="1069"/>
      <c r="K535" s="1069"/>
      <c r="L535" s="1069"/>
      <c r="M535" s="1069"/>
      <c r="N535" s="1069"/>
    </row>
    <row r="536" spans="1:14">
      <c r="A536" s="1069"/>
      <c r="B536" s="1069"/>
      <c r="C536" s="1069"/>
      <c r="D536" s="1069"/>
      <c r="E536" s="1069"/>
      <c r="F536" s="1069"/>
      <c r="G536" s="1069"/>
      <c r="H536" s="1069"/>
      <c r="J536" s="1069"/>
      <c r="K536" s="1069"/>
      <c r="L536" s="1069"/>
      <c r="M536" s="1069"/>
      <c r="N536" s="1069"/>
    </row>
    <row r="537" spans="1:14">
      <c r="A537" s="1069"/>
      <c r="B537" s="1069"/>
      <c r="C537" s="1069"/>
      <c r="D537" s="1069"/>
      <c r="E537" s="1069"/>
      <c r="F537" s="1069"/>
      <c r="G537" s="1069"/>
      <c r="H537" s="1069"/>
      <c r="J537" s="1069"/>
      <c r="K537" s="1069"/>
      <c r="L537" s="1069"/>
      <c r="M537" s="1069"/>
      <c r="N537" s="1069"/>
    </row>
    <row r="538" spans="1:14">
      <c r="A538" s="1069"/>
      <c r="B538" s="1069"/>
      <c r="C538" s="1069"/>
      <c r="D538" s="1069"/>
      <c r="E538" s="1069"/>
      <c r="F538" s="1069"/>
      <c r="G538" s="1069"/>
      <c r="H538" s="1069"/>
      <c r="J538" s="1069"/>
      <c r="K538" s="1069"/>
      <c r="L538" s="1069"/>
      <c r="M538" s="1069"/>
      <c r="N538" s="1069"/>
    </row>
    <row r="539" spans="1:14">
      <c r="A539" s="1069"/>
      <c r="B539" s="1069"/>
      <c r="C539" s="1069"/>
      <c r="D539" s="1069"/>
      <c r="E539" s="1069"/>
      <c r="F539" s="1069"/>
      <c r="G539" s="1069"/>
      <c r="H539" s="1069"/>
      <c r="J539" s="1069"/>
      <c r="K539" s="1069"/>
      <c r="L539" s="1069"/>
      <c r="M539" s="1069"/>
      <c r="N539" s="1069"/>
    </row>
    <row r="540" spans="1:14">
      <c r="A540" s="1069"/>
      <c r="B540" s="1069"/>
      <c r="C540" s="1069"/>
      <c r="D540" s="1069"/>
      <c r="E540" s="1069"/>
      <c r="F540" s="1069"/>
      <c r="G540" s="1069"/>
      <c r="H540" s="1069"/>
      <c r="J540" s="1069"/>
      <c r="K540" s="1069"/>
      <c r="L540" s="1069"/>
      <c r="M540" s="1069"/>
      <c r="N540" s="1069"/>
    </row>
    <row r="541" spans="1:14">
      <c r="A541" s="1069"/>
      <c r="B541" s="1069"/>
      <c r="C541" s="1069"/>
      <c r="D541" s="1069"/>
      <c r="E541" s="1069"/>
      <c r="F541" s="1069"/>
      <c r="G541" s="1069"/>
      <c r="H541" s="1069"/>
      <c r="J541" s="1069"/>
      <c r="K541" s="1069"/>
      <c r="L541" s="1069"/>
      <c r="M541" s="1069"/>
      <c r="N541" s="1069"/>
    </row>
    <row r="542" spans="1:14">
      <c r="A542" s="1069"/>
      <c r="B542" s="1069"/>
      <c r="C542" s="1069"/>
      <c r="D542" s="1069"/>
      <c r="E542" s="1069"/>
      <c r="F542" s="1069"/>
      <c r="G542" s="1069"/>
      <c r="H542" s="1069"/>
      <c r="J542" s="1069"/>
      <c r="K542" s="1069"/>
      <c r="L542" s="1069"/>
      <c r="M542" s="1069"/>
      <c r="N542" s="1069"/>
    </row>
    <row r="543" spans="1:14">
      <c r="A543" s="1069"/>
      <c r="B543" s="1069"/>
      <c r="C543" s="1069"/>
      <c r="D543" s="1069"/>
      <c r="E543" s="1069"/>
      <c r="F543" s="1069"/>
      <c r="G543" s="1069"/>
      <c r="H543" s="1069"/>
      <c r="J543" s="1069"/>
      <c r="K543" s="1069"/>
      <c r="L543" s="1069"/>
      <c r="M543" s="1069"/>
      <c r="N543" s="1069"/>
    </row>
    <row r="544" spans="1:14">
      <c r="A544" s="1069"/>
      <c r="B544" s="1069"/>
      <c r="C544" s="1069"/>
      <c r="D544" s="1069"/>
      <c r="E544" s="1069"/>
      <c r="F544" s="1069"/>
      <c r="G544" s="1069"/>
      <c r="H544" s="1069"/>
      <c r="J544" s="1069"/>
      <c r="K544" s="1069"/>
      <c r="L544" s="1069"/>
      <c r="M544" s="1069"/>
      <c r="N544" s="1069"/>
    </row>
    <row r="545" spans="1:14">
      <c r="A545" s="1069"/>
      <c r="B545" s="1069"/>
      <c r="C545" s="1069"/>
      <c r="D545" s="1069"/>
      <c r="E545" s="1069"/>
      <c r="F545" s="1069"/>
      <c r="G545" s="1069"/>
      <c r="H545" s="1069"/>
      <c r="J545" s="1069"/>
      <c r="K545" s="1069"/>
      <c r="L545" s="1069"/>
      <c r="M545" s="1069"/>
      <c r="N545" s="1069"/>
    </row>
    <row r="546" spans="1:14">
      <c r="A546" s="1069"/>
      <c r="B546" s="1069"/>
      <c r="C546" s="1069"/>
      <c r="D546" s="1069"/>
      <c r="E546" s="1069"/>
      <c r="F546" s="1069"/>
      <c r="G546" s="1069"/>
      <c r="H546" s="1069"/>
      <c r="J546" s="1069"/>
      <c r="K546" s="1069"/>
      <c r="L546" s="1069"/>
      <c r="M546" s="1069"/>
      <c r="N546" s="1069"/>
    </row>
    <row r="547" spans="1:14">
      <c r="A547" s="1069"/>
      <c r="B547" s="1069"/>
      <c r="C547" s="1069"/>
      <c r="D547" s="1069"/>
      <c r="E547" s="1069"/>
      <c r="F547" s="1069"/>
      <c r="G547" s="1069"/>
      <c r="H547" s="1069"/>
      <c r="J547" s="1069"/>
      <c r="K547" s="1069"/>
      <c r="L547" s="1069"/>
      <c r="M547" s="1069"/>
      <c r="N547" s="1069"/>
    </row>
    <row r="548" spans="1:14">
      <c r="A548" s="1069"/>
      <c r="B548" s="1069"/>
      <c r="C548" s="1069"/>
      <c r="D548" s="1069"/>
      <c r="E548" s="1069"/>
      <c r="F548" s="1069"/>
      <c r="G548" s="1069"/>
      <c r="H548" s="1069"/>
      <c r="J548" s="1069"/>
      <c r="K548" s="1069"/>
      <c r="L548" s="1069"/>
      <c r="M548" s="1069"/>
      <c r="N548" s="1069"/>
    </row>
    <row r="549" spans="1:14">
      <c r="A549" s="1069"/>
      <c r="B549" s="1069"/>
      <c r="C549" s="1069"/>
      <c r="D549" s="1069"/>
      <c r="E549" s="1069"/>
      <c r="F549" s="1069"/>
      <c r="G549" s="1069"/>
      <c r="H549" s="1069"/>
      <c r="J549" s="1069"/>
      <c r="K549" s="1069"/>
      <c r="L549" s="1069"/>
      <c r="M549" s="1069"/>
      <c r="N549" s="1069"/>
    </row>
    <row r="550" spans="1:14">
      <c r="A550" s="1069"/>
      <c r="B550" s="1069"/>
      <c r="C550" s="1069"/>
      <c r="D550" s="1069"/>
      <c r="E550" s="1069"/>
      <c r="F550" s="1069"/>
      <c r="G550" s="1069"/>
      <c r="H550" s="1069"/>
      <c r="J550" s="1069"/>
      <c r="K550" s="1069"/>
      <c r="L550" s="1069"/>
      <c r="M550" s="1069"/>
      <c r="N550" s="1069"/>
    </row>
    <row r="551" spans="1:14">
      <c r="A551" s="1069"/>
      <c r="B551" s="1069"/>
      <c r="C551" s="1069"/>
      <c r="D551" s="1069"/>
      <c r="E551" s="1069"/>
      <c r="F551" s="1069"/>
      <c r="G551" s="1069"/>
      <c r="H551" s="1069"/>
      <c r="J551" s="1069"/>
      <c r="K551" s="1069"/>
      <c r="L551" s="1069"/>
      <c r="M551" s="1069"/>
      <c r="N551" s="1069"/>
    </row>
    <row r="552" spans="1:14">
      <c r="A552" s="1069"/>
      <c r="B552" s="1069"/>
      <c r="C552" s="1069"/>
      <c r="D552" s="1069"/>
      <c r="E552" s="1069"/>
      <c r="F552" s="1069"/>
      <c r="G552" s="1069"/>
      <c r="H552" s="1069"/>
      <c r="J552" s="1069"/>
      <c r="K552" s="1069"/>
      <c r="L552" s="1069"/>
      <c r="M552" s="1069"/>
      <c r="N552" s="1069"/>
    </row>
    <row r="553" spans="1:14">
      <c r="A553" s="1069"/>
      <c r="B553" s="1069"/>
      <c r="C553" s="1069"/>
      <c r="D553" s="1069"/>
      <c r="E553" s="1069"/>
      <c r="F553" s="1069"/>
      <c r="G553" s="1069"/>
      <c r="H553" s="1069"/>
      <c r="J553" s="1069"/>
      <c r="K553" s="1069"/>
      <c r="L553" s="1069"/>
      <c r="M553" s="1069"/>
      <c r="N553" s="1069"/>
    </row>
    <row r="554" spans="1:14">
      <c r="A554" s="1069"/>
      <c r="B554" s="1069"/>
      <c r="C554" s="1069"/>
      <c r="D554" s="1069"/>
      <c r="E554" s="1069"/>
      <c r="F554" s="1069"/>
      <c r="G554" s="1069"/>
      <c r="H554" s="1069"/>
      <c r="J554" s="1069"/>
      <c r="K554" s="1069"/>
      <c r="L554" s="1069"/>
      <c r="M554" s="1069"/>
      <c r="N554" s="1069"/>
    </row>
    <row r="555" spans="1:14">
      <c r="A555" s="1069"/>
      <c r="B555" s="1069"/>
      <c r="C555" s="1069"/>
      <c r="D555" s="1069"/>
      <c r="E555" s="1069"/>
      <c r="F555" s="1069"/>
      <c r="G555" s="1069"/>
      <c r="H555" s="1069"/>
      <c r="J555" s="1069"/>
      <c r="K555" s="1069"/>
      <c r="L555" s="1069"/>
      <c r="M555" s="1069"/>
      <c r="N555" s="1069"/>
    </row>
    <row r="556" spans="1:14">
      <c r="A556" s="1069"/>
      <c r="B556" s="1069"/>
      <c r="C556" s="1069"/>
      <c r="D556" s="1069"/>
      <c r="E556" s="1069"/>
      <c r="F556" s="1069"/>
      <c r="G556" s="1069"/>
      <c r="H556" s="1069"/>
      <c r="J556" s="1069"/>
      <c r="K556" s="1069"/>
      <c r="L556" s="1069"/>
      <c r="M556" s="1069"/>
      <c r="N556" s="1069"/>
    </row>
    <row r="557" spans="1:14">
      <c r="A557" s="1069"/>
      <c r="B557" s="1069"/>
      <c r="C557" s="1069"/>
      <c r="D557" s="1069"/>
      <c r="E557" s="1069"/>
      <c r="F557" s="1069"/>
      <c r="G557" s="1069"/>
      <c r="H557" s="1069"/>
      <c r="J557" s="1069"/>
      <c r="K557" s="1069"/>
      <c r="L557" s="1069"/>
      <c r="M557" s="1069"/>
      <c r="N557" s="1069"/>
    </row>
    <row r="558" spans="1:14">
      <c r="A558" s="1069"/>
      <c r="B558" s="1069"/>
      <c r="C558" s="1069"/>
      <c r="D558" s="1069"/>
      <c r="E558" s="1069"/>
      <c r="F558" s="1069"/>
      <c r="G558" s="1069"/>
      <c r="H558" s="1069"/>
      <c r="J558" s="1069"/>
      <c r="K558" s="1069"/>
      <c r="L558" s="1069"/>
      <c r="M558" s="1069"/>
      <c r="N558" s="1069"/>
    </row>
    <row r="559" spans="1:14">
      <c r="A559" s="1069"/>
      <c r="B559" s="1069"/>
      <c r="C559" s="1069"/>
      <c r="D559" s="1069"/>
      <c r="E559" s="1069"/>
      <c r="F559" s="1069"/>
      <c r="G559" s="1069"/>
      <c r="H559" s="1069"/>
      <c r="J559" s="1069"/>
      <c r="K559" s="1069"/>
      <c r="L559" s="1069"/>
      <c r="M559" s="1069"/>
      <c r="N559" s="1069"/>
    </row>
    <row r="560" spans="1:14">
      <c r="A560" s="1069"/>
      <c r="B560" s="1069"/>
      <c r="C560" s="1069"/>
      <c r="D560" s="1069"/>
      <c r="E560" s="1069"/>
      <c r="F560" s="1069"/>
      <c r="G560" s="1069"/>
      <c r="H560" s="1069"/>
      <c r="J560" s="1069"/>
      <c r="K560" s="1069"/>
      <c r="L560" s="1069"/>
      <c r="M560" s="1069"/>
      <c r="N560" s="1069"/>
    </row>
    <row r="561" spans="1:14">
      <c r="A561" s="1069"/>
      <c r="B561" s="1069"/>
      <c r="C561" s="1069"/>
      <c r="D561" s="1069"/>
      <c r="E561" s="1069"/>
      <c r="F561" s="1069"/>
      <c r="G561" s="1069"/>
      <c r="H561" s="1069"/>
      <c r="J561" s="1069"/>
      <c r="K561" s="1069"/>
      <c r="L561" s="1069"/>
      <c r="M561" s="1069"/>
      <c r="N561" s="1069"/>
    </row>
    <row r="562" spans="1:14">
      <c r="A562" s="1069"/>
      <c r="B562" s="1069"/>
      <c r="C562" s="1069"/>
      <c r="D562" s="1069"/>
      <c r="E562" s="1069"/>
      <c r="F562" s="1069"/>
      <c r="G562" s="1069"/>
      <c r="H562" s="1069"/>
      <c r="J562" s="1069"/>
      <c r="K562" s="1069"/>
      <c r="L562" s="1069"/>
      <c r="M562" s="1069"/>
      <c r="N562" s="1069"/>
    </row>
    <row r="563" spans="1:14">
      <c r="A563" s="1069"/>
      <c r="B563" s="1069"/>
      <c r="C563" s="1069"/>
      <c r="D563" s="1069"/>
      <c r="E563" s="1069"/>
      <c r="F563" s="1069"/>
      <c r="G563" s="1069"/>
      <c r="H563" s="1069"/>
      <c r="J563" s="1069"/>
      <c r="K563" s="1069"/>
      <c r="L563" s="1069"/>
      <c r="M563" s="1069"/>
      <c r="N563" s="1069"/>
    </row>
    <row r="564" spans="1:14">
      <c r="A564" s="1069"/>
      <c r="B564" s="1069"/>
      <c r="C564" s="1069"/>
      <c r="D564" s="1069"/>
      <c r="E564" s="1069"/>
      <c r="F564" s="1069"/>
      <c r="G564" s="1069"/>
      <c r="H564" s="1069"/>
      <c r="J564" s="1069"/>
      <c r="K564" s="1069"/>
      <c r="L564" s="1069"/>
      <c r="M564" s="1069"/>
      <c r="N564" s="1069"/>
    </row>
    <row r="565" spans="1:14">
      <c r="A565" s="1069"/>
      <c r="B565" s="1069"/>
      <c r="C565" s="1069"/>
      <c r="D565" s="1069"/>
      <c r="E565" s="1069"/>
      <c r="F565" s="1069"/>
      <c r="G565" s="1069"/>
      <c r="H565" s="1069"/>
      <c r="J565" s="1069"/>
      <c r="K565" s="1069"/>
      <c r="L565" s="1069"/>
      <c r="M565" s="1069"/>
      <c r="N565" s="1069"/>
    </row>
    <row r="566" spans="1:14">
      <c r="A566" s="1069"/>
      <c r="B566" s="1069"/>
      <c r="C566" s="1069"/>
      <c r="D566" s="1069"/>
      <c r="E566" s="1069"/>
      <c r="F566" s="1069"/>
      <c r="G566" s="1069"/>
      <c r="H566" s="1069"/>
      <c r="J566" s="1069"/>
      <c r="K566" s="1069"/>
      <c r="L566" s="1069"/>
      <c r="M566" s="1069"/>
      <c r="N566" s="1069"/>
    </row>
    <row r="567" spans="1:14">
      <c r="A567" s="1069"/>
      <c r="B567" s="1069"/>
      <c r="C567" s="1069"/>
      <c r="D567" s="1069"/>
      <c r="E567" s="1069"/>
      <c r="F567" s="1069"/>
      <c r="G567" s="1069"/>
      <c r="H567" s="1069"/>
      <c r="J567" s="1069"/>
      <c r="K567" s="1069"/>
      <c r="L567" s="1069"/>
      <c r="M567" s="1069"/>
      <c r="N567" s="1069"/>
    </row>
    <row r="568" spans="1:14">
      <c r="A568" s="1069"/>
      <c r="B568" s="1069"/>
      <c r="C568" s="1069"/>
      <c r="D568" s="1069"/>
      <c r="E568" s="1069"/>
      <c r="F568" s="1069"/>
      <c r="G568" s="1069"/>
      <c r="H568" s="1069"/>
      <c r="J568" s="1069"/>
      <c r="K568" s="1069"/>
      <c r="L568" s="1069"/>
      <c r="M568" s="1069"/>
      <c r="N568" s="1069"/>
    </row>
    <row r="569" spans="1:14">
      <c r="A569" s="1069"/>
      <c r="B569" s="1069"/>
      <c r="C569" s="1069"/>
      <c r="D569" s="1069"/>
      <c r="E569" s="1069"/>
      <c r="F569" s="1069"/>
      <c r="G569" s="1069"/>
      <c r="H569" s="1069"/>
      <c r="J569" s="1069"/>
      <c r="K569" s="1069"/>
      <c r="L569" s="1069"/>
      <c r="M569" s="1069"/>
      <c r="N569" s="1069"/>
    </row>
    <row r="570" spans="1:14">
      <c r="A570" s="1069"/>
      <c r="B570" s="1069"/>
      <c r="C570" s="1069"/>
      <c r="D570" s="1069"/>
      <c r="E570" s="1069"/>
      <c r="F570" s="1069"/>
      <c r="G570" s="1069"/>
      <c r="H570" s="1069"/>
      <c r="J570" s="1069"/>
      <c r="K570" s="1069"/>
      <c r="L570" s="1069"/>
      <c r="M570" s="1069"/>
      <c r="N570" s="1069"/>
    </row>
    <row r="571" spans="1:14">
      <c r="A571" s="1069"/>
      <c r="B571" s="1069"/>
      <c r="C571" s="1069"/>
      <c r="D571" s="1069"/>
      <c r="E571" s="1069"/>
      <c r="F571" s="1069"/>
      <c r="G571" s="1069"/>
      <c r="H571" s="1069"/>
      <c r="J571" s="1069"/>
      <c r="K571" s="1069"/>
      <c r="L571" s="1069"/>
      <c r="M571" s="1069"/>
      <c r="N571" s="1069"/>
    </row>
    <row r="572" spans="1:14">
      <c r="A572" s="1069"/>
      <c r="B572" s="1069"/>
      <c r="C572" s="1069"/>
      <c r="D572" s="1069"/>
      <c r="E572" s="1069"/>
      <c r="F572" s="1069"/>
      <c r="G572" s="1069"/>
      <c r="H572" s="1069"/>
      <c r="J572" s="1069"/>
      <c r="K572" s="1069"/>
      <c r="L572" s="1069"/>
      <c r="M572" s="1069"/>
      <c r="N572" s="1069"/>
    </row>
    <row r="573" spans="1:14">
      <c r="A573" s="1069"/>
      <c r="B573" s="1069"/>
      <c r="C573" s="1069"/>
      <c r="D573" s="1069"/>
      <c r="E573" s="1069"/>
      <c r="F573" s="1069"/>
      <c r="G573" s="1069"/>
      <c r="H573" s="1069"/>
      <c r="J573" s="1069"/>
      <c r="K573" s="1069"/>
      <c r="L573" s="1069"/>
      <c r="M573" s="1069"/>
      <c r="N573" s="1069"/>
    </row>
    <row r="574" spans="1:14">
      <c r="A574" s="1069"/>
      <c r="B574" s="1069"/>
      <c r="C574" s="1069"/>
      <c r="D574" s="1069"/>
      <c r="E574" s="1069"/>
      <c r="F574" s="1069"/>
      <c r="G574" s="1069"/>
      <c r="H574" s="1069"/>
      <c r="J574" s="1069"/>
      <c r="K574" s="1069"/>
      <c r="L574" s="1069"/>
      <c r="M574" s="1069"/>
      <c r="N574" s="1069"/>
    </row>
    <row r="575" spans="1:14">
      <c r="A575" s="1069"/>
      <c r="B575" s="1069"/>
      <c r="C575" s="1069"/>
      <c r="D575" s="1069"/>
      <c r="E575" s="1069"/>
      <c r="F575" s="1069"/>
      <c r="G575" s="1069"/>
      <c r="H575" s="1069"/>
      <c r="J575" s="1069"/>
      <c r="K575" s="1069"/>
      <c r="L575" s="1069"/>
      <c r="M575" s="1069"/>
      <c r="N575" s="1069"/>
    </row>
    <row r="576" spans="1:14">
      <c r="A576" s="1069"/>
      <c r="B576" s="1069"/>
      <c r="C576" s="1069"/>
      <c r="D576" s="1069"/>
      <c r="E576" s="1069"/>
      <c r="F576" s="1069"/>
      <c r="G576" s="1069"/>
      <c r="H576" s="1069"/>
      <c r="J576" s="1069"/>
      <c r="K576" s="1069"/>
      <c r="L576" s="1069"/>
      <c r="M576" s="1069"/>
      <c r="N576" s="1069"/>
    </row>
    <row r="577" spans="1:14">
      <c r="A577" s="1069"/>
      <c r="B577" s="1069"/>
      <c r="C577" s="1069"/>
      <c r="D577" s="1069"/>
      <c r="E577" s="1069"/>
      <c r="F577" s="1069"/>
      <c r="G577" s="1069"/>
      <c r="H577" s="1069"/>
      <c r="J577" s="1069"/>
      <c r="K577" s="1069"/>
      <c r="L577" s="1069"/>
      <c r="M577" s="1069"/>
      <c r="N577" s="1069"/>
    </row>
    <row r="578" spans="1:14">
      <c r="A578" s="1069"/>
      <c r="B578" s="1069"/>
      <c r="C578" s="1069"/>
      <c r="D578" s="1069"/>
      <c r="E578" s="1069"/>
      <c r="F578" s="1069"/>
      <c r="G578" s="1069"/>
      <c r="H578" s="1069"/>
      <c r="J578" s="1069"/>
      <c r="K578" s="1069"/>
      <c r="L578" s="1069"/>
      <c r="M578" s="1069"/>
      <c r="N578" s="1069"/>
    </row>
    <row r="579" spans="1:14">
      <c r="A579" s="1069"/>
      <c r="B579" s="1069"/>
      <c r="C579" s="1069"/>
      <c r="D579" s="1069"/>
      <c r="E579" s="1069"/>
      <c r="F579" s="1069"/>
      <c r="G579" s="1069"/>
      <c r="H579" s="1069"/>
      <c r="J579" s="1069"/>
      <c r="K579" s="1069"/>
      <c r="L579" s="1069"/>
      <c r="M579" s="1069"/>
      <c r="N579" s="1069"/>
    </row>
    <row r="580" spans="1:14">
      <c r="A580" s="1069"/>
      <c r="B580" s="1069"/>
      <c r="C580" s="1069"/>
      <c r="D580" s="1069"/>
      <c r="E580" s="1069"/>
      <c r="F580" s="1069"/>
      <c r="G580" s="1069"/>
      <c r="H580" s="1069"/>
      <c r="J580" s="1069"/>
      <c r="K580" s="1069"/>
      <c r="L580" s="1069"/>
      <c r="M580" s="1069"/>
      <c r="N580" s="1069"/>
    </row>
    <row r="581" spans="1:14">
      <c r="A581" s="1069"/>
      <c r="B581" s="1069"/>
      <c r="C581" s="1069"/>
      <c r="D581" s="1069"/>
      <c r="E581" s="1069"/>
      <c r="F581" s="1069"/>
      <c r="G581" s="1069"/>
      <c r="H581" s="1069"/>
      <c r="J581" s="1069"/>
      <c r="K581" s="1069"/>
      <c r="L581" s="1069"/>
      <c r="M581" s="1069"/>
      <c r="N581" s="1069"/>
    </row>
    <row r="582" spans="1:14">
      <c r="A582" s="1069"/>
      <c r="B582" s="1069"/>
      <c r="C582" s="1069"/>
      <c r="D582" s="1069"/>
      <c r="E582" s="1069"/>
      <c r="F582" s="1069"/>
      <c r="G582" s="1069"/>
      <c r="H582" s="1069"/>
      <c r="J582" s="1069"/>
      <c r="K582" s="1069"/>
      <c r="L582" s="1069"/>
      <c r="M582" s="1069"/>
      <c r="N582" s="1069"/>
    </row>
    <row r="583" spans="1:14">
      <c r="A583" s="1069"/>
      <c r="B583" s="1069"/>
      <c r="C583" s="1069"/>
      <c r="D583" s="1069"/>
      <c r="E583" s="1069"/>
      <c r="F583" s="1069"/>
      <c r="G583" s="1069"/>
      <c r="H583" s="1069"/>
      <c r="J583" s="1069"/>
      <c r="K583" s="1069"/>
      <c r="L583" s="1069"/>
      <c r="M583" s="1069"/>
      <c r="N583" s="1069"/>
    </row>
    <row r="584" spans="1:14">
      <c r="A584" s="1069"/>
      <c r="B584" s="1069"/>
      <c r="C584" s="1069"/>
      <c r="D584" s="1069"/>
      <c r="E584" s="1069"/>
      <c r="F584" s="1069"/>
      <c r="G584" s="1069"/>
      <c r="H584" s="1069"/>
      <c r="J584" s="1069"/>
      <c r="K584" s="1069"/>
      <c r="L584" s="1069"/>
      <c r="M584" s="1069"/>
      <c r="N584" s="1069"/>
    </row>
    <row r="585" spans="1:14">
      <c r="A585" s="1069"/>
      <c r="B585" s="1069"/>
      <c r="C585" s="1069"/>
      <c r="D585" s="1069"/>
      <c r="E585" s="1069"/>
      <c r="F585" s="1069"/>
      <c r="G585" s="1069"/>
      <c r="H585" s="1069"/>
      <c r="J585" s="1069"/>
      <c r="K585" s="1069"/>
      <c r="L585" s="1069"/>
      <c r="M585" s="1069"/>
      <c r="N585" s="1069"/>
    </row>
    <row r="586" spans="1:14">
      <c r="A586" s="1069"/>
      <c r="B586" s="1069"/>
      <c r="C586" s="1069"/>
      <c r="D586" s="1069"/>
      <c r="E586" s="1069"/>
      <c r="F586" s="1069"/>
      <c r="G586" s="1069"/>
      <c r="H586" s="1069"/>
      <c r="J586" s="1069"/>
      <c r="K586" s="1069"/>
      <c r="L586" s="1069"/>
      <c r="M586" s="1069"/>
      <c r="N586" s="1069"/>
    </row>
    <row r="587" spans="1:14">
      <c r="A587" s="1069"/>
      <c r="B587" s="1069"/>
      <c r="C587" s="1069"/>
      <c r="D587" s="1069"/>
      <c r="E587" s="1069"/>
      <c r="F587" s="1069"/>
      <c r="G587" s="1069"/>
      <c r="H587" s="1069"/>
      <c r="J587" s="1069"/>
      <c r="K587" s="1069"/>
      <c r="L587" s="1069"/>
      <c r="M587" s="1069"/>
      <c r="N587" s="1069"/>
    </row>
    <row r="588" spans="1:14">
      <c r="A588" s="1069"/>
      <c r="B588" s="1069"/>
      <c r="C588" s="1069"/>
      <c r="D588" s="1069"/>
      <c r="E588" s="1069"/>
      <c r="F588" s="1069"/>
      <c r="G588" s="1069"/>
      <c r="H588" s="1069"/>
      <c r="J588" s="1069"/>
      <c r="K588" s="1069"/>
      <c r="L588" s="1069"/>
      <c r="M588" s="1069"/>
      <c r="N588" s="1069"/>
    </row>
    <row r="589" spans="1:14">
      <c r="A589" s="1069"/>
      <c r="B589" s="1069"/>
      <c r="C589" s="1069"/>
      <c r="D589" s="1069"/>
      <c r="E589" s="1069"/>
      <c r="F589" s="1069"/>
      <c r="G589" s="1069"/>
      <c r="H589" s="1069"/>
      <c r="J589" s="1069"/>
      <c r="K589" s="1069"/>
      <c r="L589" s="1069"/>
      <c r="M589" s="1069"/>
      <c r="N589" s="1069"/>
    </row>
    <row r="590" spans="1:14">
      <c r="A590" s="1069"/>
      <c r="B590" s="1069"/>
      <c r="C590" s="1069"/>
      <c r="D590" s="1069"/>
      <c r="E590" s="1069"/>
      <c r="F590" s="1069"/>
      <c r="G590" s="1069"/>
      <c r="H590" s="1069"/>
      <c r="J590" s="1069"/>
      <c r="K590" s="1069"/>
      <c r="L590" s="1069"/>
      <c r="M590" s="1069"/>
      <c r="N590" s="1069"/>
    </row>
    <row r="591" spans="1:14">
      <c r="A591" s="1069"/>
      <c r="B591" s="1069"/>
      <c r="C591" s="1069"/>
      <c r="D591" s="1069"/>
      <c r="E591" s="1069"/>
      <c r="F591" s="1069"/>
      <c r="G591" s="1069"/>
      <c r="H591" s="1069"/>
      <c r="J591" s="1069"/>
      <c r="K591" s="1069"/>
      <c r="L591" s="1069"/>
      <c r="M591" s="1069"/>
      <c r="N591" s="1069"/>
    </row>
    <row r="592" spans="1:14">
      <c r="A592" s="1069"/>
      <c r="B592" s="1069"/>
      <c r="C592" s="1069"/>
      <c r="D592" s="1069"/>
      <c r="E592" s="1069"/>
      <c r="F592" s="1069"/>
      <c r="G592" s="1069"/>
      <c r="H592" s="1069"/>
      <c r="J592" s="1069"/>
      <c r="K592" s="1069"/>
      <c r="L592" s="1069"/>
      <c r="M592" s="1069"/>
      <c r="N592" s="1069"/>
    </row>
    <row r="593" spans="1:14">
      <c r="A593" s="1069"/>
      <c r="B593" s="1069"/>
      <c r="C593" s="1069"/>
      <c r="D593" s="1069"/>
      <c r="E593" s="1069"/>
      <c r="F593" s="1069"/>
      <c r="G593" s="1069"/>
      <c r="H593" s="1069"/>
      <c r="J593" s="1069"/>
      <c r="K593" s="1069"/>
      <c r="L593" s="1069"/>
      <c r="M593" s="1069"/>
      <c r="N593" s="1069"/>
    </row>
    <row r="594" spans="1:14">
      <c r="A594" s="1069"/>
      <c r="B594" s="1069"/>
      <c r="C594" s="1069"/>
      <c r="D594" s="1069"/>
      <c r="E594" s="1069"/>
      <c r="F594" s="1069"/>
      <c r="G594" s="1069"/>
      <c r="H594" s="1069"/>
      <c r="J594" s="1069"/>
      <c r="K594" s="1069"/>
      <c r="L594" s="1069"/>
      <c r="M594" s="1069"/>
      <c r="N594" s="1069"/>
    </row>
    <row r="595" spans="1:14">
      <c r="A595" s="1069"/>
      <c r="B595" s="1069"/>
      <c r="C595" s="1069"/>
      <c r="D595" s="1069"/>
      <c r="E595" s="1069"/>
      <c r="F595" s="1069"/>
      <c r="G595" s="1069"/>
      <c r="H595" s="1069"/>
      <c r="J595" s="1069"/>
      <c r="K595" s="1069"/>
      <c r="L595" s="1069"/>
      <c r="M595" s="1069"/>
      <c r="N595" s="1069"/>
    </row>
    <row r="596" spans="1:14">
      <c r="A596" s="1069"/>
      <c r="B596" s="1069"/>
      <c r="C596" s="1069"/>
      <c r="D596" s="1069"/>
      <c r="E596" s="1069"/>
      <c r="F596" s="1069"/>
      <c r="G596" s="1069"/>
      <c r="H596" s="1069"/>
      <c r="J596" s="1069"/>
      <c r="K596" s="1069"/>
      <c r="L596" s="1069"/>
      <c r="M596" s="1069"/>
      <c r="N596" s="1069"/>
    </row>
    <row r="597" spans="1:14">
      <c r="A597" s="1069"/>
      <c r="B597" s="1069"/>
      <c r="C597" s="1069"/>
      <c r="D597" s="1069"/>
      <c r="E597" s="1069"/>
      <c r="F597" s="1069"/>
      <c r="G597" s="1069"/>
      <c r="H597" s="1069"/>
      <c r="J597" s="1069"/>
      <c r="K597" s="1069"/>
      <c r="L597" s="1069"/>
      <c r="M597" s="1069"/>
      <c r="N597" s="1069"/>
    </row>
  </sheetData>
  <mergeCells count="18">
    <mergeCell ref="I177:J177"/>
    <mergeCell ref="I178:J178"/>
    <mergeCell ref="I179:J179"/>
    <mergeCell ref="I180:J180"/>
    <mergeCell ref="I182:J182"/>
    <mergeCell ref="J44:L47"/>
    <mergeCell ref="I48:L48"/>
    <mergeCell ref="I49:L49"/>
    <mergeCell ref="J50:L53"/>
    <mergeCell ref="I54:L54"/>
    <mergeCell ref="I62:L62"/>
    <mergeCell ref="J130:L132"/>
    <mergeCell ref="I176:J176"/>
    <mergeCell ref="I55:L55"/>
    <mergeCell ref="I56:L56"/>
    <mergeCell ref="I57:L57"/>
    <mergeCell ref="I58:L58"/>
    <mergeCell ref="I59:L59"/>
  </mergeCells>
  <phoneticPr fontId="37" type="noConversion"/>
  <pageMargins left="0.75" right="0.75" top="1" bottom="1" header="0.5" footer="0.5"/>
  <pageSetup paperSize="9" scale="24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65"/>
  <sheetViews>
    <sheetView workbookViewId="0">
      <selection activeCell="C30" sqref="C30"/>
    </sheetView>
  </sheetViews>
  <sheetFormatPr defaultColWidth="10" defaultRowHeight="15.5"/>
  <cols>
    <col min="1" max="1" width="15.58203125" style="557" bestFit="1" customWidth="1"/>
    <col min="2" max="2" width="80.08203125" style="557" bestFit="1" customWidth="1"/>
    <col min="3" max="3" width="42" style="557" bestFit="1" customWidth="1"/>
    <col min="4" max="4" width="24" style="557" bestFit="1" customWidth="1"/>
    <col min="5" max="5" width="22.75" style="557" bestFit="1" customWidth="1"/>
    <col min="6" max="6" width="10" style="557"/>
    <col min="7" max="7" width="11.75" style="557" customWidth="1"/>
    <col min="8" max="256" width="10" style="557"/>
    <col min="257" max="257" width="15.58203125" style="557" bestFit="1" customWidth="1"/>
    <col min="258" max="258" width="80.08203125" style="557" bestFit="1" customWidth="1"/>
    <col min="259" max="259" width="42" style="557" bestFit="1" customWidth="1"/>
    <col min="260" max="260" width="24" style="557" bestFit="1" customWidth="1"/>
    <col min="261" max="261" width="22.75" style="557" bestFit="1" customWidth="1"/>
    <col min="262" max="262" width="10" style="557"/>
    <col min="263" max="263" width="11.75" style="557" customWidth="1"/>
    <col min="264" max="512" width="10" style="557"/>
    <col min="513" max="513" width="15.58203125" style="557" bestFit="1" customWidth="1"/>
    <col min="514" max="514" width="80.08203125" style="557" bestFit="1" customWidth="1"/>
    <col min="515" max="515" width="42" style="557" bestFit="1" customWidth="1"/>
    <col min="516" max="516" width="24" style="557" bestFit="1" customWidth="1"/>
    <col min="517" max="517" width="22.75" style="557" bestFit="1" customWidth="1"/>
    <col min="518" max="518" width="10" style="557"/>
    <col min="519" max="519" width="11.75" style="557" customWidth="1"/>
    <col min="520" max="768" width="10" style="557"/>
    <col min="769" max="769" width="15.58203125" style="557" bestFit="1" customWidth="1"/>
    <col min="770" max="770" width="80.08203125" style="557" bestFit="1" customWidth="1"/>
    <col min="771" max="771" width="42" style="557" bestFit="1" customWidth="1"/>
    <col min="772" max="772" width="24" style="557" bestFit="1" customWidth="1"/>
    <col min="773" max="773" width="22.75" style="557" bestFit="1" customWidth="1"/>
    <col min="774" max="774" width="10" style="557"/>
    <col min="775" max="775" width="11.75" style="557" customWidth="1"/>
    <col min="776" max="1024" width="10" style="557"/>
    <col min="1025" max="1025" width="15.58203125" style="557" bestFit="1" customWidth="1"/>
    <col min="1026" max="1026" width="80.08203125" style="557" bestFit="1" customWidth="1"/>
    <col min="1027" max="1027" width="42" style="557" bestFit="1" customWidth="1"/>
    <col min="1028" max="1028" width="24" style="557" bestFit="1" customWidth="1"/>
    <col min="1029" max="1029" width="22.75" style="557" bestFit="1" customWidth="1"/>
    <col min="1030" max="1030" width="10" style="557"/>
    <col min="1031" max="1031" width="11.75" style="557" customWidth="1"/>
    <col min="1032" max="1280" width="10" style="557"/>
    <col min="1281" max="1281" width="15.58203125" style="557" bestFit="1" customWidth="1"/>
    <col min="1282" max="1282" width="80.08203125" style="557" bestFit="1" customWidth="1"/>
    <col min="1283" max="1283" width="42" style="557" bestFit="1" customWidth="1"/>
    <col min="1284" max="1284" width="24" style="557" bestFit="1" customWidth="1"/>
    <col min="1285" max="1285" width="22.75" style="557" bestFit="1" customWidth="1"/>
    <col min="1286" max="1286" width="10" style="557"/>
    <col min="1287" max="1287" width="11.75" style="557" customWidth="1"/>
    <col min="1288" max="1536" width="10" style="557"/>
    <col min="1537" max="1537" width="15.58203125" style="557" bestFit="1" customWidth="1"/>
    <col min="1538" max="1538" width="80.08203125" style="557" bestFit="1" customWidth="1"/>
    <col min="1539" max="1539" width="42" style="557" bestFit="1" customWidth="1"/>
    <col min="1540" max="1540" width="24" style="557" bestFit="1" customWidth="1"/>
    <col min="1541" max="1541" width="22.75" style="557" bestFit="1" customWidth="1"/>
    <col min="1542" max="1542" width="10" style="557"/>
    <col min="1543" max="1543" width="11.75" style="557" customWidth="1"/>
    <col min="1544" max="1792" width="10" style="557"/>
    <col min="1793" max="1793" width="15.58203125" style="557" bestFit="1" customWidth="1"/>
    <col min="1794" max="1794" width="80.08203125" style="557" bestFit="1" customWidth="1"/>
    <col min="1795" max="1795" width="42" style="557" bestFit="1" customWidth="1"/>
    <col min="1796" max="1796" width="24" style="557" bestFit="1" customWidth="1"/>
    <col min="1797" max="1797" width="22.75" style="557" bestFit="1" customWidth="1"/>
    <col min="1798" max="1798" width="10" style="557"/>
    <col min="1799" max="1799" width="11.75" style="557" customWidth="1"/>
    <col min="1800" max="2048" width="10" style="557"/>
    <col min="2049" max="2049" width="15.58203125" style="557" bestFit="1" customWidth="1"/>
    <col min="2050" max="2050" width="80.08203125" style="557" bestFit="1" customWidth="1"/>
    <col min="2051" max="2051" width="42" style="557" bestFit="1" customWidth="1"/>
    <col min="2052" max="2052" width="24" style="557" bestFit="1" customWidth="1"/>
    <col min="2053" max="2053" width="22.75" style="557" bestFit="1" customWidth="1"/>
    <col min="2054" max="2054" width="10" style="557"/>
    <col min="2055" max="2055" width="11.75" style="557" customWidth="1"/>
    <col min="2056" max="2304" width="10" style="557"/>
    <col min="2305" max="2305" width="15.58203125" style="557" bestFit="1" customWidth="1"/>
    <col min="2306" max="2306" width="80.08203125" style="557" bestFit="1" customWidth="1"/>
    <col min="2307" max="2307" width="42" style="557" bestFit="1" customWidth="1"/>
    <col min="2308" max="2308" width="24" style="557" bestFit="1" customWidth="1"/>
    <col min="2309" max="2309" width="22.75" style="557" bestFit="1" customWidth="1"/>
    <col min="2310" max="2310" width="10" style="557"/>
    <col min="2311" max="2311" width="11.75" style="557" customWidth="1"/>
    <col min="2312" max="2560" width="10" style="557"/>
    <col min="2561" max="2561" width="15.58203125" style="557" bestFit="1" customWidth="1"/>
    <col min="2562" max="2562" width="80.08203125" style="557" bestFit="1" customWidth="1"/>
    <col min="2563" max="2563" width="42" style="557" bestFit="1" customWidth="1"/>
    <col min="2564" max="2564" width="24" style="557" bestFit="1" customWidth="1"/>
    <col min="2565" max="2565" width="22.75" style="557" bestFit="1" customWidth="1"/>
    <col min="2566" max="2566" width="10" style="557"/>
    <col min="2567" max="2567" width="11.75" style="557" customWidth="1"/>
    <col min="2568" max="2816" width="10" style="557"/>
    <col min="2817" max="2817" width="15.58203125" style="557" bestFit="1" customWidth="1"/>
    <col min="2818" max="2818" width="80.08203125" style="557" bestFit="1" customWidth="1"/>
    <col min="2819" max="2819" width="42" style="557" bestFit="1" customWidth="1"/>
    <col min="2820" max="2820" width="24" style="557" bestFit="1" customWidth="1"/>
    <col min="2821" max="2821" width="22.75" style="557" bestFit="1" customWidth="1"/>
    <col min="2822" max="2822" width="10" style="557"/>
    <col min="2823" max="2823" width="11.75" style="557" customWidth="1"/>
    <col min="2824" max="3072" width="10" style="557"/>
    <col min="3073" max="3073" width="15.58203125" style="557" bestFit="1" customWidth="1"/>
    <col min="3074" max="3074" width="80.08203125" style="557" bestFit="1" customWidth="1"/>
    <col min="3075" max="3075" width="42" style="557" bestFit="1" customWidth="1"/>
    <col min="3076" max="3076" width="24" style="557" bestFit="1" customWidth="1"/>
    <col min="3077" max="3077" width="22.75" style="557" bestFit="1" customWidth="1"/>
    <col min="3078" max="3078" width="10" style="557"/>
    <col min="3079" max="3079" width="11.75" style="557" customWidth="1"/>
    <col min="3080" max="3328" width="10" style="557"/>
    <col min="3329" max="3329" width="15.58203125" style="557" bestFit="1" customWidth="1"/>
    <col min="3330" max="3330" width="80.08203125" style="557" bestFit="1" customWidth="1"/>
    <col min="3331" max="3331" width="42" style="557" bestFit="1" customWidth="1"/>
    <col min="3332" max="3332" width="24" style="557" bestFit="1" customWidth="1"/>
    <col min="3333" max="3333" width="22.75" style="557" bestFit="1" customWidth="1"/>
    <col min="3334" max="3334" width="10" style="557"/>
    <col min="3335" max="3335" width="11.75" style="557" customWidth="1"/>
    <col min="3336" max="3584" width="10" style="557"/>
    <col min="3585" max="3585" width="15.58203125" style="557" bestFit="1" customWidth="1"/>
    <col min="3586" max="3586" width="80.08203125" style="557" bestFit="1" customWidth="1"/>
    <col min="3587" max="3587" width="42" style="557" bestFit="1" customWidth="1"/>
    <col min="3588" max="3588" width="24" style="557" bestFit="1" customWidth="1"/>
    <col min="3589" max="3589" width="22.75" style="557" bestFit="1" customWidth="1"/>
    <col min="3590" max="3590" width="10" style="557"/>
    <col min="3591" max="3591" width="11.75" style="557" customWidth="1"/>
    <col min="3592" max="3840" width="10" style="557"/>
    <col min="3841" max="3841" width="15.58203125" style="557" bestFit="1" customWidth="1"/>
    <col min="3842" max="3842" width="80.08203125" style="557" bestFit="1" customWidth="1"/>
    <col min="3843" max="3843" width="42" style="557" bestFit="1" customWidth="1"/>
    <col min="3844" max="3844" width="24" style="557" bestFit="1" customWidth="1"/>
    <col min="3845" max="3845" width="22.75" style="557" bestFit="1" customWidth="1"/>
    <col min="3846" max="3846" width="10" style="557"/>
    <col min="3847" max="3847" width="11.75" style="557" customWidth="1"/>
    <col min="3848" max="4096" width="10" style="557"/>
    <col min="4097" max="4097" width="15.58203125" style="557" bestFit="1" customWidth="1"/>
    <col min="4098" max="4098" width="80.08203125" style="557" bestFit="1" customWidth="1"/>
    <col min="4099" max="4099" width="42" style="557" bestFit="1" customWidth="1"/>
    <col min="4100" max="4100" width="24" style="557" bestFit="1" customWidth="1"/>
    <col min="4101" max="4101" width="22.75" style="557" bestFit="1" customWidth="1"/>
    <col min="4102" max="4102" width="10" style="557"/>
    <col min="4103" max="4103" width="11.75" style="557" customWidth="1"/>
    <col min="4104" max="4352" width="10" style="557"/>
    <col min="4353" max="4353" width="15.58203125" style="557" bestFit="1" customWidth="1"/>
    <col min="4354" max="4354" width="80.08203125" style="557" bestFit="1" customWidth="1"/>
    <col min="4355" max="4355" width="42" style="557" bestFit="1" customWidth="1"/>
    <col min="4356" max="4356" width="24" style="557" bestFit="1" customWidth="1"/>
    <col min="4357" max="4357" width="22.75" style="557" bestFit="1" customWidth="1"/>
    <col min="4358" max="4358" width="10" style="557"/>
    <col min="4359" max="4359" width="11.75" style="557" customWidth="1"/>
    <col min="4360" max="4608" width="10" style="557"/>
    <col min="4609" max="4609" width="15.58203125" style="557" bestFit="1" customWidth="1"/>
    <col min="4610" max="4610" width="80.08203125" style="557" bestFit="1" customWidth="1"/>
    <col min="4611" max="4611" width="42" style="557" bestFit="1" customWidth="1"/>
    <col min="4612" max="4612" width="24" style="557" bestFit="1" customWidth="1"/>
    <col min="4613" max="4613" width="22.75" style="557" bestFit="1" customWidth="1"/>
    <col min="4614" max="4614" width="10" style="557"/>
    <col min="4615" max="4615" width="11.75" style="557" customWidth="1"/>
    <col min="4616" max="4864" width="10" style="557"/>
    <col min="4865" max="4865" width="15.58203125" style="557" bestFit="1" customWidth="1"/>
    <col min="4866" max="4866" width="80.08203125" style="557" bestFit="1" customWidth="1"/>
    <col min="4867" max="4867" width="42" style="557" bestFit="1" customWidth="1"/>
    <col min="4868" max="4868" width="24" style="557" bestFit="1" customWidth="1"/>
    <col min="4869" max="4869" width="22.75" style="557" bestFit="1" customWidth="1"/>
    <col min="4870" max="4870" width="10" style="557"/>
    <col min="4871" max="4871" width="11.75" style="557" customWidth="1"/>
    <col min="4872" max="5120" width="10" style="557"/>
    <col min="5121" max="5121" width="15.58203125" style="557" bestFit="1" customWidth="1"/>
    <col min="5122" max="5122" width="80.08203125" style="557" bestFit="1" customWidth="1"/>
    <col min="5123" max="5123" width="42" style="557" bestFit="1" customWidth="1"/>
    <col min="5124" max="5124" width="24" style="557" bestFit="1" customWidth="1"/>
    <col min="5125" max="5125" width="22.75" style="557" bestFit="1" customWidth="1"/>
    <col min="5126" max="5126" width="10" style="557"/>
    <col min="5127" max="5127" width="11.75" style="557" customWidth="1"/>
    <col min="5128" max="5376" width="10" style="557"/>
    <col min="5377" max="5377" width="15.58203125" style="557" bestFit="1" customWidth="1"/>
    <col min="5378" max="5378" width="80.08203125" style="557" bestFit="1" customWidth="1"/>
    <col min="5379" max="5379" width="42" style="557" bestFit="1" customWidth="1"/>
    <col min="5380" max="5380" width="24" style="557" bestFit="1" customWidth="1"/>
    <col min="5381" max="5381" width="22.75" style="557" bestFit="1" customWidth="1"/>
    <col min="5382" max="5382" width="10" style="557"/>
    <col min="5383" max="5383" width="11.75" style="557" customWidth="1"/>
    <col min="5384" max="5632" width="10" style="557"/>
    <col min="5633" max="5633" width="15.58203125" style="557" bestFit="1" customWidth="1"/>
    <col min="5634" max="5634" width="80.08203125" style="557" bestFit="1" customWidth="1"/>
    <col min="5635" max="5635" width="42" style="557" bestFit="1" customWidth="1"/>
    <col min="5636" max="5636" width="24" style="557" bestFit="1" customWidth="1"/>
    <col min="5637" max="5637" width="22.75" style="557" bestFit="1" customWidth="1"/>
    <col min="5638" max="5638" width="10" style="557"/>
    <col min="5639" max="5639" width="11.75" style="557" customWidth="1"/>
    <col min="5640" max="5888" width="10" style="557"/>
    <col min="5889" max="5889" width="15.58203125" style="557" bestFit="1" customWidth="1"/>
    <col min="5890" max="5890" width="80.08203125" style="557" bestFit="1" customWidth="1"/>
    <col min="5891" max="5891" width="42" style="557" bestFit="1" customWidth="1"/>
    <col min="5892" max="5892" width="24" style="557" bestFit="1" customWidth="1"/>
    <col min="5893" max="5893" width="22.75" style="557" bestFit="1" customWidth="1"/>
    <col min="5894" max="5894" width="10" style="557"/>
    <col min="5895" max="5895" width="11.75" style="557" customWidth="1"/>
    <col min="5896" max="6144" width="10" style="557"/>
    <col min="6145" max="6145" width="15.58203125" style="557" bestFit="1" customWidth="1"/>
    <col min="6146" max="6146" width="80.08203125" style="557" bestFit="1" customWidth="1"/>
    <col min="6147" max="6147" width="42" style="557" bestFit="1" customWidth="1"/>
    <col min="6148" max="6148" width="24" style="557" bestFit="1" customWidth="1"/>
    <col min="6149" max="6149" width="22.75" style="557" bestFit="1" customWidth="1"/>
    <col min="6150" max="6150" width="10" style="557"/>
    <col min="6151" max="6151" width="11.75" style="557" customWidth="1"/>
    <col min="6152" max="6400" width="10" style="557"/>
    <col min="6401" max="6401" width="15.58203125" style="557" bestFit="1" customWidth="1"/>
    <col min="6402" max="6402" width="80.08203125" style="557" bestFit="1" customWidth="1"/>
    <col min="6403" max="6403" width="42" style="557" bestFit="1" customWidth="1"/>
    <col min="6404" max="6404" width="24" style="557" bestFit="1" customWidth="1"/>
    <col min="6405" max="6405" width="22.75" style="557" bestFit="1" customWidth="1"/>
    <col min="6406" max="6406" width="10" style="557"/>
    <col min="6407" max="6407" width="11.75" style="557" customWidth="1"/>
    <col min="6408" max="6656" width="10" style="557"/>
    <col min="6657" max="6657" width="15.58203125" style="557" bestFit="1" customWidth="1"/>
    <col min="6658" max="6658" width="80.08203125" style="557" bestFit="1" customWidth="1"/>
    <col min="6659" max="6659" width="42" style="557" bestFit="1" customWidth="1"/>
    <col min="6660" max="6660" width="24" style="557" bestFit="1" customWidth="1"/>
    <col min="6661" max="6661" width="22.75" style="557" bestFit="1" customWidth="1"/>
    <col min="6662" max="6662" width="10" style="557"/>
    <col min="6663" max="6663" width="11.75" style="557" customWidth="1"/>
    <col min="6664" max="6912" width="10" style="557"/>
    <col min="6913" max="6913" width="15.58203125" style="557" bestFit="1" customWidth="1"/>
    <col min="6914" max="6914" width="80.08203125" style="557" bestFit="1" customWidth="1"/>
    <col min="6915" max="6915" width="42" style="557" bestFit="1" customWidth="1"/>
    <col min="6916" max="6916" width="24" style="557" bestFit="1" customWidth="1"/>
    <col min="6917" max="6917" width="22.75" style="557" bestFit="1" customWidth="1"/>
    <col min="6918" max="6918" width="10" style="557"/>
    <col min="6919" max="6919" width="11.75" style="557" customWidth="1"/>
    <col min="6920" max="7168" width="10" style="557"/>
    <col min="7169" max="7169" width="15.58203125" style="557" bestFit="1" customWidth="1"/>
    <col min="7170" max="7170" width="80.08203125" style="557" bestFit="1" customWidth="1"/>
    <col min="7171" max="7171" width="42" style="557" bestFit="1" customWidth="1"/>
    <col min="7172" max="7172" width="24" style="557" bestFit="1" customWidth="1"/>
    <col min="7173" max="7173" width="22.75" style="557" bestFit="1" customWidth="1"/>
    <col min="7174" max="7174" width="10" style="557"/>
    <col min="7175" max="7175" width="11.75" style="557" customWidth="1"/>
    <col min="7176" max="7424" width="10" style="557"/>
    <col min="7425" max="7425" width="15.58203125" style="557" bestFit="1" customWidth="1"/>
    <col min="7426" max="7426" width="80.08203125" style="557" bestFit="1" customWidth="1"/>
    <col min="7427" max="7427" width="42" style="557" bestFit="1" customWidth="1"/>
    <col min="7428" max="7428" width="24" style="557" bestFit="1" customWidth="1"/>
    <col min="7429" max="7429" width="22.75" style="557" bestFit="1" customWidth="1"/>
    <col min="7430" max="7430" width="10" style="557"/>
    <col min="7431" max="7431" width="11.75" style="557" customWidth="1"/>
    <col min="7432" max="7680" width="10" style="557"/>
    <col min="7681" max="7681" width="15.58203125" style="557" bestFit="1" customWidth="1"/>
    <col min="7682" max="7682" width="80.08203125" style="557" bestFit="1" customWidth="1"/>
    <col min="7683" max="7683" width="42" style="557" bestFit="1" customWidth="1"/>
    <col min="7684" max="7684" width="24" style="557" bestFit="1" customWidth="1"/>
    <col min="7685" max="7685" width="22.75" style="557" bestFit="1" customWidth="1"/>
    <col min="7686" max="7686" width="10" style="557"/>
    <col min="7687" max="7687" width="11.75" style="557" customWidth="1"/>
    <col min="7688" max="7936" width="10" style="557"/>
    <col min="7937" max="7937" width="15.58203125" style="557" bestFit="1" customWidth="1"/>
    <col min="7938" max="7938" width="80.08203125" style="557" bestFit="1" customWidth="1"/>
    <col min="7939" max="7939" width="42" style="557" bestFit="1" customWidth="1"/>
    <col min="7940" max="7940" width="24" style="557" bestFit="1" customWidth="1"/>
    <col min="7941" max="7941" width="22.75" style="557" bestFit="1" customWidth="1"/>
    <col min="7942" max="7942" width="10" style="557"/>
    <col min="7943" max="7943" width="11.75" style="557" customWidth="1"/>
    <col min="7944" max="8192" width="10" style="557"/>
    <col min="8193" max="8193" width="15.58203125" style="557" bestFit="1" customWidth="1"/>
    <col min="8194" max="8194" width="80.08203125" style="557" bestFit="1" customWidth="1"/>
    <col min="8195" max="8195" width="42" style="557" bestFit="1" customWidth="1"/>
    <col min="8196" max="8196" width="24" style="557" bestFit="1" customWidth="1"/>
    <col min="8197" max="8197" width="22.75" style="557" bestFit="1" customWidth="1"/>
    <col min="8198" max="8198" width="10" style="557"/>
    <col min="8199" max="8199" width="11.75" style="557" customWidth="1"/>
    <col min="8200" max="8448" width="10" style="557"/>
    <col min="8449" max="8449" width="15.58203125" style="557" bestFit="1" customWidth="1"/>
    <col min="8450" max="8450" width="80.08203125" style="557" bestFit="1" customWidth="1"/>
    <col min="8451" max="8451" width="42" style="557" bestFit="1" customWidth="1"/>
    <col min="8452" max="8452" width="24" style="557" bestFit="1" customWidth="1"/>
    <col min="8453" max="8453" width="22.75" style="557" bestFit="1" customWidth="1"/>
    <col min="8454" max="8454" width="10" style="557"/>
    <col min="8455" max="8455" width="11.75" style="557" customWidth="1"/>
    <col min="8456" max="8704" width="10" style="557"/>
    <col min="8705" max="8705" width="15.58203125" style="557" bestFit="1" customWidth="1"/>
    <col min="8706" max="8706" width="80.08203125" style="557" bestFit="1" customWidth="1"/>
    <col min="8707" max="8707" width="42" style="557" bestFit="1" customWidth="1"/>
    <col min="8708" max="8708" width="24" style="557" bestFit="1" customWidth="1"/>
    <col min="8709" max="8709" width="22.75" style="557" bestFit="1" customWidth="1"/>
    <col min="8710" max="8710" width="10" style="557"/>
    <col min="8711" max="8711" width="11.75" style="557" customWidth="1"/>
    <col min="8712" max="8960" width="10" style="557"/>
    <col min="8961" max="8961" width="15.58203125" style="557" bestFit="1" customWidth="1"/>
    <col min="8962" max="8962" width="80.08203125" style="557" bestFit="1" customWidth="1"/>
    <col min="8963" max="8963" width="42" style="557" bestFit="1" customWidth="1"/>
    <col min="8964" max="8964" width="24" style="557" bestFit="1" customWidth="1"/>
    <col min="8965" max="8965" width="22.75" style="557" bestFit="1" customWidth="1"/>
    <col min="8966" max="8966" width="10" style="557"/>
    <col min="8967" max="8967" width="11.75" style="557" customWidth="1"/>
    <col min="8968" max="9216" width="10" style="557"/>
    <col min="9217" max="9217" width="15.58203125" style="557" bestFit="1" customWidth="1"/>
    <col min="9218" max="9218" width="80.08203125" style="557" bestFit="1" customWidth="1"/>
    <col min="9219" max="9219" width="42" style="557" bestFit="1" customWidth="1"/>
    <col min="9220" max="9220" width="24" style="557" bestFit="1" customWidth="1"/>
    <col min="9221" max="9221" width="22.75" style="557" bestFit="1" customWidth="1"/>
    <col min="9222" max="9222" width="10" style="557"/>
    <col min="9223" max="9223" width="11.75" style="557" customWidth="1"/>
    <col min="9224" max="9472" width="10" style="557"/>
    <col min="9473" max="9473" width="15.58203125" style="557" bestFit="1" customWidth="1"/>
    <col min="9474" max="9474" width="80.08203125" style="557" bestFit="1" customWidth="1"/>
    <col min="9475" max="9475" width="42" style="557" bestFit="1" customWidth="1"/>
    <col min="9476" max="9476" width="24" style="557" bestFit="1" customWidth="1"/>
    <col min="9477" max="9477" width="22.75" style="557" bestFit="1" customWidth="1"/>
    <col min="9478" max="9478" width="10" style="557"/>
    <col min="9479" max="9479" width="11.75" style="557" customWidth="1"/>
    <col min="9480" max="9728" width="10" style="557"/>
    <col min="9729" max="9729" width="15.58203125" style="557" bestFit="1" customWidth="1"/>
    <col min="9730" max="9730" width="80.08203125" style="557" bestFit="1" customWidth="1"/>
    <col min="9731" max="9731" width="42" style="557" bestFit="1" customWidth="1"/>
    <col min="9732" max="9732" width="24" style="557" bestFit="1" customWidth="1"/>
    <col min="9733" max="9733" width="22.75" style="557" bestFit="1" customWidth="1"/>
    <col min="9734" max="9734" width="10" style="557"/>
    <col min="9735" max="9735" width="11.75" style="557" customWidth="1"/>
    <col min="9736" max="9984" width="10" style="557"/>
    <col min="9985" max="9985" width="15.58203125" style="557" bestFit="1" customWidth="1"/>
    <col min="9986" max="9986" width="80.08203125" style="557" bestFit="1" customWidth="1"/>
    <col min="9987" max="9987" width="42" style="557" bestFit="1" customWidth="1"/>
    <col min="9988" max="9988" width="24" style="557" bestFit="1" customWidth="1"/>
    <col min="9989" max="9989" width="22.75" style="557" bestFit="1" customWidth="1"/>
    <col min="9990" max="9990" width="10" style="557"/>
    <col min="9991" max="9991" width="11.75" style="557" customWidth="1"/>
    <col min="9992" max="10240" width="10" style="557"/>
    <col min="10241" max="10241" width="15.58203125" style="557" bestFit="1" customWidth="1"/>
    <col min="10242" max="10242" width="80.08203125" style="557" bestFit="1" customWidth="1"/>
    <col min="10243" max="10243" width="42" style="557" bestFit="1" customWidth="1"/>
    <col min="10244" max="10244" width="24" style="557" bestFit="1" customWidth="1"/>
    <col min="10245" max="10245" width="22.75" style="557" bestFit="1" customWidth="1"/>
    <col min="10246" max="10246" width="10" style="557"/>
    <col min="10247" max="10247" width="11.75" style="557" customWidth="1"/>
    <col min="10248" max="10496" width="10" style="557"/>
    <col min="10497" max="10497" width="15.58203125" style="557" bestFit="1" customWidth="1"/>
    <col min="10498" max="10498" width="80.08203125" style="557" bestFit="1" customWidth="1"/>
    <col min="10499" max="10499" width="42" style="557" bestFit="1" customWidth="1"/>
    <col min="10500" max="10500" width="24" style="557" bestFit="1" customWidth="1"/>
    <col min="10501" max="10501" width="22.75" style="557" bestFit="1" customWidth="1"/>
    <col min="10502" max="10502" width="10" style="557"/>
    <col min="10503" max="10503" width="11.75" style="557" customWidth="1"/>
    <col min="10504" max="10752" width="10" style="557"/>
    <col min="10753" max="10753" width="15.58203125" style="557" bestFit="1" customWidth="1"/>
    <col min="10754" max="10754" width="80.08203125" style="557" bestFit="1" customWidth="1"/>
    <col min="10755" max="10755" width="42" style="557" bestFit="1" customWidth="1"/>
    <col min="10756" max="10756" width="24" style="557" bestFit="1" customWidth="1"/>
    <col min="10757" max="10757" width="22.75" style="557" bestFit="1" customWidth="1"/>
    <col min="10758" max="10758" width="10" style="557"/>
    <col min="10759" max="10759" width="11.75" style="557" customWidth="1"/>
    <col min="10760" max="11008" width="10" style="557"/>
    <col min="11009" max="11009" width="15.58203125" style="557" bestFit="1" customWidth="1"/>
    <col min="11010" max="11010" width="80.08203125" style="557" bestFit="1" customWidth="1"/>
    <col min="11011" max="11011" width="42" style="557" bestFit="1" customWidth="1"/>
    <col min="11012" max="11012" width="24" style="557" bestFit="1" customWidth="1"/>
    <col min="11013" max="11013" width="22.75" style="557" bestFit="1" customWidth="1"/>
    <col min="11014" max="11014" width="10" style="557"/>
    <col min="11015" max="11015" width="11.75" style="557" customWidth="1"/>
    <col min="11016" max="11264" width="10" style="557"/>
    <col min="11265" max="11265" width="15.58203125" style="557" bestFit="1" customWidth="1"/>
    <col min="11266" max="11266" width="80.08203125" style="557" bestFit="1" customWidth="1"/>
    <col min="11267" max="11267" width="42" style="557" bestFit="1" customWidth="1"/>
    <col min="11268" max="11268" width="24" style="557" bestFit="1" customWidth="1"/>
    <col min="11269" max="11269" width="22.75" style="557" bestFit="1" customWidth="1"/>
    <col min="11270" max="11270" width="10" style="557"/>
    <col min="11271" max="11271" width="11.75" style="557" customWidth="1"/>
    <col min="11272" max="11520" width="10" style="557"/>
    <col min="11521" max="11521" width="15.58203125" style="557" bestFit="1" customWidth="1"/>
    <col min="11522" max="11522" width="80.08203125" style="557" bestFit="1" customWidth="1"/>
    <col min="11523" max="11523" width="42" style="557" bestFit="1" customWidth="1"/>
    <col min="11524" max="11524" width="24" style="557" bestFit="1" customWidth="1"/>
    <col min="11525" max="11525" width="22.75" style="557" bestFit="1" customWidth="1"/>
    <col min="11526" max="11526" width="10" style="557"/>
    <col min="11527" max="11527" width="11.75" style="557" customWidth="1"/>
    <col min="11528" max="11776" width="10" style="557"/>
    <col min="11777" max="11777" width="15.58203125" style="557" bestFit="1" customWidth="1"/>
    <col min="11778" max="11778" width="80.08203125" style="557" bestFit="1" customWidth="1"/>
    <col min="11779" max="11779" width="42" style="557" bestFit="1" customWidth="1"/>
    <col min="11780" max="11780" width="24" style="557" bestFit="1" customWidth="1"/>
    <col min="11781" max="11781" width="22.75" style="557" bestFit="1" customWidth="1"/>
    <col min="11782" max="11782" width="10" style="557"/>
    <col min="11783" max="11783" width="11.75" style="557" customWidth="1"/>
    <col min="11784" max="12032" width="10" style="557"/>
    <col min="12033" max="12033" width="15.58203125" style="557" bestFit="1" customWidth="1"/>
    <col min="12034" max="12034" width="80.08203125" style="557" bestFit="1" customWidth="1"/>
    <col min="12035" max="12035" width="42" style="557" bestFit="1" customWidth="1"/>
    <col min="12036" max="12036" width="24" style="557" bestFit="1" customWidth="1"/>
    <col min="12037" max="12037" width="22.75" style="557" bestFit="1" customWidth="1"/>
    <col min="12038" max="12038" width="10" style="557"/>
    <col min="12039" max="12039" width="11.75" style="557" customWidth="1"/>
    <col min="12040" max="12288" width="10" style="557"/>
    <col min="12289" max="12289" width="15.58203125" style="557" bestFit="1" customWidth="1"/>
    <col min="12290" max="12290" width="80.08203125" style="557" bestFit="1" customWidth="1"/>
    <col min="12291" max="12291" width="42" style="557" bestFit="1" customWidth="1"/>
    <col min="12292" max="12292" width="24" style="557" bestFit="1" customWidth="1"/>
    <col min="12293" max="12293" width="22.75" style="557" bestFit="1" customWidth="1"/>
    <col min="12294" max="12294" width="10" style="557"/>
    <col min="12295" max="12295" width="11.75" style="557" customWidth="1"/>
    <col min="12296" max="12544" width="10" style="557"/>
    <col min="12545" max="12545" width="15.58203125" style="557" bestFit="1" customWidth="1"/>
    <col min="12546" max="12546" width="80.08203125" style="557" bestFit="1" customWidth="1"/>
    <col min="12547" max="12547" width="42" style="557" bestFit="1" customWidth="1"/>
    <col min="12548" max="12548" width="24" style="557" bestFit="1" customWidth="1"/>
    <col min="12549" max="12549" width="22.75" style="557" bestFit="1" customWidth="1"/>
    <col min="12550" max="12550" width="10" style="557"/>
    <col min="12551" max="12551" width="11.75" style="557" customWidth="1"/>
    <col min="12552" max="12800" width="10" style="557"/>
    <col min="12801" max="12801" width="15.58203125" style="557" bestFit="1" customWidth="1"/>
    <col min="12802" max="12802" width="80.08203125" style="557" bestFit="1" customWidth="1"/>
    <col min="12803" max="12803" width="42" style="557" bestFit="1" customWidth="1"/>
    <col min="12804" max="12804" width="24" style="557" bestFit="1" customWidth="1"/>
    <col min="12805" max="12805" width="22.75" style="557" bestFit="1" customWidth="1"/>
    <col min="12806" max="12806" width="10" style="557"/>
    <col min="12807" max="12807" width="11.75" style="557" customWidth="1"/>
    <col min="12808" max="13056" width="10" style="557"/>
    <col min="13057" max="13057" width="15.58203125" style="557" bestFit="1" customWidth="1"/>
    <col min="13058" max="13058" width="80.08203125" style="557" bestFit="1" customWidth="1"/>
    <col min="13059" max="13059" width="42" style="557" bestFit="1" customWidth="1"/>
    <col min="13060" max="13060" width="24" style="557" bestFit="1" customWidth="1"/>
    <col min="13061" max="13061" width="22.75" style="557" bestFit="1" customWidth="1"/>
    <col min="13062" max="13062" width="10" style="557"/>
    <col min="13063" max="13063" width="11.75" style="557" customWidth="1"/>
    <col min="13064" max="13312" width="10" style="557"/>
    <col min="13313" max="13313" width="15.58203125" style="557" bestFit="1" customWidth="1"/>
    <col min="13314" max="13314" width="80.08203125" style="557" bestFit="1" customWidth="1"/>
    <col min="13315" max="13315" width="42" style="557" bestFit="1" customWidth="1"/>
    <col min="13316" max="13316" width="24" style="557" bestFit="1" customWidth="1"/>
    <col min="13317" max="13317" width="22.75" style="557" bestFit="1" customWidth="1"/>
    <col min="13318" max="13318" width="10" style="557"/>
    <col min="13319" max="13319" width="11.75" style="557" customWidth="1"/>
    <col min="13320" max="13568" width="10" style="557"/>
    <col min="13569" max="13569" width="15.58203125" style="557" bestFit="1" customWidth="1"/>
    <col min="13570" max="13570" width="80.08203125" style="557" bestFit="1" customWidth="1"/>
    <col min="13571" max="13571" width="42" style="557" bestFit="1" customWidth="1"/>
    <col min="13572" max="13572" width="24" style="557" bestFit="1" customWidth="1"/>
    <col min="13573" max="13573" width="22.75" style="557" bestFit="1" customWidth="1"/>
    <col min="13574" max="13574" width="10" style="557"/>
    <col min="13575" max="13575" width="11.75" style="557" customWidth="1"/>
    <col min="13576" max="13824" width="10" style="557"/>
    <col min="13825" max="13825" width="15.58203125" style="557" bestFit="1" customWidth="1"/>
    <col min="13826" max="13826" width="80.08203125" style="557" bestFit="1" customWidth="1"/>
    <col min="13827" max="13827" width="42" style="557" bestFit="1" customWidth="1"/>
    <col min="13828" max="13828" width="24" style="557" bestFit="1" customWidth="1"/>
    <col min="13829" max="13829" width="22.75" style="557" bestFit="1" customWidth="1"/>
    <col min="13830" max="13830" width="10" style="557"/>
    <col min="13831" max="13831" width="11.75" style="557" customWidth="1"/>
    <col min="13832" max="14080" width="10" style="557"/>
    <col min="14081" max="14081" width="15.58203125" style="557" bestFit="1" customWidth="1"/>
    <col min="14082" max="14082" width="80.08203125" style="557" bestFit="1" customWidth="1"/>
    <col min="14083" max="14083" width="42" style="557" bestFit="1" customWidth="1"/>
    <col min="14084" max="14084" width="24" style="557" bestFit="1" customWidth="1"/>
    <col min="14085" max="14085" width="22.75" style="557" bestFit="1" customWidth="1"/>
    <col min="14086" max="14086" width="10" style="557"/>
    <col min="14087" max="14087" width="11.75" style="557" customWidth="1"/>
    <col min="14088" max="14336" width="10" style="557"/>
    <col min="14337" max="14337" width="15.58203125" style="557" bestFit="1" customWidth="1"/>
    <col min="14338" max="14338" width="80.08203125" style="557" bestFit="1" customWidth="1"/>
    <col min="14339" max="14339" width="42" style="557" bestFit="1" customWidth="1"/>
    <col min="14340" max="14340" width="24" style="557" bestFit="1" customWidth="1"/>
    <col min="14341" max="14341" width="22.75" style="557" bestFit="1" customWidth="1"/>
    <col min="14342" max="14342" width="10" style="557"/>
    <col min="14343" max="14343" width="11.75" style="557" customWidth="1"/>
    <col min="14344" max="14592" width="10" style="557"/>
    <col min="14593" max="14593" width="15.58203125" style="557" bestFit="1" customWidth="1"/>
    <col min="14594" max="14594" width="80.08203125" style="557" bestFit="1" customWidth="1"/>
    <col min="14595" max="14595" width="42" style="557" bestFit="1" customWidth="1"/>
    <col min="14596" max="14596" width="24" style="557" bestFit="1" customWidth="1"/>
    <col min="14597" max="14597" width="22.75" style="557" bestFit="1" customWidth="1"/>
    <col min="14598" max="14598" width="10" style="557"/>
    <col min="14599" max="14599" width="11.75" style="557" customWidth="1"/>
    <col min="14600" max="14848" width="10" style="557"/>
    <col min="14849" max="14849" width="15.58203125" style="557" bestFit="1" customWidth="1"/>
    <col min="14850" max="14850" width="80.08203125" style="557" bestFit="1" customWidth="1"/>
    <col min="14851" max="14851" width="42" style="557" bestFit="1" customWidth="1"/>
    <col min="14852" max="14852" width="24" style="557" bestFit="1" customWidth="1"/>
    <col min="14853" max="14853" width="22.75" style="557" bestFit="1" customWidth="1"/>
    <col min="14854" max="14854" width="10" style="557"/>
    <col min="14855" max="14855" width="11.75" style="557" customWidth="1"/>
    <col min="14856" max="15104" width="10" style="557"/>
    <col min="15105" max="15105" width="15.58203125" style="557" bestFit="1" customWidth="1"/>
    <col min="15106" max="15106" width="80.08203125" style="557" bestFit="1" customWidth="1"/>
    <col min="15107" max="15107" width="42" style="557" bestFit="1" customWidth="1"/>
    <col min="15108" max="15108" width="24" style="557" bestFit="1" customWidth="1"/>
    <col min="15109" max="15109" width="22.75" style="557" bestFit="1" customWidth="1"/>
    <col min="15110" max="15110" width="10" style="557"/>
    <col min="15111" max="15111" width="11.75" style="557" customWidth="1"/>
    <col min="15112" max="15360" width="10" style="557"/>
    <col min="15361" max="15361" width="15.58203125" style="557" bestFit="1" customWidth="1"/>
    <col min="15362" max="15362" width="80.08203125" style="557" bestFit="1" customWidth="1"/>
    <col min="15363" max="15363" width="42" style="557" bestFit="1" customWidth="1"/>
    <col min="15364" max="15364" width="24" style="557" bestFit="1" customWidth="1"/>
    <col min="15365" max="15365" width="22.75" style="557" bestFit="1" customWidth="1"/>
    <col min="15366" max="15366" width="10" style="557"/>
    <col min="15367" max="15367" width="11.75" style="557" customWidth="1"/>
    <col min="15368" max="15616" width="10" style="557"/>
    <col min="15617" max="15617" width="15.58203125" style="557" bestFit="1" customWidth="1"/>
    <col min="15618" max="15618" width="80.08203125" style="557" bestFit="1" customWidth="1"/>
    <col min="15619" max="15619" width="42" style="557" bestFit="1" customWidth="1"/>
    <col min="15620" max="15620" width="24" style="557" bestFit="1" customWidth="1"/>
    <col min="15621" max="15621" width="22.75" style="557" bestFit="1" customWidth="1"/>
    <col min="15622" max="15622" width="10" style="557"/>
    <col min="15623" max="15623" width="11.75" style="557" customWidth="1"/>
    <col min="15624" max="15872" width="10" style="557"/>
    <col min="15873" max="15873" width="15.58203125" style="557" bestFit="1" customWidth="1"/>
    <col min="15874" max="15874" width="80.08203125" style="557" bestFit="1" customWidth="1"/>
    <col min="15875" max="15875" width="42" style="557" bestFit="1" customWidth="1"/>
    <col min="15876" max="15876" width="24" style="557" bestFit="1" customWidth="1"/>
    <col min="15877" max="15877" width="22.75" style="557" bestFit="1" customWidth="1"/>
    <col min="15878" max="15878" width="10" style="557"/>
    <col min="15879" max="15879" width="11.75" style="557" customWidth="1"/>
    <col min="15880" max="16128" width="10" style="557"/>
    <col min="16129" max="16129" width="15.58203125" style="557" bestFit="1" customWidth="1"/>
    <col min="16130" max="16130" width="80.08203125" style="557" bestFit="1" customWidth="1"/>
    <col min="16131" max="16131" width="42" style="557" bestFit="1" customWidth="1"/>
    <col min="16132" max="16132" width="24" style="557" bestFit="1" customWidth="1"/>
    <col min="16133" max="16133" width="22.75" style="557" bestFit="1" customWidth="1"/>
    <col min="16134" max="16134" width="10" style="557"/>
    <col min="16135" max="16135" width="11.75" style="557" customWidth="1"/>
    <col min="16136" max="16384" width="10" style="557"/>
  </cols>
  <sheetData>
    <row r="1" spans="1:6" ht="16" thickBot="1">
      <c r="A1" s="272" t="s">
        <v>360</v>
      </c>
      <c r="B1" s="272" t="s">
        <v>361</v>
      </c>
      <c r="C1" s="273" t="s">
        <v>362</v>
      </c>
      <c r="D1" s="273" t="s">
        <v>363</v>
      </c>
      <c r="E1" s="273" t="s">
        <v>364</v>
      </c>
    </row>
    <row r="2" spans="1:6" s="466" customFormat="1" ht="12.5">
      <c r="A2" s="405" t="s">
        <v>44</v>
      </c>
      <c r="B2" s="405"/>
      <c r="C2" s="406"/>
      <c r="D2" s="406"/>
      <c r="E2" s="406"/>
    </row>
    <row r="3" spans="1:6" s="1265" customFormat="1" ht="13">
      <c r="A3" s="1206"/>
      <c r="B3" s="727" t="s">
        <v>3201</v>
      </c>
      <c r="C3" s="1646" t="s">
        <v>3202</v>
      </c>
      <c r="D3" s="1646" t="s">
        <v>3203</v>
      </c>
      <c r="E3" s="1208"/>
    </row>
    <row r="4" spans="1:6" s="1265" customFormat="1" ht="13">
      <c r="A4" s="1205"/>
      <c r="B4" s="571" t="s">
        <v>1416</v>
      </c>
      <c r="C4" s="728" t="s">
        <v>3204</v>
      </c>
      <c r="D4" s="728" t="s">
        <v>3205</v>
      </c>
      <c r="E4" s="1214"/>
    </row>
    <row r="5" spans="1:6" s="567" customFormat="1" ht="13.5" thickBot="1">
      <c r="A5" s="565"/>
      <c r="B5" s="565"/>
      <c r="C5" s="566"/>
      <c r="D5" s="566"/>
      <c r="E5" s="566"/>
    </row>
    <row r="6" spans="1:6" ht="16" thickBot="1">
      <c r="A6" s="272" t="s">
        <v>360</v>
      </c>
      <c r="B6" s="272" t="s">
        <v>361</v>
      </c>
      <c r="C6" s="273" t="s">
        <v>362</v>
      </c>
      <c r="D6" s="273" t="s">
        <v>363</v>
      </c>
      <c r="E6" s="273" t="s">
        <v>364</v>
      </c>
    </row>
    <row r="7" spans="1:6" s="466" customFormat="1" ht="12.5">
      <c r="A7" s="405" t="s">
        <v>296</v>
      </c>
      <c r="B7" s="405"/>
      <c r="C7" s="406"/>
      <c r="D7" s="406"/>
      <c r="E7" s="406"/>
    </row>
    <row r="8" spans="1:6" s="1364" customFormat="1" ht="13">
      <c r="A8" s="1234"/>
      <c r="B8" s="729" t="s">
        <v>502</v>
      </c>
      <c r="C8" s="1646" t="s">
        <v>3206</v>
      </c>
      <c r="D8" s="730" t="s">
        <v>3207</v>
      </c>
      <c r="E8" s="629"/>
    </row>
    <row r="9" spans="1:6" s="407" customFormat="1" ht="13.5" thickBot="1">
      <c r="A9" s="529"/>
      <c r="B9" s="727" t="s">
        <v>3208</v>
      </c>
      <c r="C9" s="466" t="s">
        <v>3209</v>
      </c>
      <c r="D9" s="730" t="s">
        <v>3210</v>
      </c>
      <c r="E9" s="470"/>
      <c r="F9" s="466"/>
    </row>
    <row r="10" spans="1:6" ht="16" thickBot="1">
      <c r="A10" s="1647"/>
      <c r="B10" s="1648" t="s">
        <v>3211</v>
      </c>
      <c r="C10" s="1646" t="s">
        <v>3212</v>
      </c>
      <c r="D10" s="1215"/>
      <c r="E10" s="411"/>
      <c r="F10" s="466"/>
    </row>
    <row r="11" spans="1:6" s="567" customFormat="1" ht="16" thickBot="1">
      <c r="A11" s="272" t="s">
        <v>360</v>
      </c>
      <c r="B11" s="408" t="s">
        <v>361</v>
      </c>
      <c r="C11" s="273" t="s">
        <v>362</v>
      </c>
      <c r="D11" s="273" t="s">
        <v>363</v>
      </c>
      <c r="E11" s="273" t="s">
        <v>364</v>
      </c>
      <c r="F11" s="557"/>
    </row>
    <row r="12" spans="1:6" s="1265" customFormat="1" ht="13">
      <c r="A12" s="571" t="s">
        <v>365</v>
      </c>
      <c r="B12" s="571"/>
      <c r="C12" s="630"/>
      <c r="D12" s="630"/>
      <c r="E12" s="630"/>
      <c r="F12" s="1364"/>
    </row>
    <row r="13" spans="1:6" s="1265" customFormat="1" ht="13">
      <c r="A13" s="571"/>
      <c r="B13" s="571" t="s">
        <v>1579</v>
      </c>
      <c r="C13" s="630" t="s">
        <v>3213</v>
      </c>
      <c r="D13" s="630"/>
      <c r="E13" s="630"/>
      <c r="F13" s="1364" t="s">
        <v>2768</v>
      </c>
    </row>
    <row r="14" spans="1:6" s="1265" customFormat="1" ht="13">
      <c r="A14" s="571"/>
      <c r="B14" s="571"/>
      <c r="C14" s="630" t="s">
        <v>3214</v>
      </c>
      <c r="D14" s="630"/>
      <c r="E14" s="630"/>
      <c r="F14" s="1364"/>
    </row>
    <row r="15" spans="1:6">
      <c r="A15" s="571"/>
      <c r="B15" s="571" t="s">
        <v>3215</v>
      </c>
      <c r="C15" s="630" t="s">
        <v>3216</v>
      </c>
      <c r="D15" s="630"/>
      <c r="E15" s="630"/>
      <c r="F15" s="1364"/>
    </row>
    <row r="16" spans="1:6">
      <c r="A16" s="571"/>
      <c r="B16" s="571"/>
      <c r="C16" s="630"/>
      <c r="D16" s="630"/>
      <c r="E16" s="630"/>
      <c r="F16" s="1364"/>
    </row>
    <row r="17" spans="1:7" s="466" customFormat="1" ht="13">
      <c r="A17" s="727"/>
      <c r="B17" s="727" t="s">
        <v>243</v>
      </c>
      <c r="C17" s="731" t="s">
        <v>3217</v>
      </c>
      <c r="D17" s="1646"/>
      <c r="E17" s="1649"/>
      <c r="F17" s="1364"/>
    </row>
    <row r="18" spans="1:7" s="1364" customFormat="1" ht="16" thickBot="1">
      <c r="A18" s="573"/>
      <c r="B18" s="574"/>
      <c r="C18" s="410"/>
      <c r="D18" s="575"/>
      <c r="E18" s="1209"/>
      <c r="F18" s="557"/>
    </row>
    <row r="19" spans="1:7" s="1364" customFormat="1" ht="16" thickBot="1">
      <c r="A19" s="272" t="s">
        <v>360</v>
      </c>
      <c r="B19" s="272" t="s">
        <v>361</v>
      </c>
      <c r="C19" s="273" t="s">
        <v>362</v>
      </c>
      <c r="D19" s="273" t="s">
        <v>363</v>
      </c>
      <c r="E19" s="273" t="s">
        <v>364</v>
      </c>
      <c r="F19" s="557"/>
    </row>
    <row r="20" spans="1:7" s="1364" customFormat="1" ht="13">
      <c r="A20" s="1368" t="s">
        <v>244</v>
      </c>
      <c r="B20" s="412"/>
      <c r="C20" s="413"/>
      <c r="D20" s="413"/>
      <c r="E20" s="413"/>
      <c r="F20" s="466"/>
    </row>
    <row r="21" spans="1:7">
      <c r="A21" s="729"/>
      <c r="B21" s="1368" t="s">
        <v>503</v>
      </c>
      <c r="C21" s="419" t="s">
        <v>3218</v>
      </c>
      <c r="D21" s="732" t="s">
        <v>3219</v>
      </c>
      <c r="E21" s="1650" t="s">
        <v>2341</v>
      </c>
      <c r="F21" s="1365"/>
    </row>
    <row r="22" spans="1:7" s="407" customFormat="1" ht="13">
      <c r="A22" s="729"/>
      <c r="B22" s="729" t="s">
        <v>245</v>
      </c>
      <c r="C22" s="732" t="s">
        <v>3220</v>
      </c>
      <c r="D22" s="418"/>
      <c r="E22" s="1651" t="s">
        <v>2342</v>
      </c>
      <c r="F22" s="1364"/>
    </row>
    <row r="23" spans="1:7" s="1265" customFormat="1" ht="13.5" thickBot="1">
      <c r="A23" s="571"/>
      <c r="B23" s="571" t="s">
        <v>776</v>
      </c>
      <c r="C23" s="728" t="s">
        <v>1417</v>
      </c>
      <c r="D23" s="630"/>
      <c r="E23" s="630"/>
      <c r="F23" s="1364"/>
    </row>
    <row r="24" spans="1:7" s="1265" customFormat="1" ht="16" thickBot="1">
      <c r="A24" s="414" t="s">
        <v>360</v>
      </c>
      <c r="B24" s="272" t="s">
        <v>361</v>
      </c>
      <c r="C24" s="282" t="s">
        <v>362</v>
      </c>
      <c r="D24" s="273" t="s">
        <v>363</v>
      </c>
      <c r="E24" s="273" t="s">
        <v>364</v>
      </c>
      <c r="F24" s="557"/>
    </row>
    <row r="25" spans="1:7" s="1366" customFormat="1" ht="13">
      <c r="A25" s="571" t="s">
        <v>246</v>
      </c>
      <c r="B25" s="1652"/>
      <c r="C25" s="1653"/>
      <c r="D25" s="476"/>
      <c r="E25" s="1654"/>
      <c r="F25" s="466"/>
      <c r="G25" s="1367"/>
    </row>
    <row r="26" spans="1:7" s="407" customFormat="1" ht="13">
      <c r="A26" s="1655"/>
      <c r="B26" s="1656" t="s">
        <v>504</v>
      </c>
      <c r="C26" s="732" t="s">
        <v>3221</v>
      </c>
      <c r="D26" s="629"/>
      <c r="E26" s="629"/>
      <c r="F26" s="1364"/>
    </row>
    <row r="27" spans="1:7" s="1265" customFormat="1" ht="13.5" thickBot="1">
      <c r="A27" s="1655"/>
      <c r="B27" s="1657"/>
      <c r="C27" s="1658"/>
      <c r="D27" s="1659"/>
      <c r="E27" s="1659"/>
      <c r="F27" s="1364"/>
    </row>
    <row r="28" spans="1:7" s="399" customFormat="1" ht="13.5" thickBot="1">
      <c r="A28" s="1660" t="s">
        <v>360</v>
      </c>
      <c r="B28" s="1660" t="s">
        <v>361</v>
      </c>
      <c r="C28" s="1661" t="s">
        <v>362</v>
      </c>
      <c r="D28" s="1661" t="s">
        <v>363</v>
      </c>
      <c r="E28" s="1661" t="s">
        <v>364</v>
      </c>
      <c r="F28" s="466"/>
    </row>
    <row r="29" spans="1:7" s="1265" customFormat="1" ht="13">
      <c r="A29" s="1368" t="s">
        <v>247</v>
      </c>
      <c r="B29" s="405"/>
      <c r="C29" s="406"/>
      <c r="D29" s="406"/>
      <c r="E29" s="406"/>
      <c r="F29" s="466"/>
    </row>
    <row r="30" spans="1:7" s="1265" customFormat="1" ht="13.5" thickBot="1">
      <c r="A30" s="727"/>
      <c r="B30" s="727" t="s">
        <v>248</v>
      </c>
      <c r="C30" s="1646" t="s">
        <v>3222</v>
      </c>
      <c r="D30" s="1646" t="s">
        <v>3223</v>
      </c>
      <c r="E30" s="1646"/>
      <c r="F30" s="1364"/>
    </row>
    <row r="31" spans="1:7" s="1265" customFormat="1" ht="13.5" thickBot="1">
      <c r="A31" s="272" t="s">
        <v>360</v>
      </c>
      <c r="B31" s="272" t="s">
        <v>361</v>
      </c>
      <c r="C31" s="273" t="s">
        <v>362</v>
      </c>
      <c r="D31" s="273" t="s">
        <v>363</v>
      </c>
      <c r="E31" s="273" t="s">
        <v>364</v>
      </c>
      <c r="F31" s="399"/>
    </row>
    <row r="32" spans="1:7">
      <c r="A32" s="1368" t="s">
        <v>104</v>
      </c>
      <c r="B32" s="1368" t="s">
        <v>2343</v>
      </c>
      <c r="C32" s="1646" t="s">
        <v>3224</v>
      </c>
      <c r="D32" s="418" t="s">
        <v>3225</v>
      </c>
      <c r="E32" s="418"/>
      <c r="F32" s="1364"/>
    </row>
    <row r="33" spans="1:6" s="1265" customFormat="1" ht="13.5" thickBot="1">
      <c r="A33" s="727"/>
      <c r="B33" s="727" t="s">
        <v>2344</v>
      </c>
      <c r="C33" s="1646" t="s">
        <v>3226</v>
      </c>
      <c r="D33" s="1646" t="s">
        <v>3227</v>
      </c>
      <c r="E33" s="1646"/>
      <c r="F33" s="1364"/>
    </row>
    <row r="34" spans="1:6" s="1265" customFormat="1" ht="16" thickBot="1">
      <c r="A34" s="272" t="s">
        <v>360</v>
      </c>
      <c r="B34" s="272" t="s">
        <v>361</v>
      </c>
      <c r="C34" s="273" t="s">
        <v>362</v>
      </c>
      <c r="D34" s="273" t="s">
        <v>363</v>
      </c>
      <c r="E34" s="273" t="s">
        <v>364</v>
      </c>
      <c r="F34" s="557"/>
    </row>
    <row r="35" spans="1:6" s="1265" customFormat="1" ht="13">
      <c r="A35" s="1368" t="s">
        <v>175</v>
      </c>
      <c r="B35" s="1212"/>
      <c r="C35" s="1213"/>
      <c r="D35" s="1213"/>
      <c r="E35" s="1213"/>
    </row>
    <row r="36" spans="1:6" s="1265" customFormat="1" ht="13">
      <c r="A36" s="1234"/>
      <c r="B36" s="729" t="s">
        <v>2535</v>
      </c>
      <c r="C36" s="732" t="s">
        <v>3228</v>
      </c>
      <c r="D36" s="629" t="s">
        <v>3229</v>
      </c>
      <c r="E36" s="1210"/>
    </row>
    <row r="37" spans="1:6" s="1265" customFormat="1" ht="13">
      <c r="A37" s="729"/>
      <c r="B37" s="729" t="s">
        <v>2536</v>
      </c>
      <c r="C37" s="732" t="s">
        <v>3230</v>
      </c>
      <c r="D37" s="629" t="s">
        <v>3231</v>
      </c>
      <c r="E37" s="629"/>
      <c r="F37" s="1364"/>
    </row>
    <row r="38" spans="1:6">
      <c r="A38" s="727"/>
      <c r="B38" s="727" t="s">
        <v>3232</v>
      </c>
      <c r="C38" s="732" t="s">
        <v>3233</v>
      </c>
      <c r="D38" s="731"/>
      <c r="E38" s="731"/>
      <c r="F38" s="1364"/>
    </row>
    <row r="39" spans="1:6" s="567" customFormat="1" ht="13">
      <c r="A39" s="1206"/>
      <c r="B39" s="1206"/>
      <c r="C39" s="1208"/>
      <c r="D39" s="1207"/>
      <c r="E39" s="1207"/>
      <c r="F39" s="1265"/>
    </row>
    <row r="40" spans="1:6" s="1265" customFormat="1" ht="13.5" thickBot="1">
      <c r="A40" s="727"/>
      <c r="B40" s="727" t="s">
        <v>712</v>
      </c>
      <c r="C40" s="1649" t="s">
        <v>3234</v>
      </c>
      <c r="D40" s="1662"/>
      <c r="E40" s="1646"/>
      <c r="F40" s="1364"/>
    </row>
    <row r="41" spans="1:6" s="1364" customFormat="1" ht="16" thickBot="1">
      <c r="A41" s="272" t="s">
        <v>360</v>
      </c>
      <c r="B41" s="272" t="s">
        <v>361</v>
      </c>
      <c r="C41" s="273" t="s">
        <v>362</v>
      </c>
      <c r="D41" s="273" t="s">
        <v>363</v>
      </c>
      <c r="E41" s="273" t="s">
        <v>364</v>
      </c>
      <c r="F41" s="557"/>
    </row>
    <row r="42" spans="1:6" s="1364" customFormat="1" ht="13">
      <c r="A42" s="1368" t="s">
        <v>176</v>
      </c>
      <c r="B42" s="576"/>
      <c r="C42" s="578" t="s">
        <v>135</v>
      </c>
      <c r="D42" s="578"/>
      <c r="E42" s="578"/>
      <c r="F42" s="567"/>
    </row>
    <row r="43" spans="1:6" s="567" customFormat="1" ht="13">
      <c r="A43" s="727"/>
      <c r="B43" s="727" t="s">
        <v>1042</v>
      </c>
      <c r="C43" s="1646" t="s">
        <v>3235</v>
      </c>
      <c r="D43" s="1649"/>
      <c r="E43" s="1646"/>
      <c r="F43" s="1364"/>
    </row>
    <row r="44" spans="1:6" s="567" customFormat="1" ht="13">
      <c r="A44" s="571"/>
      <c r="B44" s="571"/>
      <c r="C44" s="728"/>
      <c r="D44" s="1215"/>
      <c r="E44" s="728"/>
      <c r="F44" s="1364"/>
    </row>
    <row r="45" spans="1:6" s="567" customFormat="1" ht="13">
      <c r="A45" s="571" t="s">
        <v>2345</v>
      </c>
      <c r="B45" s="571" t="s">
        <v>2346</v>
      </c>
      <c r="C45" s="728"/>
      <c r="D45" s="1215"/>
      <c r="E45" s="728"/>
      <c r="F45" s="1364"/>
    </row>
    <row r="46" spans="1:6">
      <c r="A46" s="571"/>
      <c r="B46" s="571" t="s">
        <v>777</v>
      </c>
      <c r="C46" s="728" t="s">
        <v>3236</v>
      </c>
      <c r="D46" s="1215" t="s">
        <v>3237</v>
      </c>
      <c r="E46" s="728"/>
      <c r="F46" s="1364"/>
    </row>
    <row r="47" spans="1:6" s="466" customFormat="1" ht="13">
      <c r="A47" s="571"/>
      <c r="B47" s="571" t="s">
        <v>2537</v>
      </c>
      <c r="C47" s="728"/>
      <c r="D47" s="1215"/>
      <c r="E47" s="728"/>
      <c r="F47" s="1364"/>
    </row>
    <row r="48" spans="1:6" s="1364" customFormat="1" ht="13.5" thickBot="1">
      <c r="A48" s="571"/>
      <c r="B48" s="571" t="s">
        <v>2538</v>
      </c>
      <c r="C48" s="728" t="s">
        <v>3238</v>
      </c>
      <c r="D48" s="1215" t="s">
        <v>3239</v>
      </c>
      <c r="E48" s="728"/>
    </row>
    <row r="49" spans="1:6" s="1364" customFormat="1" ht="16" thickBot="1">
      <c r="A49" s="272" t="s">
        <v>360</v>
      </c>
      <c r="B49" s="272" t="s">
        <v>361</v>
      </c>
      <c r="C49" s="273" t="s">
        <v>177</v>
      </c>
      <c r="D49" s="273" t="s">
        <v>363</v>
      </c>
      <c r="E49" s="273" t="s">
        <v>364</v>
      </c>
      <c r="F49" s="557"/>
    </row>
    <row r="50" spans="1:6" s="567" customFormat="1" ht="13">
      <c r="A50" s="1368" t="s">
        <v>178</v>
      </c>
      <c r="B50" s="1260"/>
      <c r="C50" s="1261"/>
      <c r="D50" s="1261"/>
      <c r="E50" s="1261"/>
      <c r="F50" s="1366"/>
    </row>
    <row r="51" spans="1:6" s="567" customFormat="1" ht="13">
      <c r="A51" s="1234"/>
      <c r="B51" s="729" t="s">
        <v>3240</v>
      </c>
      <c r="C51" s="629" t="s">
        <v>3241</v>
      </c>
      <c r="D51" s="730" t="s">
        <v>3242</v>
      </c>
      <c r="E51" s="1232"/>
      <c r="F51" s="1265"/>
    </row>
    <row r="52" spans="1:6" s="399" customFormat="1" ht="13">
      <c r="A52" s="1205"/>
      <c r="B52" s="571" t="s">
        <v>3243</v>
      </c>
      <c r="C52" s="630" t="s">
        <v>3244</v>
      </c>
      <c r="D52" s="1215" t="s">
        <v>3245</v>
      </c>
      <c r="E52" s="1262"/>
      <c r="F52" s="1265"/>
    </row>
    <row r="53" spans="1:6" s="1217" customFormat="1" ht="13">
      <c r="A53" s="565"/>
      <c r="B53" s="565"/>
      <c r="C53" s="572"/>
      <c r="D53" s="579"/>
      <c r="E53" s="579"/>
      <c r="F53" s="567"/>
    </row>
    <row r="54" spans="1:6" s="1226" customFormat="1" ht="13.5" thickBot="1">
      <c r="A54" s="565"/>
      <c r="B54" s="565"/>
      <c r="C54" s="572"/>
      <c r="D54" s="579"/>
      <c r="E54" s="579"/>
      <c r="F54" s="567"/>
    </row>
    <row r="55" spans="1:6" s="1226" customFormat="1" ht="13.5" thickBot="1">
      <c r="A55" s="272" t="s">
        <v>360</v>
      </c>
      <c r="B55" s="272" t="s">
        <v>361</v>
      </c>
      <c r="C55" s="273" t="s">
        <v>362</v>
      </c>
      <c r="D55" s="273" t="s">
        <v>363</v>
      </c>
      <c r="E55" s="273" t="s">
        <v>364</v>
      </c>
      <c r="F55" s="399"/>
    </row>
    <row r="56" spans="1:6" s="1226" customFormat="1" ht="13">
      <c r="A56" s="1663" t="s">
        <v>1580</v>
      </c>
      <c r="B56" s="1664"/>
      <c r="C56" s="1665"/>
      <c r="D56" s="1665"/>
      <c r="E56" s="1665"/>
      <c r="F56" s="1664"/>
    </row>
    <row r="57" spans="1:6" s="1226" customFormat="1" ht="13">
      <c r="A57" s="1666" t="s">
        <v>179</v>
      </c>
      <c r="B57" s="1666" t="s">
        <v>180</v>
      </c>
      <c r="C57" s="1667"/>
      <c r="D57" s="1667"/>
      <c r="E57" s="1667"/>
      <c r="F57" s="1668"/>
    </row>
    <row r="58" spans="1:6" s="1226" customFormat="1" ht="13">
      <c r="A58" s="1669"/>
      <c r="B58" s="1669" t="s">
        <v>3246</v>
      </c>
      <c r="C58" s="1670" t="s">
        <v>2347</v>
      </c>
      <c r="D58" s="1671" t="s">
        <v>3247</v>
      </c>
      <c r="E58" s="1671"/>
      <c r="F58" s="1668"/>
    </row>
    <row r="59" spans="1:6" s="1226" customFormat="1" ht="12" customHeight="1">
      <c r="A59" s="1663"/>
      <c r="B59" s="1663" t="s">
        <v>3248</v>
      </c>
      <c r="C59" s="1670" t="s">
        <v>2348</v>
      </c>
      <c r="D59" s="1671" t="s">
        <v>3247</v>
      </c>
      <c r="E59" s="1672"/>
      <c r="F59" s="1668"/>
    </row>
    <row r="60" spans="1:6" s="1364" customFormat="1" ht="12" customHeight="1">
      <c r="A60" s="1663"/>
      <c r="B60" s="1663" t="s">
        <v>777</v>
      </c>
      <c r="C60" s="1670" t="s">
        <v>2349</v>
      </c>
      <c r="D60" s="1671" t="s">
        <v>3249</v>
      </c>
      <c r="E60" s="1672"/>
      <c r="F60" s="1668"/>
    </row>
    <row r="61" spans="1:6" s="399" customFormat="1" ht="13">
      <c r="A61" s="1216"/>
      <c r="B61" s="1216"/>
      <c r="C61" s="1222"/>
      <c r="D61" s="1222"/>
      <c r="E61" s="1222"/>
      <c r="F61" s="1226"/>
    </row>
    <row r="62" spans="1:6" s="1217" customFormat="1" ht="13">
      <c r="A62" s="1663"/>
      <c r="B62" s="1663" t="s">
        <v>3250</v>
      </c>
      <c r="C62" s="1672" t="s">
        <v>3251</v>
      </c>
      <c r="D62" s="1672" t="s">
        <v>3252</v>
      </c>
      <c r="E62" s="1672"/>
      <c r="F62" s="1668"/>
    </row>
    <row r="63" spans="1:6" s="1226" customFormat="1" ht="13.5" thickBot="1">
      <c r="A63" s="571"/>
      <c r="B63" s="571"/>
      <c r="C63" s="728"/>
      <c r="D63" s="728"/>
      <c r="E63" s="728"/>
      <c r="F63" s="1364"/>
    </row>
    <row r="64" spans="1:6" s="1226" customFormat="1" ht="13.5" thickBot="1">
      <c r="A64" s="272" t="s">
        <v>360</v>
      </c>
      <c r="B64" s="272" t="s">
        <v>361</v>
      </c>
      <c r="C64" s="273" t="s">
        <v>177</v>
      </c>
      <c r="D64" s="273" t="s">
        <v>363</v>
      </c>
      <c r="E64" s="273" t="s">
        <v>364</v>
      </c>
      <c r="F64" s="399"/>
    </row>
    <row r="65" spans="1:6">
      <c r="A65" s="1666" t="s">
        <v>181</v>
      </c>
      <c r="B65" s="1223"/>
      <c r="C65" s="1224"/>
      <c r="D65" s="1224"/>
      <c r="E65" s="1224"/>
      <c r="F65" s="1217"/>
    </row>
    <row r="66" spans="1:6" s="1217" customFormat="1" ht="13">
      <c r="A66" s="1673"/>
      <c r="B66" s="1673" t="s">
        <v>1419</v>
      </c>
      <c r="C66" s="1400" t="s">
        <v>3253</v>
      </c>
      <c r="D66" s="1401" t="s">
        <v>3254</v>
      </c>
      <c r="E66" s="1674"/>
      <c r="F66" s="1668"/>
    </row>
    <row r="67" spans="1:6" s="1226" customFormat="1" ht="13.5" thickBot="1">
      <c r="A67" s="1663"/>
      <c r="B67" s="1663"/>
      <c r="C67" s="1665" t="s">
        <v>3255</v>
      </c>
      <c r="D67" s="1672" t="s">
        <v>3256</v>
      </c>
      <c r="E67" s="1672"/>
      <c r="F67" s="1668"/>
    </row>
    <row r="68" spans="1:6" s="1217" customFormat="1" ht="16" thickBot="1">
      <c r="A68" s="272" t="s">
        <v>360</v>
      </c>
      <c r="B68" s="272" t="s">
        <v>361</v>
      </c>
      <c r="C68" s="273" t="s">
        <v>362</v>
      </c>
      <c r="D68" s="273" t="s">
        <v>363</v>
      </c>
      <c r="E68" s="273" t="s">
        <v>364</v>
      </c>
      <c r="F68" s="557"/>
    </row>
    <row r="69" spans="1:6" s="1226" customFormat="1" ht="13">
      <c r="A69" s="1666" t="s">
        <v>182</v>
      </c>
      <c r="B69" s="1675"/>
      <c r="C69" s="1676"/>
      <c r="D69" s="1676"/>
      <c r="E69" s="1676"/>
      <c r="F69" s="1664"/>
    </row>
    <row r="70" spans="1:6" s="567" customFormat="1" ht="13">
      <c r="A70" s="1669"/>
      <c r="B70" s="1669" t="s">
        <v>778</v>
      </c>
      <c r="C70" s="1671" t="s">
        <v>3257</v>
      </c>
      <c r="D70" s="1677" t="s">
        <v>3258</v>
      </c>
      <c r="E70" s="1670"/>
      <c r="F70" s="1668"/>
    </row>
    <row r="71" spans="1:6">
      <c r="A71" s="1678"/>
      <c r="B71" s="1678"/>
      <c r="C71" s="1679"/>
      <c r="D71" s="1680"/>
      <c r="E71" s="1679"/>
      <c r="F71" s="1664"/>
    </row>
    <row r="72" spans="1:6" s="1217" customFormat="1" ht="13">
      <c r="A72" s="1673"/>
      <c r="B72" s="1673" t="s">
        <v>183</v>
      </c>
      <c r="C72" s="1400" t="s">
        <v>3259</v>
      </c>
      <c r="D72" s="1681" t="s">
        <v>3260</v>
      </c>
      <c r="E72" s="1400"/>
      <c r="F72" s="1668"/>
    </row>
    <row r="73" spans="1:6" s="1226" customFormat="1" ht="13.5" thickBot="1">
      <c r="A73" s="565"/>
      <c r="B73" s="565"/>
      <c r="C73" s="572"/>
      <c r="D73" s="579"/>
      <c r="E73" s="572"/>
      <c r="F73" s="567"/>
    </row>
    <row r="74" spans="1:6" s="1226" customFormat="1" ht="16" thickBot="1">
      <c r="A74" s="272" t="s">
        <v>360</v>
      </c>
      <c r="B74" s="272" t="s">
        <v>361</v>
      </c>
      <c r="C74" s="273" t="s">
        <v>362</v>
      </c>
      <c r="D74" s="273" t="s">
        <v>363</v>
      </c>
      <c r="E74" s="273" t="s">
        <v>364</v>
      </c>
      <c r="F74" s="557"/>
    </row>
    <row r="75" spans="1:6" s="1226" customFormat="1" ht="13">
      <c r="A75" s="1675" t="s">
        <v>234</v>
      </c>
      <c r="B75" s="1675"/>
      <c r="C75" s="1676"/>
      <c r="D75" s="1676"/>
      <c r="E75" s="1676"/>
      <c r="F75" s="1664"/>
    </row>
    <row r="76" spans="1:6" s="1226" customFormat="1" ht="13">
      <c r="A76" s="1669"/>
      <c r="B76" s="1673" t="s">
        <v>2350</v>
      </c>
      <c r="C76" s="1670" t="s">
        <v>3261</v>
      </c>
      <c r="D76" s="1671" t="s">
        <v>3262</v>
      </c>
      <c r="E76" s="1670"/>
      <c r="F76" s="1668"/>
    </row>
    <row r="77" spans="1:6" s="1226" customFormat="1" ht="13">
      <c r="A77" s="1673"/>
      <c r="B77" s="1673"/>
      <c r="C77" s="1400"/>
      <c r="D77" s="1671"/>
      <c r="E77" s="1400"/>
      <c r="F77" s="1668"/>
    </row>
    <row r="78" spans="1:6" s="1226" customFormat="1" ht="13">
      <c r="A78" s="1669"/>
      <c r="B78" s="1669" t="s">
        <v>3263</v>
      </c>
      <c r="C78" s="1668" t="s">
        <v>3264</v>
      </c>
      <c r="D78" s="1670"/>
      <c r="E78" s="1670"/>
      <c r="F78" s="1668"/>
    </row>
    <row r="79" spans="1:6" s="1226" customFormat="1" ht="13">
      <c r="A79" s="1669"/>
      <c r="B79" s="1669"/>
      <c r="C79" s="1670" t="s">
        <v>3265</v>
      </c>
      <c r="D79" s="1670"/>
      <c r="E79" s="1670"/>
      <c r="F79" s="1668"/>
    </row>
    <row r="80" spans="1:6" s="1226" customFormat="1" ht="13">
      <c r="A80" s="1669"/>
      <c r="B80" s="1669"/>
      <c r="C80" s="1670" t="s">
        <v>3266</v>
      </c>
      <c r="D80" s="1670"/>
      <c r="E80" s="1670"/>
      <c r="F80" s="1668"/>
    </row>
    <row r="81" spans="1:6" s="1226" customFormat="1" ht="13">
      <c r="A81" s="1669"/>
      <c r="B81" s="1669"/>
      <c r="C81" s="1668"/>
      <c r="D81" s="1670"/>
      <c r="E81" s="1670"/>
      <c r="F81" s="1668"/>
    </row>
    <row r="82" spans="1:6" s="1217" customFormat="1" ht="13">
      <c r="A82" s="1669"/>
      <c r="B82" s="1669" t="s">
        <v>1581</v>
      </c>
      <c r="C82" s="1670" t="s">
        <v>1420</v>
      </c>
      <c r="D82" s="1670"/>
      <c r="E82" s="1670"/>
      <c r="F82" s="1668"/>
    </row>
    <row r="83" spans="1:6" s="1227" customFormat="1" ht="13">
      <c r="A83" s="1669"/>
      <c r="B83" s="1669"/>
      <c r="C83" s="1670" t="s">
        <v>3267</v>
      </c>
      <c r="D83" s="1682"/>
      <c r="E83" s="1670"/>
      <c r="F83" s="1668"/>
    </row>
    <row r="84" spans="1:6" s="1228" customFormat="1" ht="13">
      <c r="A84" s="1669"/>
      <c r="B84" s="1669" t="s">
        <v>3268</v>
      </c>
      <c r="C84" s="1677" t="s">
        <v>3269</v>
      </c>
      <c r="D84" s="1668"/>
      <c r="E84" s="1670" t="s">
        <v>3270</v>
      </c>
      <c r="F84" s="1668"/>
    </row>
    <row r="85" spans="1:6">
      <c r="A85" s="1669"/>
      <c r="B85" s="1669" t="s">
        <v>3271</v>
      </c>
      <c r="C85" s="1677" t="s">
        <v>3272</v>
      </c>
      <c r="D85" s="1668"/>
      <c r="E85" s="1670"/>
      <c r="F85" s="1668"/>
    </row>
    <row r="86" spans="1:6" s="1265" customFormat="1" ht="13">
      <c r="A86" s="1219"/>
      <c r="B86" s="1219"/>
      <c r="C86" s="1225"/>
      <c r="D86" s="1226"/>
      <c r="E86" s="1220"/>
      <c r="F86" s="1226"/>
    </row>
    <row r="87" spans="1:6" s="1233" customFormat="1" ht="13">
      <c r="A87" s="1219"/>
      <c r="B87" s="1669" t="s">
        <v>2351</v>
      </c>
      <c r="C87" s="1670" t="s">
        <v>2352</v>
      </c>
      <c r="D87" s="1677" t="s">
        <v>2353</v>
      </c>
      <c r="E87" s="1221"/>
      <c r="F87" s="1226"/>
    </row>
    <row r="88" spans="1:6" s="1233" customFormat="1" ht="13">
      <c r="A88" s="1219"/>
      <c r="B88" s="1669" t="s">
        <v>2354</v>
      </c>
      <c r="C88" s="1670" t="s">
        <v>2355</v>
      </c>
      <c r="D88" s="1677" t="s">
        <v>1043</v>
      </c>
      <c r="E88" s="1221"/>
      <c r="F88" s="1226"/>
    </row>
    <row r="89" spans="1:6" s="1233" customFormat="1" ht="13">
      <c r="A89" s="1669"/>
      <c r="B89" s="1669" t="s">
        <v>184</v>
      </c>
      <c r="C89" s="1670" t="s">
        <v>1421</v>
      </c>
      <c r="D89" s="1671" t="s">
        <v>2356</v>
      </c>
      <c r="E89" s="1671" t="s">
        <v>3273</v>
      </c>
      <c r="F89" s="1668"/>
    </row>
    <row r="90" spans="1:6" s="567" customFormat="1" ht="13">
      <c r="A90" s="1217"/>
      <c r="B90" s="1217"/>
      <c r="C90" s="1217"/>
      <c r="D90" s="1217"/>
      <c r="E90" s="1217"/>
      <c r="F90" s="1217"/>
    </row>
    <row r="91" spans="1:6">
      <c r="A91" s="1673"/>
      <c r="B91" s="1673" t="s">
        <v>3274</v>
      </c>
      <c r="C91" s="1674" t="s">
        <v>3275</v>
      </c>
      <c r="D91" s="1683" t="s">
        <v>3276</v>
      </c>
      <c r="E91" s="1400"/>
      <c r="F91" s="1683"/>
    </row>
    <row r="92" spans="1:6" s="466" customFormat="1" ht="13.5" thickBot="1">
      <c r="A92" s="1216"/>
      <c r="B92" s="1216"/>
      <c r="C92" s="1222"/>
      <c r="D92" s="1228"/>
      <c r="E92" s="1218"/>
      <c r="F92" s="1228"/>
    </row>
    <row r="93" spans="1:6" s="1265" customFormat="1" ht="16" thickBot="1">
      <c r="A93" s="272" t="s">
        <v>360</v>
      </c>
      <c r="B93" s="272" t="s">
        <v>361</v>
      </c>
      <c r="C93" s="273" t="s">
        <v>362</v>
      </c>
      <c r="D93" s="273" t="s">
        <v>363</v>
      </c>
      <c r="E93" s="273"/>
      <c r="F93" s="557"/>
    </row>
    <row r="94" spans="1:6" s="1265" customFormat="1" ht="13">
      <c r="A94" s="1368" t="s">
        <v>289</v>
      </c>
      <c r="B94" s="1368" t="s">
        <v>1582</v>
      </c>
      <c r="C94" s="418"/>
      <c r="D94" s="418"/>
      <c r="E94" s="418"/>
      <c r="F94" s="1364"/>
    </row>
    <row r="95" spans="1:6" s="1364" customFormat="1" ht="13">
      <c r="A95" s="729"/>
      <c r="B95" s="729" t="s">
        <v>505</v>
      </c>
      <c r="C95" s="629" t="s">
        <v>3277</v>
      </c>
      <c r="D95" s="732" t="s">
        <v>3278</v>
      </c>
      <c r="E95" s="629" t="s">
        <v>2357</v>
      </c>
    </row>
    <row r="96" spans="1:6" s="1364" customFormat="1" ht="13">
      <c r="A96" s="727"/>
      <c r="B96" s="727" t="s">
        <v>713</v>
      </c>
      <c r="C96" s="629" t="s">
        <v>3279</v>
      </c>
      <c r="D96" s="732"/>
      <c r="E96" s="629" t="s">
        <v>2358</v>
      </c>
    </row>
    <row r="97" spans="1:6" s="1265" customFormat="1" ht="13">
      <c r="A97" s="727"/>
      <c r="B97" s="727" t="s">
        <v>2</v>
      </c>
      <c r="C97" s="629" t="s">
        <v>2359</v>
      </c>
      <c r="D97" s="732"/>
      <c r="E97" s="629" t="s">
        <v>2360</v>
      </c>
      <c r="F97" s="1364"/>
    </row>
    <row r="98" spans="1:6" s="1265" customFormat="1" ht="14.25" customHeight="1" thickBot="1">
      <c r="A98" s="565"/>
      <c r="B98" s="565"/>
      <c r="C98" s="572"/>
      <c r="D98" s="566"/>
      <c r="E98" s="572"/>
      <c r="F98" s="567"/>
    </row>
    <row r="99" spans="1:6" ht="16" thickBot="1">
      <c r="A99" s="272" t="s">
        <v>360</v>
      </c>
      <c r="B99" s="272" t="s">
        <v>361</v>
      </c>
      <c r="C99" s="273" t="s">
        <v>362</v>
      </c>
      <c r="D99" s="273" t="s">
        <v>363</v>
      </c>
      <c r="E99" s="273" t="s">
        <v>364</v>
      </c>
    </row>
    <row r="100" spans="1:6" s="466" customFormat="1" ht="13">
      <c r="A100" s="405" t="s">
        <v>185</v>
      </c>
      <c r="B100" s="405" t="s">
        <v>135</v>
      </c>
      <c r="C100" s="418"/>
      <c r="D100" s="419"/>
      <c r="E100" s="418"/>
    </row>
    <row r="101" spans="1:6" s="1265" customFormat="1" ht="13">
      <c r="A101" s="727"/>
      <c r="B101" s="727" t="s">
        <v>3280</v>
      </c>
      <c r="C101" s="730" t="s">
        <v>3281</v>
      </c>
      <c r="D101" s="731" t="s">
        <v>2539</v>
      </c>
      <c r="E101" s="1646"/>
      <c r="F101" s="1364"/>
    </row>
    <row r="102" spans="1:6" s="567" customFormat="1" ht="11.15" customHeight="1">
      <c r="A102" s="571"/>
      <c r="B102" s="571" t="s">
        <v>3282</v>
      </c>
      <c r="C102" s="1684" t="s">
        <v>3283</v>
      </c>
      <c r="D102" s="630" t="s">
        <v>2540</v>
      </c>
      <c r="E102" s="728"/>
      <c r="F102" s="1364"/>
    </row>
    <row r="103" spans="1:6" s="1233" customFormat="1" ht="13">
      <c r="A103" s="571"/>
      <c r="B103" s="727" t="s">
        <v>3284</v>
      </c>
      <c r="C103" s="1684" t="s">
        <v>3283</v>
      </c>
      <c r="D103" s="728"/>
      <c r="E103" s="630"/>
      <c r="F103" s="1364"/>
    </row>
    <row r="104" spans="1:6" s="1233" customFormat="1" ht="13">
      <c r="A104" s="571"/>
      <c r="B104" s="571" t="s">
        <v>3285</v>
      </c>
      <c r="C104" s="1684" t="s">
        <v>3283</v>
      </c>
      <c r="D104" s="728"/>
      <c r="E104" s="630"/>
      <c r="F104" s="1364"/>
    </row>
    <row r="105" spans="1:6" s="1233" customFormat="1" ht="13">
      <c r="A105" s="571"/>
      <c r="B105" s="571" t="s">
        <v>3286</v>
      </c>
      <c r="C105" s="1684" t="s">
        <v>3287</v>
      </c>
      <c r="D105" s="728"/>
      <c r="E105" s="630"/>
      <c r="F105" s="1364"/>
    </row>
    <row r="106" spans="1:6" s="1265" customFormat="1" ht="13">
      <c r="A106" s="1368" t="s">
        <v>186</v>
      </c>
      <c r="B106" s="1212"/>
      <c r="C106" s="1213"/>
      <c r="D106" s="1213"/>
      <c r="E106" s="1213"/>
    </row>
    <row r="107" spans="1:6" s="1233" customFormat="1" ht="13.5" thickBot="1">
      <c r="A107" s="1206"/>
      <c r="B107" s="727" t="s">
        <v>187</v>
      </c>
      <c r="C107" s="1646" t="s">
        <v>3288</v>
      </c>
      <c r="D107" s="1649" t="s">
        <v>1418</v>
      </c>
      <c r="E107" s="1207"/>
      <c r="F107" s="1265"/>
    </row>
    <row r="108" spans="1:6" s="1233" customFormat="1" ht="16" thickBot="1">
      <c r="A108" s="272" t="s">
        <v>360</v>
      </c>
      <c r="B108" s="272" t="s">
        <v>361</v>
      </c>
      <c r="C108" s="273" t="s">
        <v>362</v>
      </c>
      <c r="D108" s="273" t="s">
        <v>363</v>
      </c>
      <c r="E108" s="273" t="s">
        <v>364</v>
      </c>
      <c r="F108" s="557"/>
    </row>
    <row r="109" spans="1:6" s="1233" customFormat="1" ht="15.75" customHeight="1">
      <c r="A109" s="1368" t="s">
        <v>475</v>
      </c>
      <c r="B109" s="734" t="s">
        <v>135</v>
      </c>
      <c r="C109" s="406"/>
      <c r="D109" s="406"/>
      <c r="E109" s="406"/>
      <c r="F109" s="466"/>
    </row>
    <row r="110" spans="1:6" s="1233" customFormat="1" ht="13">
      <c r="A110" s="1368"/>
      <c r="B110" s="1368" t="s">
        <v>3289</v>
      </c>
      <c r="C110" s="730" t="s">
        <v>3290</v>
      </c>
      <c r="D110" s="418" t="s">
        <v>3291</v>
      </c>
      <c r="E110" s="418"/>
      <c r="F110" s="1364"/>
    </row>
    <row r="111" spans="1:6" s="1265" customFormat="1" ht="13">
      <c r="A111" s="1368"/>
      <c r="B111" s="1368" t="s">
        <v>3292</v>
      </c>
      <c r="C111" s="730" t="s">
        <v>3293</v>
      </c>
      <c r="D111" s="418"/>
      <c r="E111" s="418"/>
      <c r="F111" s="1364"/>
    </row>
    <row r="112" spans="1:6" s="1265" customFormat="1" ht="13">
      <c r="A112" s="568"/>
      <c r="B112" s="568" t="s">
        <v>188</v>
      </c>
      <c r="C112" s="577"/>
      <c r="D112" s="569"/>
      <c r="E112" s="570"/>
      <c r="F112" s="567"/>
    </row>
    <row r="113" spans="1:6" s="1265" customFormat="1" ht="13">
      <c r="A113" s="729"/>
      <c r="B113" s="729" t="s">
        <v>779</v>
      </c>
      <c r="C113" s="1364"/>
      <c r="D113" s="732"/>
      <c r="E113" s="629"/>
      <c r="F113" s="1364"/>
    </row>
    <row r="114" spans="1:6" s="1265" customFormat="1" ht="13">
      <c r="A114" s="729"/>
      <c r="B114" s="729" t="s">
        <v>780</v>
      </c>
      <c r="C114" s="732" t="s">
        <v>2361</v>
      </c>
      <c r="D114" s="732" t="s">
        <v>3294</v>
      </c>
      <c r="E114" s="629"/>
      <c r="F114" s="1364"/>
    </row>
    <row r="115" spans="1:6" s="1265" customFormat="1" ht="13">
      <c r="A115" s="729"/>
      <c r="B115" s="729" t="s">
        <v>781</v>
      </c>
      <c r="C115" s="732" t="s">
        <v>2362</v>
      </c>
      <c r="D115" s="732" t="s">
        <v>3295</v>
      </c>
      <c r="E115" s="629"/>
      <c r="F115" s="1364"/>
    </row>
    <row r="116" spans="1:6" s="1265" customFormat="1" ht="13">
      <c r="A116" s="1234"/>
      <c r="B116" s="729" t="s">
        <v>2363</v>
      </c>
      <c r="C116" s="732" t="s">
        <v>1583</v>
      </c>
      <c r="D116" s="1232"/>
      <c r="E116" s="1211"/>
    </row>
    <row r="117" spans="1:6" s="1364" customFormat="1" ht="13">
      <c r="A117" s="729"/>
      <c r="B117" s="729" t="s">
        <v>714</v>
      </c>
      <c r="C117" s="732" t="s">
        <v>3296</v>
      </c>
      <c r="D117" s="732"/>
      <c r="E117" s="732"/>
    </row>
    <row r="118" spans="1:6" s="1233" customFormat="1" ht="13">
      <c r="A118" s="729"/>
      <c r="B118" s="729" t="s">
        <v>715</v>
      </c>
      <c r="C118" s="732" t="s">
        <v>3297</v>
      </c>
      <c r="D118" s="732"/>
      <c r="E118" s="732"/>
      <c r="F118" s="1364"/>
    </row>
    <row r="119" spans="1:6" s="1233" customFormat="1" ht="13">
      <c r="A119" s="729"/>
      <c r="B119" s="729" t="s">
        <v>716</v>
      </c>
      <c r="C119" s="732" t="s">
        <v>3298</v>
      </c>
      <c r="D119" s="732"/>
      <c r="E119" s="732"/>
      <c r="F119" s="1364"/>
    </row>
    <row r="120" spans="1:6" s="1233" customFormat="1" ht="13">
      <c r="A120" s="729"/>
      <c r="B120" s="729" t="s">
        <v>717</v>
      </c>
      <c r="C120" s="732" t="s">
        <v>3299</v>
      </c>
      <c r="D120" s="732"/>
      <c r="E120" s="732"/>
      <c r="F120" s="1364"/>
    </row>
    <row r="121" spans="1:6" s="1233" customFormat="1" ht="13">
      <c r="A121" s="729"/>
      <c r="B121" s="729" t="s">
        <v>236</v>
      </c>
      <c r="C121" s="629" t="s">
        <v>3300</v>
      </c>
      <c r="D121" s="730" t="s">
        <v>3301</v>
      </c>
      <c r="E121" s="730"/>
      <c r="F121" s="1364"/>
    </row>
    <row r="122" spans="1:6" s="1233" customFormat="1" ht="13">
      <c r="A122" s="729"/>
      <c r="B122" s="729" t="s">
        <v>230</v>
      </c>
      <c r="C122" s="732" t="s">
        <v>2364</v>
      </c>
      <c r="D122" s="732"/>
      <c r="E122" s="732"/>
      <c r="F122" s="1364"/>
    </row>
    <row r="123" spans="1:6" s="1265" customFormat="1" ht="13">
      <c r="A123" s="1234"/>
      <c r="B123" s="1234"/>
      <c r="C123" s="1210"/>
      <c r="D123" s="1210"/>
      <c r="E123" s="1210"/>
    </row>
    <row r="124" spans="1:6" s="1265" customFormat="1" ht="13">
      <c r="A124" s="729"/>
      <c r="B124" s="729" t="s">
        <v>2541</v>
      </c>
      <c r="C124" s="730" t="s">
        <v>1044</v>
      </c>
      <c r="D124" s="732" t="s">
        <v>2542</v>
      </c>
      <c r="E124" s="732"/>
      <c r="F124" s="1364"/>
    </row>
    <row r="125" spans="1:6" s="1265" customFormat="1" ht="13">
      <c r="A125" s="729"/>
      <c r="B125" s="729"/>
      <c r="C125" s="1263"/>
      <c r="D125" s="732"/>
      <c r="E125" s="732"/>
      <c r="F125" s="1364"/>
    </row>
    <row r="126" spans="1:6" s="1265" customFormat="1" ht="13">
      <c r="A126" s="729"/>
      <c r="B126" s="729" t="s">
        <v>231</v>
      </c>
      <c r="C126" s="1364" t="s">
        <v>2365</v>
      </c>
      <c r="D126" s="629"/>
      <c r="E126" s="629"/>
      <c r="F126" s="1364"/>
    </row>
    <row r="127" spans="1:6" s="1265" customFormat="1" ht="13">
      <c r="A127" s="729"/>
      <c r="B127" s="729"/>
      <c r="C127" s="629" t="s">
        <v>1584</v>
      </c>
      <c r="D127" s="629"/>
      <c r="E127" s="629"/>
      <c r="F127" s="1364"/>
    </row>
    <row r="128" spans="1:6" s="1265" customFormat="1" ht="13">
      <c r="A128" s="729"/>
      <c r="B128" s="729"/>
      <c r="C128" s="629" t="s">
        <v>1585</v>
      </c>
      <c r="D128" s="629"/>
      <c r="E128" s="629"/>
      <c r="F128" s="1364"/>
    </row>
    <row r="129" spans="1:6" s="1265" customFormat="1" ht="13">
      <c r="A129" s="729"/>
      <c r="B129" s="729"/>
      <c r="C129" s="629" t="s">
        <v>1586</v>
      </c>
      <c r="D129" s="629"/>
      <c r="E129" s="629"/>
      <c r="F129" s="1364"/>
    </row>
    <row r="130" spans="1:6" s="1265" customFormat="1" ht="13">
      <c r="A130" s="1229"/>
      <c r="B130" s="1229"/>
      <c r="C130" s="1230"/>
      <c r="D130" s="1230"/>
      <c r="E130" s="1230"/>
      <c r="F130" s="1233"/>
    </row>
    <row r="131" spans="1:6" s="1265" customFormat="1" ht="13">
      <c r="A131" s="729"/>
      <c r="B131" s="729" t="s">
        <v>232</v>
      </c>
      <c r="C131" s="1684" t="s">
        <v>2543</v>
      </c>
      <c r="D131" s="629"/>
      <c r="E131" s="629"/>
      <c r="F131" s="1364"/>
    </row>
    <row r="132" spans="1:6" s="1265" customFormat="1" ht="13">
      <c r="A132" s="729"/>
      <c r="B132" s="729"/>
      <c r="C132" s="629" t="s">
        <v>2544</v>
      </c>
      <c r="D132" s="629"/>
      <c r="E132" s="629"/>
      <c r="F132" s="1364"/>
    </row>
    <row r="133" spans="1:6" s="1265" customFormat="1" ht="12.65" customHeight="1">
      <c r="A133" s="729"/>
      <c r="B133" s="729"/>
      <c r="C133" s="629" t="s">
        <v>2545</v>
      </c>
      <c r="D133" s="629"/>
      <c r="E133" s="629"/>
      <c r="F133" s="1364"/>
    </row>
    <row r="134" spans="1:6" s="1265" customFormat="1" ht="12.65" customHeight="1">
      <c r="A134" s="729"/>
      <c r="B134" s="729"/>
      <c r="C134" s="629" t="s">
        <v>2546</v>
      </c>
      <c r="D134" s="629"/>
      <c r="E134" s="629"/>
      <c r="F134" s="1364"/>
    </row>
    <row r="135" spans="1:6" s="1265" customFormat="1" ht="12.65" customHeight="1">
      <c r="A135" s="729"/>
      <c r="B135" s="729"/>
      <c r="C135" s="1685"/>
      <c r="D135" s="629"/>
      <c r="E135" s="629"/>
      <c r="F135" s="1364"/>
    </row>
    <row r="136" spans="1:6" s="1265" customFormat="1" ht="12.65" customHeight="1">
      <c r="A136" s="729"/>
      <c r="B136" s="729" t="s">
        <v>2547</v>
      </c>
      <c r="C136" s="1684" t="s">
        <v>2548</v>
      </c>
      <c r="D136" s="629"/>
      <c r="E136" s="629"/>
      <c r="F136" s="1364"/>
    </row>
    <row r="137" spans="1:6" s="1265" customFormat="1" ht="12.65" customHeight="1">
      <c r="A137" s="729"/>
      <c r="B137" s="729"/>
      <c r="C137" s="629" t="s">
        <v>2549</v>
      </c>
      <c r="D137" s="629"/>
      <c r="E137" s="629"/>
      <c r="F137" s="1364"/>
    </row>
    <row r="138" spans="1:6" s="1265" customFormat="1" ht="12.65" customHeight="1">
      <c r="A138" s="729"/>
      <c r="B138" s="729"/>
      <c r="C138" s="629" t="s">
        <v>2550</v>
      </c>
      <c r="D138" s="629"/>
      <c r="E138" s="629"/>
      <c r="F138" s="1364"/>
    </row>
    <row r="139" spans="1:6" s="1265" customFormat="1" ht="12.65" customHeight="1">
      <c r="A139" s="729"/>
      <c r="B139" s="729"/>
      <c r="C139" s="629" t="s">
        <v>2551</v>
      </c>
      <c r="D139" s="629"/>
      <c r="E139" s="629"/>
      <c r="F139" s="1364"/>
    </row>
    <row r="140" spans="1:6" s="1265" customFormat="1" ht="12.65" customHeight="1">
      <c r="A140" s="729"/>
      <c r="B140" s="729"/>
      <c r="C140" s="1685"/>
      <c r="D140" s="629"/>
      <c r="E140" s="629"/>
      <c r="F140" s="1364"/>
    </row>
    <row r="141" spans="1:6" s="1265" customFormat="1" ht="12.65" customHeight="1">
      <c r="A141" s="729"/>
      <c r="B141" s="729" t="s">
        <v>2552</v>
      </c>
      <c r="C141" s="1684" t="s">
        <v>2553</v>
      </c>
      <c r="D141" s="629"/>
      <c r="E141" s="629"/>
      <c r="F141" s="1364"/>
    </row>
    <row r="142" spans="1:6" s="1265" customFormat="1" ht="12.65" customHeight="1">
      <c r="A142" s="729"/>
      <c r="B142" s="729"/>
      <c r="C142" s="629" t="s">
        <v>2554</v>
      </c>
      <c r="D142" s="629"/>
      <c r="E142" s="629"/>
      <c r="F142" s="1364"/>
    </row>
    <row r="143" spans="1:6" s="1265" customFormat="1" ht="12.65" customHeight="1">
      <c r="A143" s="729"/>
      <c r="B143" s="729"/>
      <c r="C143" s="629" t="s">
        <v>2555</v>
      </c>
      <c r="D143" s="629"/>
      <c r="E143" s="629"/>
      <c r="F143" s="1364"/>
    </row>
    <row r="144" spans="1:6" s="1265" customFormat="1" ht="12.65" customHeight="1">
      <c r="A144" s="729"/>
      <c r="B144" s="729"/>
      <c r="C144" s="629" t="s">
        <v>2556</v>
      </c>
      <c r="D144" s="629"/>
      <c r="E144" s="629"/>
      <c r="F144" s="1364"/>
    </row>
    <row r="145" spans="1:7" s="1233" customFormat="1" ht="13">
      <c r="A145" s="729"/>
      <c r="B145" s="729"/>
      <c r="C145" s="1364"/>
      <c r="D145" s="629"/>
      <c r="E145" s="629"/>
      <c r="F145" s="1364"/>
    </row>
    <row r="146" spans="1:7" s="1233" customFormat="1" ht="13">
      <c r="A146" s="729"/>
      <c r="B146" s="729" t="s">
        <v>2557</v>
      </c>
      <c r="C146" s="1684" t="s">
        <v>2558</v>
      </c>
      <c r="D146" s="629"/>
      <c r="E146" s="629"/>
      <c r="F146" s="1364"/>
    </row>
    <row r="147" spans="1:7" s="1233" customFormat="1" ht="13">
      <c r="A147" s="729"/>
      <c r="B147" s="729"/>
      <c r="C147" s="629" t="s">
        <v>2559</v>
      </c>
      <c r="D147" s="629"/>
      <c r="E147" s="629"/>
      <c r="F147" s="1364"/>
    </row>
    <row r="148" spans="1:7" s="1233" customFormat="1" ht="13">
      <c r="A148" s="729"/>
      <c r="B148" s="729"/>
      <c r="C148" s="629" t="s">
        <v>2560</v>
      </c>
      <c r="D148" s="629"/>
      <c r="E148" s="629"/>
      <c r="F148" s="1364"/>
    </row>
    <row r="149" spans="1:7" s="1233" customFormat="1" ht="13">
      <c r="A149" s="729"/>
      <c r="B149" s="729"/>
      <c r="C149" s="629" t="s">
        <v>2561</v>
      </c>
      <c r="D149" s="629"/>
      <c r="E149" s="629"/>
      <c r="F149" s="1364"/>
    </row>
    <row r="150" spans="1:7" s="1265" customFormat="1" ht="13">
      <c r="A150" s="1234"/>
      <c r="B150" s="1234"/>
      <c r="C150" s="1264"/>
      <c r="D150" s="1211"/>
      <c r="E150" s="1211"/>
    </row>
    <row r="151" spans="1:7" s="1369" customFormat="1" ht="13">
      <c r="A151" s="729"/>
      <c r="B151" s="729" t="s">
        <v>2562</v>
      </c>
      <c r="C151" s="1685" t="s">
        <v>3302</v>
      </c>
      <c r="D151" s="629"/>
      <c r="E151" s="629"/>
      <c r="F151" s="1364"/>
    </row>
    <row r="152" spans="1:7" s="1365" customFormat="1" ht="13">
      <c r="A152" s="1234"/>
      <c r="B152" s="1234"/>
      <c r="C152" s="1264"/>
      <c r="D152" s="1211"/>
      <c r="E152" s="1211"/>
      <c r="F152" s="1265"/>
    </row>
    <row r="153" spans="1:7">
      <c r="A153" s="729"/>
      <c r="B153" s="729" t="s">
        <v>233</v>
      </c>
      <c r="C153" s="1684" t="s">
        <v>2366</v>
      </c>
      <c r="D153" s="629"/>
      <c r="E153" s="629"/>
      <c r="F153" s="1364"/>
    </row>
    <row r="154" spans="1:7">
      <c r="A154" s="729"/>
      <c r="B154" s="729"/>
      <c r="C154" s="629" t="s">
        <v>2367</v>
      </c>
      <c r="D154" s="629"/>
      <c r="E154" s="629"/>
      <c r="F154" s="1364"/>
    </row>
    <row r="155" spans="1:7">
      <c r="A155" s="729"/>
      <c r="B155" s="729"/>
      <c r="C155" s="629" t="s">
        <v>2368</v>
      </c>
      <c r="D155" s="629"/>
      <c r="E155" s="629"/>
      <c r="F155" s="1364"/>
      <c r="G155" s="464"/>
    </row>
    <row r="156" spans="1:7">
      <c r="A156" s="727"/>
      <c r="B156" s="727"/>
      <c r="C156" s="731" t="s">
        <v>2369</v>
      </c>
      <c r="D156" s="731"/>
      <c r="E156" s="731"/>
      <c r="F156" s="1364"/>
      <c r="G156" s="464"/>
    </row>
    <row r="157" spans="1:7">
      <c r="A157" s="1266"/>
      <c r="B157" s="1231"/>
      <c r="C157" s="1235"/>
      <c r="D157" s="1235"/>
      <c r="E157" s="1235"/>
      <c r="F157" s="1233"/>
      <c r="G157" s="464"/>
    </row>
    <row r="158" spans="1:7">
      <c r="A158" s="1267"/>
      <c r="B158" s="727" t="s">
        <v>718</v>
      </c>
      <c r="C158" s="731" t="s">
        <v>3303</v>
      </c>
      <c r="D158" s="1207"/>
      <c r="E158" s="1207"/>
      <c r="F158" s="1265"/>
      <c r="G158" s="464"/>
    </row>
    <row r="159" spans="1:7">
      <c r="A159" s="1267"/>
      <c r="B159" s="1206"/>
      <c r="C159" s="731" t="s">
        <v>3304</v>
      </c>
      <c r="D159" s="1207"/>
      <c r="E159" s="1207"/>
      <c r="F159" s="1369"/>
      <c r="G159" s="464"/>
    </row>
    <row r="160" spans="1:7">
      <c r="A160" s="1268"/>
      <c r="B160" s="1268"/>
      <c r="C160" s="1269"/>
      <c r="D160" s="1269"/>
      <c r="E160" s="1269"/>
      <c r="F160" s="1365"/>
      <c r="G160" s="464"/>
    </row>
    <row r="161" spans="1:7">
      <c r="A161" s="1236"/>
      <c r="B161" s="1686" t="s">
        <v>1045</v>
      </c>
      <c r="C161" s="1687" t="s">
        <v>3305</v>
      </c>
      <c r="D161" s="1237"/>
      <c r="E161" s="1237"/>
      <c r="F161" s="1236"/>
      <c r="G161" s="464"/>
    </row>
    <row r="162" spans="1:7">
      <c r="A162" s="1236"/>
      <c r="B162" s="1236"/>
      <c r="C162" s="1687" t="s">
        <v>3306</v>
      </c>
      <c r="D162" s="1237"/>
      <c r="E162" s="1237"/>
      <c r="F162" s="1236"/>
      <c r="G162" s="464"/>
    </row>
    <row r="163" spans="1:7">
      <c r="A163" s="1236"/>
      <c r="B163" s="1236"/>
      <c r="C163" s="1687" t="s">
        <v>3307</v>
      </c>
      <c r="D163" s="1237"/>
      <c r="E163" s="1237"/>
      <c r="F163" s="1236"/>
      <c r="G163" s="464"/>
    </row>
    <row r="164" spans="1:7">
      <c r="A164" s="474"/>
      <c r="B164" s="474"/>
      <c r="C164" s="475"/>
      <c r="D164" s="475"/>
      <c r="E164" s="475"/>
      <c r="F164" s="474"/>
      <c r="G164" s="464"/>
    </row>
    <row r="165" spans="1:7">
      <c r="A165" s="1655"/>
      <c r="B165" s="1655" t="s">
        <v>2569</v>
      </c>
      <c r="C165" s="1688" t="s">
        <v>2570</v>
      </c>
      <c r="D165" s="1688"/>
      <c r="E165" s="1688"/>
      <c r="F165" s="1655"/>
      <c r="G165" s="464"/>
    </row>
  </sheetData>
  <phoneticPr fontId="37" type="noConversion"/>
  <pageMargins left="0.75" right="0.75" top="1" bottom="1" header="0.5" footer="0.5"/>
  <pageSetup orientation="portrait" horizontalDpi="1200" verticalDpi="12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97"/>
  <sheetViews>
    <sheetView topLeftCell="A31" workbookViewId="0">
      <selection activeCell="H45" sqref="H45"/>
    </sheetView>
  </sheetViews>
  <sheetFormatPr defaultRowHeight="15.5"/>
  <sheetData>
    <row r="1" spans="1:9" ht="20">
      <c r="A1" s="834" t="s">
        <v>1861</v>
      </c>
    </row>
    <row r="2" spans="1:9">
      <c r="A2" s="835"/>
    </row>
    <row r="3" spans="1:9" ht="18">
      <c r="A3" s="836" t="s">
        <v>1862</v>
      </c>
    </row>
    <row r="4" spans="1:9">
      <c r="A4" s="837"/>
    </row>
    <row r="5" spans="1:9">
      <c r="A5" s="838" t="s">
        <v>1863</v>
      </c>
      <c r="I5" s="838" t="s">
        <v>3181</v>
      </c>
    </row>
    <row r="6" spans="1:9">
      <c r="A6" s="839" t="s">
        <v>1864</v>
      </c>
      <c r="I6" s="839" t="s">
        <v>3182</v>
      </c>
    </row>
    <row r="7" spans="1:9">
      <c r="A7" s="839"/>
    </row>
    <row r="8" spans="1:9">
      <c r="A8" s="838" t="s">
        <v>1865</v>
      </c>
    </row>
    <row r="9" spans="1:9">
      <c r="A9" s="839" t="s">
        <v>1866</v>
      </c>
    </row>
    <row r="10" spans="1:9">
      <c r="A10" s="839"/>
    </row>
    <row r="11" spans="1:9">
      <c r="A11" s="838" t="s">
        <v>1867</v>
      </c>
    </row>
    <row r="12" spans="1:9">
      <c r="A12" s="839" t="s">
        <v>1868</v>
      </c>
    </row>
    <row r="13" spans="1:9">
      <c r="A13" s="839" t="s">
        <v>1869</v>
      </c>
    </row>
    <row r="14" spans="1:9">
      <c r="A14" s="839"/>
    </row>
    <row r="15" spans="1:9">
      <c r="A15" s="838" t="s">
        <v>1870</v>
      </c>
    </row>
    <row r="16" spans="1:9">
      <c r="A16" s="839" t="s">
        <v>1871</v>
      </c>
    </row>
    <row r="17" spans="1:1">
      <c r="A17" s="835" t="s">
        <v>1093</v>
      </c>
    </row>
    <row r="18" spans="1:1">
      <c r="A18" s="835"/>
    </row>
    <row r="19" spans="1:1" ht="18">
      <c r="A19" s="836" t="s">
        <v>1872</v>
      </c>
    </row>
    <row r="20" spans="1:1">
      <c r="A20" s="840"/>
    </row>
    <row r="21" spans="1:1">
      <c r="A21" s="838" t="s">
        <v>1873</v>
      </c>
    </row>
    <row r="22" spans="1:1">
      <c r="A22" s="839" t="s">
        <v>198</v>
      </c>
    </row>
    <row r="23" spans="1:1">
      <c r="A23" s="839"/>
    </row>
    <row r="24" spans="1:1">
      <c r="A24" s="838" t="s">
        <v>1874</v>
      </c>
    </row>
    <row r="25" spans="1:1">
      <c r="A25" s="839" t="s">
        <v>199</v>
      </c>
    </row>
    <row r="26" spans="1:1">
      <c r="A26" s="839"/>
    </row>
    <row r="27" spans="1:1">
      <c r="A27" s="838" t="s">
        <v>1875</v>
      </c>
    </row>
    <row r="28" spans="1:1">
      <c r="A28" s="839" t="s">
        <v>1876</v>
      </c>
    </row>
    <row r="29" spans="1:1">
      <c r="A29" s="839" t="s">
        <v>1877</v>
      </c>
    </row>
    <row r="30" spans="1:1">
      <c r="A30" s="839" t="s">
        <v>1878</v>
      </c>
    </row>
    <row r="31" spans="1:1">
      <c r="A31" s="842" t="s">
        <v>1879</v>
      </c>
    </row>
    <row r="32" spans="1:1">
      <c r="A32" s="842" t="s">
        <v>1880</v>
      </c>
    </row>
    <row r="33" spans="1:1">
      <c r="A33" s="842" t="s">
        <v>1881</v>
      </c>
    </row>
    <row r="34" spans="1:1">
      <c r="A34" s="842" t="s">
        <v>1882</v>
      </c>
    </row>
    <row r="35" spans="1:1">
      <c r="A35" s="839"/>
    </row>
    <row r="36" spans="1:1">
      <c r="A36" s="839"/>
    </row>
    <row r="37" spans="1:1">
      <c r="A37" s="838" t="s">
        <v>1883</v>
      </c>
    </row>
    <row r="38" spans="1:1">
      <c r="A38" s="839" t="s">
        <v>3173</v>
      </c>
    </row>
    <row r="39" spans="1:1">
      <c r="A39" s="839" t="s">
        <v>1884</v>
      </c>
    </row>
    <row r="40" spans="1:1">
      <c r="A40" s="839" t="s">
        <v>1885</v>
      </c>
    </row>
    <row r="41" spans="1:1">
      <c r="A41" s="839" t="s">
        <v>1886</v>
      </c>
    </row>
    <row r="42" spans="1:1">
      <c r="A42" s="839"/>
    </row>
    <row r="43" spans="1:1">
      <c r="A43" s="838" t="s">
        <v>1887</v>
      </c>
    </row>
    <row r="44" spans="1:1">
      <c r="A44" s="839" t="s">
        <v>496</v>
      </c>
    </row>
    <row r="45" spans="1:1">
      <c r="A45" s="839" t="s">
        <v>1094</v>
      </c>
    </row>
    <row r="46" spans="1:1">
      <c r="A46" s="839"/>
    </row>
    <row r="47" spans="1:1">
      <c r="A47" s="838" t="s">
        <v>1888</v>
      </c>
    </row>
    <row r="48" spans="1:1">
      <c r="A48" s="839" t="s">
        <v>1889</v>
      </c>
    </row>
    <row r="49" spans="1:1">
      <c r="A49" s="839" t="s">
        <v>1890</v>
      </c>
    </row>
    <row r="50" spans="1:1">
      <c r="A50" s="839" t="s">
        <v>1891</v>
      </c>
    </row>
    <row r="51" spans="1:1">
      <c r="A51" s="839" t="s">
        <v>1892</v>
      </c>
    </row>
    <row r="52" spans="1:1">
      <c r="A52" s="839"/>
    </row>
    <row r="53" spans="1:1">
      <c r="A53" s="838" t="s">
        <v>1095</v>
      </c>
    </row>
    <row r="54" spans="1:1">
      <c r="A54" s="839" t="s">
        <v>1893</v>
      </c>
    </row>
    <row r="55" spans="1:1">
      <c r="A55" s="839" t="s">
        <v>1894</v>
      </c>
    </row>
    <row r="56" spans="1:1">
      <c r="A56" s="839" t="s">
        <v>1895</v>
      </c>
    </row>
    <row r="57" spans="1:1">
      <c r="A57" s="839" t="s">
        <v>1096</v>
      </c>
    </row>
    <row r="58" spans="1:1">
      <c r="A58" s="839" t="s">
        <v>1097</v>
      </c>
    </row>
    <row r="59" spans="1:1">
      <c r="A59" s="835"/>
    </row>
    <row r="60" spans="1:1">
      <c r="A60" s="838" t="s">
        <v>1896</v>
      </c>
    </row>
    <row r="61" spans="1:1">
      <c r="A61" s="841" t="s">
        <v>1098</v>
      </c>
    </row>
    <row r="62" spans="1:1" ht="16.5">
      <c r="A62" s="843"/>
    </row>
    <row r="63" spans="1:1" ht="16.5">
      <c r="A63" s="836" t="s">
        <v>200</v>
      </c>
    </row>
    <row r="64" spans="1:1">
      <c r="A64" s="840"/>
    </row>
    <row r="65" spans="1:1">
      <c r="A65" s="838" t="s">
        <v>1897</v>
      </c>
    </row>
    <row r="66" spans="1:1">
      <c r="A66" s="844" t="s">
        <v>1898</v>
      </c>
    </row>
    <row r="67" spans="1:1">
      <c r="A67" s="845" t="s">
        <v>1099</v>
      </c>
    </row>
    <row r="68" spans="1:1">
      <c r="A68" s="844" t="s">
        <v>3174</v>
      </c>
    </row>
    <row r="69" spans="1:1">
      <c r="A69" s="839" t="s">
        <v>1100</v>
      </c>
    </row>
    <row r="70" spans="1:1">
      <c r="A70" s="844" t="s">
        <v>1899</v>
      </c>
    </row>
    <row r="71" spans="1:1">
      <c r="A71" s="844" t="s">
        <v>3175</v>
      </c>
    </row>
    <row r="72" spans="1:1">
      <c r="A72" s="844" t="s">
        <v>1900</v>
      </c>
    </row>
    <row r="73" spans="1:1">
      <c r="A73" s="844" t="s">
        <v>201</v>
      </c>
    </row>
    <row r="74" spans="1:1">
      <c r="A74" s="844" t="s">
        <v>1901</v>
      </c>
    </row>
    <row r="75" spans="1:1">
      <c r="A75" s="844" t="s">
        <v>3176</v>
      </c>
    </row>
    <row r="76" spans="1:1">
      <c r="A76" s="844" t="s">
        <v>1101</v>
      </c>
    </row>
    <row r="77" spans="1:1">
      <c r="A77" s="835"/>
    </row>
    <row r="78" spans="1:1">
      <c r="A78" s="838" t="s">
        <v>4683</v>
      </c>
    </row>
    <row r="79" spans="1:1">
      <c r="A79" s="839" t="s">
        <v>3177</v>
      </c>
    </row>
    <row r="80" spans="1:1">
      <c r="A80" s="839"/>
    </row>
    <row r="81" spans="1:1">
      <c r="A81" s="838" t="s">
        <v>202</v>
      </c>
    </row>
    <row r="82" spans="1:1">
      <c r="A82" s="844" t="s">
        <v>3178</v>
      </c>
    </row>
    <row r="83" spans="1:1">
      <c r="A83" s="844" t="s">
        <v>3179</v>
      </c>
    </row>
    <row r="84" spans="1:1">
      <c r="A84" s="839"/>
    </row>
    <row r="85" spans="1:1">
      <c r="A85" s="838" t="s">
        <v>203</v>
      </c>
    </row>
    <row r="86" spans="1:1">
      <c r="A86" s="844" t="s">
        <v>1102</v>
      </c>
    </row>
    <row r="87" spans="1:1">
      <c r="A87" s="844" t="s">
        <v>1103</v>
      </c>
    </row>
    <row r="88" spans="1:1">
      <c r="A88" s="839"/>
    </row>
    <row r="89" spans="1:1">
      <c r="A89" s="838" t="s">
        <v>1902</v>
      </c>
    </row>
    <row r="90" spans="1:1">
      <c r="A90" s="844" t="s">
        <v>1903</v>
      </c>
    </row>
    <row r="91" spans="1:1">
      <c r="A91" s="845" t="s">
        <v>1904</v>
      </c>
    </row>
    <row r="92" spans="1:1">
      <c r="A92" s="845" t="s">
        <v>1905</v>
      </c>
    </row>
    <row r="93" spans="1:1">
      <c r="A93" s="835"/>
    </row>
    <row r="94" spans="1:1">
      <c r="A94" s="838" t="s">
        <v>204</v>
      </c>
    </row>
    <row r="95" spans="1:1">
      <c r="A95" s="844" t="s">
        <v>3180</v>
      </c>
    </row>
    <row r="96" spans="1:1">
      <c r="A96" s="839"/>
    </row>
    <row r="97" spans="1:1">
      <c r="A97" s="846"/>
    </row>
  </sheetData>
  <phoneticPr fontId="37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Q79"/>
  <sheetViews>
    <sheetView view="pageBreakPreview" topLeftCell="A23" zoomScale="80" zoomScaleSheetLayoutView="80" workbookViewId="0">
      <selection activeCell="A37" sqref="A37"/>
    </sheetView>
  </sheetViews>
  <sheetFormatPr defaultRowHeight="15.5"/>
  <cols>
    <col min="1" max="1" width="59" customWidth="1"/>
    <col min="2" max="2" width="78.08203125" customWidth="1"/>
    <col min="3" max="3" width="59" customWidth="1"/>
    <col min="4" max="15" width="0" hidden="1" customWidth="1"/>
    <col min="17" max="17" width="31.25" customWidth="1"/>
  </cols>
  <sheetData>
    <row r="1" spans="1:17" ht="16" thickBot="1">
      <c r="A1" s="414" t="s">
        <v>360</v>
      </c>
    </row>
    <row r="2" spans="1:17" ht="16" thickBot="1">
      <c r="A2" s="497" t="s">
        <v>1106</v>
      </c>
      <c r="B2" s="272" t="s">
        <v>1113</v>
      </c>
      <c r="C2" s="272" t="s">
        <v>361</v>
      </c>
    </row>
    <row r="3" spans="1:17" ht="17">
      <c r="B3" s="847" t="s">
        <v>1107</v>
      </c>
      <c r="C3" s="1370" t="s">
        <v>2819</v>
      </c>
    </row>
    <row r="4" spans="1:17" s="494" customFormat="1" ht="17">
      <c r="A4" s="473"/>
      <c r="B4" s="556" t="s">
        <v>1108</v>
      </c>
      <c r="C4" s="1370" t="s">
        <v>2818</v>
      </c>
      <c r="Q4" s="552" t="s">
        <v>1307</v>
      </c>
    </row>
    <row r="5" spans="1:17" s="494" customFormat="1" ht="17">
      <c r="A5" s="473"/>
      <c r="B5" s="556" t="s">
        <v>1109</v>
      </c>
      <c r="C5" s="1363" t="s">
        <v>2820</v>
      </c>
      <c r="Q5" s="556" t="s">
        <v>1621</v>
      </c>
    </row>
    <row r="6" spans="1:17" s="494" customFormat="1" ht="17">
      <c r="A6" s="473"/>
      <c r="B6" s="556" t="s">
        <v>1110</v>
      </c>
      <c r="C6" s="1363" t="s">
        <v>2930</v>
      </c>
      <c r="Q6" s="807" t="s">
        <v>1781</v>
      </c>
    </row>
    <row r="7" spans="1:17" s="494" customFormat="1" ht="17">
      <c r="A7" s="473"/>
      <c r="B7" s="461" t="s">
        <v>1430</v>
      </c>
      <c r="C7" s="1363" t="s">
        <v>2931</v>
      </c>
      <c r="Q7" s="1363" t="s">
        <v>2767</v>
      </c>
    </row>
    <row r="8" spans="1:17" s="494" customFormat="1" ht="17">
      <c r="A8" s="473"/>
      <c r="B8" s="556" t="s">
        <v>1306</v>
      </c>
      <c r="C8" s="807" t="s">
        <v>3367</v>
      </c>
    </row>
    <row r="9" spans="1:17" s="494" customFormat="1" ht="17">
      <c r="A9" s="473"/>
      <c r="B9" s="552"/>
      <c r="C9" s="1363" t="s">
        <v>3362</v>
      </c>
    </row>
    <row r="10" spans="1:17" s="494" customFormat="1">
      <c r="A10" s="473"/>
      <c r="B10" s="1064" t="s">
        <v>1632</v>
      </c>
      <c r="C10" s="461"/>
    </row>
    <row r="11" spans="1:17" s="494" customFormat="1" ht="17">
      <c r="A11" s="473"/>
      <c r="B11" s="552" t="s">
        <v>1754</v>
      </c>
      <c r="C11" s="556" t="s">
        <v>1633</v>
      </c>
    </row>
    <row r="12" spans="1:17" s="494" customFormat="1">
      <c r="A12" s="473"/>
      <c r="B12" s="552" t="s">
        <v>1112</v>
      </c>
      <c r="C12" s="461" t="s">
        <v>1132</v>
      </c>
    </row>
    <row r="13" spans="1:17" s="494" customFormat="1" ht="17">
      <c r="A13" s="473"/>
      <c r="B13" s="1363" t="s">
        <v>2932</v>
      </c>
      <c r="C13" s="1363" t="s">
        <v>3309</v>
      </c>
    </row>
    <row r="14" spans="1:17" s="494" customFormat="1">
      <c r="A14" s="473"/>
      <c r="B14" s="552" t="s">
        <v>1111</v>
      </c>
      <c r="C14" s="473"/>
    </row>
    <row r="15" spans="1:17" s="494" customFormat="1" ht="17">
      <c r="A15" s="473"/>
      <c r="B15" s="1363" t="s">
        <v>3310</v>
      </c>
      <c r="C15" s="409"/>
      <c r="P15" s="806"/>
    </row>
    <row r="16" spans="1:17" s="494" customFormat="1" ht="17">
      <c r="A16" s="473"/>
      <c r="B16" s="1363"/>
      <c r="C16" s="409"/>
      <c r="P16" s="806"/>
    </row>
    <row r="17" spans="1:3" s="494" customFormat="1" ht="17">
      <c r="A17" s="473"/>
      <c r="B17" s="1363" t="s">
        <v>3192</v>
      </c>
      <c r="C17" s="495" t="s">
        <v>2625</v>
      </c>
    </row>
    <row r="18" spans="1:3" s="494" customFormat="1" ht="17">
      <c r="A18" s="473"/>
      <c r="B18" s="556" t="s">
        <v>1906</v>
      </c>
      <c r="C18" s="1064" t="s">
        <v>2626</v>
      </c>
    </row>
    <row r="19" spans="1:3" s="494" customFormat="1" ht="17">
      <c r="A19" s="473"/>
      <c r="B19" s="847" t="s">
        <v>3372</v>
      </c>
      <c r="C19" s="1064" t="s">
        <v>2627</v>
      </c>
    </row>
    <row r="20" spans="1:3" s="494" customFormat="1" ht="17">
      <c r="A20" s="473"/>
      <c r="B20" s="556" t="s">
        <v>3373</v>
      </c>
      <c r="C20" s="493"/>
    </row>
    <row r="21" spans="1:3" s="494" customFormat="1" ht="17">
      <c r="A21" s="473"/>
      <c r="B21" s="556" t="s">
        <v>3374</v>
      </c>
      <c r="C21" s="495"/>
    </row>
    <row r="22" spans="1:3" s="494" customFormat="1" ht="17">
      <c r="A22" s="473"/>
      <c r="B22" s="556" t="s">
        <v>3375</v>
      </c>
      <c r="C22" s="493"/>
    </row>
    <row r="23" spans="1:3" ht="16" thickBot="1">
      <c r="A23" s="409"/>
      <c r="B23" s="461" t="s">
        <v>1431</v>
      </c>
      <c r="C23" s="417"/>
    </row>
    <row r="24" spans="1:3" ht="16" thickBot="1">
      <c r="A24" s="497" t="s">
        <v>1114</v>
      </c>
      <c r="B24" s="272" t="s">
        <v>1113</v>
      </c>
      <c r="C24" s="272" t="s">
        <v>361</v>
      </c>
    </row>
    <row r="25" spans="1:3" s="494" customFormat="1" ht="17">
      <c r="A25" s="473"/>
      <c r="B25" s="1363" t="s">
        <v>3364</v>
      </c>
      <c r="C25" s="498" t="s">
        <v>1131</v>
      </c>
    </row>
    <row r="26" spans="1:3" s="494" customFormat="1" ht="17">
      <c r="A26" s="473"/>
      <c r="B26" s="1363" t="s">
        <v>3363</v>
      </c>
      <c r="C26" s="493"/>
    </row>
    <row r="27" spans="1:3" s="494" customFormat="1" ht="17.5" thickBot="1">
      <c r="A27" s="473"/>
      <c r="B27" s="1363" t="s">
        <v>3366</v>
      </c>
      <c r="C27" s="493"/>
    </row>
    <row r="28" spans="1:3" ht="16" thickBot="1">
      <c r="A28" s="497" t="s">
        <v>1115</v>
      </c>
      <c r="B28" s="272" t="s">
        <v>1113</v>
      </c>
      <c r="C28" s="272" t="s">
        <v>361</v>
      </c>
    </row>
    <row r="29" spans="1:3" ht="17">
      <c r="A29" s="405"/>
      <c r="B29" s="1363" t="s">
        <v>3365</v>
      </c>
      <c r="C29" s="498" t="s">
        <v>1125</v>
      </c>
    </row>
    <row r="30" spans="1:3">
      <c r="A30" s="415"/>
      <c r="B30" s="415"/>
      <c r="C30" s="416"/>
    </row>
    <row r="31" spans="1:3">
      <c r="A31" s="415"/>
      <c r="B31" s="415"/>
      <c r="C31" s="416"/>
    </row>
    <row r="32" spans="1:3" ht="16" thickBot="1">
      <c r="A32" s="467"/>
      <c r="B32" s="467"/>
      <c r="C32" s="471"/>
    </row>
    <row r="33" spans="1:3" ht="16" thickBot="1">
      <c r="A33" s="497" t="s">
        <v>1116</v>
      </c>
      <c r="B33" s="272" t="s">
        <v>1113</v>
      </c>
      <c r="C33" s="272" t="s">
        <v>361</v>
      </c>
    </row>
    <row r="34" spans="1:3" ht="17">
      <c r="A34" s="405"/>
      <c r="B34" s="2525" t="s">
        <v>4681</v>
      </c>
      <c r="C34" s="1363" t="s">
        <v>1355</v>
      </c>
    </row>
    <row r="35" spans="1:3" ht="16" thickBot="1">
      <c r="A35" s="467"/>
      <c r="B35" s="2526" t="s">
        <v>4682</v>
      </c>
      <c r="C35" s="468"/>
    </row>
    <row r="36" spans="1:3" ht="16" thickBot="1">
      <c r="A36" s="497" t="s">
        <v>1117</v>
      </c>
      <c r="B36" s="272" t="s">
        <v>1113</v>
      </c>
      <c r="C36" s="272" t="s">
        <v>361</v>
      </c>
    </row>
    <row r="37" spans="1:3" ht="17">
      <c r="A37" s="405"/>
      <c r="B37" s="848" t="s">
        <v>1118</v>
      </c>
      <c r="C37" s="498" t="s">
        <v>1126</v>
      </c>
    </row>
    <row r="38" spans="1:3">
      <c r="A38" s="415"/>
      <c r="B38" s="415"/>
      <c r="C38" s="469"/>
    </row>
    <row r="39" spans="1:3" ht="16" thickBot="1">
      <c r="A39" s="409"/>
      <c r="B39" s="409"/>
      <c r="C39" s="411"/>
    </row>
    <row r="40" spans="1:3" ht="16" thickBot="1">
      <c r="A40" s="497" t="s">
        <v>1119</v>
      </c>
      <c r="B40" s="272" t="s">
        <v>1113</v>
      </c>
      <c r="C40" s="272" t="s">
        <v>361</v>
      </c>
    </row>
    <row r="41" spans="1:3">
      <c r="A41" s="405"/>
      <c r="B41" s="405" t="s">
        <v>1120</v>
      </c>
      <c r="C41" s="406"/>
    </row>
    <row r="42" spans="1:3">
      <c r="A42" s="415"/>
      <c r="B42" s="415"/>
      <c r="C42" s="469"/>
    </row>
    <row r="43" spans="1:3">
      <c r="A43" s="409"/>
      <c r="B43" s="409"/>
      <c r="C43" s="417"/>
    </row>
    <row r="44" spans="1:3" ht="16" thickBot="1">
      <c r="A44" s="409"/>
      <c r="B44" s="409"/>
      <c r="C44" s="417"/>
    </row>
    <row r="45" spans="1:3" ht="16" thickBot="1">
      <c r="A45" s="497" t="s">
        <v>1121</v>
      </c>
      <c r="B45" s="272" t="s">
        <v>1113</v>
      </c>
      <c r="C45" s="272" t="s">
        <v>361</v>
      </c>
    </row>
    <row r="46" spans="1:3">
      <c r="A46" s="405"/>
      <c r="B46" s="405"/>
      <c r="C46" s="405" t="s">
        <v>1122</v>
      </c>
    </row>
    <row r="47" spans="1:3">
      <c r="A47" s="467"/>
      <c r="B47" s="467"/>
      <c r="C47" s="470"/>
    </row>
    <row r="48" spans="1:3" ht="16" thickBot="1">
      <c r="A48" s="409"/>
      <c r="B48" s="409"/>
      <c r="C48" s="411"/>
    </row>
    <row r="49" spans="1:3" ht="16" thickBot="1">
      <c r="A49" s="497" t="s">
        <v>1123</v>
      </c>
      <c r="B49" s="272" t="s">
        <v>1113</v>
      </c>
      <c r="C49" s="272" t="s">
        <v>361</v>
      </c>
    </row>
    <row r="50" spans="1:3">
      <c r="A50" s="405"/>
      <c r="B50" s="405"/>
      <c r="C50" s="405" t="s">
        <v>1124</v>
      </c>
    </row>
    <row r="51" spans="1:3">
      <c r="A51" s="415"/>
      <c r="B51" s="415"/>
      <c r="C51" s="416"/>
    </row>
    <row r="52" spans="1:3">
      <c r="A52" s="415"/>
      <c r="B52" s="415"/>
      <c r="C52" s="469"/>
    </row>
    <row r="53" spans="1:3">
      <c r="A53" s="467"/>
      <c r="B53" s="467"/>
      <c r="C53" s="470"/>
    </row>
    <row r="60" spans="1:3">
      <c r="A60" s="558" t="s">
        <v>1362</v>
      </c>
    </row>
    <row r="61" spans="1:3">
      <c r="A61" s="558" t="s">
        <v>1356</v>
      </c>
    </row>
    <row r="62" spans="1:3">
      <c r="A62" s="558" t="s">
        <v>1357</v>
      </c>
    </row>
    <row r="63" spans="1:3">
      <c r="A63" s="558" t="s">
        <v>1358</v>
      </c>
    </row>
    <row r="64" spans="1:3">
      <c r="A64" s="558" t="s">
        <v>1359</v>
      </c>
    </row>
    <row r="65" spans="1:6">
      <c r="A65" s="558" t="s">
        <v>1360</v>
      </c>
    </row>
    <row r="66" spans="1:6">
      <c r="A66" s="558" t="s">
        <v>1361</v>
      </c>
    </row>
    <row r="68" spans="1:6">
      <c r="A68" s="1389" t="s">
        <v>2835</v>
      </c>
    </row>
    <row r="69" spans="1:6">
      <c r="A69" s="494"/>
      <c r="B69" s="494"/>
      <c r="C69" s="494"/>
      <c r="D69" s="494"/>
      <c r="E69" s="494"/>
      <c r="F69" s="494"/>
    </row>
    <row r="70" spans="1:6">
      <c r="A70" s="494"/>
      <c r="B70" s="494"/>
      <c r="C70" s="1383" t="s">
        <v>2821</v>
      </c>
      <c r="D70" s="494"/>
      <c r="E70" s="1383" t="s">
        <v>2822</v>
      </c>
      <c r="F70" s="494"/>
    </row>
    <row r="71" spans="1:6">
      <c r="A71" s="1384"/>
      <c r="B71" s="1384"/>
      <c r="C71" s="494" t="s">
        <v>2823</v>
      </c>
      <c r="D71" s="494" t="s">
        <v>2824</v>
      </c>
      <c r="E71" s="494" t="s">
        <v>2825</v>
      </c>
      <c r="F71" s="494" t="s">
        <v>2824</v>
      </c>
    </row>
    <row r="72" spans="1:6">
      <c r="A72" s="1385" t="s">
        <v>2826</v>
      </c>
      <c r="B72" s="1386"/>
      <c r="C72" s="494">
        <v>5900</v>
      </c>
      <c r="D72" s="494">
        <v>6100</v>
      </c>
      <c r="E72" s="494">
        <v>6300</v>
      </c>
      <c r="F72" s="494">
        <v>6500</v>
      </c>
    </row>
    <row r="73" spans="1:6">
      <c r="A73" s="1385" t="s">
        <v>2827</v>
      </c>
      <c r="B73" s="1386"/>
      <c r="C73" s="494">
        <v>5500</v>
      </c>
      <c r="D73" s="494">
        <v>5700</v>
      </c>
      <c r="E73" s="494">
        <v>6000</v>
      </c>
      <c r="F73" s="494">
        <v>6200</v>
      </c>
    </row>
    <row r="74" spans="1:6">
      <c r="A74" s="1387" t="s">
        <v>2828</v>
      </c>
      <c r="B74" s="1388"/>
      <c r="C74" s="494">
        <v>3900</v>
      </c>
      <c r="D74" s="494">
        <v>4100</v>
      </c>
      <c r="E74" s="494">
        <v>4300</v>
      </c>
      <c r="F74" s="494">
        <v>4500</v>
      </c>
    </row>
    <row r="75" spans="1:6">
      <c r="A75" s="2854" t="s">
        <v>2829</v>
      </c>
      <c r="B75" s="1386" t="s">
        <v>2830</v>
      </c>
      <c r="C75" s="494">
        <v>5200</v>
      </c>
      <c r="D75" s="494">
        <v>6400</v>
      </c>
      <c r="E75" s="494"/>
      <c r="F75" s="494"/>
    </row>
    <row r="76" spans="1:6">
      <c r="A76" s="2854"/>
      <c r="B76" s="1386" t="s">
        <v>2831</v>
      </c>
      <c r="C76" s="494">
        <v>3500</v>
      </c>
      <c r="D76" s="494">
        <v>4700</v>
      </c>
      <c r="E76" s="494"/>
      <c r="F76" s="494"/>
    </row>
    <row r="77" spans="1:6">
      <c r="A77" s="1385" t="s">
        <v>2832</v>
      </c>
      <c r="B77" s="1386"/>
      <c r="C77" s="494">
        <v>2600</v>
      </c>
      <c r="D77" s="494">
        <v>2600</v>
      </c>
      <c r="E77" s="494">
        <v>2900</v>
      </c>
      <c r="F77" s="494">
        <v>2900</v>
      </c>
    </row>
    <row r="78" spans="1:6">
      <c r="A78" s="2854" t="s">
        <v>2833</v>
      </c>
      <c r="B78" s="1386" t="s">
        <v>168</v>
      </c>
      <c r="C78" s="494">
        <v>2000</v>
      </c>
      <c r="D78" s="494">
        <v>2100</v>
      </c>
      <c r="E78" s="494"/>
      <c r="F78" s="494"/>
    </row>
    <row r="79" spans="1:6">
      <c r="A79" s="2854"/>
      <c r="B79" s="1386" t="s">
        <v>2834</v>
      </c>
      <c r="C79" s="494">
        <v>2600</v>
      </c>
      <c r="D79" s="494">
        <v>2700</v>
      </c>
      <c r="E79" s="494"/>
      <c r="F79" s="494"/>
    </row>
  </sheetData>
  <mergeCells count="2">
    <mergeCell ref="A75:A76"/>
    <mergeCell ref="A78:A79"/>
  </mergeCells>
  <phoneticPr fontId="26" type="noConversion"/>
  <pageMargins left="0.7" right="0.7" top="0.75" bottom="0.75" header="0.3" footer="0.3"/>
  <pageSetup paperSize="9" scale="97" orientation="portrait" r:id="rId1"/>
  <rowBreaks count="1" manualBreakCount="1">
    <brk id="50" max="16383" man="1"/>
  </row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zoomScale="75" zoomScaleNormal="75" zoomScaleSheetLayoutView="80" workbookViewId="0">
      <pane ySplit="1" topLeftCell="A53" activePane="bottomLeft" state="frozen"/>
      <selection pane="bottomLeft" activeCell="C67" sqref="C67"/>
    </sheetView>
  </sheetViews>
  <sheetFormatPr defaultColWidth="9" defaultRowHeight="15.5"/>
  <cols>
    <col min="1" max="1" width="26.25" style="464" customWidth="1"/>
    <col min="2" max="2" width="64.75" style="464" customWidth="1"/>
    <col min="3" max="3" width="81.58203125" style="464" customWidth="1"/>
    <col min="4" max="15" width="0" style="464" hidden="1" customWidth="1"/>
    <col min="16" max="16" width="59" style="537" customWidth="1"/>
    <col min="17" max="16384" width="9" style="464"/>
  </cols>
  <sheetData>
    <row r="1" spans="1:16">
      <c r="A1" s="541" t="s">
        <v>1289</v>
      </c>
      <c r="B1" s="584" t="s">
        <v>4651</v>
      </c>
    </row>
    <row r="2" spans="1:16" ht="16" thickBot="1">
      <c r="A2" s="527" t="s">
        <v>360</v>
      </c>
    </row>
    <row r="3" spans="1:16" ht="16" thickBot="1">
      <c r="A3" s="1382" t="s">
        <v>457</v>
      </c>
      <c r="B3" s="272" t="s">
        <v>1113</v>
      </c>
      <c r="C3" s="528" t="s">
        <v>361</v>
      </c>
      <c r="P3" s="538" t="s">
        <v>1254</v>
      </c>
    </row>
    <row r="4" spans="1:16">
      <c r="A4" s="412"/>
      <c r="B4" s="868"/>
      <c r="C4" s="2513" t="s">
        <v>4673</v>
      </c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531" t="s">
        <v>2837</v>
      </c>
    </row>
    <row r="5" spans="1:16">
      <c r="A5" s="415"/>
      <c r="B5" s="581"/>
      <c r="C5" s="857" t="s">
        <v>1989</v>
      </c>
      <c r="P5" s="532"/>
    </row>
    <row r="6" spans="1:16">
      <c r="A6" s="467"/>
      <c r="B6" s="581"/>
      <c r="C6" s="539" t="s">
        <v>2836</v>
      </c>
      <c r="P6" s="539"/>
    </row>
    <row r="7" spans="1:16" ht="16" thickBot="1">
      <c r="A7" s="529"/>
      <c r="B7" s="529"/>
      <c r="C7" s="533" t="s">
        <v>3308</v>
      </c>
      <c r="D7" s="530"/>
      <c r="E7" s="530"/>
      <c r="F7" s="530"/>
      <c r="G7" s="530"/>
      <c r="H7" s="530"/>
      <c r="I7" s="530"/>
      <c r="J7" s="530"/>
      <c r="K7" s="530"/>
      <c r="L7" s="530"/>
      <c r="M7" s="530"/>
      <c r="N7" s="530"/>
      <c r="O7" s="530"/>
      <c r="P7" s="533"/>
    </row>
    <row r="8" spans="1:16" ht="16" thickBot="1">
      <c r="A8" s="1382" t="s">
        <v>220</v>
      </c>
      <c r="B8" s="528" t="s">
        <v>1113</v>
      </c>
      <c r="C8" s="528" t="s">
        <v>361</v>
      </c>
      <c r="P8" s="538" t="s">
        <v>1254</v>
      </c>
    </row>
    <row r="9" spans="1:16">
      <c r="A9" s="412"/>
      <c r="B9" s="869"/>
      <c r="C9" s="855" t="s">
        <v>3376</v>
      </c>
      <c r="D9" s="200"/>
      <c r="E9" s="200"/>
      <c r="F9" s="200"/>
      <c r="G9" s="200"/>
      <c r="H9" s="200"/>
      <c r="I9" s="200"/>
      <c r="J9" s="200"/>
      <c r="K9" s="200"/>
      <c r="L9" s="200"/>
      <c r="M9" s="200"/>
      <c r="N9" s="200"/>
      <c r="O9" s="200"/>
      <c r="P9" s="531" t="s">
        <v>2045</v>
      </c>
    </row>
    <row r="10" spans="1:16">
      <c r="A10" s="405"/>
      <c r="B10" s="733"/>
      <c r="C10" s="1780" t="s">
        <v>3399</v>
      </c>
      <c r="P10" s="1639"/>
    </row>
    <row r="11" spans="1:16" ht="16" thickBot="1">
      <c r="A11" s="415"/>
      <c r="B11" s="415"/>
      <c r="C11" s="532" t="s">
        <v>3400</v>
      </c>
      <c r="P11" s="583"/>
    </row>
    <row r="12" spans="1:16" ht="16" thickBot="1">
      <c r="A12" s="1382" t="s">
        <v>765</v>
      </c>
      <c r="B12" s="528" t="s">
        <v>1113</v>
      </c>
      <c r="C12" s="528" t="s">
        <v>361</v>
      </c>
      <c r="P12" s="538" t="s">
        <v>1254</v>
      </c>
    </row>
    <row r="13" spans="1:16">
      <c r="A13" s="412"/>
      <c r="B13" s="869"/>
      <c r="C13" s="531"/>
      <c r="D13" s="1640"/>
      <c r="E13" s="1640"/>
      <c r="F13" s="1640"/>
      <c r="G13" s="1640"/>
      <c r="H13" s="1640"/>
      <c r="I13" s="1640"/>
      <c r="J13" s="1640"/>
      <c r="K13" s="1640"/>
      <c r="L13" s="1640"/>
      <c r="M13" s="1640"/>
      <c r="N13" s="1640"/>
      <c r="O13" s="1640"/>
      <c r="P13" s="531" t="s">
        <v>1945</v>
      </c>
    </row>
    <row r="14" spans="1:16">
      <c r="A14" s="415"/>
      <c r="B14" s="415"/>
      <c r="C14" s="1641"/>
      <c r="D14" s="1642"/>
      <c r="E14" s="1642"/>
      <c r="F14" s="1642"/>
      <c r="G14" s="1642"/>
      <c r="H14" s="1642"/>
      <c r="I14" s="1642"/>
      <c r="J14" s="1642"/>
      <c r="K14" s="1642"/>
      <c r="L14" s="1642"/>
      <c r="M14" s="1642"/>
      <c r="N14" s="1642"/>
      <c r="O14" s="1642"/>
      <c r="P14" s="1641" t="s">
        <v>3379</v>
      </c>
    </row>
    <row r="15" spans="1:16" ht="16" thickBot="1">
      <c r="A15" s="529"/>
      <c r="B15" s="872"/>
      <c r="C15" s="1643"/>
      <c r="D15" s="1644"/>
      <c r="E15" s="1644"/>
      <c r="F15" s="1644"/>
      <c r="G15" s="1644"/>
      <c r="H15" s="1644"/>
      <c r="I15" s="1644"/>
      <c r="J15" s="1644"/>
      <c r="K15" s="1644"/>
      <c r="L15" s="1644"/>
      <c r="M15" s="1644"/>
      <c r="N15" s="1644"/>
      <c r="O15" s="1644"/>
      <c r="P15" s="1643" t="s">
        <v>3184</v>
      </c>
    </row>
    <row r="16" spans="1:16" ht="16" thickBot="1">
      <c r="A16" s="1382" t="s">
        <v>1076</v>
      </c>
      <c r="B16" s="528" t="s">
        <v>1113</v>
      </c>
      <c r="C16" s="272" t="s">
        <v>361</v>
      </c>
      <c r="P16" s="580" t="s">
        <v>1254</v>
      </c>
    </row>
    <row r="17" spans="1:16">
      <c r="A17" s="869" t="s">
        <v>2784</v>
      </c>
      <c r="B17" s="2515" t="s">
        <v>4661</v>
      </c>
      <c r="C17" s="868" t="s">
        <v>2785</v>
      </c>
      <c r="D17" s="200"/>
      <c r="E17" s="200"/>
      <c r="F17" s="200"/>
      <c r="G17" s="200"/>
      <c r="H17" s="200"/>
      <c r="I17" s="200"/>
      <c r="J17" s="200"/>
      <c r="K17" s="200"/>
      <c r="L17" s="200"/>
      <c r="M17" s="200"/>
      <c r="N17" s="200"/>
      <c r="O17" s="200"/>
      <c r="P17" s="868" t="s">
        <v>1255</v>
      </c>
    </row>
    <row r="18" spans="1:16" ht="15.75" customHeight="1">
      <c r="A18" s="2855" t="s">
        <v>4657</v>
      </c>
      <c r="B18" s="868" t="s">
        <v>2797</v>
      </c>
      <c r="C18" s="868" t="s">
        <v>2787</v>
      </c>
      <c r="P18" s="532"/>
    </row>
    <row r="19" spans="1:16">
      <c r="A19" s="2856"/>
      <c r="B19" s="868" t="s">
        <v>2798</v>
      </c>
      <c r="C19" s="868" t="s">
        <v>2786</v>
      </c>
      <c r="P19" s="532"/>
    </row>
    <row r="20" spans="1:16" ht="15.75" customHeight="1">
      <c r="A20" s="2856"/>
      <c r="B20" s="868" t="s">
        <v>2799</v>
      </c>
      <c r="C20" s="868" t="s">
        <v>2788</v>
      </c>
      <c r="P20" s="532"/>
    </row>
    <row r="21" spans="1:16" ht="15.75" customHeight="1">
      <c r="A21" s="2857"/>
      <c r="B21" s="868" t="s">
        <v>4663</v>
      </c>
      <c r="C21" s="2514" t="s">
        <v>2792</v>
      </c>
      <c r="P21" s="532"/>
    </row>
    <row r="22" spans="1:16" ht="15.75" customHeight="1">
      <c r="A22" s="2855" t="s">
        <v>4658</v>
      </c>
      <c r="B22" s="868" t="s">
        <v>2800</v>
      </c>
      <c r="C22" s="868" t="s">
        <v>2789</v>
      </c>
      <c r="P22" s="532"/>
    </row>
    <row r="23" spans="1:16">
      <c r="A23" s="2856"/>
      <c r="B23" s="868" t="s">
        <v>2801</v>
      </c>
      <c r="C23" s="868" t="s">
        <v>2790</v>
      </c>
      <c r="P23" s="532"/>
    </row>
    <row r="24" spans="1:16" ht="15.75" customHeight="1">
      <c r="A24" s="2856"/>
      <c r="B24" s="868" t="s">
        <v>2802</v>
      </c>
      <c r="C24" s="868" t="s">
        <v>2791</v>
      </c>
      <c r="P24" s="532"/>
    </row>
    <row r="25" spans="1:16" ht="15.75" customHeight="1">
      <c r="A25" s="2856"/>
      <c r="B25" s="868" t="s">
        <v>2806</v>
      </c>
      <c r="C25" s="868" t="s">
        <v>2796</v>
      </c>
      <c r="P25" s="532"/>
    </row>
    <row r="26" spans="1:16" ht="15.75" customHeight="1">
      <c r="A26" s="2855" t="s">
        <v>4659</v>
      </c>
      <c r="B26" s="868" t="s">
        <v>2804</v>
      </c>
      <c r="C26" s="868" t="s">
        <v>2793</v>
      </c>
      <c r="P26" s="532"/>
    </row>
    <row r="27" spans="1:16" ht="15.75" customHeight="1">
      <c r="A27" s="2856"/>
      <c r="B27" s="868" t="s">
        <v>2805</v>
      </c>
      <c r="C27" s="868" t="s">
        <v>2794</v>
      </c>
      <c r="P27" s="532"/>
    </row>
    <row r="28" spans="1:16">
      <c r="A28" s="2856"/>
      <c r="B28" s="868" t="s">
        <v>2803</v>
      </c>
      <c r="C28" s="868" t="s">
        <v>2795</v>
      </c>
      <c r="P28" s="532"/>
    </row>
    <row r="29" spans="1:16">
      <c r="A29" s="2857"/>
      <c r="B29" s="868" t="s">
        <v>4665</v>
      </c>
      <c r="C29" s="868" t="s">
        <v>2782</v>
      </c>
      <c r="P29" s="532"/>
    </row>
    <row r="30" spans="1:16">
      <c r="A30" s="415"/>
      <c r="B30" s="868" t="s">
        <v>4666</v>
      </c>
      <c r="C30" s="1381" t="s">
        <v>2783</v>
      </c>
      <c r="P30" s="532"/>
    </row>
    <row r="31" spans="1:16">
      <c r="A31" s="415"/>
      <c r="B31" s="868" t="s">
        <v>4667</v>
      </c>
      <c r="C31" s="1381"/>
      <c r="P31" s="532"/>
    </row>
    <row r="32" spans="1:16" ht="15.75" customHeight="1">
      <c r="A32" s="415"/>
      <c r="B32" s="868" t="s">
        <v>4668</v>
      </c>
      <c r="C32" s="1381"/>
      <c r="P32" s="532"/>
    </row>
    <row r="33" spans="1:16">
      <c r="A33" s="415"/>
      <c r="B33" s="868" t="s">
        <v>4662</v>
      </c>
      <c r="C33" s="2858" t="s">
        <v>4660</v>
      </c>
      <c r="P33" s="532"/>
    </row>
    <row r="34" spans="1:16">
      <c r="A34" s="415"/>
      <c r="B34" s="868" t="s">
        <v>2807</v>
      </c>
      <c r="C34" s="2859"/>
      <c r="P34" s="532"/>
    </row>
    <row r="35" spans="1:16">
      <c r="A35" s="415"/>
      <c r="B35" s="868" t="s">
        <v>2808</v>
      </c>
      <c r="C35" s="2859"/>
      <c r="P35" s="532"/>
    </row>
    <row r="36" spans="1:16">
      <c r="A36" s="415"/>
      <c r="B36" s="868" t="s">
        <v>2809</v>
      </c>
      <c r="C36" s="2859"/>
      <c r="P36" s="532"/>
    </row>
    <row r="37" spans="1:16" ht="15.75" customHeight="1">
      <c r="A37" s="415"/>
      <c r="B37" s="868" t="s">
        <v>4664</v>
      </c>
      <c r="C37" s="2859"/>
      <c r="P37" s="532"/>
    </row>
    <row r="38" spans="1:16">
      <c r="A38" s="415"/>
      <c r="B38" s="868" t="s">
        <v>2810</v>
      </c>
      <c r="C38" s="2860"/>
      <c r="P38" s="532"/>
    </row>
    <row r="39" spans="1:16">
      <c r="A39" s="415"/>
      <c r="B39" s="868" t="s">
        <v>2811</v>
      </c>
      <c r="C39" s="1381"/>
      <c r="P39" s="532"/>
    </row>
    <row r="40" spans="1:16">
      <c r="A40" s="415"/>
      <c r="B40" s="868" t="s">
        <v>2812</v>
      </c>
      <c r="C40" s="1381"/>
      <c r="P40" s="532"/>
    </row>
    <row r="41" spans="1:16">
      <c r="A41" s="415"/>
      <c r="B41" s="868" t="s">
        <v>2816</v>
      </c>
      <c r="C41" s="1381"/>
      <c r="P41" s="532"/>
    </row>
    <row r="42" spans="1:16">
      <c r="A42" s="415"/>
      <c r="B42" s="868" t="s">
        <v>2813</v>
      </c>
      <c r="C42" s="1381"/>
      <c r="P42" s="532"/>
    </row>
    <row r="43" spans="1:16">
      <c r="A43" s="415"/>
      <c r="B43" s="868" t="s">
        <v>2814</v>
      </c>
      <c r="C43" s="1381"/>
      <c r="P43" s="532"/>
    </row>
    <row r="44" spans="1:16">
      <c r="A44" s="415"/>
      <c r="B44" s="868" t="s">
        <v>2815</v>
      </c>
      <c r="C44" s="1381"/>
      <c r="P44" s="532"/>
    </row>
    <row r="45" spans="1:16">
      <c r="A45" s="415"/>
      <c r="B45" s="868" t="s">
        <v>4669</v>
      </c>
      <c r="C45" s="1381"/>
      <c r="P45" s="532"/>
    </row>
    <row r="46" spans="1:16">
      <c r="A46" s="415"/>
      <c r="B46" s="868" t="s">
        <v>4670</v>
      </c>
      <c r="C46" s="1381"/>
      <c r="P46" s="532"/>
    </row>
    <row r="47" spans="1:16">
      <c r="A47" s="415"/>
      <c r="B47" s="868" t="s">
        <v>4671</v>
      </c>
      <c r="C47" s="1381"/>
      <c r="P47" s="532"/>
    </row>
    <row r="48" spans="1:16" ht="16" thickBot="1">
      <c r="A48" s="529"/>
      <c r="B48" s="868" t="s">
        <v>4672</v>
      </c>
      <c r="C48" s="533"/>
      <c r="D48" s="530"/>
      <c r="E48" s="530"/>
      <c r="F48" s="530"/>
      <c r="G48" s="530"/>
      <c r="H48" s="530"/>
      <c r="I48" s="530"/>
      <c r="J48" s="530"/>
      <c r="K48" s="530"/>
      <c r="L48" s="530"/>
      <c r="M48" s="530"/>
      <c r="N48" s="530"/>
      <c r="O48" s="530"/>
      <c r="P48" s="533"/>
    </row>
    <row r="49" spans="1:16" ht="16" thickBot="1">
      <c r="A49" s="1382" t="s">
        <v>1256</v>
      </c>
      <c r="B49" s="528" t="s">
        <v>1113</v>
      </c>
      <c r="C49" s="528" t="s">
        <v>361</v>
      </c>
      <c r="P49" s="538" t="s">
        <v>1254</v>
      </c>
    </row>
    <row r="50" spans="1:16" ht="16" thickBot="1">
      <c r="A50" s="534"/>
      <c r="B50" s="870"/>
      <c r="C50" s="582" t="s">
        <v>1429</v>
      </c>
      <c r="D50" s="536"/>
      <c r="E50" s="536"/>
      <c r="F50" s="536"/>
      <c r="G50" s="536"/>
      <c r="H50" s="536"/>
      <c r="I50" s="536"/>
      <c r="J50" s="536"/>
      <c r="K50" s="536"/>
      <c r="L50" s="536"/>
      <c r="M50" s="536"/>
      <c r="N50" s="536"/>
      <c r="O50" s="536"/>
      <c r="P50" s="535"/>
    </row>
    <row r="52" spans="1:16">
      <c r="A52" s="541" t="s">
        <v>1288</v>
      </c>
    </row>
    <row r="53" spans="1:16" ht="16" thickBot="1">
      <c r="A53" s="527" t="s">
        <v>360</v>
      </c>
    </row>
    <row r="54" spans="1:16" ht="16" thickBot="1">
      <c r="A54" s="1382" t="s">
        <v>1278</v>
      </c>
      <c r="B54" s="528"/>
      <c r="C54" s="528"/>
      <c r="P54" s="538"/>
    </row>
    <row r="55" spans="1:16" ht="16" thickBot="1">
      <c r="A55" s="412"/>
      <c r="B55" s="870"/>
      <c r="C55" s="531"/>
      <c r="D55" s="200"/>
      <c r="E55" s="200"/>
      <c r="F55" s="200"/>
      <c r="G55" s="200"/>
      <c r="H55" s="200"/>
      <c r="I55" s="200"/>
      <c r="J55" s="200"/>
      <c r="K55" s="200"/>
      <c r="L55" s="200"/>
      <c r="M55" s="200"/>
      <c r="N55" s="200"/>
      <c r="O55" s="200"/>
      <c r="P55" s="531"/>
    </row>
    <row r="56" spans="1:16" ht="16" thickBot="1">
      <c r="A56" s="1382" t="s">
        <v>1290</v>
      </c>
      <c r="B56" s="528" t="s">
        <v>1113</v>
      </c>
      <c r="C56" s="528" t="s">
        <v>361</v>
      </c>
      <c r="P56" s="538" t="s">
        <v>1254</v>
      </c>
    </row>
    <row r="57" spans="1:16" ht="16" thickBot="1">
      <c r="A57" s="534"/>
      <c r="B57" s="870"/>
      <c r="C57" s="535"/>
      <c r="D57" s="536"/>
      <c r="E57" s="536"/>
      <c r="F57" s="536"/>
      <c r="G57" s="536"/>
      <c r="H57" s="536"/>
      <c r="I57" s="536"/>
      <c r="J57" s="536"/>
      <c r="K57" s="536"/>
      <c r="L57" s="536"/>
      <c r="M57" s="536"/>
      <c r="N57" s="536"/>
      <c r="O57" s="536"/>
      <c r="P57" s="535"/>
    </row>
    <row r="58" spans="1:16" ht="16" thickBot="1">
      <c r="A58" s="1382" t="s">
        <v>448</v>
      </c>
      <c r="B58" s="528" t="s">
        <v>1113</v>
      </c>
      <c r="C58" s="272" t="s">
        <v>361</v>
      </c>
      <c r="P58" s="538" t="s">
        <v>1254</v>
      </c>
    </row>
    <row r="59" spans="1:16">
      <c r="A59" s="412"/>
      <c r="B59" s="869"/>
      <c r="C59" s="868" t="s">
        <v>4674</v>
      </c>
      <c r="D59" s="200"/>
      <c r="E59" s="200"/>
      <c r="F59" s="200"/>
      <c r="G59" s="200"/>
      <c r="H59" s="200"/>
      <c r="I59" s="200"/>
      <c r="J59" s="200"/>
      <c r="K59" s="200"/>
      <c r="L59" s="200"/>
      <c r="M59" s="200"/>
      <c r="N59" s="200"/>
      <c r="O59" s="200"/>
      <c r="P59" s="531" t="s">
        <v>1276</v>
      </c>
    </row>
    <row r="60" spans="1:16">
      <c r="A60" s="415"/>
      <c r="B60" s="415"/>
      <c r="C60" s="532" t="s">
        <v>3188</v>
      </c>
      <c r="P60" s="851" t="s">
        <v>1277</v>
      </c>
    </row>
    <row r="61" spans="1:16">
      <c r="A61" s="415"/>
      <c r="B61" s="586"/>
      <c r="C61" s="1372" t="s">
        <v>3189</v>
      </c>
      <c r="P61" s="532"/>
    </row>
    <row r="62" spans="1:16">
      <c r="A62" s="415"/>
      <c r="B62" s="586"/>
      <c r="C62" s="532" t="s">
        <v>3190</v>
      </c>
      <c r="P62" s="532"/>
    </row>
    <row r="63" spans="1:16">
      <c r="A63" s="467"/>
      <c r="B63" s="467"/>
      <c r="C63" s="539" t="s">
        <v>3191</v>
      </c>
      <c r="P63" s="539"/>
    </row>
    <row r="64" spans="1:16" ht="16" thickBot="1">
      <c r="A64" s="467"/>
      <c r="B64" s="467"/>
      <c r="C64" s="585" t="s">
        <v>1433</v>
      </c>
      <c r="P64" s="539"/>
    </row>
    <row r="65" spans="1:16" ht="16" thickBot="1">
      <c r="A65" s="1382" t="s">
        <v>1272</v>
      </c>
      <c r="B65" s="528" t="s">
        <v>1113</v>
      </c>
      <c r="C65" s="528" t="s">
        <v>361</v>
      </c>
      <c r="P65" s="538" t="s">
        <v>1254</v>
      </c>
    </row>
    <row r="66" spans="1:16">
      <c r="A66" s="412"/>
      <c r="B66" s="412"/>
      <c r="C66" s="531" t="s">
        <v>3196</v>
      </c>
      <c r="D66" s="200"/>
      <c r="E66" s="200"/>
      <c r="F66" s="200"/>
      <c r="G66" s="200"/>
      <c r="H66" s="200"/>
      <c r="I66" s="200"/>
      <c r="J66" s="200"/>
      <c r="K66" s="200"/>
      <c r="L66" s="200"/>
      <c r="M66" s="200"/>
      <c r="N66" s="200"/>
      <c r="O66" s="200"/>
      <c r="P66" s="531"/>
    </row>
    <row r="67" spans="1:16">
      <c r="A67" s="409"/>
      <c r="B67" s="409"/>
      <c r="C67" s="1645" t="s">
        <v>4768</v>
      </c>
      <c r="P67" s="1645"/>
    </row>
    <row r="68" spans="1:16" ht="16" thickBot="1">
      <c r="A68" s="529"/>
      <c r="B68" s="529"/>
      <c r="C68" s="533" t="s">
        <v>3195</v>
      </c>
      <c r="D68" s="530"/>
      <c r="E68" s="530"/>
      <c r="F68" s="530"/>
      <c r="G68" s="530"/>
      <c r="H68" s="530"/>
      <c r="I68" s="530"/>
      <c r="J68" s="530"/>
      <c r="K68" s="530"/>
      <c r="L68" s="530"/>
      <c r="M68" s="530"/>
      <c r="N68" s="530"/>
      <c r="O68" s="530"/>
      <c r="P68" s="533"/>
    </row>
    <row r="69" spans="1:16" ht="16" thickBot="1">
      <c r="A69" s="1382" t="s">
        <v>617</v>
      </c>
      <c r="B69" s="528" t="s">
        <v>1113</v>
      </c>
      <c r="C69" s="528" t="s">
        <v>361</v>
      </c>
      <c r="P69" s="538" t="s">
        <v>1254</v>
      </c>
    </row>
    <row r="70" spans="1:16" ht="16" thickBot="1">
      <c r="A70" s="412"/>
      <c r="B70" s="870"/>
      <c r="C70" s="531"/>
      <c r="D70" s="200"/>
      <c r="E70" s="200"/>
      <c r="F70" s="200"/>
      <c r="G70" s="200"/>
      <c r="H70" s="200"/>
      <c r="I70" s="200"/>
      <c r="J70" s="200"/>
      <c r="K70" s="200"/>
      <c r="L70" s="200"/>
      <c r="M70" s="200"/>
      <c r="N70" s="200"/>
      <c r="O70" s="200"/>
      <c r="P70" s="855" t="s">
        <v>3187</v>
      </c>
    </row>
    <row r="71" spans="1:16" ht="16" thickBot="1">
      <c r="A71" s="1382" t="s">
        <v>451</v>
      </c>
      <c r="B71" s="528" t="s">
        <v>1113</v>
      </c>
      <c r="C71" s="528" t="s">
        <v>361</v>
      </c>
      <c r="P71" s="538" t="s">
        <v>1254</v>
      </c>
    </row>
    <row r="72" spans="1:16" ht="16" thickBot="1">
      <c r="A72" s="534"/>
      <c r="B72" s="870"/>
      <c r="C72" s="850" t="s">
        <v>3186</v>
      </c>
      <c r="D72" s="536"/>
      <c r="E72" s="536"/>
      <c r="F72" s="536"/>
      <c r="G72" s="536"/>
      <c r="H72" s="536"/>
      <c r="I72" s="536"/>
      <c r="J72" s="536"/>
      <c r="K72" s="536"/>
      <c r="L72" s="536"/>
      <c r="M72" s="536"/>
      <c r="N72" s="536"/>
      <c r="O72" s="536"/>
      <c r="P72" s="850" t="s">
        <v>1257</v>
      </c>
    </row>
    <row r="73" spans="1:16" ht="16" thickBot="1">
      <c r="A73" s="1382" t="s">
        <v>619</v>
      </c>
      <c r="B73" s="528" t="s">
        <v>1113</v>
      </c>
      <c r="C73" s="528" t="s">
        <v>361</v>
      </c>
      <c r="P73" s="538" t="s">
        <v>1254</v>
      </c>
    </row>
    <row r="74" spans="1:16" ht="16" thickBot="1">
      <c r="A74" s="412"/>
      <c r="B74" s="870"/>
      <c r="C74" s="531"/>
      <c r="D74" s="200"/>
      <c r="E74" s="200"/>
      <c r="F74" s="200"/>
      <c r="G74" s="200"/>
      <c r="H74" s="200"/>
      <c r="I74" s="200"/>
      <c r="J74" s="200"/>
      <c r="K74" s="200"/>
      <c r="L74" s="200"/>
      <c r="M74" s="200"/>
      <c r="N74" s="200"/>
      <c r="O74" s="200"/>
      <c r="P74" s="855" t="s">
        <v>2045</v>
      </c>
    </row>
    <row r="75" spans="1:16" ht="16" thickBot="1">
      <c r="A75" s="1382" t="s">
        <v>1291</v>
      </c>
      <c r="B75" s="528" t="s">
        <v>1113</v>
      </c>
      <c r="C75" s="528" t="s">
        <v>361</v>
      </c>
      <c r="P75" s="538" t="s">
        <v>1254</v>
      </c>
    </row>
    <row r="76" spans="1:16" ht="16" thickBot="1">
      <c r="A76" s="534"/>
      <c r="B76" s="870"/>
      <c r="C76" s="535"/>
      <c r="D76" s="536"/>
      <c r="E76" s="536"/>
      <c r="F76" s="536"/>
      <c r="G76" s="536"/>
      <c r="H76" s="536"/>
      <c r="I76" s="536"/>
      <c r="J76" s="536"/>
      <c r="K76" s="536"/>
      <c r="L76" s="536"/>
      <c r="M76" s="536"/>
      <c r="N76" s="536"/>
      <c r="O76" s="536"/>
      <c r="P76" s="535"/>
    </row>
    <row r="77" spans="1:16" ht="16" thickBot="1">
      <c r="A77" s="1382" t="s">
        <v>2190</v>
      </c>
      <c r="B77" s="528" t="s">
        <v>1113</v>
      </c>
      <c r="C77" s="528" t="s">
        <v>361</v>
      </c>
      <c r="P77" s="538" t="s">
        <v>1254</v>
      </c>
    </row>
    <row r="78" spans="1:16">
      <c r="A78" s="412"/>
      <c r="B78" s="869"/>
      <c r="C78" s="2513" t="s">
        <v>2213</v>
      </c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00"/>
      <c r="O78" s="200"/>
      <c r="P78" s="531" t="s">
        <v>2193</v>
      </c>
    </row>
    <row r="79" spans="1:16">
      <c r="A79" s="415"/>
      <c r="B79" s="586"/>
      <c r="C79" s="2514" t="s">
        <v>1266</v>
      </c>
      <c r="P79" s="532" t="s">
        <v>1262</v>
      </c>
    </row>
    <row r="80" spans="1:16">
      <c r="B80" s="588"/>
      <c r="C80" s="2514" t="s">
        <v>4652</v>
      </c>
      <c r="P80" s="532" t="s">
        <v>1263</v>
      </c>
    </row>
    <row r="81" spans="1:16">
      <c r="A81" s="467"/>
      <c r="B81" s="587"/>
      <c r="C81" s="2514" t="s">
        <v>4654</v>
      </c>
      <c r="P81" s="539" t="s">
        <v>1264</v>
      </c>
    </row>
    <row r="82" spans="1:16">
      <c r="A82" s="467"/>
      <c r="B82" s="587"/>
      <c r="C82" s="2514" t="s">
        <v>4656</v>
      </c>
      <c r="P82" s="539" t="s">
        <v>1265</v>
      </c>
    </row>
    <row r="83" spans="1:16">
      <c r="A83" s="467"/>
      <c r="B83" s="587"/>
      <c r="C83" s="2514" t="s">
        <v>1267</v>
      </c>
      <c r="P83" s="539"/>
    </row>
    <row r="84" spans="1:16">
      <c r="A84" s="467"/>
      <c r="B84" s="467"/>
      <c r="C84" s="2514" t="s">
        <v>4653</v>
      </c>
      <c r="P84" s="539"/>
    </row>
    <row r="85" spans="1:16">
      <c r="A85" s="467"/>
      <c r="B85" s="467"/>
      <c r="C85" s="2514" t="s">
        <v>4655</v>
      </c>
      <c r="P85" s="539"/>
    </row>
    <row r="86" spans="1:16">
      <c r="A86" s="467"/>
      <c r="B86" s="467"/>
      <c r="C86" s="2514" t="s">
        <v>4656</v>
      </c>
      <c r="P86" s="539"/>
    </row>
    <row r="87" spans="1:16" ht="16" thickBot="1">
      <c r="A87" s="529"/>
      <c r="B87" s="529"/>
      <c r="C87" s="856" t="s">
        <v>2191</v>
      </c>
      <c r="D87" s="530"/>
      <c r="E87" s="530"/>
      <c r="F87" s="530"/>
      <c r="G87" s="530"/>
      <c r="H87" s="530"/>
      <c r="I87" s="530"/>
      <c r="J87" s="530"/>
      <c r="K87" s="530"/>
      <c r="L87" s="530"/>
      <c r="M87" s="530"/>
      <c r="N87" s="530"/>
      <c r="O87" s="530"/>
      <c r="P87" s="856" t="s">
        <v>2192</v>
      </c>
    </row>
    <row r="88" spans="1:16" ht="16" thickBot="1">
      <c r="A88" s="1382" t="s">
        <v>1261</v>
      </c>
      <c r="B88" s="528" t="s">
        <v>1113</v>
      </c>
      <c r="C88" s="528" t="s">
        <v>361</v>
      </c>
      <c r="P88" s="538" t="s">
        <v>1254</v>
      </c>
    </row>
    <row r="89" spans="1:16">
      <c r="A89" s="412"/>
      <c r="B89" s="869"/>
      <c r="C89" s="531" t="s">
        <v>1432</v>
      </c>
      <c r="D89" s="200"/>
      <c r="E89" s="200"/>
      <c r="F89" s="200"/>
      <c r="G89" s="200"/>
      <c r="H89" s="200"/>
      <c r="I89" s="200"/>
      <c r="J89" s="200"/>
      <c r="K89" s="200"/>
      <c r="L89" s="200"/>
      <c r="M89" s="200"/>
      <c r="N89" s="200"/>
      <c r="O89" s="200"/>
      <c r="P89" s="531" t="s">
        <v>3398</v>
      </c>
    </row>
    <row r="90" spans="1:16">
      <c r="A90" s="409"/>
      <c r="B90" s="574"/>
      <c r="C90" s="875" t="s">
        <v>1270</v>
      </c>
      <c r="P90" s="1639" t="s">
        <v>3397</v>
      </c>
    </row>
    <row r="91" spans="1:16">
      <c r="A91" s="467"/>
      <c r="B91" s="871"/>
      <c r="C91" s="875"/>
      <c r="P91" s="583" t="s">
        <v>2044</v>
      </c>
    </row>
    <row r="92" spans="1:16" ht="16" thickBot="1">
      <c r="A92" s="529"/>
      <c r="B92" s="872"/>
      <c r="C92" s="533"/>
      <c r="D92" s="530"/>
      <c r="E92" s="530"/>
      <c r="F92" s="530"/>
      <c r="G92" s="530"/>
      <c r="H92" s="530"/>
      <c r="I92" s="530"/>
      <c r="J92" s="530"/>
      <c r="K92" s="530"/>
      <c r="L92" s="530"/>
      <c r="M92" s="530"/>
      <c r="N92" s="530"/>
      <c r="O92" s="530"/>
      <c r="P92" s="1371" t="s">
        <v>1259</v>
      </c>
    </row>
    <row r="93" spans="1:16" ht="16" thickBot="1">
      <c r="A93" s="1382" t="s">
        <v>1258</v>
      </c>
      <c r="B93" s="528" t="s">
        <v>1113</v>
      </c>
      <c r="C93" s="528" t="s">
        <v>361</v>
      </c>
      <c r="P93" s="538" t="s">
        <v>1254</v>
      </c>
    </row>
    <row r="94" spans="1:16" ht="16" thickBot="1">
      <c r="A94" s="412"/>
      <c r="B94" s="870"/>
      <c r="C94" s="531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00"/>
      <c r="O94" s="200"/>
      <c r="P94" s="531"/>
    </row>
    <row r="95" spans="1:16" ht="16" thickBot="1">
      <c r="A95" s="1382" t="s">
        <v>1273</v>
      </c>
      <c r="B95" s="528" t="s">
        <v>1113</v>
      </c>
      <c r="C95" s="528" t="s">
        <v>361</v>
      </c>
      <c r="P95" s="538" t="s">
        <v>1254</v>
      </c>
    </row>
    <row r="96" spans="1:16">
      <c r="A96" s="412"/>
      <c r="B96" s="1376"/>
      <c r="C96" s="531" t="s">
        <v>2770</v>
      </c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531" t="s">
        <v>1991</v>
      </c>
    </row>
    <row r="97" spans="1:16">
      <c r="A97" s="415"/>
      <c r="B97" s="1377"/>
      <c r="C97" s="1372" t="s">
        <v>2771</v>
      </c>
      <c r="P97" s="532" t="s">
        <v>3193</v>
      </c>
    </row>
    <row r="98" spans="1:16">
      <c r="A98" s="415"/>
      <c r="B98" s="1378"/>
      <c r="C98" s="1372" t="s">
        <v>2774</v>
      </c>
      <c r="P98" s="532" t="s">
        <v>3194</v>
      </c>
    </row>
    <row r="99" spans="1:16">
      <c r="A99" s="415"/>
      <c r="B99" s="1378"/>
      <c r="C99" s="1372" t="s">
        <v>2775</v>
      </c>
      <c r="P99" s="532"/>
    </row>
    <row r="100" spans="1:16">
      <c r="A100" s="467"/>
      <c r="B100" s="1374"/>
      <c r="C100" s="1373" t="s">
        <v>2776</v>
      </c>
      <c r="P100" s="539"/>
    </row>
    <row r="101" spans="1:16" ht="29.5">
      <c r="A101" s="467"/>
      <c r="B101" s="1374"/>
      <c r="C101" s="1380" t="s">
        <v>1990</v>
      </c>
      <c r="P101" s="539"/>
    </row>
    <row r="102" spans="1:16">
      <c r="A102" s="467"/>
      <c r="B102" s="1374"/>
      <c r="C102" s="1380" t="s">
        <v>2772</v>
      </c>
      <c r="P102" s="539"/>
    </row>
    <row r="103" spans="1:16">
      <c r="A103" s="467"/>
      <c r="B103" s="1374"/>
      <c r="C103" s="1380" t="s">
        <v>2773</v>
      </c>
      <c r="P103" s="539"/>
    </row>
    <row r="104" spans="1:16">
      <c r="A104" s="467"/>
      <c r="B104" s="1374"/>
      <c r="C104" s="1380" t="s">
        <v>2777</v>
      </c>
      <c r="P104" s="539"/>
    </row>
    <row r="105" spans="1:16">
      <c r="A105" s="467"/>
      <c r="B105" s="1374"/>
      <c r="C105" s="1380" t="s">
        <v>2780</v>
      </c>
      <c r="P105" s="539"/>
    </row>
    <row r="106" spans="1:16">
      <c r="A106" s="467"/>
      <c r="B106" s="1374"/>
      <c r="C106" s="1380" t="s">
        <v>2778</v>
      </c>
      <c r="P106" s="539"/>
    </row>
    <row r="107" spans="1:16">
      <c r="A107" s="467"/>
      <c r="B107" s="1374"/>
      <c r="C107" s="1380" t="s">
        <v>2779</v>
      </c>
      <c r="P107" s="539"/>
    </row>
    <row r="108" spans="1:16">
      <c r="A108" s="467"/>
      <c r="B108" s="1374"/>
      <c r="C108" s="1380" t="s">
        <v>2780</v>
      </c>
      <c r="P108" s="539"/>
    </row>
    <row r="109" spans="1:16" ht="16" thickBot="1">
      <c r="A109" s="529"/>
      <c r="B109" s="1379"/>
      <c r="C109" s="1375" t="s">
        <v>2781</v>
      </c>
      <c r="D109" s="530"/>
      <c r="E109" s="530"/>
      <c r="F109" s="530"/>
      <c r="G109" s="530"/>
      <c r="H109" s="530"/>
      <c r="I109" s="530"/>
      <c r="J109" s="530"/>
      <c r="K109" s="530"/>
      <c r="L109" s="530"/>
      <c r="M109" s="530"/>
      <c r="N109" s="530"/>
      <c r="O109" s="530"/>
      <c r="P109" s="533"/>
    </row>
    <row r="110" spans="1:16" ht="16" thickBot="1">
      <c r="A110" s="1382" t="s">
        <v>1292</v>
      </c>
      <c r="B110" s="528" t="s">
        <v>1113</v>
      </c>
      <c r="C110" s="528" t="s">
        <v>361</v>
      </c>
      <c r="P110" s="538" t="s">
        <v>1254</v>
      </c>
    </row>
    <row r="111" spans="1:16" ht="16" thickBot="1">
      <c r="A111" s="534"/>
      <c r="B111" s="870"/>
      <c r="C111" s="535"/>
      <c r="D111" s="536"/>
      <c r="E111" s="536"/>
      <c r="F111" s="536"/>
      <c r="G111" s="536"/>
      <c r="H111" s="536"/>
      <c r="I111" s="536"/>
      <c r="J111" s="536"/>
      <c r="K111" s="536"/>
      <c r="L111" s="536"/>
      <c r="M111" s="536"/>
      <c r="N111" s="536"/>
      <c r="O111" s="536"/>
      <c r="P111" s="535"/>
    </row>
    <row r="112" spans="1:16" ht="16" thickBot="1">
      <c r="A112" s="1382" t="s">
        <v>452</v>
      </c>
      <c r="B112" s="528" t="s">
        <v>1113</v>
      </c>
      <c r="C112" s="528" t="s">
        <v>361</v>
      </c>
      <c r="P112" s="538" t="s">
        <v>1254</v>
      </c>
    </row>
    <row r="113" spans="1:16">
      <c r="A113" s="412"/>
      <c r="B113" s="869"/>
      <c r="C113" s="531" t="s">
        <v>3172</v>
      </c>
      <c r="D113" s="200"/>
      <c r="E113" s="200"/>
      <c r="F113" s="200"/>
      <c r="G113" s="200"/>
      <c r="H113" s="200"/>
      <c r="I113" s="200"/>
      <c r="J113" s="200"/>
      <c r="K113" s="200"/>
      <c r="L113" s="200"/>
      <c r="M113" s="200"/>
      <c r="N113" s="200"/>
      <c r="O113" s="200"/>
      <c r="P113" s="531" t="s">
        <v>1984</v>
      </c>
    </row>
    <row r="114" spans="1:16">
      <c r="A114" s="415"/>
      <c r="B114" s="873"/>
      <c r="C114" s="532" t="s">
        <v>1271</v>
      </c>
      <c r="P114" s="532" t="s">
        <v>1985</v>
      </c>
    </row>
    <row r="115" spans="1:16">
      <c r="A115" s="415"/>
      <c r="B115" s="873"/>
      <c r="C115" s="532" t="s">
        <v>1987</v>
      </c>
      <c r="P115" s="532"/>
    </row>
    <row r="116" spans="1:16" ht="16" thickBot="1">
      <c r="A116" s="415"/>
      <c r="B116" s="873"/>
      <c r="C116" s="532" t="s">
        <v>1988</v>
      </c>
      <c r="P116" s="532"/>
    </row>
    <row r="117" spans="1:16" ht="16" thickBot="1">
      <c r="A117" s="1382" t="s">
        <v>1275</v>
      </c>
      <c r="B117" s="528"/>
      <c r="C117" s="528"/>
      <c r="P117" s="538"/>
    </row>
    <row r="118" spans="1:16" ht="16" thickBot="1">
      <c r="A118" s="412"/>
      <c r="B118" s="869"/>
      <c r="C118" s="858" t="s">
        <v>2043</v>
      </c>
      <c r="D118" s="200"/>
      <c r="E118" s="200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531"/>
    </row>
    <row r="119" spans="1:16" ht="16" thickBot="1">
      <c r="A119" s="1382" t="s">
        <v>1269</v>
      </c>
      <c r="B119" s="528" t="s">
        <v>1113</v>
      </c>
      <c r="C119" s="528" t="s">
        <v>361</v>
      </c>
      <c r="P119" s="538" t="s">
        <v>1254</v>
      </c>
    </row>
    <row r="120" spans="1:16">
      <c r="A120" s="412"/>
      <c r="B120" s="869"/>
      <c r="C120" s="531" t="s">
        <v>1986</v>
      </c>
      <c r="D120" s="200"/>
      <c r="E120" s="200"/>
      <c r="F120" s="200"/>
      <c r="G120" s="200"/>
      <c r="H120" s="200"/>
      <c r="I120" s="200"/>
      <c r="J120" s="200"/>
      <c r="K120" s="200"/>
      <c r="L120" s="200"/>
      <c r="M120" s="200"/>
      <c r="N120" s="200"/>
      <c r="O120" s="200"/>
      <c r="P120" s="531" t="s">
        <v>1984</v>
      </c>
    </row>
    <row r="121" spans="1:16" ht="16" thickBot="1">
      <c r="A121" s="529"/>
      <c r="B121" s="872"/>
      <c r="C121" s="533"/>
      <c r="D121" s="530"/>
      <c r="E121" s="530"/>
      <c r="F121" s="530"/>
      <c r="G121" s="530"/>
      <c r="H121" s="530"/>
      <c r="I121" s="530"/>
      <c r="J121" s="530"/>
      <c r="K121" s="530"/>
      <c r="L121" s="530"/>
      <c r="M121" s="530"/>
      <c r="N121" s="530"/>
      <c r="O121" s="530"/>
      <c r="P121" s="533" t="s">
        <v>1985</v>
      </c>
    </row>
    <row r="122" spans="1:16" ht="16" thickBot="1">
      <c r="A122" s="1382" t="s">
        <v>1293</v>
      </c>
      <c r="B122" s="528" t="s">
        <v>1113</v>
      </c>
      <c r="C122" s="528" t="s">
        <v>361</v>
      </c>
      <c r="P122" s="538" t="s">
        <v>1254</v>
      </c>
    </row>
    <row r="123" spans="1:16" ht="16" thickBot="1">
      <c r="A123" s="534"/>
      <c r="B123" s="869"/>
      <c r="C123" s="535"/>
      <c r="D123" s="536"/>
      <c r="E123" s="536"/>
      <c r="F123" s="536"/>
      <c r="G123" s="536"/>
      <c r="H123" s="536"/>
      <c r="I123" s="536"/>
      <c r="J123" s="536"/>
      <c r="K123" s="536"/>
      <c r="L123" s="536"/>
      <c r="M123" s="536"/>
      <c r="N123" s="536"/>
      <c r="O123" s="536"/>
      <c r="P123" s="535"/>
    </row>
    <row r="124" spans="1:16" ht="16" thickBot="1">
      <c r="A124" s="1382" t="s">
        <v>633</v>
      </c>
      <c r="B124" s="528" t="s">
        <v>1113</v>
      </c>
      <c r="C124" s="528" t="s">
        <v>361</v>
      </c>
      <c r="P124" s="538" t="s">
        <v>1254</v>
      </c>
    </row>
    <row r="125" spans="1:16" ht="16" thickBot="1">
      <c r="A125" s="412"/>
      <c r="B125" s="869"/>
      <c r="C125" s="531" t="s">
        <v>3185</v>
      </c>
      <c r="D125" s="200"/>
      <c r="E125" s="200"/>
      <c r="F125" s="200"/>
      <c r="G125" s="200"/>
      <c r="H125" s="200"/>
      <c r="I125" s="200"/>
      <c r="J125" s="200"/>
      <c r="K125" s="200"/>
      <c r="L125" s="200"/>
      <c r="M125" s="200"/>
      <c r="N125" s="200"/>
      <c r="O125" s="200"/>
      <c r="P125" s="531" t="s">
        <v>1268</v>
      </c>
    </row>
    <row r="126" spans="1:16" ht="16" thickBot="1">
      <c r="A126" s="1382" t="s">
        <v>635</v>
      </c>
      <c r="B126" s="528" t="s">
        <v>1113</v>
      </c>
      <c r="C126" s="528" t="s">
        <v>361</v>
      </c>
      <c r="P126" s="538" t="s">
        <v>1254</v>
      </c>
    </row>
    <row r="127" spans="1:16">
      <c r="A127" s="412"/>
      <c r="B127" s="869"/>
      <c r="C127" s="531" t="s">
        <v>3377</v>
      </c>
      <c r="D127" s="200"/>
      <c r="E127" s="200"/>
      <c r="F127" s="200"/>
      <c r="G127" s="200"/>
      <c r="H127" s="200"/>
      <c r="I127" s="200"/>
      <c r="J127" s="200"/>
      <c r="K127" s="200"/>
      <c r="L127" s="200"/>
      <c r="M127" s="200"/>
      <c r="N127" s="200"/>
      <c r="O127" s="200"/>
      <c r="P127" s="531" t="s">
        <v>2075</v>
      </c>
    </row>
    <row r="128" spans="1:16">
      <c r="A128" s="405"/>
      <c r="B128" s="733"/>
      <c r="C128" s="1639" t="s">
        <v>3378</v>
      </c>
      <c r="P128" s="1639" t="s">
        <v>2074</v>
      </c>
    </row>
    <row r="129" spans="1:16">
      <c r="A129" s="405"/>
      <c r="B129" s="733"/>
      <c r="C129" s="878" t="s">
        <v>2076</v>
      </c>
      <c r="P129" s="877"/>
    </row>
    <row r="130" spans="1:16">
      <c r="A130" s="405"/>
      <c r="B130" s="733"/>
      <c r="C130" s="878" t="s">
        <v>2077</v>
      </c>
      <c r="P130" s="877"/>
    </row>
    <row r="131" spans="1:16">
      <c r="A131" s="405"/>
      <c r="B131" s="733"/>
      <c r="C131" s="878" t="s">
        <v>2078</v>
      </c>
      <c r="P131" s="877"/>
    </row>
    <row r="132" spans="1:16">
      <c r="A132" s="415"/>
      <c r="B132" s="873"/>
      <c r="C132" s="532" t="s">
        <v>2079</v>
      </c>
      <c r="P132" s="532"/>
    </row>
    <row r="133" spans="1:16">
      <c r="B133" s="874"/>
    </row>
    <row r="134" spans="1:16" ht="16" thickBot="1">
      <c r="A134" s="541" t="s">
        <v>1287</v>
      </c>
      <c r="B134" s="874"/>
    </row>
    <row r="135" spans="1:16" ht="16" thickBot="1">
      <c r="A135" s="1382" t="s">
        <v>1274</v>
      </c>
      <c r="B135" s="528" t="s">
        <v>1113</v>
      </c>
      <c r="C135" s="528" t="s">
        <v>361</v>
      </c>
      <c r="D135" s="200"/>
      <c r="E135" s="200"/>
      <c r="F135" s="200"/>
      <c r="G135" s="200"/>
      <c r="H135" s="200"/>
      <c r="I135" s="200"/>
      <c r="J135" s="200"/>
      <c r="K135" s="200"/>
      <c r="L135" s="200"/>
      <c r="M135" s="200"/>
      <c r="N135" s="200"/>
      <c r="O135" s="200"/>
      <c r="P135" s="538" t="s">
        <v>1254</v>
      </c>
    </row>
    <row r="136" spans="1:16" ht="16" thickBot="1">
      <c r="A136" s="534"/>
      <c r="B136" s="870"/>
      <c r="C136" s="850"/>
      <c r="D136" s="536"/>
      <c r="E136" s="536"/>
      <c r="F136" s="536"/>
      <c r="G136" s="536"/>
      <c r="H136" s="536"/>
      <c r="I136" s="536"/>
      <c r="J136" s="536"/>
      <c r="K136" s="536"/>
      <c r="L136" s="536"/>
      <c r="M136" s="536"/>
      <c r="N136" s="536"/>
      <c r="O136" s="536"/>
      <c r="P136" s="850"/>
    </row>
    <row r="137" spans="1:16">
      <c r="A137" s="472"/>
      <c r="B137" s="465"/>
      <c r="C137" s="540"/>
      <c r="P137" s="540"/>
    </row>
    <row r="138" spans="1:16" ht="16" thickBot="1">
      <c r="A138" s="541" t="s">
        <v>1286</v>
      </c>
      <c r="B138" s="874"/>
    </row>
    <row r="139" spans="1:16" ht="16" thickBot="1">
      <c r="A139" s="1382" t="s">
        <v>1285</v>
      </c>
      <c r="B139" s="528" t="s">
        <v>1113</v>
      </c>
      <c r="C139" s="528" t="s">
        <v>361</v>
      </c>
      <c r="P139" s="538" t="s">
        <v>1254</v>
      </c>
    </row>
    <row r="140" spans="1:16">
      <c r="A140" s="412"/>
      <c r="B140" s="869"/>
      <c r="C140" s="531" t="s">
        <v>2042</v>
      </c>
      <c r="D140" s="200"/>
      <c r="E140" s="200"/>
      <c r="F140" s="200"/>
      <c r="G140" s="200"/>
      <c r="H140" s="200"/>
      <c r="I140" s="200"/>
      <c r="J140" s="200"/>
      <c r="K140" s="200"/>
      <c r="L140" s="200"/>
      <c r="M140" s="200"/>
      <c r="N140" s="200"/>
      <c r="O140" s="200"/>
      <c r="P140" s="531" t="s">
        <v>3197</v>
      </c>
    </row>
    <row r="141" spans="1:16">
      <c r="A141" s="415"/>
      <c r="B141" s="415"/>
      <c r="C141" s="532" t="s">
        <v>1281</v>
      </c>
      <c r="P141" s="532" t="s">
        <v>1279</v>
      </c>
    </row>
    <row r="142" spans="1:16">
      <c r="A142" s="415"/>
      <c r="B142" s="415"/>
      <c r="C142" s="532" t="s">
        <v>1282</v>
      </c>
      <c r="P142" s="532" t="s">
        <v>1280</v>
      </c>
    </row>
    <row r="143" spans="1:16">
      <c r="A143" s="415"/>
      <c r="B143" s="415"/>
      <c r="C143" s="532" t="s">
        <v>1283</v>
      </c>
      <c r="P143" s="532"/>
    </row>
    <row r="144" spans="1:16">
      <c r="A144" s="467"/>
      <c r="B144" s="467"/>
      <c r="C144" s="539" t="s">
        <v>3198</v>
      </c>
      <c r="P144" s="539"/>
    </row>
    <row r="145" spans="1:16">
      <c r="A145" s="467"/>
      <c r="B145" s="467"/>
      <c r="C145" s="539" t="s">
        <v>1284</v>
      </c>
      <c r="P145" s="539"/>
    </row>
    <row r="146" spans="1:16">
      <c r="A146" s="467"/>
      <c r="B146" s="467"/>
      <c r="C146" s="539" t="s">
        <v>3199</v>
      </c>
      <c r="P146" s="539"/>
    </row>
    <row r="147" spans="1:16">
      <c r="A147" s="467"/>
      <c r="B147" s="467"/>
      <c r="C147" s="539" t="s">
        <v>3200</v>
      </c>
      <c r="P147" s="539"/>
    </row>
    <row r="148" spans="1:16">
      <c r="A148" s="467"/>
      <c r="B148" s="467"/>
      <c r="C148" s="539" t="s">
        <v>2817</v>
      </c>
      <c r="P148" s="539"/>
    </row>
    <row r="149" spans="1:16">
      <c r="A149" s="467"/>
      <c r="B149" s="467"/>
      <c r="C149" s="539" t="s">
        <v>3401</v>
      </c>
      <c r="P149" s="539"/>
    </row>
    <row r="150" spans="1:16" ht="16" thickBot="1">
      <c r="A150" s="529"/>
      <c r="B150" s="529"/>
      <c r="C150" s="533" t="s">
        <v>2872</v>
      </c>
      <c r="D150" s="530"/>
      <c r="E150" s="530"/>
      <c r="F150" s="530"/>
      <c r="G150" s="530"/>
      <c r="H150" s="530"/>
      <c r="I150" s="530"/>
      <c r="J150" s="530"/>
      <c r="K150" s="530"/>
      <c r="L150" s="530"/>
      <c r="M150" s="530"/>
      <c r="N150" s="530"/>
      <c r="O150" s="530"/>
      <c r="P150" s="533"/>
    </row>
    <row r="152" spans="1:16" ht="16" thickBot="1">
      <c r="A152" s="541" t="s">
        <v>3380</v>
      </c>
      <c r="B152" s="874"/>
    </row>
    <row r="153" spans="1:16" ht="16" thickBot="1">
      <c r="A153" s="1382" t="s">
        <v>3381</v>
      </c>
      <c r="B153" s="528" t="s">
        <v>1113</v>
      </c>
      <c r="C153" s="528" t="s">
        <v>361</v>
      </c>
      <c r="P153" s="538" t="s">
        <v>1254</v>
      </c>
    </row>
    <row r="154" spans="1:16">
      <c r="A154" s="412"/>
      <c r="B154" s="869"/>
      <c r="C154" s="531" t="s">
        <v>3384</v>
      </c>
      <c r="D154" s="200"/>
      <c r="E154" s="200"/>
      <c r="F154" s="200"/>
      <c r="G154" s="200"/>
      <c r="H154" s="200"/>
      <c r="I154" s="200"/>
      <c r="J154" s="200"/>
      <c r="K154" s="200"/>
      <c r="L154" s="200"/>
      <c r="M154" s="200"/>
      <c r="N154" s="200"/>
      <c r="O154" s="200"/>
      <c r="P154" s="531" t="s">
        <v>3388</v>
      </c>
    </row>
    <row r="155" spans="1:16">
      <c r="A155" s="415"/>
      <c r="B155" s="415"/>
      <c r="C155" s="532" t="s">
        <v>3385</v>
      </c>
      <c r="P155" s="532" t="s">
        <v>3389</v>
      </c>
    </row>
    <row r="156" spans="1:16">
      <c r="A156" s="415"/>
      <c r="B156" s="415"/>
      <c r="C156" s="532" t="s">
        <v>3386</v>
      </c>
      <c r="P156" s="532" t="s">
        <v>3390</v>
      </c>
    </row>
    <row r="157" spans="1:16">
      <c r="A157" s="415"/>
      <c r="B157" s="415"/>
      <c r="C157" s="532" t="s">
        <v>3387</v>
      </c>
      <c r="P157" s="532" t="s">
        <v>3382</v>
      </c>
    </row>
    <row r="158" spans="1:16">
      <c r="A158" s="467"/>
      <c r="B158" s="467"/>
      <c r="C158" s="539" t="s">
        <v>3391</v>
      </c>
      <c r="P158" s="539" t="s">
        <v>3383</v>
      </c>
    </row>
    <row r="159" spans="1:16">
      <c r="A159" s="467"/>
      <c r="B159" s="467"/>
      <c r="C159" s="539" t="s">
        <v>3392</v>
      </c>
      <c r="P159" s="539"/>
    </row>
    <row r="160" spans="1:16">
      <c r="A160" s="467"/>
      <c r="B160" s="467"/>
      <c r="C160" s="539" t="s">
        <v>3393</v>
      </c>
      <c r="P160" s="539"/>
    </row>
    <row r="161" spans="1:16">
      <c r="A161" s="467"/>
      <c r="B161" s="467"/>
      <c r="C161" s="539" t="s">
        <v>3394</v>
      </c>
      <c r="P161" s="539"/>
    </row>
    <row r="162" spans="1:16">
      <c r="A162" s="467"/>
      <c r="B162" s="467"/>
      <c r="C162" s="539" t="s">
        <v>3395</v>
      </c>
      <c r="P162" s="539"/>
    </row>
    <row r="163" spans="1:16" ht="16" thickBot="1">
      <c r="A163" s="529"/>
      <c r="B163" s="529"/>
      <c r="C163" s="533" t="s">
        <v>3396</v>
      </c>
      <c r="D163" s="530"/>
      <c r="E163" s="530"/>
      <c r="F163" s="530"/>
      <c r="G163" s="530"/>
      <c r="H163" s="530"/>
      <c r="I163" s="530"/>
      <c r="J163" s="530"/>
      <c r="K163" s="530"/>
      <c r="L163" s="530"/>
      <c r="M163" s="530"/>
      <c r="N163" s="530"/>
      <c r="O163" s="530"/>
      <c r="P163" s="533"/>
    </row>
  </sheetData>
  <mergeCells count="4">
    <mergeCell ref="A18:A21"/>
    <mergeCell ref="A22:A25"/>
    <mergeCell ref="A26:A29"/>
    <mergeCell ref="C33:C38"/>
  </mergeCells>
  <phoneticPr fontId="2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20</vt:i4>
      </vt:variant>
      <vt:variant>
        <vt:lpstr>已命名的範圍</vt:lpstr>
      </vt:variant>
      <vt:variant>
        <vt:i4>3</vt:i4>
      </vt:variant>
    </vt:vector>
  </HeadingPairs>
  <TitlesOfParts>
    <vt:vector size="23" baseType="lpstr">
      <vt:lpstr>計價表</vt:lpstr>
      <vt:lpstr>大團報價單</vt:lpstr>
      <vt:lpstr>小團No FOC報價單</vt:lpstr>
      <vt:lpstr>換算</vt:lpstr>
      <vt:lpstr>Frankenland_Czech_2019</vt:lpstr>
      <vt:lpstr>Austria EF_2019</vt:lpstr>
      <vt:lpstr>EETS_Prague_2019</vt:lpstr>
      <vt:lpstr>HUNGARY 2017-2019</vt:lpstr>
      <vt:lpstr>Croatia-Slovenia-Balk 2017-2019</vt:lpstr>
      <vt:lpstr>Slovakian Entrance + Meal fees</vt:lpstr>
      <vt:lpstr>Germany LU 2020</vt:lpstr>
      <vt:lpstr>Germany LU 2019</vt:lpstr>
      <vt:lpstr>Germany Meals 2016-2017+EF 2019</vt:lpstr>
      <vt:lpstr>Coach_2019</vt:lpstr>
      <vt:lpstr>Jungfrau_2019 +Swiss meals 2018</vt:lpstr>
      <vt:lpstr>POLAND EF</vt:lpstr>
      <vt:lpstr>NH Germany 2020</vt:lpstr>
      <vt:lpstr>Major French+Italian entrances</vt:lpstr>
      <vt:lpstr>SHA_ 新大团报价单</vt:lpstr>
      <vt:lpstr>SHA 新小团报价单</vt:lpstr>
      <vt:lpstr>大團報價單!Print_Area</vt:lpstr>
      <vt:lpstr>'小團No FOC報價單'!Print_Area</vt:lpstr>
      <vt:lpstr>計價表!Print_Area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QUOTATION</dc:title>
  <dc:creator>zsuzsi</dc:creator>
  <cp:lastModifiedBy>user</cp:lastModifiedBy>
  <cp:lastPrinted>2019-12-12T05:49:08Z</cp:lastPrinted>
  <dcterms:created xsi:type="dcterms:W3CDTF">1998-03-15T20:38:14Z</dcterms:created>
  <dcterms:modified xsi:type="dcterms:W3CDTF">2023-12-21T06:15:09Z</dcterms:modified>
</cp:coreProperties>
</file>