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259" documentId="8_{C954F6FF-A7F4-1E4C-BFDB-F2A3F4EB41E5}" xr6:coauthVersionLast="47" xr6:coauthVersionMax="47" xr10:uidLastSave="{B12C5D2D-4108-D446-845E-7AB7E97C822D}"/>
  <bookViews>
    <workbookView xWindow="78360" yWindow="-14640" windowWidth="11140" windowHeight="15620" xr2:uid="{DAADCE3C-37CB-FF42-9A4F-19E1361EA96C}"/>
  </bookViews>
  <sheets>
    <sheet name="Sheet1" sheetId="1" r:id="rId1"/>
  </sheets>
  <definedNames>
    <definedName name="solver_adj" localSheetId="0" hidden="1">Sheet1!$G$5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Sheet1!$G$6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8500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B29" i="1"/>
  <c r="C28" i="1"/>
  <c r="B28" i="1"/>
  <c r="C27" i="1"/>
  <c r="B27" i="1"/>
  <c r="C26" i="1"/>
  <c r="B26" i="1"/>
  <c r="E14" i="1"/>
  <c r="B20" i="1"/>
  <c r="B19" i="1"/>
  <c r="B18" i="1"/>
  <c r="C22" i="1"/>
  <c r="B13" i="1"/>
  <c r="B12" i="1"/>
  <c r="B14" i="1"/>
  <c r="I25" i="1"/>
  <c r="I24" i="1"/>
  <c r="I23" i="1"/>
  <c r="I22" i="1"/>
  <c r="H19" i="1"/>
  <c r="H18" i="1"/>
  <c r="H17" i="1"/>
  <c r="M14" i="1"/>
  <c r="M12" i="1"/>
  <c r="J3" i="1"/>
  <c r="L5" i="1"/>
  <c r="L4" i="1"/>
  <c r="L3" i="1"/>
  <c r="M5" i="1"/>
  <c r="M8" i="1"/>
  <c r="M7" i="1"/>
  <c r="K11" i="1"/>
  <c r="K8" i="1"/>
  <c r="J10" i="1"/>
  <c r="J11" i="1" s="1"/>
  <c r="J9" i="1"/>
  <c r="H9" i="1"/>
  <c r="J6" i="1"/>
  <c r="G9" i="1"/>
  <c r="G6" i="1"/>
  <c r="F4" i="1"/>
  <c r="F3" i="1"/>
  <c r="B8" i="1"/>
  <c r="B6" i="1"/>
  <c r="B5" i="1"/>
  <c r="B7" i="1" s="1"/>
  <c r="B2" i="1"/>
  <c r="E12" i="1"/>
  <c r="E11" i="1"/>
  <c r="E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Verdana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9" fontId="0" fillId="0" borderId="0" xfId="0" applyNumberFormat="1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0469-AA4E-C943-9926-F6D2A81BE3AC}">
  <dimension ref="A2:M37"/>
  <sheetViews>
    <sheetView tabSelected="1" topLeftCell="A16" zoomScale="112" workbookViewId="0">
      <selection activeCell="C38" sqref="C38"/>
    </sheetView>
  </sheetViews>
  <sheetFormatPr baseColWidth="10" defaultRowHeight="16" x14ac:dyDescent="0.2"/>
  <cols>
    <col min="2" max="2" width="23.33203125" bestFit="1" customWidth="1"/>
    <col min="4" max="4" width="11.5" bestFit="1" customWidth="1"/>
    <col min="5" max="5" width="13.33203125" bestFit="1" customWidth="1"/>
    <col min="6" max="6" width="19.6640625" bestFit="1" customWidth="1"/>
    <col min="9" max="9" width="12.5" bestFit="1" customWidth="1"/>
    <col min="10" max="10" width="11.83203125" bestFit="1" customWidth="1"/>
  </cols>
  <sheetData>
    <row r="2" spans="2:13" x14ac:dyDescent="0.2">
      <c r="B2" s="1">
        <f>-FV(0.07/365,273.75,0,10000)</f>
        <v>10538.972571647793</v>
      </c>
    </row>
    <row r="3" spans="2:13" x14ac:dyDescent="0.2">
      <c r="F3" s="1">
        <f>FV(0.045,392,0,24)</f>
        <v>-747820036.23545086</v>
      </c>
      <c r="J3" s="1">
        <f>FV(0.09,5,-3116.4,20000,0)</f>
        <v>-12121.726952995992</v>
      </c>
      <c r="L3">
        <f>NPER(0.01,-30,250,0)</f>
        <v>8.7445712382444132</v>
      </c>
    </row>
    <row r="4" spans="2:13" x14ac:dyDescent="0.2">
      <c r="F4" s="1">
        <f>SUM(F3)</f>
        <v>-747820036.23545086</v>
      </c>
      <c r="L4" s="1">
        <f>PMT(0.01,12,250,0,0)</f>
        <v>-22.212197169585419</v>
      </c>
    </row>
    <row r="5" spans="2:13" x14ac:dyDescent="0.2">
      <c r="B5" s="1">
        <f>-PMT(0.12/12,30*12,900000)</f>
        <v>9257.5133723295403</v>
      </c>
      <c r="C5">
        <v>100000</v>
      </c>
      <c r="G5">
        <v>19</v>
      </c>
      <c r="L5" s="1">
        <f>PMT(0.09,10,20000,0,0)</f>
        <v>-3116.401798180676</v>
      </c>
      <c r="M5" s="1">
        <f>PV(0.1/12, 12, -55, 0, 1)</f>
        <v>630.81127974333572</v>
      </c>
    </row>
    <row r="6" spans="2:13" x14ac:dyDescent="0.2">
      <c r="B6" s="1">
        <f>-PMT(0.12/12,15*12,900000)</f>
        <v>10801.512558823622</v>
      </c>
      <c r="C6">
        <v>20000</v>
      </c>
      <c r="G6" s="1">
        <f>PV(0.076,G5,800,0,1)</f>
        <v>-8510.1675576032849</v>
      </c>
      <c r="J6" s="2">
        <f>RATE(36, -6000, 0, 1000000)</f>
        <v>7.4959596895445943E-2</v>
      </c>
    </row>
    <row r="7" spans="2:13" x14ac:dyDescent="0.2">
      <c r="B7" s="1">
        <f>B5-B6</f>
        <v>-1543.9991864940821</v>
      </c>
      <c r="C7">
        <v>480000</v>
      </c>
      <c r="E7" s="1">
        <f>NPV(0.09,C5,C6,C7,C8,C9)</f>
        <v>1155478.3970041254</v>
      </c>
      <c r="G7">
        <v>8500</v>
      </c>
      <c r="M7" s="1">
        <f>FV(0.12,12,-50,0,1)</f>
        <v>1351.4554631885903</v>
      </c>
    </row>
    <row r="8" spans="2:13" x14ac:dyDescent="0.2">
      <c r="B8" s="1">
        <f>-PMT(0.06,4,20000)</f>
        <v>5771.8298474654684</v>
      </c>
      <c r="C8">
        <v>450000</v>
      </c>
      <c r="K8" s="1">
        <f>PMT(0.075,31.9532,0,1000000)</f>
        <v>-8256.9479406292776</v>
      </c>
      <c r="M8" s="1">
        <f>PV(0.01, 12, -50, 0, 1)</f>
        <v>568.38141241097401</v>
      </c>
    </row>
    <row r="9" spans="2:13" x14ac:dyDescent="0.2">
      <c r="C9">
        <v>550000</v>
      </c>
      <c r="G9">
        <f>NPER(0.075,-6000,0,1000000)</f>
        <v>35.988189662490647</v>
      </c>
      <c r="H9">
        <f>NPER(0.091,-6000,0,1000000)</f>
        <v>31.953164662905024</v>
      </c>
      <c r="J9" s="1">
        <f>FV(0.075,25,-6000,0)</f>
        <v>407867.16901717853</v>
      </c>
    </row>
    <row r="10" spans="2:13" x14ac:dyDescent="0.2">
      <c r="J10" s="1">
        <f>FV(0.091,25,-6000,0)</f>
        <v>515805.52710777806</v>
      </c>
    </row>
    <row r="11" spans="2:13" x14ac:dyDescent="0.2">
      <c r="E11">
        <f>EFFECT(0.154,4)</f>
        <v>0.16312396356506254</v>
      </c>
      <c r="J11" s="1">
        <f>J10-J9</f>
        <v>107938.35809059953</v>
      </c>
      <c r="K11" s="1">
        <f>PV(0.09,12,-50,0)</f>
        <v>358.03626383128574</v>
      </c>
    </row>
    <row r="12" spans="2:13" x14ac:dyDescent="0.2">
      <c r="B12">
        <f>EFFECT(0.065,12)</f>
        <v>6.6971852002543075E-2</v>
      </c>
      <c r="E12">
        <f>EFFECT(0.14,6)</f>
        <v>0.14842522869718722</v>
      </c>
      <c r="M12">
        <f>(ABS(CUMIPMT(1%, 60, 250, 1, 60, 1)) / (15 * 60)) * 100</f>
        <v>8.9292316032482493</v>
      </c>
    </row>
    <row r="13" spans="2:13" x14ac:dyDescent="0.2">
      <c r="B13">
        <f>EFFECT(0.079,1)</f>
        <v>7.8999999999999959E-2</v>
      </c>
    </row>
    <row r="14" spans="2:13" x14ac:dyDescent="0.2">
      <c r="B14">
        <f>B13-B12</f>
        <v>1.2028147997456884E-2</v>
      </c>
      <c r="E14" s="1">
        <f>-FV(0.08,7,0,22500)</f>
        <v>38561.046047539217</v>
      </c>
      <c r="K14" s="3">
        <v>0</v>
      </c>
      <c r="L14">
        <v>-3000</v>
      </c>
      <c r="M14" s="1">
        <f>NPV(0.09,L14,L15,L16,L17,L18,L19,L20,L21,L22)</f>
        <v>124.40316336362839</v>
      </c>
    </row>
    <row r="15" spans="2:13" x14ac:dyDescent="0.2">
      <c r="E15" s="1"/>
      <c r="K15" s="3">
        <v>1</v>
      </c>
      <c r="L15" s="3">
        <v>300</v>
      </c>
    </row>
    <row r="16" spans="2:13" x14ac:dyDescent="0.2">
      <c r="K16" s="3">
        <v>2</v>
      </c>
      <c r="L16" s="3">
        <v>400</v>
      </c>
    </row>
    <row r="17" spans="1:12" x14ac:dyDescent="0.2">
      <c r="B17">
        <v>9400</v>
      </c>
      <c r="D17" s="1"/>
      <c r="H17" s="1">
        <f>NPV(0.08,2000,3000,4000,5000,6000)+1000</f>
        <v>16357.845723022663</v>
      </c>
      <c r="K17" s="3">
        <v>3</v>
      </c>
      <c r="L17" s="3">
        <v>600</v>
      </c>
    </row>
    <row r="18" spans="1:12" x14ac:dyDescent="0.2">
      <c r="B18" s="1">
        <f>B17*1.052</f>
        <v>9888.8000000000011</v>
      </c>
      <c r="D18" s="1"/>
      <c r="H18">
        <f>700000-83000</f>
        <v>617000</v>
      </c>
      <c r="K18" s="3">
        <v>4</v>
      </c>
      <c r="L18" s="3">
        <v>600</v>
      </c>
    </row>
    <row r="19" spans="1:12" x14ac:dyDescent="0.2">
      <c r="B19" s="1">
        <f>(B18+B17)*1.052</f>
        <v>20291.817600000006</v>
      </c>
      <c r="C19">
        <v>3500</v>
      </c>
      <c r="D19" s="4">
        <v>5.7000000000000002E-2</v>
      </c>
      <c r="E19">
        <v>4</v>
      </c>
      <c r="H19">
        <f>NPER(0.07,-83000,700000,0,1)</f>
        <v>11.859254320882913</v>
      </c>
      <c r="K19" s="3">
        <v>5</v>
      </c>
      <c r="L19" s="3">
        <v>800</v>
      </c>
    </row>
    <row r="20" spans="1:12" x14ac:dyDescent="0.2">
      <c r="B20" s="1">
        <f>(B19+B17)*1.052</f>
        <v>31235.792115200009</v>
      </c>
      <c r="D20" s="1"/>
      <c r="K20" s="3">
        <v>6</v>
      </c>
      <c r="L20" s="3">
        <v>800</v>
      </c>
    </row>
    <row r="21" spans="1:12" x14ac:dyDescent="0.2">
      <c r="B21" s="1"/>
      <c r="D21" s="1"/>
      <c r="K21" s="3">
        <v>7</v>
      </c>
      <c r="L21" s="3">
        <v>800</v>
      </c>
    </row>
    <row r="22" spans="1:12" x14ac:dyDescent="0.2">
      <c r="C22" s="1">
        <f>FV(0.057,4,-3500)</f>
        <v>15243.134175499998</v>
      </c>
      <c r="I22" s="1">
        <f>FV(0.05,10,0,20000,0)</f>
        <v>-32577.892535548832</v>
      </c>
      <c r="K22" s="3">
        <v>8</v>
      </c>
      <c r="L22" s="3">
        <v>400</v>
      </c>
    </row>
    <row r="23" spans="1:12" x14ac:dyDescent="0.2">
      <c r="C23" s="1"/>
      <c r="I23" s="1">
        <f>FV(0.03,10,0,200000,0)</f>
        <v>-268783.27586882433</v>
      </c>
    </row>
    <row r="24" spans="1:12" x14ac:dyDescent="0.2">
      <c r="B24">
        <v>22500</v>
      </c>
      <c r="I24" s="1">
        <f>(I23-I22)-20000</f>
        <v>-256205.3833332755</v>
      </c>
    </row>
    <row r="25" spans="1:12" x14ac:dyDescent="0.2">
      <c r="B25">
        <v>1.08</v>
      </c>
      <c r="I25" s="1">
        <f>PMT(0.05,10,0,I24,0)</f>
        <v>20369.500105773965</v>
      </c>
    </row>
    <row r="26" spans="1:12" x14ac:dyDescent="0.2">
      <c r="A26">
        <v>1</v>
      </c>
      <c r="B26">
        <f>B24*B25</f>
        <v>24300</v>
      </c>
      <c r="C26">
        <f>B26-2500</f>
        <v>21800</v>
      </c>
    </row>
    <row r="27" spans="1:12" x14ac:dyDescent="0.2">
      <c r="A27">
        <v>2</v>
      </c>
      <c r="B27">
        <f>B25*C26</f>
        <v>23544</v>
      </c>
      <c r="C27">
        <f>B27-5000</f>
        <v>18544</v>
      </c>
    </row>
    <row r="28" spans="1:12" x14ac:dyDescent="0.2">
      <c r="A28">
        <v>3</v>
      </c>
      <c r="B28">
        <f>C27*B25</f>
        <v>20027.52</v>
      </c>
      <c r="C28">
        <f>B28-7500</f>
        <v>12527.52</v>
      </c>
    </row>
    <row r="29" spans="1:12" x14ac:dyDescent="0.2">
      <c r="A29">
        <v>4</v>
      </c>
      <c r="B29">
        <f>12527.52*B25</f>
        <v>13529.721600000001</v>
      </c>
    </row>
    <row r="30" spans="1:12" x14ac:dyDescent="0.2">
      <c r="A30">
        <v>5</v>
      </c>
    </row>
    <row r="31" spans="1:12" x14ac:dyDescent="0.2">
      <c r="A31">
        <v>6</v>
      </c>
    </row>
    <row r="32" spans="1:12" x14ac:dyDescent="0.2">
      <c r="A32">
        <v>7</v>
      </c>
    </row>
    <row r="33" spans="3:4" x14ac:dyDescent="0.2">
      <c r="D33" s="1">
        <f>PV(0.1,1,1,0,0)</f>
        <v>-0.90909090909090984</v>
      </c>
    </row>
    <row r="34" spans="3:4" x14ac:dyDescent="0.2">
      <c r="D34" s="1">
        <f>FV(0.1,1,1,0,0)</f>
        <v>-1.0000000000000009</v>
      </c>
    </row>
    <row r="37" spans="3:4" x14ac:dyDescent="0.2">
      <c r="C37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2025-02-10T01:14:35Z</dcterms:created>
  <dcterms:modified xsi:type="dcterms:W3CDTF">2025-03-19T00:56:44Z</dcterms:modified>
</cp:coreProperties>
</file>