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8700" activeTab="9"/>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cyb" sheetId="14" r:id="rId9"/>
    <sheet name="红利" sheetId="17" r:id="rId10"/>
  </sheets>
  <externalReferences>
    <externalReference r:id="rId11"/>
  </externalReferences>
  <calcPr calcId="124519"/>
</workbook>
</file>

<file path=xl/calcChain.xml><?xml version="1.0" encoding="utf-8"?>
<calcChain xmlns="http://schemas.openxmlformats.org/spreadsheetml/2006/main">
  <c r="E3" i="10"/>
  <c r="E4"/>
  <c r="E5"/>
  <c r="E6"/>
  <c r="E7"/>
  <c r="E8"/>
  <c r="E9"/>
  <c r="E10"/>
  <c r="E11"/>
  <c r="E12"/>
  <c r="E13"/>
  <c r="E14"/>
  <c r="E15"/>
  <c r="E16"/>
  <c r="E17"/>
  <c r="E18"/>
  <c r="E19"/>
  <c r="E20"/>
  <c r="E21"/>
  <c r="E22"/>
  <c r="E23"/>
  <c r="E24"/>
  <c r="E25"/>
  <c r="E26"/>
  <c r="E27"/>
  <c r="E28"/>
  <c r="E29"/>
  <c r="E30"/>
  <c r="E31"/>
  <c r="E32"/>
  <c r="E2"/>
  <c r="E3" i="12"/>
  <c r="E4"/>
  <c r="E2"/>
  <c r="E5"/>
  <c r="E6"/>
  <c r="E7"/>
  <c r="E8"/>
  <c r="E9"/>
  <c r="E10"/>
  <c r="E11"/>
  <c r="E12"/>
  <c r="E13"/>
  <c r="E14"/>
  <c r="E15"/>
  <c r="E16"/>
  <c r="E17"/>
  <c r="E18"/>
  <c r="E19"/>
  <c r="E20"/>
  <c r="E21"/>
  <c r="E2" i="17"/>
  <c r="E3" i="14"/>
  <c r="E4"/>
  <c r="E2"/>
  <c r="E5"/>
  <c r="E6"/>
  <c r="E7"/>
  <c r="E8"/>
  <c r="E9"/>
  <c r="E10"/>
  <c r="E11"/>
  <c r="E12"/>
  <c r="E13"/>
  <c r="E14"/>
  <c r="E15"/>
  <c r="E16"/>
  <c r="D2" i="17"/>
  <c r="D3" i="14"/>
  <c r="D4"/>
  <c r="D5"/>
  <c r="D6"/>
  <c r="D7"/>
  <c r="D8"/>
  <c r="D9"/>
  <c r="D10"/>
  <c r="D11"/>
  <c r="D12"/>
  <c r="D13"/>
  <c r="D14"/>
  <c r="D15"/>
  <c r="D16"/>
  <c r="D3" i="12"/>
  <c r="D4"/>
  <c r="D5"/>
  <c r="D6"/>
  <c r="D7"/>
  <c r="D8"/>
  <c r="D9"/>
  <c r="D10"/>
  <c r="D11"/>
  <c r="D12"/>
  <c r="D13"/>
  <c r="D14"/>
  <c r="D15"/>
  <c r="D16"/>
  <c r="D17"/>
  <c r="D18"/>
  <c r="D19"/>
  <c r="D20"/>
  <c r="D21"/>
  <c r="F11" i="13" l="1"/>
  <c r="F12"/>
  <c r="F13"/>
  <c r="F14"/>
  <c r="F15"/>
  <c r="F16"/>
  <c r="F17"/>
  <c r="F18"/>
  <c r="F19"/>
  <c r="F20"/>
  <c r="F21"/>
  <c r="F22"/>
  <c r="F23"/>
  <c r="F24"/>
  <c r="F25"/>
  <c r="F10"/>
  <c r="E33" i="10"/>
  <c r="E34"/>
  <c r="E35"/>
  <c r="E36"/>
  <c r="E37"/>
  <c r="E38"/>
  <c r="E39"/>
  <c r="E40"/>
  <c r="E41"/>
  <c r="E42"/>
  <c r="E43"/>
  <c r="J35" i="3" l="1"/>
  <c r="J31"/>
  <c r="J32"/>
  <c r="G43"/>
  <c r="E43"/>
  <c r="G40"/>
  <c r="G41"/>
  <c r="G39"/>
  <c r="E41"/>
  <c r="E39"/>
  <c r="E40"/>
  <c r="E42"/>
  <c r="G42"/>
  <c r="E68"/>
  <c r="E69"/>
  <c r="E70"/>
  <c r="E73"/>
  <c r="E74"/>
  <c r="E75"/>
  <c r="E78"/>
  <c r="E79"/>
  <c r="E80"/>
  <c r="D28" i="10"/>
  <c r="D29"/>
  <c r="D30"/>
  <c r="D31"/>
  <c r="D32"/>
  <c r="D33"/>
  <c r="D34"/>
  <c r="D35"/>
  <c r="D36"/>
  <c r="D37"/>
  <c r="D38"/>
  <c r="D39"/>
  <c r="D40"/>
  <c r="D41"/>
  <c r="D42"/>
  <c r="D43"/>
  <c r="D2" i="14"/>
  <c r="H26" i="13"/>
  <c r="I25"/>
  <c r="G25"/>
  <c r="I24"/>
  <c r="G24"/>
  <c r="I23"/>
  <c r="G23"/>
  <c r="I22"/>
  <c r="G22"/>
  <c r="I21"/>
  <c r="G21"/>
  <c r="I20"/>
  <c r="G20"/>
  <c r="I19"/>
  <c r="G19"/>
  <c r="I18"/>
  <c r="G18"/>
  <c r="I17"/>
  <c r="G17"/>
  <c r="I16"/>
  <c r="G16"/>
  <c r="I15"/>
  <c r="G15"/>
  <c r="I14"/>
  <c r="G14"/>
  <c r="I13"/>
  <c r="G13"/>
  <c r="I12"/>
  <c r="G12"/>
  <c r="I11"/>
  <c r="G11"/>
  <c r="I10"/>
  <c r="G10"/>
  <c r="D2" i="12"/>
  <c r="D24" i="10"/>
  <c r="D25"/>
  <c r="D26"/>
  <c r="D27"/>
  <c r="D23"/>
  <c r="D13"/>
  <c r="D12"/>
  <c r="D11"/>
  <c r="D10"/>
  <c r="J33" i="3"/>
  <c r="J43"/>
  <c r="J42"/>
  <c r="J41"/>
  <c r="J45"/>
  <c r="D7" i="10"/>
  <c r="D8"/>
  <c r="D9"/>
  <c r="J34" i="3" l="1"/>
  <c r="J30" s="1"/>
  <c r="J13" i="13"/>
  <c r="J21"/>
  <c r="J17"/>
  <c r="J24"/>
  <c r="J20"/>
  <c r="J16"/>
  <c r="J12"/>
  <c r="J10"/>
  <c r="J22"/>
  <c r="J18"/>
  <c r="J14"/>
  <c r="J25"/>
  <c r="J23"/>
  <c r="J19"/>
  <c r="J15"/>
  <c r="J11"/>
  <c r="J40" i="3"/>
  <c r="K41" s="1"/>
  <c r="D3" i="10"/>
  <c r="D4"/>
  <c r="D5"/>
  <c r="D6"/>
  <c r="D2"/>
  <c r="K43" i="3" l="1"/>
  <c r="K44"/>
  <c r="K42"/>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3" i="3" l="1"/>
  <c r="S9" i="9"/>
  <c r="S17"/>
  <c r="S12"/>
  <c r="S11"/>
  <c r="S13"/>
  <c r="K34" i="3" l="1"/>
  <c r="K31"/>
  <c r="K32"/>
</calcChain>
</file>

<file path=xl/sharedStrings.xml><?xml version="1.0" encoding="utf-8"?>
<sst xmlns="http://schemas.openxmlformats.org/spreadsheetml/2006/main" count="261" uniqueCount="190">
  <si>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</si>
  <si>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</si>
  <si>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</si>
  <si>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</si>
  <si>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</si>
  <si>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</si>
  <si>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</si>
  <si>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</si>
  <si>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</si>
  <si>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</si>
  <si>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</si>
  <si>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</si>
  <si>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</si>
  <si>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</si>
  <si>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</si>
  <si>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</si>
  <si>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</si>
  <si>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</si>
  <si>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</si>
  <si>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</si>
  <si>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</si>
  <si>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</si>
  <si>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</si>
  <si>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</si>
  <si>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</si>
  <si>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</si>
  <si>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</si>
  <si>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</si>
  <si>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</si>
  <si>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</si>
  <si>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</si>
  <si>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</si>
  <si>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</si>
  <si>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</si>
  <si>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</si>
  <si>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</si>
  <si>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</si>
  <si>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</si>
  <si>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</si>
  <si>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</si>
  <si>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</si>
  <si>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</si>
  <si>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</si>
  <si>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</si>
  <si>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</si>
  <si>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</si>
  <si>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</si>
  <si>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</si>
  <si>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</si>
  <si>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</si>
  <si>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</si>
  <si>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</si>
  <si>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</si>
  <si>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</si>
  <si>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</si>
  <si>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</si>
  <si>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</si>
  <si>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</si>
  <si>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</si>
  <si>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</si>
  <si>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</si>
  <si>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</si>
  <si>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</si>
  <si>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</si>
  <si>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</si>
  <si>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</si>
  <si>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</si>
  <si>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</si>
  <si>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</si>
  <si>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</si>
  <si>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</si>
  <si>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</si>
  <si>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</si>
  <si>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</si>
  <si>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</si>
  <si>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</si>
  <si>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</si>
  <si>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</si>
  <si>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</si>
  <si>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</si>
  <si>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</si>
  <si>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</si>
  <si>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</si>
  <si>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</si>
  <si>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</si>
  <si>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</si>
  <si>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</si>
  <si>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</si>
  <si>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</si>
  <si>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</si>
  <si>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</si>
  <si>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</si>
  <si>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</si>
  <si>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</si>
  <si>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</si>
  <si>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</si>
  <si>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</si>
  <si>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</si>
  <si>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</si>
  <si>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</si>
  <si>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</si>
  <si>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</si>
  <si>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</si>
  <si>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</si>
  <si>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</si>
  <si>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</si>
  <si>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</si>
  <si>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</si>
  <si>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</si>
  <si>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</si>
  <si>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</si>
  <si>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</si>
  <si>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</si>
  <si>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</si>
  <si>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</si>
  <si>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</si>
  <si>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</si>
  <si>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</si>
  <si>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</si>
  <si>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</si>
  <si>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</si>
  <si>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</si>
  <si>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</si>
  <si>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</si>
  <si>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</si>
  <si>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</si>
  <si>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</si>
  <si>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</si>
  <si>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</si>
  <si>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</si>
  <si>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</si>
  <si>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</si>
  <si>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</si>
  <si>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</si>
  <si>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</si>
  <si>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</si>
  <si>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</si>
  <si>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</si>
  <si>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</si>
  <si>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</si>
  <si>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</si>
  <si>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</si>
  <si>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</si>
  <si>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</si>
  <si>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</si>
  <si>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</si>
  <si>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</si>
  <si>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</si>
  <si>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</si>
  <si>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</si>
  <si>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</si>
  <si>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</si>
  <si>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</si>
  <si>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</si>
  <si>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</si>
  <si>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</si>
  <si>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</si>
  <si>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</si>
  <si>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</si>
  <si>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</si>
  <si>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</si>
  <si>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</si>
  <si>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</si>
  <si>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</si>
  <si>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</si>
  <si>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</si>
  <si>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</si>
  <si>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</si>
  <si>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</si>
  <si>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</si>
  <si>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</si>
  <si>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</si>
  <si>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</si>
  <si>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</si>
  <si>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</si>
  <si>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</si>
  <si>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</si>
  <si>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</si>
  <si>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</si>
  <si>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</si>
  <si>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</si>
  <si>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</si>
  <si>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</si>
  <si>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</si>
  <si>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</si>
  <si>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</si>
  <si>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</si>
  <si>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</si>
  <si>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600</t>
    <phoneticPr fontId="1" type="noConversion"/>
  </si>
  <si>
    <t>510300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</si>
</sst>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718;&#32423;&#34892;&#2477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股票指数"/>
      <sheetName val="开放式基金"/>
      <sheetName val="贵金属"/>
    </sheetNames>
    <definedNames>
      <definedName name="更新开放式基金净值"/>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dimension ref="A1:E25"/>
  <sheetViews>
    <sheetView tabSelected="1" workbookViewId="0">
      <selection activeCell="E2" sqref="E2"/>
    </sheetView>
  </sheetViews>
  <sheetFormatPr defaultRowHeight="13.5"/>
  <cols>
    <col min="1" max="1" width="15.25" customWidth="1"/>
    <col min="2" max="3" width="9.5" bestFit="1" customWidth="1"/>
  </cols>
  <sheetData>
    <row r="1" spans="1:5">
      <c r="B1" s="71" t="s">
        <v>150</v>
      </c>
      <c r="C1" s="71" t="s">
        <v>148</v>
      </c>
      <c r="E1" s="45" t="s">
        <v>149</v>
      </c>
    </row>
    <row r="2" spans="1:5">
      <c r="A2" s="14">
        <v>43516</v>
      </c>
      <c r="B2" s="72">
        <v>2682</v>
      </c>
      <c r="C2" s="45">
        <v>2693</v>
      </c>
      <c r="D2" s="45">
        <f>(C2-B2)</f>
        <v>11</v>
      </c>
      <c r="E2" s="45">
        <f>(D2)*100/(B2-784)*10</f>
        <v>5.7955742887249739</v>
      </c>
    </row>
    <row r="3" spans="1:5">
      <c r="A3" s="14">
        <v>43515</v>
      </c>
      <c r="B3" s="72"/>
      <c r="C3" s="45"/>
      <c r="D3" s="45"/>
      <c r="E3" s="45"/>
    </row>
    <row r="4" spans="1:5">
      <c r="A4" s="14">
        <v>43516</v>
      </c>
      <c r="B4" s="72"/>
      <c r="C4" s="45"/>
      <c r="D4" s="45"/>
      <c r="E4" s="45"/>
    </row>
    <row r="5" spans="1:5">
      <c r="A5" s="14">
        <v>43517</v>
      </c>
      <c r="B5" s="72"/>
      <c r="C5" s="45"/>
      <c r="D5" s="45"/>
      <c r="E5" s="45"/>
    </row>
    <row r="6" spans="1:5">
      <c r="A6" s="14">
        <v>43518</v>
      </c>
      <c r="B6" s="72"/>
      <c r="C6" s="45"/>
      <c r="D6" s="45"/>
      <c r="E6" s="45"/>
    </row>
    <row r="7" spans="1:5">
      <c r="A7" s="14">
        <v>43519</v>
      </c>
      <c r="B7" s="72"/>
      <c r="C7" s="45"/>
      <c r="D7" s="45"/>
      <c r="E7" s="45"/>
    </row>
    <row r="8" spans="1:5">
      <c r="A8" s="14">
        <v>43520</v>
      </c>
      <c r="B8" s="72"/>
      <c r="C8" s="45"/>
      <c r="D8" s="45"/>
      <c r="E8" s="45"/>
    </row>
    <row r="9" spans="1:5">
      <c r="A9" s="14">
        <v>43521</v>
      </c>
      <c r="B9" s="72"/>
      <c r="C9" s="45"/>
      <c r="D9" s="45"/>
      <c r="E9" s="45"/>
    </row>
    <row r="10" spans="1:5">
      <c r="A10" s="14">
        <v>43522</v>
      </c>
      <c r="B10" s="72"/>
      <c r="C10" s="45"/>
      <c r="D10" s="45"/>
      <c r="E10" s="45"/>
    </row>
    <row r="11" spans="1:5">
      <c r="A11" s="14">
        <v>43523</v>
      </c>
      <c r="B11" s="72"/>
      <c r="C11" s="45"/>
      <c r="D11" s="45"/>
      <c r="E11" s="45"/>
    </row>
    <row r="12" spans="1:5">
      <c r="A12" s="14">
        <v>43524</v>
      </c>
      <c r="B12" s="72"/>
      <c r="C12" s="45"/>
      <c r="D12" s="45"/>
      <c r="E12" s="45"/>
    </row>
    <row r="13" spans="1:5">
      <c r="A13" s="14">
        <v>43525</v>
      </c>
      <c r="B13" s="72"/>
      <c r="C13" s="45"/>
      <c r="D13" s="45"/>
      <c r="E13" s="45"/>
    </row>
    <row r="14" spans="1:5">
      <c r="A14" s="14">
        <v>43526</v>
      </c>
      <c r="B14" s="72"/>
      <c r="C14" s="45"/>
      <c r="D14" s="45"/>
      <c r="E14" s="45"/>
    </row>
    <row r="15" spans="1:5">
      <c r="A15" s="14">
        <v>43527</v>
      </c>
      <c r="B15" s="72"/>
      <c r="C15" s="45"/>
      <c r="D15" s="45"/>
      <c r="E15" s="45"/>
    </row>
    <row r="16" spans="1:5">
      <c r="A16" s="14">
        <v>43528</v>
      </c>
      <c r="B16" s="72"/>
      <c r="C16" s="45"/>
      <c r="D16" s="45"/>
    </row>
    <row r="17" spans="1:4">
      <c r="A17" s="14">
        <v>43529</v>
      </c>
      <c r="B17" s="72"/>
      <c r="C17" s="45"/>
      <c r="D17" s="45"/>
    </row>
    <row r="18" spans="1:4">
      <c r="A18" s="14">
        <v>43530</v>
      </c>
      <c r="B18" s="72"/>
      <c r="C18" s="45"/>
      <c r="D18" s="45"/>
    </row>
    <row r="19" spans="1:4">
      <c r="A19" s="14">
        <v>43531</v>
      </c>
      <c r="B19" s="72"/>
      <c r="C19" s="45"/>
      <c r="D19" s="45"/>
    </row>
    <row r="20" spans="1:4">
      <c r="A20" s="14">
        <v>43532</v>
      </c>
      <c r="B20" s="72"/>
      <c r="C20" s="45"/>
      <c r="D20" s="45"/>
    </row>
    <row r="21" spans="1:4">
      <c r="A21" s="14">
        <v>43533</v>
      </c>
      <c r="B21" s="72"/>
      <c r="C21" s="45"/>
      <c r="D21" s="45"/>
    </row>
    <row r="22" spans="1:4">
      <c r="A22" s="14">
        <v>43534</v>
      </c>
      <c r="B22" s="72"/>
      <c r="C22" s="45"/>
      <c r="D22" s="45"/>
    </row>
    <row r="23" spans="1:4">
      <c r="A23" s="14">
        <v>43535</v>
      </c>
      <c r="B23" s="72"/>
      <c r="C23" s="45"/>
      <c r="D23" s="45"/>
    </row>
    <row r="24" spans="1:4">
      <c r="A24" s="14">
        <v>43536</v>
      </c>
      <c r="B24" s="72"/>
      <c r="C24" s="45"/>
      <c r="D24" s="45"/>
    </row>
    <row r="25" spans="1:4">
      <c r="A25" s="14">
        <v>43537</v>
      </c>
      <c r="B25" s="72"/>
      <c r="C25" s="45"/>
      <c r="D25" s="4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B1:AI82"/>
  <sheetViews>
    <sheetView topLeftCell="A13" workbookViewId="0">
      <selection activeCell="B2" sqref="B2:B26"/>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76" t="s">
        <v>93</v>
      </c>
      <c r="D3" s="56">
        <v>9190</v>
      </c>
      <c r="E3" s="56">
        <v>6140</v>
      </c>
      <c r="F3" s="26"/>
      <c r="I3" s="49"/>
      <c r="P3" s="36" t="s">
        <v>99</v>
      </c>
    </row>
    <row r="4" spans="2:35" s="12" customFormat="1" ht="18.75" customHeight="1" thickBot="1">
      <c r="B4" s="12" t="s">
        <v>171</v>
      </c>
      <c r="C4" s="26" t="s">
        <v>172</v>
      </c>
      <c r="D4" s="58">
        <v>1000</v>
      </c>
      <c r="E4" s="58"/>
      <c r="F4" s="26"/>
      <c r="G4" s="31"/>
      <c r="H4" s="29"/>
      <c r="I4" s="50"/>
      <c r="J4" s="29"/>
      <c r="K4" s="29"/>
      <c r="L4" s="29"/>
      <c r="M4" s="29"/>
    </row>
    <row r="5" spans="2:35" s="12" customFormat="1" ht="29.25" thickBot="1">
      <c r="B5" s="12" t="s">
        <v>34</v>
      </c>
      <c r="C5" s="26" t="s">
        <v>35</v>
      </c>
      <c r="D5" s="56">
        <v>2403</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2064</v>
      </c>
      <c r="E6" s="56">
        <v>1046</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500</v>
      </c>
      <c r="E7" s="56">
        <v>1004</v>
      </c>
      <c r="F7" s="26"/>
      <c r="I7" s="49"/>
      <c r="P7" s="36" t="s">
        <v>98</v>
      </c>
    </row>
    <row r="8" spans="2:35" s="12" customFormat="1" ht="15" thickBot="1">
      <c r="B8" s="36" t="s">
        <v>130</v>
      </c>
      <c r="C8" s="76" t="s">
        <v>129</v>
      </c>
      <c r="D8" s="56">
        <v>1200</v>
      </c>
      <c r="E8" s="56">
        <v>0</v>
      </c>
      <c r="F8" s="26"/>
      <c r="I8" s="49"/>
      <c r="P8" s="36" t="s">
        <v>96</v>
      </c>
    </row>
    <row r="9" spans="2:35" s="12" customFormat="1" ht="15.75" customHeight="1" thickBot="1">
      <c r="B9" s="35" t="s">
        <v>68</v>
      </c>
      <c r="C9" s="26" t="s">
        <v>69</v>
      </c>
      <c r="D9" s="56">
        <v>628</v>
      </c>
      <c r="E9" s="56">
        <v>0</v>
      </c>
      <c r="F9" s="26"/>
      <c r="G9" s="31"/>
      <c r="H9" s="29"/>
      <c r="I9" s="50"/>
      <c r="J9" s="29"/>
      <c r="K9" s="29"/>
      <c r="L9" s="29"/>
      <c r="M9" s="29"/>
      <c r="Q9" s="32" t="s">
        <v>70</v>
      </c>
      <c r="R9" s="33" t="s">
        <v>71</v>
      </c>
      <c r="S9" s="32" t="s">
        <v>72</v>
      </c>
      <c r="T9" s="33" t="s">
        <v>73</v>
      </c>
      <c r="U9" s="32" t="s">
        <v>74</v>
      </c>
      <c r="V9" s="33"/>
      <c r="W9" s="33"/>
      <c r="X9" s="33"/>
      <c r="Y9" s="33"/>
      <c r="Z9" s="33"/>
      <c r="AA9" s="33"/>
      <c r="AB9" s="33"/>
      <c r="AC9" s="33" t="s">
        <v>75</v>
      </c>
    </row>
    <row r="10" spans="2:35" s="12" customFormat="1" ht="16.5">
      <c r="B10" s="26" t="s">
        <v>55</v>
      </c>
      <c r="C10" s="76">
        <v>485011</v>
      </c>
      <c r="D10" s="58">
        <v>1000</v>
      </c>
      <c r="E10" s="58"/>
      <c r="F10" s="26" t="s">
        <v>59</v>
      </c>
      <c r="G10" s="59">
        <v>40406</v>
      </c>
      <c r="H10" s="60">
        <v>1.1000000000000001E-3</v>
      </c>
      <c r="I10" s="61">
        <v>2.5700000000000001E-2</v>
      </c>
      <c r="J10" s="60">
        <v>4.8399999999999999E-2</v>
      </c>
      <c r="K10" s="60">
        <v>9.1800000000000007E-2</v>
      </c>
      <c r="L10" s="60">
        <v>0.13100000000000001</v>
      </c>
      <c r="M10" s="60">
        <v>0.79490000000000005</v>
      </c>
      <c r="N10" s="12" t="s">
        <v>125</v>
      </c>
      <c r="P10" s="30" t="s">
        <v>67</v>
      </c>
    </row>
    <row r="11" spans="2:35" s="12" customFormat="1">
      <c r="B11" s="12" t="s">
        <v>162</v>
      </c>
      <c r="C11" s="76" t="s">
        <v>163</v>
      </c>
      <c r="D11" s="58">
        <v>200</v>
      </c>
      <c r="E11" s="58"/>
      <c r="F11" s="26"/>
      <c r="G11" s="31"/>
      <c r="H11" s="29"/>
      <c r="I11" s="50"/>
      <c r="J11" s="29"/>
      <c r="K11" s="29"/>
      <c r="L11" s="29"/>
      <c r="M11" s="29"/>
    </row>
    <row r="12" spans="2:35" s="12" customFormat="1">
      <c r="B12" s="12" t="s">
        <v>160</v>
      </c>
      <c r="C12" s="76" t="s">
        <v>161</v>
      </c>
      <c r="D12" s="58">
        <v>200</v>
      </c>
      <c r="E12" s="58"/>
      <c r="F12" s="26"/>
      <c r="G12" s="31"/>
      <c r="H12" s="29"/>
      <c r="I12" s="50"/>
      <c r="J12" s="29"/>
      <c r="K12" s="29"/>
      <c r="L12" s="29"/>
      <c r="M12" s="29"/>
    </row>
    <row r="13" spans="2:35" s="12" customFormat="1">
      <c r="B13" s="12" t="s">
        <v>158</v>
      </c>
      <c r="C13" s="76" t="s">
        <v>159</v>
      </c>
      <c r="D13" s="58">
        <v>500</v>
      </c>
      <c r="E13" s="58"/>
      <c r="F13" s="26"/>
      <c r="G13" s="31"/>
      <c r="H13" s="29"/>
      <c r="I13" s="50"/>
      <c r="J13" s="29"/>
      <c r="K13" s="29"/>
      <c r="L13" s="29"/>
      <c r="M13" s="29"/>
    </row>
    <row r="14" spans="2:35" s="12" customFormat="1">
      <c r="B14" s="12" t="s">
        <v>166</v>
      </c>
      <c r="C14" s="26" t="s">
        <v>167</v>
      </c>
      <c r="D14" s="58">
        <v>200</v>
      </c>
      <c r="E14" s="58"/>
      <c r="F14" s="26"/>
      <c r="G14" s="31"/>
      <c r="H14" s="29"/>
      <c r="I14" s="50"/>
      <c r="J14" s="29"/>
      <c r="K14" s="29"/>
      <c r="L14" s="29"/>
      <c r="M14" s="29"/>
    </row>
    <row r="15" spans="2:35" s="12" customFormat="1">
      <c r="B15" s="12" t="s">
        <v>174</v>
      </c>
      <c r="C15" s="26" t="s">
        <v>173</v>
      </c>
      <c r="D15" s="58"/>
      <c r="E15" s="58">
        <v>5165</v>
      </c>
      <c r="F15" s="26"/>
      <c r="G15" s="31"/>
      <c r="H15" s="29"/>
      <c r="I15" s="50"/>
      <c r="J15" s="29"/>
      <c r="K15" s="29"/>
      <c r="L15" s="29"/>
      <c r="M15" s="29"/>
    </row>
    <row r="16" spans="2:35" s="19" customFormat="1">
      <c r="B16" s="19" t="s">
        <v>164</v>
      </c>
      <c r="C16" s="76" t="s">
        <v>165</v>
      </c>
      <c r="D16" s="75"/>
      <c r="E16" s="75"/>
      <c r="F16" s="20"/>
      <c r="G16" s="21"/>
      <c r="H16" s="22"/>
      <c r="I16" s="52"/>
      <c r="J16" s="22"/>
      <c r="K16" s="22"/>
      <c r="L16" s="22"/>
      <c r="M16" s="22"/>
    </row>
    <row r="17" spans="2:16" s="19" customFormat="1" ht="16.5">
      <c r="B17" s="19" t="s">
        <v>38</v>
      </c>
      <c r="C17" s="76" t="s">
        <v>37</v>
      </c>
      <c r="D17" s="46">
        <v>1434</v>
      </c>
      <c r="E17" s="46">
        <v>4091</v>
      </c>
      <c r="F17" s="20" t="s">
        <v>51</v>
      </c>
      <c r="G17" s="21">
        <v>41255</v>
      </c>
      <c r="H17" s="22">
        <v>2.5000000000000001E-3</v>
      </c>
      <c r="I17" s="52">
        <v>1.5900000000000001E-2</v>
      </c>
      <c r="J17" s="22">
        <v>3.4799999999999998E-2</v>
      </c>
      <c r="K17" s="22">
        <v>6.0499999999999998E-2</v>
      </c>
      <c r="L17" s="22">
        <v>8.7099999999999997E-2</v>
      </c>
      <c r="M17" s="22">
        <v>0.39169999999999999</v>
      </c>
      <c r="N17" s="19" t="s">
        <v>36</v>
      </c>
      <c r="O17" s="19" t="s">
        <v>54</v>
      </c>
      <c r="P17" s="25" t="s">
        <v>65</v>
      </c>
    </row>
    <row r="18" spans="2:16" ht="16.5">
      <c r="B18" t="s">
        <v>47</v>
      </c>
      <c r="C18" s="76" t="s">
        <v>43</v>
      </c>
      <c r="D18" s="46">
        <v>5362</v>
      </c>
      <c r="E18" s="46">
        <v>3997</v>
      </c>
      <c r="F18" s="20" t="s">
        <v>56</v>
      </c>
      <c r="G18" s="14">
        <v>41519</v>
      </c>
      <c r="H18" s="15">
        <v>3.0000000000000001E-3</v>
      </c>
      <c r="I18" s="51">
        <v>2.76E-2</v>
      </c>
      <c r="J18" s="15">
        <v>4.7699999999999999E-2</v>
      </c>
      <c r="K18" s="15">
        <v>9.6000000000000002E-2</v>
      </c>
      <c r="L18" s="15">
        <v>0.1229</v>
      </c>
      <c r="M18" s="15">
        <v>0.34060000000000001</v>
      </c>
      <c r="P18" s="25" t="s">
        <v>66</v>
      </c>
    </row>
    <row r="19" spans="2:16" s="19" customFormat="1" ht="16.5">
      <c r="B19" s="37" t="s">
        <v>45</v>
      </c>
      <c r="C19" s="76" t="s">
        <v>44</v>
      </c>
      <c r="D19" s="46">
        <v>1200</v>
      </c>
      <c r="E19" s="58">
        <v>0</v>
      </c>
      <c r="F19" s="20" t="s">
        <v>57</v>
      </c>
      <c r="G19" s="23">
        <v>41341</v>
      </c>
      <c r="H19" s="22">
        <v>2.5000000000000001E-3</v>
      </c>
      <c r="I19" s="52">
        <v>1.84E-2</v>
      </c>
      <c r="J19" s="22">
        <v>3.8300000000000001E-2</v>
      </c>
      <c r="K19" s="22">
        <v>6.8400000000000002E-2</v>
      </c>
      <c r="L19" s="22">
        <v>8.5300000000000001E-2</v>
      </c>
      <c r="M19" s="22">
        <v>0.25140000000000001</v>
      </c>
      <c r="P19" s="25" t="s">
        <v>61</v>
      </c>
    </row>
    <row r="20" spans="2:16" ht="16.5">
      <c r="B20" t="s">
        <v>46</v>
      </c>
      <c r="C20" s="76" t="s">
        <v>48</v>
      </c>
      <c r="D20" s="46">
        <v>2000</v>
      </c>
      <c r="E20" s="46">
        <v>1880</v>
      </c>
      <c r="F20" s="20" t="s">
        <v>58</v>
      </c>
      <c r="G20" s="14">
        <v>41478</v>
      </c>
      <c r="H20" s="15">
        <v>2.7000000000000001E-3</v>
      </c>
      <c r="I20" s="53">
        <v>1.9900000000000001E-2</v>
      </c>
      <c r="J20" s="15">
        <v>3.4799999999999998E-2</v>
      </c>
      <c r="K20" s="15">
        <v>5.3100000000000001E-2</v>
      </c>
      <c r="L20" s="15">
        <v>9.6500000000000002E-2</v>
      </c>
      <c r="M20" s="15">
        <v>0.35639999999999999</v>
      </c>
      <c r="P20" s="25" t="s">
        <v>61</v>
      </c>
    </row>
    <row r="21" spans="2:16" ht="14.25">
      <c r="B21" s="40" t="s">
        <v>94</v>
      </c>
      <c r="C21" s="76" t="s">
        <v>80</v>
      </c>
      <c r="D21" s="46">
        <v>1251</v>
      </c>
      <c r="E21" s="46">
        <v>2583</v>
      </c>
      <c r="N21" t="s">
        <v>124</v>
      </c>
      <c r="P21" s="41" t="s">
        <v>95</v>
      </c>
    </row>
    <row r="22" spans="2:16" ht="14.25">
      <c r="B22" s="40" t="s">
        <v>168</v>
      </c>
      <c r="C22" s="18" t="s">
        <v>169</v>
      </c>
      <c r="D22" s="46">
        <v>1000</v>
      </c>
      <c r="E22" s="46"/>
      <c r="P22" s="41"/>
    </row>
    <row r="23" spans="2:16" ht="14.25">
      <c r="B23" s="18" t="s">
        <v>134</v>
      </c>
      <c r="C23" s="18" t="s">
        <v>133</v>
      </c>
      <c r="E23" s="46">
        <v>1300</v>
      </c>
      <c r="P23" s="41"/>
    </row>
    <row r="24" spans="2:16" ht="14.25">
      <c r="B24" s="18" t="s">
        <v>126</v>
      </c>
      <c r="C24" s="76" t="s">
        <v>127</v>
      </c>
      <c r="D24" s="46">
        <v>1000</v>
      </c>
      <c r="E24" s="46"/>
      <c r="P24" s="41"/>
    </row>
    <row r="25" spans="2:16">
      <c r="B25" t="s">
        <v>131</v>
      </c>
      <c r="D25" s="46">
        <v>3035</v>
      </c>
      <c r="E25" s="46"/>
    </row>
    <row r="26" spans="2:16">
      <c r="B26" t="s">
        <v>121</v>
      </c>
      <c r="D26" s="46">
        <v>4148</v>
      </c>
      <c r="E26" s="46">
        <v>0</v>
      </c>
    </row>
    <row r="27" spans="2:16">
      <c r="I27" s="51"/>
      <c r="J27" s="15"/>
      <c r="K27" s="15"/>
    </row>
    <row r="29" spans="2:16">
      <c r="I29" s="7" t="s">
        <v>157</v>
      </c>
      <c r="J29" s="55"/>
      <c r="K29" s="7" t="s">
        <v>110</v>
      </c>
    </row>
    <row r="30" spans="2:16">
      <c r="B30" s="12" t="s">
        <v>170</v>
      </c>
      <c r="I30" s="7" t="s">
        <v>111</v>
      </c>
      <c r="J30" s="64">
        <f>SUM(J31:J35)</f>
        <v>58070.6</v>
      </c>
      <c r="K30" s="7"/>
    </row>
    <row r="31" spans="2:16">
      <c r="I31" s="7" t="s">
        <v>108</v>
      </c>
      <c r="J31" s="64">
        <f>SUM(D17:D24)</f>
        <v>13247</v>
      </c>
      <c r="K31" s="62">
        <f>J31/J30</f>
        <v>0.2281188759888825</v>
      </c>
    </row>
    <row r="32" spans="2:16">
      <c r="I32" s="7" t="s">
        <v>109</v>
      </c>
      <c r="J32" s="64">
        <f>SUM(D6:D15)</f>
        <v>6492</v>
      </c>
      <c r="K32" s="62">
        <f>J32/J30</f>
        <v>0.11179495303992038</v>
      </c>
    </row>
    <row r="33" spans="2:11">
      <c r="I33" s="7" t="s">
        <v>128</v>
      </c>
      <c r="J33" s="64">
        <f>SUM(D2:D5)</f>
        <v>23948</v>
      </c>
      <c r="K33" s="62">
        <f>J33/J30</f>
        <v>0.41239456799137603</v>
      </c>
    </row>
    <row r="34" spans="2:11">
      <c r="I34" s="7" t="s">
        <v>112</v>
      </c>
      <c r="J34" s="69">
        <f>SUM(G39:G43)</f>
        <v>7200.6</v>
      </c>
      <c r="K34" s="62">
        <f>J34/J30</f>
        <v>0.12399734116747546</v>
      </c>
    </row>
    <row r="35" spans="2:11">
      <c r="I35" s="67" t="s">
        <v>135</v>
      </c>
      <c r="J35" s="64">
        <f>SUM(D25:D26)</f>
        <v>7183</v>
      </c>
      <c r="K35" s="7"/>
    </row>
    <row r="36" spans="2:11">
      <c r="I36"/>
      <c r="J36" s="54"/>
    </row>
    <row r="37" spans="2:11">
      <c r="I37"/>
      <c r="J37" s="54"/>
    </row>
    <row r="38" spans="2:11">
      <c r="B38" s="10"/>
      <c r="C38" s="10" t="s">
        <v>15</v>
      </c>
      <c r="D38" s="10" t="s">
        <v>16</v>
      </c>
      <c r="E38" s="10" t="s">
        <v>24</v>
      </c>
      <c r="F38" s="10" t="s">
        <v>17</v>
      </c>
      <c r="G38" s="10" t="s">
        <v>18</v>
      </c>
      <c r="I38"/>
      <c r="J38" s="54"/>
    </row>
    <row r="39" spans="2:11">
      <c r="B39" s="8" t="s">
        <v>20</v>
      </c>
      <c r="C39" s="8">
        <v>501029</v>
      </c>
      <c r="D39" s="8">
        <v>0.89400000000000002</v>
      </c>
      <c r="E39" s="8">
        <f>D39*1.05</f>
        <v>0.93870000000000009</v>
      </c>
      <c r="F39" s="8">
        <v>0</v>
      </c>
      <c r="G39" s="55">
        <f>D39*F39</f>
        <v>0</v>
      </c>
      <c r="I39" s="7" t="s">
        <v>156</v>
      </c>
      <c r="J39" s="55"/>
      <c r="K39" s="7" t="s">
        <v>110</v>
      </c>
    </row>
    <row r="40" spans="2:11">
      <c r="B40" s="8" t="s">
        <v>19</v>
      </c>
      <c r="C40" s="8">
        <v>159905</v>
      </c>
      <c r="D40" s="8">
        <v>1.381</v>
      </c>
      <c r="E40" s="8">
        <f>D40*1.05</f>
        <v>1.4500500000000001</v>
      </c>
      <c r="F40" s="8">
        <v>0</v>
      </c>
      <c r="G40" s="55">
        <f t="shared" ref="G40:G43" si="0">D40*F40</f>
        <v>0</v>
      </c>
      <c r="I40" s="7" t="s">
        <v>111</v>
      </c>
      <c r="J40" s="64">
        <f>SUM(J41:J45)</f>
        <v>27348</v>
      </c>
      <c r="K40" s="7"/>
    </row>
    <row r="41" spans="2:11">
      <c r="B41" s="8" t="s">
        <v>22</v>
      </c>
      <c r="C41" s="8">
        <v>510880</v>
      </c>
      <c r="D41" s="8">
        <v>2.6379999999999999</v>
      </c>
      <c r="E41" s="8">
        <f>D41*1.05</f>
        <v>2.7698999999999998</v>
      </c>
      <c r="F41" s="8">
        <v>0</v>
      </c>
      <c r="G41" s="55">
        <f t="shared" si="0"/>
        <v>0</v>
      </c>
      <c r="I41" s="7" t="s">
        <v>108</v>
      </c>
      <c r="J41" s="64">
        <f>SUM(E17:E24)</f>
        <v>13851</v>
      </c>
      <c r="K41" s="62">
        <f>J41/J40</f>
        <v>0.50647213690215009</v>
      </c>
    </row>
    <row r="42" spans="2:11">
      <c r="B42" s="8" t="s">
        <v>23</v>
      </c>
      <c r="C42" s="8">
        <v>510900</v>
      </c>
      <c r="D42" s="8">
        <v>1.2989999999999999</v>
      </c>
      <c r="E42" s="8">
        <f>D42*1.05</f>
        <v>1.36395</v>
      </c>
      <c r="F42" s="8">
        <v>4000</v>
      </c>
      <c r="G42" s="55">
        <f>D42*F42</f>
        <v>5196</v>
      </c>
      <c r="I42" s="7" t="s">
        <v>109</v>
      </c>
      <c r="J42" s="64">
        <f>SUM(E6:E14)</f>
        <v>2050</v>
      </c>
      <c r="K42" s="62">
        <f>J42/J40</f>
        <v>7.4959777680269124E-2</v>
      </c>
    </row>
    <row r="43" spans="2:11">
      <c r="B43" s="35" t="s">
        <v>68</v>
      </c>
      <c r="C43" s="26" t="s">
        <v>189</v>
      </c>
      <c r="D43" s="45">
        <v>3.3410000000000002</v>
      </c>
      <c r="E43" s="45">
        <f>D43*1.05</f>
        <v>3.5080500000000003</v>
      </c>
      <c r="F43" s="18" t="s">
        <v>188</v>
      </c>
      <c r="G43" s="55">
        <f t="shared" si="0"/>
        <v>2004.6000000000001</v>
      </c>
      <c r="I43" s="7" t="s">
        <v>128</v>
      </c>
      <c r="J43" s="64">
        <f>SUM(E2:E3)</f>
        <v>11447</v>
      </c>
      <c r="K43" s="62">
        <f>J43/J40</f>
        <v>0.41856808541758084</v>
      </c>
    </row>
    <row r="44" spans="2:11">
      <c r="I44" s="7" t="s">
        <v>112</v>
      </c>
      <c r="J44" s="69">
        <v>0</v>
      </c>
      <c r="K44" s="62">
        <f>J44/J40</f>
        <v>0</v>
      </c>
    </row>
    <row r="45" spans="2:11">
      <c r="I45" s="67" t="s">
        <v>135</v>
      </c>
      <c r="J45" s="64">
        <f>SUM(D34:D35)</f>
        <v>0</v>
      </c>
      <c r="K45" s="7"/>
    </row>
    <row r="65" spans="2:6">
      <c r="B65" s="62" t="s">
        <v>155</v>
      </c>
      <c r="C65" s="74">
        <v>22</v>
      </c>
    </row>
    <row r="67" spans="2:6">
      <c r="B67" s="8" t="s">
        <v>22</v>
      </c>
      <c r="C67" s="38" t="s">
        <v>150</v>
      </c>
      <c r="D67" s="73">
        <v>2559</v>
      </c>
      <c r="E67" s="73"/>
    </row>
    <row r="68" spans="2:6">
      <c r="B68" s="7"/>
      <c r="C68" s="38" t="s">
        <v>151</v>
      </c>
      <c r="D68" s="73">
        <v>2520</v>
      </c>
      <c r="E68" s="73">
        <f>MIN(IFERROR(D68-D67,0),0)*100*$C$65/(D67-1800)</f>
        <v>-113.04347826086956</v>
      </c>
      <c r="F68" s="18" t="s">
        <v>154</v>
      </c>
    </row>
    <row r="69" spans="2:6">
      <c r="B69" s="7"/>
      <c r="C69" s="38" t="s">
        <v>152</v>
      </c>
      <c r="D69" s="73">
        <v>2547</v>
      </c>
      <c r="E69" s="73">
        <f>(D69-D67)*100*$C$65/(D67-1800)</f>
        <v>-34.782608695652172</v>
      </c>
      <c r="F69" s="18" t="s">
        <v>153</v>
      </c>
    </row>
    <row r="70" spans="2:6">
      <c r="E70" s="73">
        <f>(D69+D68-D67*2)*100*$C$65/(D67-1800)</f>
        <v>-147.82608695652175</v>
      </c>
    </row>
    <row r="72" spans="2:6">
      <c r="B72" s="8" t="s">
        <v>19</v>
      </c>
      <c r="C72" s="38" t="s">
        <v>150</v>
      </c>
      <c r="D72" s="73">
        <v>1277</v>
      </c>
      <c r="E72" s="73"/>
    </row>
    <row r="73" spans="2:6">
      <c r="B73" s="7"/>
      <c r="C73" s="38" t="s">
        <v>151</v>
      </c>
      <c r="D73" s="73">
        <v>1359</v>
      </c>
      <c r="E73" s="73">
        <f>MIN(IFERROR(D73-D72,0),0)*100*$C$65/(D72-1800)</f>
        <v>0</v>
      </c>
      <c r="F73" s="18" t="s">
        <v>154</v>
      </c>
    </row>
    <row r="74" spans="2:6">
      <c r="B74" s="7"/>
      <c r="C74" s="38" t="s">
        <v>152</v>
      </c>
      <c r="D74" s="73">
        <v>1537</v>
      </c>
      <c r="E74" s="73">
        <f>(D74-D72)*100*$C$65/(D72-1000)</f>
        <v>2064.9819494584835</v>
      </c>
      <c r="F74" s="18" t="s">
        <v>153</v>
      </c>
    </row>
    <row r="75" spans="2:6">
      <c r="E75" s="73">
        <f>(D74+D73-D72*2)*100*$C$65/(D72-1000)</f>
        <v>2716.2454873646211</v>
      </c>
    </row>
    <row r="77" spans="2:6">
      <c r="B77" s="8" t="s">
        <v>20</v>
      </c>
      <c r="C77" s="38" t="s">
        <v>150</v>
      </c>
      <c r="D77" s="73">
        <v>869</v>
      </c>
      <c r="E77" s="73"/>
    </row>
    <row r="78" spans="2:6">
      <c r="B78" s="7"/>
      <c r="C78" s="38" t="s">
        <v>151</v>
      </c>
      <c r="D78" s="73">
        <v>877</v>
      </c>
      <c r="E78" s="73">
        <f>MIN(IFERROR(D78-D77,0),0)*100*$C$65/(D77-1800)</f>
        <v>0</v>
      </c>
      <c r="F78" s="18" t="s">
        <v>154</v>
      </c>
    </row>
    <row r="79" spans="2:6">
      <c r="B79" s="7"/>
      <c r="C79" s="38" t="s">
        <v>152</v>
      </c>
      <c r="D79" s="73">
        <v>958</v>
      </c>
      <c r="E79" s="73">
        <f>(D79-D77)*100*$C$65/(D77-800)</f>
        <v>2837.68115942029</v>
      </c>
      <c r="F79" s="18" t="s">
        <v>153</v>
      </c>
    </row>
    <row r="80" spans="2:6">
      <c r="E80" s="73">
        <f>(D79+D78-D77*2)*100*$C$65/(D77-800)</f>
        <v>3092.753623188406</v>
      </c>
    </row>
    <row r="81" spans="3:9">
      <c r="C81"/>
      <c r="D81" s="54"/>
      <c r="E81"/>
      <c r="F81"/>
      <c r="I81"/>
    </row>
    <row r="82" spans="3:9">
      <c r="C82"/>
      <c r="D82" s="54"/>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D32" sqref="D32"/>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146</v>
      </c>
      <c r="E22" s="70" t="s">
        <v>147</v>
      </c>
    </row>
    <row r="23" spans="3:14">
      <c r="E23">
        <f>(4000-3180)/3180</f>
        <v>0.25786163522012578</v>
      </c>
    </row>
    <row r="28" spans="3:14" ht="123" customHeight="1">
      <c r="E28" s="79" t="s">
        <v>91</v>
      </c>
      <c r="F28" s="79"/>
      <c r="G28" s="79"/>
      <c r="H28" s="79"/>
      <c r="I28" s="79"/>
      <c r="J28" s="79"/>
      <c r="K28" s="79"/>
    </row>
    <row r="44" spans="6:7">
      <c r="F44" t="s">
        <v>177</v>
      </c>
    </row>
    <row r="45" spans="6:7">
      <c r="F45" t="s">
        <v>178</v>
      </c>
      <c r="G45" t="s">
        <v>179</v>
      </c>
    </row>
    <row r="46" spans="6:7">
      <c r="F46" t="s">
        <v>180</v>
      </c>
      <c r="G46" t="s">
        <v>181</v>
      </c>
    </row>
    <row r="47" spans="6:7">
      <c r="F47" t="s">
        <v>182</v>
      </c>
      <c r="G47" t="s">
        <v>183</v>
      </c>
    </row>
    <row r="48" spans="6:7">
      <c r="F48" t="s">
        <v>184</v>
      </c>
      <c r="G48" t="s">
        <v>185</v>
      </c>
    </row>
    <row r="49" spans="6:7">
      <c r="F49" t="s">
        <v>186</v>
      </c>
      <c r="G49" t="s">
        <v>187</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D3" sqref="D3"/>
    </sheetView>
  </sheetViews>
  <sheetFormatPr defaultRowHeight="13.5"/>
  <cols>
    <col min="6" max="7" width="9" style="65"/>
    <col min="8" max="8" width="13.375" customWidth="1"/>
    <col min="9" max="9" width="11.75" customWidth="1"/>
  </cols>
  <sheetData>
    <row r="3" spans="1:19">
      <c r="A3" s="9" t="s">
        <v>21</v>
      </c>
      <c r="B3" s="68">
        <v>510900</v>
      </c>
      <c r="C3" s="7" t="s">
        <v>136</v>
      </c>
      <c r="D3" s="43">
        <v>1.25</v>
      </c>
      <c r="M3" s="66"/>
      <c r="N3" s="7" t="s">
        <v>117</v>
      </c>
      <c r="O3" s="7" t="s">
        <v>120</v>
      </c>
      <c r="P3" s="7" t="s">
        <v>119</v>
      </c>
      <c r="Q3" s="7" t="s">
        <v>115</v>
      </c>
      <c r="R3" s="7" t="s">
        <v>116</v>
      </c>
      <c r="S3" s="13" t="s">
        <v>118</v>
      </c>
    </row>
    <row r="4" spans="1:19">
      <c r="C4" s="7" t="s">
        <v>138</v>
      </c>
      <c r="D4" s="7">
        <v>0.03</v>
      </c>
      <c r="E4" t="s">
        <v>137</v>
      </c>
      <c r="M4" s="66">
        <v>1</v>
      </c>
      <c r="N4" s="7">
        <v>4.9000000000000004</v>
      </c>
      <c r="O4" s="7"/>
      <c r="P4" s="7"/>
      <c r="Q4" s="7"/>
      <c r="R4" s="7"/>
    </row>
    <row r="5" spans="1:19">
      <c r="C5" s="7" t="s">
        <v>139</v>
      </c>
      <c r="D5" s="7">
        <v>0.05</v>
      </c>
      <c r="M5" s="66">
        <v>2</v>
      </c>
      <c r="N5" s="7">
        <v>4.5999999999999996</v>
      </c>
      <c r="O5" s="7"/>
      <c r="P5" s="7"/>
      <c r="R5" s="7"/>
    </row>
    <row r="6" spans="1:19">
      <c r="C6" s="67" t="s">
        <v>144</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140</v>
      </c>
      <c r="F9" s="66" t="s">
        <v>141</v>
      </c>
      <c r="G9" s="66" t="s">
        <v>142</v>
      </c>
      <c r="H9" s="7" t="s">
        <v>143</v>
      </c>
      <c r="I9" s="67" t="s">
        <v>145</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3:J26"/>
  <sheetViews>
    <sheetView workbookViewId="0">
      <selection activeCell="F12" sqref="F12"/>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136</v>
      </c>
      <c r="D3" s="43">
        <v>2.5</v>
      </c>
    </row>
    <row r="4" spans="1:10">
      <c r="C4" s="7" t="s">
        <v>138</v>
      </c>
      <c r="D4" s="7">
        <v>0.03</v>
      </c>
      <c r="E4" t="s">
        <v>137</v>
      </c>
    </row>
    <row r="5" spans="1:10">
      <c r="C5" s="7" t="s">
        <v>139</v>
      </c>
      <c r="D5" s="7">
        <v>0.05</v>
      </c>
    </row>
    <row r="6" spans="1:10">
      <c r="C6" s="67" t="s">
        <v>144</v>
      </c>
      <c r="D6" s="67">
        <v>0</v>
      </c>
    </row>
    <row r="9" spans="1:10">
      <c r="E9" s="7" t="s">
        <v>140</v>
      </c>
      <c r="F9" s="66" t="s">
        <v>141</v>
      </c>
      <c r="G9" s="66" t="s">
        <v>142</v>
      </c>
      <c r="H9" s="7" t="s">
        <v>143</v>
      </c>
      <c r="I9" s="67" t="s">
        <v>175</v>
      </c>
      <c r="J9" s="78" t="s">
        <v>176</v>
      </c>
    </row>
    <row r="10" spans="1:10">
      <c r="E10" s="7">
        <v>3</v>
      </c>
      <c r="F10" s="66">
        <f>$D$3*(1+E11*$D$4)</f>
        <v>2.6500000000000004</v>
      </c>
      <c r="G10" s="66">
        <f>F10*(1+$D$5)</f>
        <v>2.7825000000000006</v>
      </c>
      <c r="H10" s="7">
        <v>2500</v>
      </c>
      <c r="I10" s="7">
        <f>SUM($H$10:H10)+$D$6</f>
        <v>2500</v>
      </c>
      <c r="J10" s="77">
        <f>INT(H10/(F10*100))*100</f>
        <v>900</v>
      </c>
    </row>
    <row r="11" spans="1:10">
      <c r="E11" s="7">
        <v>2</v>
      </c>
      <c r="F11" s="66">
        <f t="shared" ref="F11:F25" si="0">$D$3*(1+E12*$D$4)</f>
        <v>2.5750000000000002</v>
      </c>
      <c r="G11" s="66">
        <f t="shared" ref="G11:G25" si="1">F11*(1+$D$5)</f>
        <v>2.7037500000000003</v>
      </c>
      <c r="H11" s="7">
        <v>2500</v>
      </c>
      <c r="I11" s="7">
        <f>SUM($H$10:H11)+$D$6</f>
        <v>5000</v>
      </c>
      <c r="J11" s="77">
        <f t="shared" ref="J11:J25" si="2">INT(H11/(F11*100))*100</f>
        <v>900</v>
      </c>
    </row>
    <row r="12" spans="1:10">
      <c r="E12" s="7">
        <v>1</v>
      </c>
      <c r="F12" s="66">
        <f t="shared" si="0"/>
        <v>2.5</v>
      </c>
      <c r="G12" s="66">
        <f t="shared" si="1"/>
        <v>2.625</v>
      </c>
      <c r="H12" s="7">
        <v>2500</v>
      </c>
      <c r="I12" s="7">
        <f>SUM($H$10:H12)+$D$6</f>
        <v>7500</v>
      </c>
      <c r="J12" s="77">
        <f t="shared" si="2"/>
        <v>1000</v>
      </c>
    </row>
    <row r="13" spans="1:10">
      <c r="E13" s="7">
        <v>0</v>
      </c>
      <c r="F13" s="66">
        <f t="shared" si="0"/>
        <v>2.4249999999999998</v>
      </c>
      <c r="G13" s="66">
        <f t="shared" si="1"/>
        <v>2.5462500000000001</v>
      </c>
      <c r="H13" s="7">
        <v>2500</v>
      </c>
      <c r="I13" s="7">
        <f>SUM($H$10:H13)+$D$6</f>
        <v>10000</v>
      </c>
      <c r="J13" s="77">
        <f t="shared" si="2"/>
        <v>1000</v>
      </c>
    </row>
    <row r="14" spans="1:10">
      <c r="E14" s="7">
        <v>-1</v>
      </c>
      <c r="F14" s="66">
        <f t="shared" si="0"/>
        <v>2.3499999999999996</v>
      </c>
      <c r="G14" s="66">
        <f t="shared" si="1"/>
        <v>2.4674999999999998</v>
      </c>
      <c r="H14" s="7">
        <v>2500</v>
      </c>
      <c r="I14" s="7">
        <f>SUM($H$10:H14)+$D$6</f>
        <v>12500</v>
      </c>
      <c r="J14" s="77">
        <f t="shared" si="2"/>
        <v>1000</v>
      </c>
    </row>
    <row r="15" spans="1:10">
      <c r="E15" s="7">
        <v>-2</v>
      </c>
      <c r="F15" s="66">
        <f t="shared" si="0"/>
        <v>2.2749999999999999</v>
      </c>
      <c r="G15" s="66">
        <f t="shared" si="1"/>
        <v>2.3887499999999999</v>
      </c>
      <c r="H15" s="7">
        <v>3000</v>
      </c>
      <c r="I15" s="7">
        <f>SUM($H$10:H15)+$D$6</f>
        <v>15500</v>
      </c>
      <c r="J15" s="77">
        <f t="shared" si="2"/>
        <v>1300</v>
      </c>
    </row>
    <row r="16" spans="1:10">
      <c r="E16" s="7">
        <v>-3</v>
      </c>
      <c r="F16" s="66">
        <f t="shared" si="0"/>
        <v>2.2000000000000002</v>
      </c>
      <c r="G16" s="66">
        <f t="shared" si="1"/>
        <v>2.3100000000000005</v>
      </c>
      <c r="H16" s="7">
        <v>3000</v>
      </c>
      <c r="I16" s="7">
        <f>SUM($H$10:H16)+$D$6</f>
        <v>18500</v>
      </c>
      <c r="J16" s="77">
        <f t="shared" si="2"/>
        <v>1300</v>
      </c>
    </row>
    <row r="17" spans="5:10">
      <c r="E17" s="7">
        <v>-4</v>
      </c>
      <c r="F17" s="66">
        <f t="shared" si="0"/>
        <v>2.125</v>
      </c>
      <c r="G17" s="66">
        <f t="shared" si="1"/>
        <v>2.2312500000000002</v>
      </c>
      <c r="H17" s="7">
        <v>3000</v>
      </c>
      <c r="I17" s="7">
        <f>SUM($H$10:H17)+$D$6</f>
        <v>21500</v>
      </c>
      <c r="J17" s="77">
        <f t="shared" si="2"/>
        <v>1400</v>
      </c>
    </row>
    <row r="18" spans="5:10">
      <c r="E18" s="7">
        <v>-5</v>
      </c>
      <c r="F18" s="66">
        <f t="shared" si="0"/>
        <v>2.0500000000000003</v>
      </c>
      <c r="G18" s="66">
        <f t="shared" si="1"/>
        <v>2.1525000000000003</v>
      </c>
      <c r="H18" s="7">
        <v>4000</v>
      </c>
      <c r="I18" s="7">
        <f>SUM($H$10:H18)+$D$6</f>
        <v>25500</v>
      </c>
      <c r="J18" s="77">
        <f t="shared" si="2"/>
        <v>1900</v>
      </c>
    </row>
    <row r="19" spans="5:10">
      <c r="E19" s="7">
        <v>-6</v>
      </c>
      <c r="F19" s="66">
        <f t="shared" si="0"/>
        <v>1.9750000000000001</v>
      </c>
      <c r="G19" s="66">
        <f t="shared" si="1"/>
        <v>2.07375</v>
      </c>
      <c r="H19" s="7">
        <v>4000</v>
      </c>
      <c r="I19" s="7">
        <f>SUM($H$10:H19)+$D$6</f>
        <v>29500</v>
      </c>
      <c r="J19" s="77">
        <f t="shared" si="2"/>
        <v>2000</v>
      </c>
    </row>
    <row r="20" spans="5:10">
      <c r="E20" s="7">
        <v>-7</v>
      </c>
      <c r="F20" s="66">
        <f t="shared" si="0"/>
        <v>1.9</v>
      </c>
      <c r="G20" s="66">
        <f t="shared" si="1"/>
        <v>1.9949999999999999</v>
      </c>
      <c r="H20" s="7">
        <v>4000</v>
      </c>
      <c r="I20" s="7">
        <f>SUM($H$10:H20)+$D$6</f>
        <v>33500</v>
      </c>
      <c r="J20" s="77">
        <f t="shared" si="2"/>
        <v>2100</v>
      </c>
    </row>
    <row r="21" spans="5:10">
      <c r="E21" s="7">
        <v>-8</v>
      </c>
      <c r="F21" s="66">
        <f t="shared" si="0"/>
        <v>1.825</v>
      </c>
      <c r="G21" s="66">
        <f t="shared" si="1"/>
        <v>1.91625</v>
      </c>
      <c r="H21" s="7">
        <v>4000</v>
      </c>
      <c r="I21" s="7">
        <f>SUM($H$10:H21)+$D$6</f>
        <v>37500</v>
      </c>
      <c r="J21" s="77">
        <f t="shared" si="2"/>
        <v>2100</v>
      </c>
    </row>
    <row r="22" spans="5:10">
      <c r="E22" s="7">
        <v>-9</v>
      </c>
      <c r="F22" s="66">
        <f t="shared" si="0"/>
        <v>1.75</v>
      </c>
      <c r="G22" s="66">
        <f t="shared" si="1"/>
        <v>1.8375000000000001</v>
      </c>
      <c r="H22" s="7">
        <v>4000</v>
      </c>
      <c r="I22" s="7">
        <f>SUM($H$10:H22)+$D$6</f>
        <v>41500</v>
      </c>
      <c r="J22" s="77">
        <f t="shared" si="2"/>
        <v>2200</v>
      </c>
    </row>
    <row r="23" spans="5:10">
      <c r="E23" s="7">
        <v>-10</v>
      </c>
      <c r="F23" s="66">
        <f t="shared" si="0"/>
        <v>1.675</v>
      </c>
      <c r="G23" s="66">
        <f t="shared" si="1"/>
        <v>1.75875</v>
      </c>
      <c r="H23" s="7">
        <v>5000</v>
      </c>
      <c r="I23" s="7">
        <f>SUM($H$10:H23)+$D$6</f>
        <v>46500</v>
      </c>
      <c r="J23" s="77">
        <f t="shared" si="2"/>
        <v>2900</v>
      </c>
    </row>
    <row r="24" spans="5:10">
      <c r="E24" s="7">
        <v>-11</v>
      </c>
      <c r="F24" s="66">
        <f t="shared" si="0"/>
        <v>1.6</v>
      </c>
      <c r="G24" s="66">
        <f t="shared" si="1"/>
        <v>1.6800000000000002</v>
      </c>
      <c r="H24" s="7">
        <v>5000</v>
      </c>
      <c r="I24" s="7">
        <f>SUM($H$10:H24)+$D$6</f>
        <v>51500</v>
      </c>
      <c r="J24" s="77">
        <f t="shared" si="2"/>
        <v>3100</v>
      </c>
    </row>
    <row r="25" spans="5:10">
      <c r="E25" s="67">
        <v>-12</v>
      </c>
      <c r="F25" s="66">
        <f t="shared" si="0"/>
        <v>2.5</v>
      </c>
      <c r="G25" s="66">
        <f t="shared" si="1"/>
        <v>2.625</v>
      </c>
      <c r="H25" s="7">
        <v>5000</v>
      </c>
      <c r="I25" s="7">
        <f>SUM($H$10:H25)+$D$6</f>
        <v>56500</v>
      </c>
      <c r="J25" s="77">
        <f t="shared" si="2"/>
        <v>2000</v>
      </c>
    </row>
    <row r="26" spans="5:10">
      <c r="H26">
        <f>SUM(H10:H25)</f>
        <v>56500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O43"/>
  <sheetViews>
    <sheetView workbookViewId="0">
      <selection activeCell="F30" sqref="F30"/>
    </sheetView>
  </sheetViews>
  <sheetFormatPr defaultRowHeight="13.5"/>
  <cols>
    <col min="1" max="1" width="10.5" bestFit="1" customWidth="1"/>
    <col min="2" max="2" width="10.5" style="72" customWidth="1"/>
    <col min="3" max="3" width="10.5" style="45" customWidth="1"/>
    <col min="5" max="5" width="16.125" customWidth="1"/>
  </cols>
  <sheetData>
    <row r="1" spans="1:15">
      <c r="B1" s="71" t="s">
        <v>150</v>
      </c>
      <c r="C1" s="71" t="s">
        <v>148</v>
      </c>
      <c r="E1" s="45" t="s">
        <v>149</v>
      </c>
    </row>
    <row r="2" spans="1:15">
      <c r="A2" s="14">
        <v>43486</v>
      </c>
      <c r="B2" s="72">
        <v>3182</v>
      </c>
      <c r="C2" s="45">
        <v>3565</v>
      </c>
      <c r="D2" s="45">
        <f t="shared" ref="D2:D13" si="0">(C2-B2)</f>
        <v>383</v>
      </c>
      <c r="E2" s="45">
        <f>(D2)*100/(B2-807)*7</f>
        <v>112.88421052631578</v>
      </c>
    </row>
    <row r="3" spans="1:15">
      <c r="A3" s="14">
        <v>43487</v>
      </c>
      <c r="B3" s="72">
        <v>3147</v>
      </c>
      <c r="C3" s="45">
        <v>3556</v>
      </c>
      <c r="D3" s="45">
        <f t="shared" si="0"/>
        <v>409</v>
      </c>
      <c r="E3" s="45">
        <f t="shared" ref="E3:E32" si="1">(D3)*100/(B3-807)*7</f>
        <v>122.35042735042734</v>
      </c>
    </row>
    <row r="4" spans="1:15">
      <c r="A4" s="14">
        <v>43488</v>
      </c>
      <c r="B4" s="72">
        <v>3149</v>
      </c>
      <c r="C4" s="45">
        <v>3552</v>
      </c>
      <c r="D4" s="45">
        <f t="shared" si="0"/>
        <v>403</v>
      </c>
      <c r="E4" s="45">
        <f t="shared" si="1"/>
        <v>120.45260461144321</v>
      </c>
    </row>
    <row r="5" spans="1:15">
      <c r="A5" s="14">
        <v>43489</v>
      </c>
      <c r="B5" s="72">
        <v>3154</v>
      </c>
      <c r="C5" s="45">
        <v>3548</v>
      </c>
      <c r="D5" s="45">
        <f t="shared" si="0"/>
        <v>394</v>
      </c>
      <c r="E5" s="45">
        <f t="shared" si="1"/>
        <v>117.51171708564124</v>
      </c>
    </row>
    <row r="6" spans="1:15">
      <c r="A6" s="14">
        <v>43490</v>
      </c>
      <c r="B6" s="72">
        <v>3161</v>
      </c>
      <c r="C6" s="45">
        <v>3544</v>
      </c>
      <c r="D6" s="45">
        <f t="shared" si="0"/>
        <v>383</v>
      </c>
      <c r="E6" s="45">
        <f t="shared" si="1"/>
        <v>113.89124893797791</v>
      </c>
    </row>
    <row r="7" spans="1:15">
      <c r="A7" s="14">
        <v>43491</v>
      </c>
      <c r="D7" s="45">
        <f t="shared" si="0"/>
        <v>0</v>
      </c>
      <c r="E7" s="45">
        <f t="shared" si="1"/>
        <v>0</v>
      </c>
    </row>
    <row r="8" spans="1:15">
      <c r="A8" s="14">
        <v>43492</v>
      </c>
      <c r="D8" s="45">
        <f t="shared" si="0"/>
        <v>0</v>
      </c>
      <c r="E8" s="45">
        <f t="shared" si="1"/>
        <v>0</v>
      </c>
    </row>
    <row r="9" spans="1:15">
      <c r="A9" s="14">
        <v>43493</v>
      </c>
      <c r="B9" s="72">
        <v>3169</v>
      </c>
      <c r="C9" s="45">
        <v>3539</v>
      </c>
      <c r="D9" s="45">
        <f t="shared" si="0"/>
        <v>370</v>
      </c>
      <c r="E9" s="45">
        <f t="shared" si="1"/>
        <v>109.6528365791702</v>
      </c>
    </row>
    <row r="10" spans="1:15">
      <c r="A10" s="14">
        <v>43494</v>
      </c>
      <c r="B10" s="72">
        <v>3169</v>
      </c>
      <c r="C10" s="45">
        <v>3535</v>
      </c>
      <c r="D10" s="45">
        <f t="shared" si="0"/>
        <v>366</v>
      </c>
      <c r="E10" s="45">
        <f t="shared" si="1"/>
        <v>108.46740050804402</v>
      </c>
    </row>
    <row r="11" spans="1:15">
      <c r="A11" s="14">
        <v>43495</v>
      </c>
      <c r="B11" s="72">
        <v>3179</v>
      </c>
      <c r="C11" s="45">
        <v>3531</v>
      </c>
      <c r="D11" s="45">
        <f t="shared" si="0"/>
        <v>352</v>
      </c>
      <c r="E11" s="45">
        <f t="shared" si="1"/>
        <v>103.87858347386172</v>
      </c>
    </row>
    <row r="12" spans="1:15">
      <c r="A12" s="14">
        <v>43496</v>
      </c>
      <c r="B12" s="72">
        <v>3183</v>
      </c>
      <c r="C12" s="45">
        <v>3526</v>
      </c>
      <c r="D12" s="45">
        <f t="shared" si="0"/>
        <v>343</v>
      </c>
      <c r="E12" s="45">
        <f t="shared" si="1"/>
        <v>101.05218855218855</v>
      </c>
    </row>
    <row r="13" spans="1:15">
      <c r="A13" s="14">
        <v>43497</v>
      </c>
      <c r="B13" s="72">
        <v>3192</v>
      </c>
      <c r="C13" s="45">
        <v>3521</v>
      </c>
      <c r="D13" s="45">
        <f t="shared" si="0"/>
        <v>329</v>
      </c>
      <c r="E13" s="45">
        <f t="shared" si="1"/>
        <v>96.561844863731665</v>
      </c>
    </row>
    <row r="14" spans="1:15">
      <c r="A14" s="14">
        <v>43498</v>
      </c>
      <c r="D14" s="45"/>
      <c r="E14" s="45">
        <f t="shared" si="1"/>
        <v>0</v>
      </c>
      <c r="O14" s="45"/>
    </row>
    <row r="15" spans="1:15">
      <c r="A15" s="14">
        <v>43499</v>
      </c>
      <c r="D15" s="45"/>
      <c r="E15" s="45">
        <f t="shared" si="1"/>
        <v>0</v>
      </c>
    </row>
    <row r="16" spans="1:15">
      <c r="A16" s="14">
        <v>43500</v>
      </c>
      <c r="D16" s="45"/>
      <c r="E16" s="45">
        <f t="shared" si="1"/>
        <v>0</v>
      </c>
    </row>
    <row r="17" spans="1:5">
      <c r="A17" s="14">
        <v>43501</v>
      </c>
      <c r="D17" s="45"/>
      <c r="E17" s="45">
        <f t="shared" si="1"/>
        <v>0</v>
      </c>
    </row>
    <row r="18" spans="1:5">
      <c r="A18" s="14">
        <v>43502</v>
      </c>
      <c r="D18" s="45"/>
      <c r="E18" s="45">
        <f t="shared" si="1"/>
        <v>0</v>
      </c>
    </row>
    <row r="19" spans="1:5">
      <c r="A19" s="14">
        <v>43503</v>
      </c>
      <c r="D19" s="45"/>
      <c r="E19" s="45">
        <f t="shared" si="1"/>
        <v>0</v>
      </c>
    </row>
    <row r="20" spans="1:5">
      <c r="A20" s="14">
        <v>43504</v>
      </c>
      <c r="D20" s="45"/>
      <c r="E20" s="45">
        <f t="shared" si="1"/>
        <v>0</v>
      </c>
    </row>
    <row r="21" spans="1:5">
      <c r="A21" s="14">
        <v>43505</v>
      </c>
      <c r="D21" s="45"/>
      <c r="E21" s="45">
        <f t="shared" si="1"/>
        <v>0</v>
      </c>
    </row>
    <row r="22" spans="1:5">
      <c r="A22" s="14">
        <v>43506</v>
      </c>
      <c r="D22" s="45"/>
      <c r="E22" s="45">
        <f t="shared" si="1"/>
        <v>0</v>
      </c>
    </row>
    <row r="23" spans="1:5">
      <c r="A23" s="14">
        <v>43507</v>
      </c>
      <c r="B23" s="72">
        <v>3213</v>
      </c>
      <c r="C23" s="45">
        <v>3517</v>
      </c>
      <c r="D23" s="45">
        <f t="shared" ref="D23:D43" si="2">(C23-B23)</f>
        <v>304</v>
      </c>
      <c r="E23" s="45">
        <f t="shared" si="1"/>
        <v>88.445552784704915</v>
      </c>
    </row>
    <row r="24" spans="1:5">
      <c r="A24" s="14">
        <v>43508</v>
      </c>
      <c r="B24" s="72">
        <v>3245</v>
      </c>
      <c r="C24" s="45">
        <v>3513</v>
      </c>
      <c r="D24" s="45">
        <f t="shared" si="2"/>
        <v>268</v>
      </c>
      <c r="E24" s="45">
        <f t="shared" si="1"/>
        <v>76.948318293683343</v>
      </c>
    </row>
    <row r="25" spans="1:5">
      <c r="A25" s="14">
        <v>43509</v>
      </c>
      <c r="B25" s="72">
        <v>3287</v>
      </c>
      <c r="C25" s="45">
        <v>3509</v>
      </c>
      <c r="D25" s="45">
        <f t="shared" si="2"/>
        <v>222</v>
      </c>
      <c r="E25" s="45">
        <f t="shared" si="1"/>
        <v>62.661290322580641</v>
      </c>
    </row>
    <row r="26" spans="1:5">
      <c r="A26" s="14">
        <v>43510</v>
      </c>
      <c r="B26" s="72">
        <v>3334</v>
      </c>
      <c r="C26" s="45">
        <v>3505</v>
      </c>
      <c r="D26" s="45">
        <f t="shared" si="2"/>
        <v>171</v>
      </c>
      <c r="E26" s="45">
        <f t="shared" si="1"/>
        <v>47.368421052631575</v>
      </c>
    </row>
    <row r="27" spans="1:5">
      <c r="A27" s="14">
        <v>43511</v>
      </c>
      <c r="B27" s="72">
        <v>3280.0583486238502</v>
      </c>
      <c r="C27" s="45">
        <v>3502</v>
      </c>
      <c r="D27" s="45">
        <f t="shared" si="2"/>
        <v>221.94165137614982</v>
      </c>
      <c r="E27" s="45">
        <f t="shared" si="1"/>
        <v>62.820659306221181</v>
      </c>
    </row>
    <row r="28" spans="1:5">
      <c r="A28" s="14">
        <v>43512</v>
      </c>
      <c r="B28" s="72">
        <v>3354</v>
      </c>
      <c r="C28" s="45">
        <v>3502</v>
      </c>
      <c r="D28" s="45">
        <f t="shared" si="2"/>
        <v>148</v>
      </c>
      <c r="E28" s="45">
        <f t="shared" si="1"/>
        <v>40.675304279544562</v>
      </c>
    </row>
    <row r="29" spans="1:5">
      <c r="A29" s="14">
        <v>43513</v>
      </c>
      <c r="D29" s="45">
        <f t="shared" si="2"/>
        <v>0</v>
      </c>
      <c r="E29" s="45">
        <f t="shared" si="1"/>
        <v>0</v>
      </c>
    </row>
    <row r="30" spans="1:5">
      <c r="A30" s="14">
        <v>43514</v>
      </c>
      <c r="B30" s="72">
        <v>3371</v>
      </c>
      <c r="C30" s="45">
        <v>3498</v>
      </c>
      <c r="D30" s="45">
        <f t="shared" si="2"/>
        <v>127</v>
      </c>
      <c r="E30" s="45">
        <f t="shared" si="1"/>
        <v>34.672386895475817</v>
      </c>
    </row>
    <row r="31" spans="1:5">
      <c r="A31" s="14">
        <v>43515</v>
      </c>
      <c r="B31" s="72">
        <v>3410</v>
      </c>
      <c r="C31" s="45">
        <v>3495</v>
      </c>
      <c r="D31" s="45">
        <f t="shared" si="2"/>
        <v>85</v>
      </c>
      <c r="E31" s="45">
        <f t="shared" si="1"/>
        <v>22.8582404917403</v>
      </c>
    </row>
    <row r="32" spans="1:5">
      <c r="A32" s="14">
        <v>43516</v>
      </c>
      <c r="B32" s="72">
        <v>3414</v>
      </c>
      <c r="C32" s="45">
        <v>3492</v>
      </c>
      <c r="D32" s="45">
        <f t="shared" si="2"/>
        <v>78</v>
      </c>
      <c r="E32" s="45">
        <f t="shared" si="1"/>
        <v>20.943613348676642</v>
      </c>
    </row>
    <row r="33" spans="1:5">
      <c r="A33" s="14">
        <v>43517</v>
      </c>
      <c r="D33" s="45">
        <f t="shared" si="2"/>
        <v>0</v>
      </c>
      <c r="E33" s="45">
        <f t="shared" ref="E3:E43" si="3">(D33)*100/(B33-807)*7</f>
        <v>0</v>
      </c>
    </row>
    <row r="34" spans="1:5">
      <c r="A34" s="14">
        <v>43518</v>
      </c>
      <c r="D34" s="45">
        <f t="shared" si="2"/>
        <v>0</v>
      </c>
      <c r="E34" s="45">
        <f t="shared" si="3"/>
        <v>0</v>
      </c>
    </row>
    <row r="35" spans="1:5">
      <c r="A35" s="14">
        <v>43519</v>
      </c>
      <c r="D35" s="45">
        <f t="shared" si="2"/>
        <v>0</v>
      </c>
      <c r="E35" s="45">
        <f t="shared" si="3"/>
        <v>0</v>
      </c>
    </row>
    <row r="36" spans="1:5">
      <c r="A36" s="14">
        <v>43520</v>
      </c>
      <c r="D36" s="45">
        <f t="shared" si="2"/>
        <v>0</v>
      </c>
      <c r="E36" s="45">
        <f t="shared" si="3"/>
        <v>0</v>
      </c>
    </row>
    <row r="37" spans="1:5">
      <c r="A37" s="14">
        <v>43521</v>
      </c>
      <c r="D37" s="45">
        <f t="shared" si="2"/>
        <v>0</v>
      </c>
      <c r="E37" s="45">
        <f t="shared" si="3"/>
        <v>0</v>
      </c>
    </row>
    <row r="38" spans="1:5">
      <c r="A38" s="14">
        <v>43522</v>
      </c>
      <c r="D38" s="45">
        <f t="shared" si="2"/>
        <v>0</v>
      </c>
      <c r="E38" s="45">
        <f t="shared" si="3"/>
        <v>0</v>
      </c>
    </row>
    <row r="39" spans="1:5">
      <c r="A39" s="14">
        <v>43523</v>
      </c>
      <c r="D39" s="45">
        <f t="shared" si="2"/>
        <v>0</v>
      </c>
      <c r="E39" s="45">
        <f t="shared" si="3"/>
        <v>0</v>
      </c>
    </row>
    <row r="40" spans="1:5">
      <c r="D40" s="45">
        <f t="shared" si="2"/>
        <v>0</v>
      </c>
      <c r="E40" s="45">
        <f t="shared" si="3"/>
        <v>0</v>
      </c>
    </row>
    <row r="41" spans="1:5">
      <c r="D41" s="45">
        <f t="shared" si="2"/>
        <v>0</v>
      </c>
      <c r="E41" s="45">
        <f t="shared" si="3"/>
        <v>0</v>
      </c>
    </row>
    <row r="42" spans="1:5">
      <c r="D42" s="45">
        <f t="shared" si="2"/>
        <v>0</v>
      </c>
      <c r="E42" s="45">
        <f t="shared" si="3"/>
        <v>0</v>
      </c>
    </row>
    <row r="43" spans="1:5">
      <c r="D43" s="45">
        <f t="shared" si="2"/>
        <v>0</v>
      </c>
      <c r="E43" s="45">
        <f t="shared" si="3"/>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E21"/>
  <sheetViews>
    <sheetView workbookViewId="0">
      <selection activeCell="E2" sqref="E2"/>
    </sheetView>
  </sheetViews>
  <sheetFormatPr defaultRowHeight="13.5"/>
  <cols>
    <col min="1" max="1" width="11.625" customWidth="1"/>
    <col min="2" max="3" width="9.5" bestFit="1" customWidth="1"/>
  </cols>
  <sheetData>
    <row r="1" spans="1:5">
      <c r="B1" s="71" t="s">
        <v>150</v>
      </c>
      <c r="C1" s="71" t="s">
        <v>148</v>
      </c>
      <c r="E1" s="45" t="s">
        <v>149</v>
      </c>
    </row>
    <row r="2" spans="1:5">
      <c r="A2" s="14">
        <v>43514</v>
      </c>
      <c r="B2" s="72">
        <v>4507</v>
      </c>
      <c r="C2" s="45">
        <v>5095</v>
      </c>
      <c r="D2" s="45">
        <f>(C2-B2)</f>
        <v>588</v>
      </c>
      <c r="E2" s="45">
        <f>(D2)*100/(B2-1500)*2</f>
        <v>39.108746258729632</v>
      </c>
    </row>
    <row r="3" spans="1:5">
      <c r="A3" s="14">
        <v>43515</v>
      </c>
      <c r="B3">
        <v>4582</v>
      </c>
      <c r="C3">
        <v>5090</v>
      </c>
      <c r="D3" s="45">
        <f t="shared" ref="D3:D21" si="0">(C3-B3)</f>
        <v>508</v>
      </c>
      <c r="E3" s="45">
        <f t="shared" ref="E3:E4" si="1">(D3)*100/(B3-1500)*2</f>
        <v>32.965606748864374</v>
      </c>
    </row>
    <row r="4" spans="1:5">
      <c r="A4" s="14">
        <v>43516</v>
      </c>
      <c r="B4">
        <v>4604</v>
      </c>
      <c r="C4">
        <v>5520</v>
      </c>
      <c r="D4" s="45">
        <f t="shared" si="0"/>
        <v>916</v>
      </c>
      <c r="E4" s="45">
        <f t="shared" si="1"/>
        <v>59.020618556701031</v>
      </c>
    </row>
    <row r="5" spans="1:5">
      <c r="A5" s="14">
        <v>43517</v>
      </c>
      <c r="D5" s="45">
        <f t="shared" si="0"/>
        <v>0</v>
      </c>
      <c r="E5" s="45">
        <f t="shared" ref="E3:E21" si="2">(D5)*100/(B5-1500)*2-10</f>
        <v>-10</v>
      </c>
    </row>
    <row r="6" spans="1:5">
      <c r="A6" s="14">
        <v>43518</v>
      </c>
      <c r="D6" s="45">
        <f t="shared" si="0"/>
        <v>0</v>
      </c>
      <c r="E6" s="45">
        <f t="shared" si="2"/>
        <v>-10</v>
      </c>
    </row>
    <row r="7" spans="1:5">
      <c r="A7" s="14">
        <v>43519</v>
      </c>
      <c r="D7" s="45">
        <f t="shared" si="0"/>
        <v>0</v>
      </c>
      <c r="E7" s="45">
        <f t="shared" si="2"/>
        <v>-10</v>
      </c>
    </row>
    <row r="8" spans="1:5">
      <c r="A8" s="14">
        <v>43520</v>
      </c>
      <c r="D8" s="45">
        <f t="shared" si="0"/>
        <v>0</v>
      </c>
      <c r="E8" s="45">
        <f t="shared" si="2"/>
        <v>-10</v>
      </c>
    </row>
    <row r="9" spans="1:5">
      <c r="A9" s="14">
        <v>43521</v>
      </c>
      <c r="D9" s="45">
        <f t="shared" si="0"/>
        <v>0</v>
      </c>
      <c r="E9" s="45">
        <f t="shared" si="2"/>
        <v>-10</v>
      </c>
    </row>
    <row r="10" spans="1:5">
      <c r="A10" s="14">
        <v>43522</v>
      </c>
      <c r="D10" s="45">
        <f t="shared" si="0"/>
        <v>0</v>
      </c>
      <c r="E10" s="45">
        <f t="shared" si="2"/>
        <v>-10</v>
      </c>
    </row>
    <row r="11" spans="1:5">
      <c r="A11" s="14">
        <v>43523</v>
      </c>
      <c r="D11" s="45">
        <f t="shared" si="0"/>
        <v>0</v>
      </c>
      <c r="E11" s="45">
        <f t="shared" si="2"/>
        <v>-10</v>
      </c>
    </row>
    <row r="12" spans="1:5">
      <c r="A12" s="14">
        <v>43524</v>
      </c>
      <c r="D12" s="45">
        <f t="shared" si="0"/>
        <v>0</v>
      </c>
      <c r="E12" s="45">
        <f t="shared" si="2"/>
        <v>-10</v>
      </c>
    </row>
    <row r="13" spans="1:5">
      <c r="A13" s="14">
        <v>43525</v>
      </c>
      <c r="D13" s="45">
        <f t="shared" si="0"/>
        <v>0</v>
      </c>
      <c r="E13" s="45">
        <f t="shared" si="2"/>
        <v>-10</v>
      </c>
    </row>
    <row r="14" spans="1:5">
      <c r="A14" s="14">
        <v>43526</v>
      </c>
      <c r="D14" s="45">
        <f t="shared" si="0"/>
        <v>0</v>
      </c>
      <c r="E14" s="45">
        <f t="shared" si="2"/>
        <v>-10</v>
      </c>
    </row>
    <row r="15" spans="1:5">
      <c r="A15" s="14">
        <v>43527</v>
      </c>
      <c r="D15" s="45">
        <f t="shared" si="0"/>
        <v>0</v>
      </c>
      <c r="E15" s="45">
        <f t="shared" si="2"/>
        <v>-10</v>
      </c>
    </row>
    <row r="16" spans="1:5">
      <c r="A16" s="14">
        <v>43528</v>
      </c>
      <c r="D16" s="45">
        <f t="shared" si="0"/>
        <v>0</v>
      </c>
      <c r="E16" s="45">
        <f t="shared" si="2"/>
        <v>-10</v>
      </c>
    </row>
    <row r="17" spans="1:5">
      <c r="A17" s="14">
        <v>43529</v>
      </c>
      <c r="D17" s="45">
        <f t="shared" si="0"/>
        <v>0</v>
      </c>
      <c r="E17" s="45">
        <f t="shared" si="2"/>
        <v>-10</v>
      </c>
    </row>
    <row r="18" spans="1:5">
      <c r="A18" s="14">
        <v>43530</v>
      </c>
      <c r="D18" s="45">
        <f t="shared" si="0"/>
        <v>0</v>
      </c>
      <c r="E18" s="45">
        <f t="shared" si="2"/>
        <v>-10</v>
      </c>
    </row>
    <row r="19" spans="1:5">
      <c r="A19" s="14">
        <v>43531</v>
      </c>
      <c r="D19" s="45">
        <f t="shared" si="0"/>
        <v>0</v>
      </c>
      <c r="E19" s="45">
        <f t="shared" si="2"/>
        <v>-10</v>
      </c>
    </row>
    <row r="20" spans="1:5">
      <c r="A20" s="14">
        <v>43532</v>
      </c>
      <c r="D20" s="45">
        <f t="shared" si="0"/>
        <v>0</v>
      </c>
      <c r="E20" s="45">
        <f t="shared" si="2"/>
        <v>-10</v>
      </c>
    </row>
    <row r="21" spans="1:5">
      <c r="A21" s="14">
        <v>43533</v>
      </c>
      <c r="D21" s="45">
        <f t="shared" si="0"/>
        <v>0</v>
      </c>
      <c r="E21" s="45">
        <f t="shared" si="2"/>
        <v>-10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F25"/>
  <sheetViews>
    <sheetView workbookViewId="0">
      <selection activeCell="E2" sqref="E2"/>
    </sheetView>
  </sheetViews>
  <sheetFormatPr defaultRowHeight="13.5"/>
  <cols>
    <col min="1" max="1" width="12.625" customWidth="1"/>
    <col min="2" max="3" width="9.5" bestFit="1" customWidth="1"/>
  </cols>
  <sheetData>
    <row r="1" spans="1:6">
      <c r="B1" s="71" t="s">
        <v>150</v>
      </c>
      <c r="C1" s="71" t="s">
        <v>148</v>
      </c>
      <c r="E1" s="45" t="s">
        <v>149</v>
      </c>
    </row>
    <row r="2" spans="1:6">
      <c r="A2" s="14">
        <v>43514</v>
      </c>
      <c r="B2" s="72">
        <v>1356</v>
      </c>
      <c r="C2" s="45">
        <v>1529</v>
      </c>
      <c r="D2" s="45">
        <f>(C2-B2)</f>
        <v>173</v>
      </c>
      <c r="E2" s="45">
        <f>(D2)*100/(B2-585)*1</f>
        <v>22.438391699092087</v>
      </c>
      <c r="F2" s="45"/>
    </row>
    <row r="3" spans="1:6">
      <c r="A3" s="14">
        <v>43515</v>
      </c>
      <c r="B3" s="72">
        <v>1382</v>
      </c>
      <c r="C3" s="45">
        <v>1528</v>
      </c>
      <c r="D3" s="45">
        <f t="shared" ref="D3:D16" si="0">(C3-B3)</f>
        <v>146</v>
      </c>
      <c r="E3" s="45">
        <f t="shared" ref="E3:E4" si="1">(D3)*100/(B3-585)*1</f>
        <v>18.318695106649937</v>
      </c>
    </row>
    <row r="4" spans="1:6">
      <c r="A4" s="14">
        <v>43516</v>
      </c>
      <c r="B4" s="72">
        <v>1382</v>
      </c>
      <c r="C4" s="45">
        <v>1528</v>
      </c>
      <c r="D4" s="45">
        <f t="shared" si="0"/>
        <v>146</v>
      </c>
      <c r="E4" s="45">
        <f t="shared" si="1"/>
        <v>18.318695106649937</v>
      </c>
    </row>
    <row r="5" spans="1:6">
      <c r="A5" s="14">
        <v>43517</v>
      </c>
      <c r="B5" s="72"/>
      <c r="C5" s="45"/>
      <c r="D5" s="45">
        <f t="shared" si="0"/>
        <v>0</v>
      </c>
      <c r="E5" s="45">
        <f t="shared" ref="E3:E16" si="2">MAX(-100,(D5)*100/(B5-585)*1)</f>
        <v>0</v>
      </c>
    </row>
    <row r="6" spans="1:6">
      <c r="A6" s="14">
        <v>43518</v>
      </c>
      <c r="B6" s="72"/>
      <c r="C6" s="45"/>
      <c r="D6" s="45">
        <f t="shared" si="0"/>
        <v>0</v>
      </c>
      <c r="E6" s="45">
        <f t="shared" si="2"/>
        <v>0</v>
      </c>
    </row>
    <row r="7" spans="1:6">
      <c r="A7" s="14">
        <v>43519</v>
      </c>
      <c r="B7" s="72"/>
      <c r="C7" s="45"/>
      <c r="D7" s="45">
        <f t="shared" si="0"/>
        <v>0</v>
      </c>
      <c r="E7" s="45">
        <f t="shared" si="2"/>
        <v>0</v>
      </c>
    </row>
    <row r="8" spans="1:6">
      <c r="A8" s="14">
        <v>43520</v>
      </c>
      <c r="B8" s="72"/>
      <c r="C8" s="45"/>
      <c r="D8" s="45">
        <f t="shared" si="0"/>
        <v>0</v>
      </c>
      <c r="E8" s="45">
        <f t="shared" si="2"/>
        <v>0</v>
      </c>
    </row>
    <row r="9" spans="1:6">
      <c r="A9" s="14">
        <v>43521</v>
      </c>
      <c r="B9" s="72"/>
      <c r="C9" s="45"/>
      <c r="D9" s="45">
        <f t="shared" si="0"/>
        <v>0</v>
      </c>
      <c r="E9" s="45">
        <f t="shared" si="2"/>
        <v>0</v>
      </c>
    </row>
    <row r="10" spans="1:6">
      <c r="A10" s="14">
        <v>43522</v>
      </c>
      <c r="B10" s="72"/>
      <c r="C10" s="45"/>
      <c r="D10" s="45">
        <f t="shared" si="0"/>
        <v>0</v>
      </c>
      <c r="E10" s="45">
        <f t="shared" si="2"/>
        <v>0</v>
      </c>
    </row>
    <row r="11" spans="1:6">
      <c r="A11" s="14">
        <v>43523</v>
      </c>
      <c r="B11" s="72"/>
      <c r="C11" s="45"/>
      <c r="D11" s="45">
        <f t="shared" si="0"/>
        <v>0</v>
      </c>
      <c r="E11" s="45">
        <f t="shared" si="2"/>
        <v>0</v>
      </c>
    </row>
    <row r="12" spans="1:6">
      <c r="A12" s="14">
        <v>43524</v>
      </c>
      <c r="B12" s="72"/>
      <c r="C12" s="45"/>
      <c r="D12" s="45">
        <f t="shared" si="0"/>
        <v>0</v>
      </c>
      <c r="E12" s="45">
        <f t="shared" si="2"/>
        <v>0</v>
      </c>
    </row>
    <row r="13" spans="1:6">
      <c r="A13" s="14">
        <v>43525</v>
      </c>
      <c r="B13" s="72"/>
      <c r="C13" s="45"/>
      <c r="D13" s="45">
        <f t="shared" si="0"/>
        <v>0</v>
      </c>
      <c r="E13" s="45">
        <f t="shared" si="2"/>
        <v>0</v>
      </c>
    </row>
    <row r="14" spans="1:6">
      <c r="A14" s="14">
        <v>43526</v>
      </c>
      <c r="B14" s="72"/>
      <c r="C14" s="45"/>
      <c r="D14" s="45">
        <f t="shared" si="0"/>
        <v>0</v>
      </c>
      <c r="E14" s="45">
        <f t="shared" si="2"/>
        <v>0</v>
      </c>
    </row>
    <row r="15" spans="1:6">
      <c r="A15" s="14">
        <v>43527</v>
      </c>
      <c r="B15" s="72"/>
      <c r="C15" s="45"/>
      <c r="D15" s="45">
        <f t="shared" si="0"/>
        <v>0</v>
      </c>
      <c r="E15" s="45">
        <f t="shared" si="2"/>
        <v>0</v>
      </c>
    </row>
    <row r="16" spans="1:6">
      <c r="A16" s="14">
        <v>43528</v>
      </c>
      <c r="B16" s="72"/>
      <c r="C16" s="45"/>
      <c r="D16" s="45">
        <f t="shared" si="0"/>
        <v>0</v>
      </c>
      <c r="E16" s="45">
        <f t="shared" si="2"/>
        <v>0</v>
      </c>
    </row>
    <row r="17" spans="1:4">
      <c r="A17" s="14">
        <v>43529</v>
      </c>
      <c r="B17" s="72"/>
      <c r="C17" s="45"/>
      <c r="D17" s="45"/>
    </row>
    <row r="18" spans="1:4">
      <c r="A18" s="14">
        <v>43530</v>
      </c>
      <c r="B18" s="72"/>
      <c r="C18" s="45"/>
      <c r="D18" s="45"/>
    </row>
    <row r="19" spans="1:4">
      <c r="A19" s="14">
        <v>43531</v>
      </c>
      <c r="B19" s="72"/>
      <c r="C19" s="45"/>
      <c r="D19" s="45"/>
    </row>
    <row r="20" spans="1:4">
      <c r="A20" s="14">
        <v>43532</v>
      </c>
      <c r="B20" s="72"/>
      <c r="C20" s="45"/>
      <c r="D20" s="45"/>
    </row>
    <row r="21" spans="1:4">
      <c r="A21" s="14">
        <v>43533</v>
      </c>
      <c r="B21" s="72"/>
      <c r="C21" s="45"/>
      <c r="D21" s="45"/>
    </row>
    <row r="22" spans="1:4">
      <c r="A22" s="14">
        <v>43534</v>
      </c>
      <c r="B22" s="72"/>
      <c r="C22" s="45"/>
      <c r="D22" s="45"/>
    </row>
    <row r="23" spans="1:4">
      <c r="A23" s="14">
        <v>43535</v>
      </c>
      <c r="B23" s="72"/>
      <c r="C23" s="45"/>
      <c r="D23" s="45"/>
    </row>
    <row r="24" spans="1:4">
      <c r="A24" s="14">
        <v>43536</v>
      </c>
      <c r="B24" s="72"/>
      <c r="C24" s="45"/>
      <c r="D24" s="45"/>
    </row>
    <row r="25" spans="1:4">
      <c r="A25" s="14">
        <v>43537</v>
      </c>
      <c r="B25" s="72"/>
      <c r="C25" s="45"/>
      <c r="D25"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记录</vt:lpstr>
      <vt:lpstr>定投</vt:lpstr>
      <vt:lpstr>笔记</vt:lpstr>
      <vt:lpstr>古债平衡</vt:lpstr>
      <vt:lpstr>H股ETF</vt:lpstr>
      <vt:lpstr>红利ETF</vt:lpstr>
      <vt:lpstr>300</vt:lpstr>
      <vt:lpstr>500</vt:lpstr>
      <vt:lpstr>cyb</vt:lpstr>
      <vt:lpstr>红利</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2019-02-20T09:27:53Z</dcterms:modified>
</cp:coreProperties>
</file>