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2" r:id="rId8"/>
    <sheet name="Sheet1" sheetId="11" r:id="rId9"/>
  </sheets>
  <calcPr calcId="124519"/>
</workbook>
</file>

<file path=xl/calcChain.xml><?xml version="1.0" encoding="utf-8"?>
<calcChain xmlns="http://schemas.openxmlformats.org/spreadsheetml/2006/main">
  <c r="J32" i="3"/>
  <c r="K3" i="10"/>
  <c r="K4"/>
  <c r="K5"/>
  <c r="K6"/>
  <c r="K7"/>
  <c r="K8"/>
  <c r="K9"/>
  <c r="K10"/>
  <c r="K11"/>
  <c r="K12"/>
  <c r="K13"/>
  <c r="K23"/>
  <c r="K24"/>
  <c r="K2"/>
  <c r="J24"/>
  <c r="J25"/>
  <c r="J26"/>
  <c r="J27"/>
  <c r="J28"/>
  <c r="J29"/>
  <c r="J30"/>
  <c r="I24"/>
  <c r="I25"/>
  <c r="I26"/>
  <c r="I27"/>
  <c r="I28"/>
  <c r="I29"/>
  <c r="I30"/>
  <c r="H24"/>
  <c r="H25"/>
  <c r="H26"/>
  <c r="H27"/>
  <c r="H28"/>
  <c r="H29"/>
  <c r="H30"/>
  <c r="J14"/>
  <c r="J15"/>
  <c r="J16"/>
  <c r="J17"/>
  <c r="J18"/>
  <c r="J19"/>
  <c r="J20"/>
  <c r="J21"/>
  <c r="J22"/>
  <c r="J23"/>
  <c r="I14"/>
  <c r="I15"/>
  <c r="I16"/>
  <c r="I17"/>
  <c r="I18"/>
  <c r="I19"/>
  <c r="I20"/>
  <c r="I21"/>
  <c r="I22"/>
  <c r="I23"/>
  <c r="H14"/>
  <c r="H15"/>
  <c r="H16"/>
  <c r="H17"/>
  <c r="H18"/>
  <c r="H19"/>
  <c r="H20"/>
  <c r="H21"/>
  <c r="H22"/>
  <c r="H23"/>
  <c r="I13"/>
  <c r="J13" s="1"/>
  <c r="H13"/>
  <c r="I12"/>
  <c r="J12" s="1"/>
  <c r="H12"/>
  <c r="J2" i="12"/>
  <c r="I2"/>
  <c r="H2"/>
  <c r="B7"/>
  <c r="B6"/>
  <c r="B4"/>
  <c r="I11" i="10"/>
  <c r="H11"/>
  <c r="I10"/>
  <c r="H10"/>
  <c r="J33" i="3"/>
  <c r="E2"/>
  <c r="J43" s="1"/>
  <c r="J42"/>
  <c r="J41"/>
  <c r="J31"/>
  <c r="J45"/>
  <c r="G39"/>
  <c r="J34" s="1"/>
  <c r="G42"/>
  <c r="J7" i="10"/>
  <c r="I7"/>
  <c r="I8"/>
  <c r="I9"/>
  <c r="H7"/>
  <c r="H8"/>
  <c r="J8" s="1"/>
  <c r="H9"/>
  <c r="J9" s="1"/>
  <c r="E68" i="3"/>
  <c r="E69"/>
  <c r="E70"/>
  <c r="E73"/>
  <c r="E74"/>
  <c r="E75"/>
  <c r="E78"/>
  <c r="E79"/>
  <c r="E80"/>
  <c r="H3" i="10"/>
  <c r="H4"/>
  <c r="H5"/>
  <c r="H6"/>
  <c r="H2"/>
  <c r="B8" i="12" l="1"/>
  <c r="J11" i="10"/>
  <c r="J10"/>
  <c r="J40" i="3"/>
  <c r="K41" s="1"/>
  <c r="I3" i="10"/>
  <c r="I4"/>
  <c r="I5"/>
  <c r="I6"/>
  <c r="J3"/>
  <c r="J4"/>
  <c r="J5"/>
  <c r="J6"/>
  <c r="I2"/>
  <c r="K43" i="3" l="1"/>
  <c r="K44"/>
  <c r="K42"/>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5" i="3"/>
  <c r="M16" i="9"/>
  <c r="J16"/>
  <c r="J17"/>
  <c r="J18"/>
  <c r="J19"/>
  <c r="J20"/>
  <c r="J21"/>
  <c r="J22"/>
  <c r="J23"/>
  <c r="L23"/>
  <c r="L22"/>
  <c r="L21"/>
  <c r="L20"/>
  <c r="L19"/>
  <c r="L18"/>
  <c r="L17"/>
  <c r="L16"/>
  <c r="E39" i="3"/>
  <c r="E40"/>
  <c r="E42"/>
  <c r="J30" l="1"/>
  <c r="K33" s="1"/>
  <c r="M15" i="9"/>
  <c r="M23"/>
  <c r="M18"/>
  <c r="M17"/>
  <c r="M19"/>
  <c r="K34" i="3" l="1"/>
  <c r="K31"/>
  <c r="K32"/>
</calcChain>
</file>

<file path=xl/sharedStrings.xml><?xml version="1.0" encoding="utf-8"?>
<sst xmlns="http://schemas.openxmlformats.org/spreadsheetml/2006/main" count="289" uniqueCount="209">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</sst>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1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101">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xf numFmtId="0" fontId="0" fillId="0" borderId="0" xfId="0" applyNumberFormat="1" applyFill="1">
      <alignment vertical="center"/>
    </xf>
    <xf numFmtId="49" fontId="0" fillId="9" borderId="0" xfId="0" applyNumberFormat="1" applyFill="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201894144"/>
        <c:axId val="128516480"/>
      </c:lineChart>
      <c:dateAx>
        <c:axId val="20189414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516480"/>
        <c:crosses val="autoZero"/>
        <c:auto val="1"/>
        <c:lblOffset val="100"/>
        <c:baseTimeUnit val="days"/>
      </c:dateAx>
      <c:valAx>
        <c:axId val="128516480"/>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20189414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352426</xdr:colOff>
      <xdr:row>7</xdr:row>
      <xdr:rowOff>161924</xdr:rowOff>
    </xdr:from>
    <xdr:to>
      <xdr:col>18</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82"/>
  <sheetViews>
    <sheetView tabSelected="1" topLeftCell="A19" workbookViewId="0">
      <selection activeCell="B30" sqref="B30"/>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9500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100" t="s">
        <v>119</v>
      </c>
      <c r="D3" s="59">
        <v>9000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1019</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v>0</v>
      </c>
      <c r="E6" s="59">
        <v>1004</v>
      </c>
      <c r="F6" s="28"/>
      <c r="I6" s="52"/>
      <c r="P6" s="38" t="s">
        <v>124</v>
      </c>
    </row>
    <row r="7" spans="2:28" s="12" customFormat="1" ht="15" thickBot="1">
      <c r="B7" s="38" t="s">
        <v>160</v>
      </c>
      <c r="C7" s="100" t="s">
        <v>159</v>
      </c>
      <c r="D7" s="59">
        <v>1000</v>
      </c>
      <c r="E7" s="59">
        <v>0</v>
      </c>
      <c r="F7" s="28"/>
      <c r="I7" s="52"/>
      <c r="P7" s="38" t="s">
        <v>122</v>
      </c>
    </row>
    <row r="8" spans="2:28" s="12" customFormat="1" ht="15.75" customHeight="1" thickBot="1">
      <c r="B8" s="37" t="s">
        <v>93</v>
      </c>
      <c r="C8" s="28" t="s">
        <v>94</v>
      </c>
      <c r="D8" s="59">
        <v>25</v>
      </c>
      <c r="E8" s="59">
        <v>0</v>
      </c>
      <c r="F8" s="28"/>
      <c r="G8" s="33"/>
      <c r="H8" s="31"/>
      <c r="I8" s="53"/>
      <c r="J8" s="31"/>
      <c r="K8" s="31"/>
      <c r="L8" s="31"/>
      <c r="M8" s="31"/>
      <c r="Q8" s="34" t="s">
        <v>95</v>
      </c>
      <c r="R8" s="35" t="s">
        <v>96</v>
      </c>
      <c r="S8" s="34" t="s">
        <v>97</v>
      </c>
      <c r="T8" s="35" t="s">
        <v>98</v>
      </c>
      <c r="U8" s="34" t="s">
        <v>99</v>
      </c>
      <c r="V8" s="35" t="s">
        <v>100</v>
      </c>
    </row>
    <row r="9" spans="2:28" s="12" customFormat="1" ht="16.5">
      <c r="B9" s="28" t="s">
        <v>71</v>
      </c>
      <c r="C9" s="100">
        <v>485011</v>
      </c>
      <c r="D9" s="61">
        <v>1000</v>
      </c>
      <c r="E9" s="61"/>
      <c r="F9" s="28" t="s">
        <v>77</v>
      </c>
      <c r="G9" s="62">
        <v>40406</v>
      </c>
      <c r="H9" s="63">
        <v>1.1000000000000001E-3</v>
      </c>
      <c r="I9" s="64">
        <v>2.5700000000000001E-2</v>
      </c>
      <c r="J9" s="63">
        <v>4.8399999999999999E-2</v>
      </c>
      <c r="K9" s="63">
        <v>9.1800000000000007E-2</v>
      </c>
      <c r="L9" s="63">
        <v>0.13100000000000001</v>
      </c>
      <c r="M9" s="63">
        <v>0.79490000000000005</v>
      </c>
      <c r="N9" s="12" t="s">
        <v>154</v>
      </c>
      <c r="P9" s="32" t="s">
        <v>89</v>
      </c>
    </row>
    <row r="10" spans="2:28" s="12" customFormat="1">
      <c r="B10" s="12" t="s">
        <v>48</v>
      </c>
      <c r="C10" s="28" t="s">
        <v>79</v>
      </c>
      <c r="D10" s="61"/>
      <c r="E10" s="61">
        <v>5148</v>
      </c>
      <c r="F10" s="28" t="s">
        <v>64</v>
      </c>
      <c r="G10" s="33">
        <v>41429</v>
      </c>
      <c r="H10" s="31">
        <v>2.8E-3</v>
      </c>
      <c r="I10" s="53">
        <v>1.37E-2</v>
      </c>
      <c r="J10" s="31">
        <v>4.53E-2</v>
      </c>
      <c r="K10" s="31">
        <v>9.5500000000000002E-2</v>
      </c>
      <c r="L10" s="31">
        <v>0.1108</v>
      </c>
      <c r="M10" s="31">
        <v>0.53739999999999999</v>
      </c>
      <c r="N10" s="12" t="s">
        <v>155</v>
      </c>
      <c r="P10" s="12" t="s">
        <v>82</v>
      </c>
    </row>
    <row r="11" spans="2:28" s="12" customFormat="1">
      <c r="B11" s="12" t="s">
        <v>200</v>
      </c>
      <c r="C11" s="100" t="s">
        <v>201</v>
      </c>
      <c r="D11" s="61"/>
      <c r="E11" s="61"/>
      <c r="F11" s="28"/>
      <c r="G11" s="33"/>
      <c r="H11" s="31"/>
      <c r="I11" s="53"/>
      <c r="J11" s="31"/>
      <c r="K11" s="31"/>
      <c r="L11" s="31"/>
      <c r="M11" s="31"/>
    </row>
    <row r="12" spans="2:28" s="12" customFormat="1">
      <c r="B12" s="12" t="s">
        <v>198</v>
      </c>
      <c r="C12" s="100" t="s">
        <v>199</v>
      </c>
      <c r="D12" s="61"/>
      <c r="E12" s="61"/>
      <c r="F12" s="28"/>
      <c r="G12" s="33"/>
      <c r="H12" s="31"/>
      <c r="I12" s="53"/>
      <c r="J12" s="31"/>
      <c r="K12" s="31"/>
      <c r="L12" s="31"/>
      <c r="M12" s="31"/>
    </row>
    <row r="13" spans="2:28" s="12" customFormat="1">
      <c r="B13" s="12" t="s">
        <v>196</v>
      </c>
      <c r="C13" s="100" t="s">
        <v>197</v>
      </c>
      <c r="D13" s="61"/>
      <c r="E13" s="61"/>
      <c r="F13" s="28"/>
      <c r="G13" s="33"/>
      <c r="H13" s="31"/>
      <c r="I13" s="53"/>
      <c r="J13" s="31"/>
      <c r="K13" s="31"/>
      <c r="L13" s="31"/>
      <c r="M13" s="31"/>
    </row>
    <row r="14" spans="2:28" s="12" customFormat="1">
      <c r="B14" s="12" t="s">
        <v>204</v>
      </c>
      <c r="C14" s="28" t="s">
        <v>205</v>
      </c>
      <c r="D14" s="61"/>
      <c r="E14" s="61"/>
      <c r="F14" s="28"/>
      <c r="G14" s="33"/>
      <c r="H14" s="31"/>
      <c r="I14" s="53"/>
      <c r="J14" s="31"/>
      <c r="K14" s="31"/>
      <c r="L14" s="31"/>
      <c r="M14" s="31"/>
    </row>
    <row r="15" spans="2:28" s="12" customFormat="1">
      <c r="B15" s="12" t="s">
        <v>163</v>
      </c>
      <c r="C15" s="28">
        <v>110018</v>
      </c>
      <c r="D15" s="61"/>
      <c r="E15" s="61"/>
      <c r="F15" s="28" t="s">
        <v>192</v>
      </c>
      <c r="G15" s="33"/>
      <c r="H15" s="31"/>
      <c r="I15" s="53"/>
      <c r="J15" s="31"/>
      <c r="K15" s="31"/>
      <c r="L15" s="31"/>
      <c r="M15" s="31"/>
    </row>
    <row r="16" spans="2:28" s="21" customFormat="1">
      <c r="B16" s="21" t="s">
        <v>202</v>
      </c>
      <c r="C16" s="100" t="s">
        <v>203</v>
      </c>
      <c r="D16" s="99"/>
      <c r="E16" s="99"/>
      <c r="F16" s="22"/>
      <c r="G16" s="23"/>
      <c r="H16" s="24"/>
      <c r="I16" s="55"/>
      <c r="J16" s="24"/>
      <c r="K16" s="24"/>
      <c r="L16" s="24"/>
      <c r="M16" s="24"/>
    </row>
    <row r="17" spans="2:16" s="21" customFormat="1" ht="16.5">
      <c r="B17" s="21" t="s">
        <v>47</v>
      </c>
      <c r="C17" s="100" t="s">
        <v>46</v>
      </c>
      <c r="D17" s="49">
        <v>2637</v>
      </c>
      <c r="E17" s="49">
        <v>4091</v>
      </c>
      <c r="F17" s="22" t="s">
        <v>63</v>
      </c>
      <c r="G17" s="23">
        <v>41255</v>
      </c>
      <c r="H17" s="24">
        <v>2.5000000000000001E-3</v>
      </c>
      <c r="I17" s="55">
        <v>1.5900000000000001E-2</v>
      </c>
      <c r="J17" s="24">
        <v>3.4799999999999998E-2</v>
      </c>
      <c r="K17" s="24">
        <v>6.0499999999999998E-2</v>
      </c>
      <c r="L17" s="24">
        <v>8.7099999999999997E-2</v>
      </c>
      <c r="M17" s="24">
        <v>0.39169999999999999</v>
      </c>
      <c r="N17" s="21" t="s">
        <v>44</v>
      </c>
      <c r="O17" s="21" t="s">
        <v>68</v>
      </c>
      <c r="P17" s="27" t="s">
        <v>87</v>
      </c>
    </row>
    <row r="18" spans="2:16" ht="16.5">
      <c r="B18" t="s">
        <v>57</v>
      </c>
      <c r="C18" s="100" t="s">
        <v>53</v>
      </c>
      <c r="D18" s="49">
        <v>5362</v>
      </c>
      <c r="E18" s="49">
        <v>3997</v>
      </c>
      <c r="F18" s="22" t="s">
        <v>72</v>
      </c>
      <c r="G18" s="16">
        <v>41519</v>
      </c>
      <c r="H18" s="17">
        <v>3.0000000000000001E-3</v>
      </c>
      <c r="I18" s="54">
        <v>2.76E-2</v>
      </c>
      <c r="J18" s="17">
        <v>4.7699999999999999E-2</v>
      </c>
      <c r="K18" s="17">
        <v>9.6000000000000002E-2</v>
      </c>
      <c r="L18" s="17">
        <v>0.1229</v>
      </c>
      <c r="M18" s="17">
        <v>0.34060000000000001</v>
      </c>
      <c r="P18" s="27" t="s">
        <v>88</v>
      </c>
    </row>
    <row r="19" spans="2:16" s="21" customFormat="1" ht="16.5">
      <c r="B19" s="39" t="s">
        <v>55</v>
      </c>
      <c r="C19" s="100" t="s">
        <v>54</v>
      </c>
      <c r="D19" s="49">
        <v>1000</v>
      </c>
      <c r="E19" s="61">
        <v>0</v>
      </c>
      <c r="F19" s="22" t="s">
        <v>73</v>
      </c>
      <c r="G19" s="25">
        <v>41341</v>
      </c>
      <c r="H19" s="24">
        <v>2.5000000000000001E-3</v>
      </c>
      <c r="I19" s="55">
        <v>1.84E-2</v>
      </c>
      <c r="J19" s="24">
        <v>3.8300000000000001E-2</v>
      </c>
      <c r="K19" s="24">
        <v>6.8400000000000002E-2</v>
      </c>
      <c r="L19" s="24">
        <v>8.5300000000000001E-2</v>
      </c>
      <c r="M19" s="24">
        <v>0.25140000000000001</v>
      </c>
      <c r="P19" s="27" t="s">
        <v>82</v>
      </c>
    </row>
    <row r="20" spans="2:16" ht="16.5">
      <c r="B20" t="s">
        <v>56</v>
      </c>
      <c r="C20" s="100" t="s">
        <v>58</v>
      </c>
      <c r="D20" s="49">
        <v>2000</v>
      </c>
      <c r="E20" s="49">
        <v>1880</v>
      </c>
      <c r="F20" s="22" t="s">
        <v>74</v>
      </c>
      <c r="G20" s="16">
        <v>41478</v>
      </c>
      <c r="H20" s="17">
        <v>2.7000000000000001E-3</v>
      </c>
      <c r="I20" s="56">
        <v>1.9900000000000001E-2</v>
      </c>
      <c r="J20" s="17">
        <v>3.4799999999999998E-2</v>
      </c>
      <c r="K20" s="17">
        <v>5.3100000000000001E-2</v>
      </c>
      <c r="L20" s="17">
        <v>9.6500000000000002E-2</v>
      </c>
      <c r="M20" s="17">
        <v>0.35639999999999999</v>
      </c>
      <c r="P20" s="27" t="s">
        <v>82</v>
      </c>
    </row>
    <row r="21" spans="2:16" ht="14.25">
      <c r="B21" s="42" t="s">
        <v>120</v>
      </c>
      <c r="C21" s="100" t="s">
        <v>106</v>
      </c>
      <c r="D21" s="49">
        <v>1200</v>
      </c>
      <c r="E21" s="49">
        <v>2583</v>
      </c>
      <c r="N21" t="s">
        <v>153</v>
      </c>
      <c r="P21" s="43" t="s">
        <v>121</v>
      </c>
    </row>
    <row r="22" spans="2:16" ht="14.25">
      <c r="B22" s="42" t="s">
        <v>206</v>
      </c>
      <c r="C22" s="20" t="s">
        <v>207</v>
      </c>
      <c r="D22" s="49"/>
      <c r="E22" s="49"/>
      <c r="P22" s="43"/>
    </row>
    <row r="23" spans="2:16" ht="14.25">
      <c r="B23" s="20" t="s">
        <v>165</v>
      </c>
      <c r="C23" s="20" t="s">
        <v>164</v>
      </c>
      <c r="D23" s="49">
        <v>1300</v>
      </c>
      <c r="E23" s="49"/>
      <c r="P23" s="43"/>
    </row>
    <row r="24" spans="2:16" ht="14.25">
      <c r="B24" s="20" t="s">
        <v>156</v>
      </c>
      <c r="C24" s="100" t="s">
        <v>157</v>
      </c>
      <c r="D24" s="49">
        <v>1000</v>
      </c>
      <c r="E24" s="49"/>
      <c r="P24" s="43"/>
    </row>
    <row r="25" spans="2:16">
      <c r="B25" t="s">
        <v>161</v>
      </c>
      <c r="D25" s="49">
        <v>5000</v>
      </c>
      <c r="E25" s="49"/>
    </row>
    <row r="26" spans="2:16">
      <c r="B26" t="s">
        <v>150</v>
      </c>
      <c r="E26" s="49">
        <v>0</v>
      </c>
    </row>
    <row r="27" spans="2:16">
      <c r="I27" s="54"/>
      <c r="J27" s="17"/>
      <c r="K27" s="17"/>
    </row>
    <row r="29" spans="2:16">
      <c r="I29" s="7" t="s">
        <v>194</v>
      </c>
      <c r="J29" s="58"/>
      <c r="K29" s="7" t="s">
        <v>139</v>
      </c>
    </row>
    <row r="30" spans="2:16">
      <c r="B30" s="12" t="s">
        <v>208</v>
      </c>
      <c r="I30" s="7" t="s">
        <v>140</v>
      </c>
      <c r="J30" s="74">
        <f>SUM(J31:J35)</f>
        <v>48463</v>
      </c>
      <c r="K30" s="7"/>
    </row>
    <row r="31" spans="2:16">
      <c r="I31" s="7" t="s">
        <v>137</v>
      </c>
      <c r="J31" s="74">
        <f>SUM(D17:D24)</f>
        <v>14499</v>
      </c>
      <c r="K31" s="65">
        <f>J31/J30</f>
        <v>0.29917669149660564</v>
      </c>
    </row>
    <row r="32" spans="2:16">
      <c r="I32" s="7" t="s">
        <v>138</v>
      </c>
      <c r="J32" s="74">
        <f>SUM(D5:D15)</f>
        <v>3889</v>
      </c>
      <c r="K32" s="65">
        <f>J32/J30</f>
        <v>8.0246786208034993E-2</v>
      </c>
    </row>
    <row r="33" spans="2:11">
      <c r="I33" s="7" t="s">
        <v>158</v>
      </c>
      <c r="J33" s="74">
        <f>SUM(D2:D4)</f>
        <v>19500</v>
      </c>
      <c r="K33" s="65">
        <f>J33/J30</f>
        <v>0.40236881744836267</v>
      </c>
    </row>
    <row r="34" spans="2:11">
      <c r="I34" s="7" t="s">
        <v>141</v>
      </c>
      <c r="J34" s="79">
        <f>SUM(G39:G43)</f>
        <v>5575</v>
      </c>
      <c r="K34" s="65">
        <f>J34/J30</f>
        <v>0.11503621319357035</v>
      </c>
    </row>
    <row r="35" spans="2:11">
      <c r="I35" s="77" t="s">
        <v>166</v>
      </c>
      <c r="J35" s="74">
        <f>SUM(D25:D25)</f>
        <v>5000</v>
      </c>
      <c r="K35" s="7"/>
    </row>
    <row r="36" spans="2:11">
      <c r="I36"/>
      <c r="J36" s="57"/>
    </row>
    <row r="37" spans="2:11">
      <c r="I37"/>
      <c r="J37" s="57"/>
    </row>
    <row r="38" spans="2:11">
      <c r="B38" s="10"/>
      <c r="C38" s="10" t="s">
        <v>15</v>
      </c>
      <c r="D38" s="10" t="s">
        <v>16</v>
      </c>
      <c r="E38" s="10" t="s">
        <v>32</v>
      </c>
      <c r="F38" s="10" t="s">
        <v>17</v>
      </c>
      <c r="G38" s="10" t="s">
        <v>18</v>
      </c>
      <c r="I38"/>
      <c r="J38" s="57"/>
    </row>
    <row r="39" spans="2:11">
      <c r="B39" s="8" t="s">
        <v>21</v>
      </c>
      <c r="C39" s="8">
        <v>501029</v>
      </c>
      <c r="D39" s="8">
        <v>0.89400000000000002</v>
      </c>
      <c r="E39" s="8">
        <f>D39*1.05</f>
        <v>0.93870000000000009</v>
      </c>
      <c r="F39" s="8">
        <v>0</v>
      </c>
      <c r="G39" s="58">
        <f>D39*F39</f>
        <v>0</v>
      </c>
      <c r="I39" s="7" t="s">
        <v>193</v>
      </c>
      <c r="J39" s="58"/>
      <c r="K39" s="7" t="s">
        <v>139</v>
      </c>
    </row>
    <row r="40" spans="2:11">
      <c r="B40" s="8" t="s">
        <v>20</v>
      </c>
      <c r="C40" s="8">
        <v>159905</v>
      </c>
      <c r="D40" s="8">
        <v>1.381</v>
      </c>
      <c r="E40" s="8">
        <f>D40*1.05</f>
        <v>1.4500500000000001</v>
      </c>
      <c r="F40" s="8">
        <v>0</v>
      </c>
      <c r="G40" s="58">
        <v>0</v>
      </c>
      <c r="I40" s="7" t="s">
        <v>140</v>
      </c>
      <c r="J40" s="74">
        <f>SUM(J41:J45)</f>
        <v>30815</v>
      </c>
      <c r="K40" s="7"/>
    </row>
    <row r="41" spans="2:11">
      <c r="B41" s="8" t="s">
        <v>24</v>
      </c>
      <c r="C41" s="8">
        <v>510880</v>
      </c>
      <c r="D41" s="8"/>
      <c r="E41" s="8"/>
      <c r="F41" s="8"/>
      <c r="G41" s="58">
        <v>0</v>
      </c>
      <c r="I41" s="7" t="s">
        <v>137</v>
      </c>
      <c r="J41" s="74">
        <f>SUM(E17:E24)</f>
        <v>12551</v>
      </c>
      <c r="K41" s="65">
        <f>J41/J40</f>
        <v>0.40730163881226678</v>
      </c>
    </row>
    <row r="42" spans="2:11">
      <c r="B42" s="8" t="s">
        <v>25</v>
      </c>
      <c r="C42" s="8">
        <v>510900</v>
      </c>
      <c r="D42" s="8">
        <v>1.2989999999999999</v>
      </c>
      <c r="E42" s="8">
        <f>D42*1.05</f>
        <v>1.36395</v>
      </c>
      <c r="F42" s="8">
        <v>4000</v>
      </c>
      <c r="G42" s="58">
        <f>D42*F42</f>
        <v>5196</v>
      </c>
      <c r="I42" s="7" t="s">
        <v>138</v>
      </c>
      <c r="J42" s="74">
        <f>SUM(E5:E15)</f>
        <v>7171</v>
      </c>
      <c r="K42" s="65">
        <f>J42/J40</f>
        <v>0.23271134187895506</v>
      </c>
    </row>
    <row r="43" spans="2:11">
      <c r="B43" s="37" t="s">
        <v>93</v>
      </c>
      <c r="C43" s="28" t="s">
        <v>94</v>
      </c>
      <c r="F43" s="20" t="s">
        <v>195</v>
      </c>
      <c r="G43">
        <v>379</v>
      </c>
      <c r="I43" s="7" t="s">
        <v>158</v>
      </c>
      <c r="J43" s="74">
        <f>SUM(E2:E3)</f>
        <v>11093</v>
      </c>
      <c r="K43" s="65">
        <f>J43/J40</f>
        <v>0.35998701930877819</v>
      </c>
    </row>
    <row r="44" spans="2:11">
      <c r="I44" s="7" t="s">
        <v>141</v>
      </c>
      <c r="J44" s="79">
        <v>0</v>
      </c>
      <c r="K44" s="65">
        <f>J44/J40</f>
        <v>0</v>
      </c>
    </row>
    <row r="45" spans="2:11">
      <c r="I45" s="77" t="s">
        <v>166</v>
      </c>
      <c r="J45" s="74">
        <f>SUM(D34:D35)</f>
        <v>0</v>
      </c>
      <c r="K45" s="7"/>
    </row>
    <row r="65" spans="2:6">
      <c r="B65" s="65" t="s">
        <v>191</v>
      </c>
      <c r="C65" s="85">
        <v>22</v>
      </c>
    </row>
    <row r="67" spans="2:6">
      <c r="B67" s="8" t="s">
        <v>24</v>
      </c>
      <c r="C67" s="40" t="s">
        <v>186</v>
      </c>
      <c r="D67" s="84">
        <v>2559</v>
      </c>
      <c r="E67" s="84"/>
    </row>
    <row r="68" spans="2:6">
      <c r="B68" s="7"/>
      <c r="C68" s="40" t="s">
        <v>187</v>
      </c>
      <c r="D68" s="84">
        <v>2520</v>
      </c>
      <c r="E68" s="84">
        <f>MIN(IFERROR(D68-D67,0),0)*100*$C$65/(D67-1800)</f>
        <v>-113.04347826086956</v>
      </c>
      <c r="F68" s="20" t="s">
        <v>190</v>
      </c>
    </row>
    <row r="69" spans="2:6">
      <c r="B69" s="7"/>
      <c r="C69" s="40" t="s">
        <v>188</v>
      </c>
      <c r="D69" s="84">
        <v>2547</v>
      </c>
      <c r="E69" s="84">
        <f>(D69-D67)*100*$C$65/(D67-1800)</f>
        <v>-34.782608695652172</v>
      </c>
      <c r="F69" s="20" t="s">
        <v>189</v>
      </c>
    </row>
    <row r="70" spans="2:6">
      <c r="E70" s="84">
        <f>(D69+D68-D67*2)*100*$C$65/(D67-1800)</f>
        <v>-147.82608695652175</v>
      </c>
    </row>
    <row r="72" spans="2:6">
      <c r="B72" s="8" t="s">
        <v>20</v>
      </c>
      <c r="C72" s="40" t="s">
        <v>186</v>
      </c>
      <c r="D72" s="84">
        <v>1277</v>
      </c>
      <c r="E72" s="84"/>
    </row>
    <row r="73" spans="2:6">
      <c r="B73" s="7"/>
      <c r="C73" s="40" t="s">
        <v>187</v>
      </c>
      <c r="D73" s="84">
        <v>1359</v>
      </c>
      <c r="E73" s="84">
        <f>MIN(IFERROR(D73-D72,0),0)*100*$C$65/(D72-1800)</f>
        <v>0</v>
      </c>
      <c r="F73" s="20" t="s">
        <v>190</v>
      </c>
    </row>
    <row r="74" spans="2:6">
      <c r="B74" s="7"/>
      <c r="C74" s="40" t="s">
        <v>188</v>
      </c>
      <c r="D74" s="84">
        <v>1537</v>
      </c>
      <c r="E74" s="84">
        <f>(D74-D72)*100*$C$65/(D72-1000)</f>
        <v>2064.9819494584835</v>
      </c>
      <c r="F74" s="20" t="s">
        <v>189</v>
      </c>
    </row>
    <row r="75" spans="2:6">
      <c r="E75" s="84">
        <f>(D74+D73-D72*2)*100*$C$65/(D72-1000)</f>
        <v>2716.2454873646211</v>
      </c>
    </row>
    <row r="77" spans="2:6">
      <c r="B77" s="8" t="s">
        <v>21</v>
      </c>
      <c r="C77" s="40" t="s">
        <v>186</v>
      </c>
      <c r="D77" s="84">
        <v>869</v>
      </c>
      <c r="E77" s="84"/>
    </row>
    <row r="78" spans="2:6">
      <c r="B78" s="7"/>
      <c r="C78" s="40" t="s">
        <v>187</v>
      </c>
      <c r="D78" s="84">
        <v>877</v>
      </c>
      <c r="E78" s="84">
        <f>MIN(IFERROR(D78-D77,0),0)*100*$C$65/(D77-1800)</f>
        <v>0</v>
      </c>
      <c r="F78" s="20" t="s">
        <v>190</v>
      </c>
    </row>
    <row r="79" spans="2:6">
      <c r="B79" s="7"/>
      <c r="C79" s="40" t="s">
        <v>188</v>
      </c>
      <c r="D79" s="84">
        <v>958</v>
      </c>
      <c r="E79" s="84">
        <f>(D79-D77)*100*$C$65/(D77-800)</f>
        <v>2837.68115942029</v>
      </c>
      <c r="F79" s="20" t="s">
        <v>189</v>
      </c>
    </row>
    <row r="80" spans="2:6">
      <c r="E80" s="84">
        <f>(D79+D78-D77*2)*100*$C$65/(D77-800)</f>
        <v>3092.753623188406</v>
      </c>
    </row>
    <row r="81" spans="3:9">
      <c r="C81"/>
      <c r="D81" s="57"/>
      <c r="E81"/>
      <c r="F81"/>
      <c r="I81"/>
    </row>
    <row r="82" spans="3:9">
      <c r="C82"/>
      <c r="D82" s="57"/>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K30"/>
  <sheetViews>
    <sheetView topLeftCell="A13" workbookViewId="0">
      <selection activeCell="K25" sqref="K25:K30"/>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1">
      <c r="E1" s="81" t="s">
        <v>186</v>
      </c>
      <c r="F1" s="81" t="s">
        <v>187</v>
      </c>
      <c r="G1" s="81" t="s">
        <v>184</v>
      </c>
      <c r="J1" s="48" t="s">
        <v>185</v>
      </c>
    </row>
    <row r="2" spans="1:11">
      <c r="A2" t="s">
        <v>180</v>
      </c>
      <c r="B2">
        <v>3089</v>
      </c>
      <c r="D2" s="16">
        <v>43486</v>
      </c>
      <c r="E2" s="82">
        <v>3182</v>
      </c>
      <c r="F2" s="83">
        <v>3225</v>
      </c>
      <c r="G2" s="48">
        <v>3565</v>
      </c>
      <c r="H2" s="48">
        <f>MIN(IFERROR(F2-E2,0),0)</f>
        <v>0</v>
      </c>
      <c r="I2" s="48">
        <f>(G2-E2)</f>
        <v>383</v>
      </c>
      <c r="J2" s="48">
        <f>(H2+I2)*100/(E2-1800)*2</f>
        <v>55.426917510853833</v>
      </c>
      <c r="K2" s="48">
        <f>100-J2</f>
        <v>44.573082489146167</v>
      </c>
    </row>
    <row r="3" spans="1:11">
      <c r="A3" t="s">
        <v>181</v>
      </c>
      <c r="B3">
        <v>3561</v>
      </c>
      <c r="D3" s="16">
        <v>43487</v>
      </c>
      <c r="E3" s="82">
        <v>3147</v>
      </c>
      <c r="F3" s="82">
        <v>3222</v>
      </c>
      <c r="G3" s="48">
        <v>3556</v>
      </c>
      <c r="H3" s="48">
        <f t="shared" ref="H3:H30" si="0">MIN(IFERROR(F3-E3,0),0)</f>
        <v>0</v>
      </c>
      <c r="I3" s="48">
        <f t="shared" ref="I3:I30" si="1">(G3-E3)</f>
        <v>409</v>
      </c>
      <c r="J3" s="48">
        <f t="shared" ref="J3:J30" si="2">(H3+I3)*100/(E3-1800)*2</f>
        <v>60.7275426874536</v>
      </c>
      <c r="K3" s="48">
        <f t="shared" ref="K3:K30" si="3">100-J3</f>
        <v>39.2724573125464</v>
      </c>
    </row>
    <row r="4" spans="1:11">
      <c r="A4" t="s">
        <v>182</v>
      </c>
      <c r="B4">
        <f>3089*0.9</f>
        <v>2780.1</v>
      </c>
      <c r="D4" s="16">
        <v>43488</v>
      </c>
      <c r="E4" s="82">
        <v>3149</v>
      </c>
      <c r="F4" s="82">
        <v>3218</v>
      </c>
      <c r="G4" s="48">
        <v>3552</v>
      </c>
      <c r="H4" s="48">
        <f t="shared" si="0"/>
        <v>0</v>
      </c>
      <c r="I4" s="48">
        <f t="shared" si="1"/>
        <v>403</v>
      </c>
      <c r="J4" s="48">
        <f t="shared" si="2"/>
        <v>59.747961452928095</v>
      </c>
      <c r="K4" s="48">
        <f t="shared" si="3"/>
        <v>40.252038547071905</v>
      </c>
    </row>
    <row r="5" spans="1:11">
      <c r="D5" s="16">
        <v>43489</v>
      </c>
      <c r="E5" s="82">
        <v>3154</v>
      </c>
      <c r="F5" s="82">
        <v>3215</v>
      </c>
      <c r="G5" s="48">
        <v>3548</v>
      </c>
      <c r="H5" s="48">
        <f t="shared" si="0"/>
        <v>0</v>
      </c>
      <c r="I5" s="48">
        <f t="shared" si="1"/>
        <v>394</v>
      </c>
      <c r="J5" s="48">
        <f t="shared" si="2"/>
        <v>58.197932053175776</v>
      </c>
      <c r="K5" s="48">
        <f t="shared" si="3"/>
        <v>41.802067946824224</v>
      </c>
    </row>
    <row r="6" spans="1:11">
      <c r="A6" t="s">
        <v>183</v>
      </c>
      <c r="B6">
        <f>B2^10*25/(B4*0.98)^10</f>
        <v>87.751420883694834</v>
      </c>
      <c r="D6" s="16">
        <v>43490</v>
      </c>
      <c r="E6" s="82">
        <v>3161</v>
      </c>
      <c r="F6" s="82">
        <v>3213</v>
      </c>
      <c r="G6" s="48">
        <v>3544</v>
      </c>
      <c r="H6" s="48">
        <f t="shared" si="0"/>
        <v>0</v>
      </c>
      <c r="I6" s="48">
        <f t="shared" si="1"/>
        <v>383</v>
      </c>
      <c r="J6" s="48">
        <f t="shared" si="2"/>
        <v>56.282145481263775</v>
      </c>
      <c r="K6" s="48">
        <f t="shared" si="3"/>
        <v>43.717854518736225</v>
      </c>
    </row>
    <row r="7" spans="1:11">
      <c r="B7" s="48">
        <f>(B3-B4)/6</f>
        <v>130.15</v>
      </c>
      <c r="D7" s="16">
        <v>43491</v>
      </c>
      <c r="H7" s="48">
        <f t="shared" si="0"/>
        <v>0</v>
      </c>
      <c r="I7" s="48">
        <f t="shared" si="1"/>
        <v>0</v>
      </c>
      <c r="J7" s="48">
        <f t="shared" si="2"/>
        <v>0</v>
      </c>
      <c r="K7" s="48">
        <f t="shared" si="3"/>
        <v>100</v>
      </c>
    </row>
    <row r="8" spans="1:11">
      <c r="B8" s="48">
        <f>B6+B7</f>
        <v>217.90142088369484</v>
      </c>
      <c r="D8" s="16">
        <v>43492</v>
      </c>
      <c r="H8" s="48">
        <f t="shared" si="0"/>
        <v>0</v>
      </c>
      <c r="I8" s="48">
        <f t="shared" si="1"/>
        <v>0</v>
      </c>
      <c r="J8" s="48">
        <f t="shared" si="2"/>
        <v>0</v>
      </c>
      <c r="K8" s="48">
        <f t="shared" si="3"/>
        <v>100</v>
      </c>
    </row>
    <row r="9" spans="1:11">
      <c r="D9" s="16">
        <v>43493</v>
      </c>
      <c r="E9" s="82">
        <v>3169</v>
      </c>
      <c r="F9" s="82">
        <v>3211</v>
      </c>
      <c r="G9" s="48">
        <v>3539</v>
      </c>
      <c r="H9" s="48">
        <f t="shared" si="0"/>
        <v>0</v>
      </c>
      <c r="I9" s="48">
        <f t="shared" si="1"/>
        <v>370</v>
      </c>
      <c r="J9" s="48">
        <f t="shared" si="2"/>
        <v>54.054054054054056</v>
      </c>
      <c r="K9" s="48">
        <f t="shared" si="3"/>
        <v>45.945945945945944</v>
      </c>
    </row>
    <row r="10" spans="1:11">
      <c r="D10" s="16">
        <v>43494</v>
      </c>
      <c r="E10" s="82">
        <v>3169</v>
      </c>
      <c r="F10" s="82">
        <v>3209</v>
      </c>
      <c r="G10" s="48">
        <v>3535</v>
      </c>
      <c r="H10" s="48">
        <f t="shared" si="0"/>
        <v>0</v>
      </c>
      <c r="I10" s="48">
        <f t="shared" si="1"/>
        <v>366</v>
      </c>
      <c r="J10" s="48">
        <f t="shared" si="2"/>
        <v>53.469685902118336</v>
      </c>
      <c r="K10" s="48">
        <f t="shared" si="3"/>
        <v>46.530314097881664</v>
      </c>
    </row>
    <row r="11" spans="1:11">
      <c r="D11" s="16">
        <v>43495</v>
      </c>
      <c r="E11" s="82">
        <v>3179</v>
      </c>
      <c r="F11" s="82">
        <v>3208</v>
      </c>
      <c r="G11" s="48">
        <v>3531</v>
      </c>
      <c r="H11" s="48">
        <f t="shared" si="0"/>
        <v>0</v>
      </c>
      <c r="I11" s="48">
        <f t="shared" si="1"/>
        <v>352</v>
      </c>
      <c r="J11" s="48">
        <f t="shared" si="2"/>
        <v>51.051486584481509</v>
      </c>
      <c r="K11" s="48">
        <f t="shared" si="3"/>
        <v>48.948513415518491</v>
      </c>
    </row>
    <row r="12" spans="1:11">
      <c r="D12" s="16">
        <v>43496</v>
      </c>
      <c r="E12" s="82">
        <v>3183</v>
      </c>
      <c r="F12" s="82">
        <v>3207</v>
      </c>
      <c r="G12" s="48">
        <v>3526</v>
      </c>
      <c r="H12" s="48">
        <f t="shared" si="0"/>
        <v>0</v>
      </c>
      <c r="I12" s="48">
        <f t="shared" si="1"/>
        <v>343</v>
      </c>
      <c r="J12" s="48">
        <f t="shared" si="2"/>
        <v>49.602313810556758</v>
      </c>
      <c r="K12" s="48">
        <f t="shared" si="3"/>
        <v>50.397686189443242</v>
      </c>
    </row>
    <row r="13" spans="1:11">
      <c r="D13" s="16">
        <v>43497</v>
      </c>
      <c r="E13" s="82">
        <v>3192</v>
      </c>
      <c r="F13" s="82">
        <v>3206</v>
      </c>
      <c r="G13" s="48">
        <v>3521</v>
      </c>
      <c r="H13" s="48">
        <f t="shared" si="0"/>
        <v>0</v>
      </c>
      <c r="I13" s="48">
        <f t="shared" si="1"/>
        <v>329</v>
      </c>
      <c r="J13" s="48">
        <f t="shared" si="2"/>
        <v>47.270114942528735</v>
      </c>
      <c r="K13" s="48">
        <f t="shared" si="3"/>
        <v>52.729885057471265</v>
      </c>
    </row>
    <row r="14" spans="1:11">
      <c r="D14" s="16">
        <v>43498</v>
      </c>
      <c r="H14" s="48">
        <f t="shared" si="0"/>
        <v>0</v>
      </c>
      <c r="I14" s="48">
        <f t="shared" si="1"/>
        <v>0</v>
      </c>
      <c r="J14" s="48">
        <f t="shared" si="2"/>
        <v>0</v>
      </c>
      <c r="K14" s="48"/>
    </row>
    <row r="15" spans="1:11">
      <c r="D15" s="16">
        <v>43499</v>
      </c>
      <c r="H15" s="48">
        <f t="shared" si="0"/>
        <v>0</v>
      </c>
      <c r="I15" s="48">
        <f t="shared" si="1"/>
        <v>0</v>
      </c>
      <c r="J15" s="48">
        <f t="shared" si="2"/>
        <v>0</v>
      </c>
      <c r="K15" s="48"/>
    </row>
    <row r="16" spans="1:11">
      <c r="D16" s="16">
        <v>43500</v>
      </c>
      <c r="H16" s="48">
        <f t="shared" si="0"/>
        <v>0</v>
      </c>
      <c r="I16" s="48">
        <f t="shared" si="1"/>
        <v>0</v>
      </c>
      <c r="J16" s="48">
        <f t="shared" si="2"/>
        <v>0</v>
      </c>
      <c r="K16" s="48"/>
    </row>
    <row r="17" spans="4:11">
      <c r="D17" s="16">
        <v>43501</v>
      </c>
      <c r="H17" s="48">
        <f t="shared" si="0"/>
        <v>0</v>
      </c>
      <c r="I17" s="48">
        <f t="shared" si="1"/>
        <v>0</v>
      </c>
      <c r="J17" s="48">
        <f t="shared" si="2"/>
        <v>0</v>
      </c>
      <c r="K17" s="48"/>
    </row>
    <row r="18" spans="4:11">
      <c r="D18" s="16">
        <v>43502</v>
      </c>
      <c r="H18" s="48">
        <f t="shared" si="0"/>
        <v>0</v>
      </c>
      <c r="I18" s="48">
        <f t="shared" si="1"/>
        <v>0</v>
      </c>
      <c r="J18" s="48">
        <f t="shared" si="2"/>
        <v>0</v>
      </c>
      <c r="K18" s="48"/>
    </row>
    <row r="19" spans="4:11">
      <c r="D19" s="16">
        <v>43503</v>
      </c>
      <c r="H19" s="48">
        <f t="shared" si="0"/>
        <v>0</v>
      </c>
      <c r="I19" s="48">
        <f t="shared" si="1"/>
        <v>0</v>
      </c>
      <c r="J19" s="48">
        <f t="shared" si="2"/>
        <v>0</v>
      </c>
      <c r="K19" s="48"/>
    </row>
    <row r="20" spans="4:11">
      <c r="D20" s="16">
        <v>43504</v>
      </c>
      <c r="H20" s="48">
        <f t="shared" si="0"/>
        <v>0</v>
      </c>
      <c r="I20" s="48">
        <f t="shared" si="1"/>
        <v>0</v>
      </c>
      <c r="J20" s="48">
        <f t="shared" si="2"/>
        <v>0</v>
      </c>
      <c r="K20" s="48"/>
    </row>
    <row r="21" spans="4:11">
      <c r="D21" s="16">
        <v>43505</v>
      </c>
      <c r="H21" s="48">
        <f t="shared" si="0"/>
        <v>0</v>
      </c>
      <c r="I21" s="48">
        <f t="shared" si="1"/>
        <v>0</v>
      </c>
      <c r="J21" s="48">
        <f t="shared" si="2"/>
        <v>0</v>
      </c>
      <c r="K21" s="48"/>
    </row>
    <row r="22" spans="4:11">
      <c r="D22" s="16">
        <v>43506</v>
      </c>
      <c r="H22" s="48">
        <f t="shared" si="0"/>
        <v>0</v>
      </c>
      <c r="I22" s="48">
        <f t="shared" si="1"/>
        <v>0</v>
      </c>
      <c r="J22" s="48">
        <f t="shared" si="2"/>
        <v>0</v>
      </c>
      <c r="K22" s="48"/>
    </row>
    <row r="23" spans="4:11">
      <c r="D23" s="16">
        <v>43507</v>
      </c>
      <c r="E23" s="82">
        <v>3213</v>
      </c>
      <c r="F23" s="82">
        <v>3206</v>
      </c>
      <c r="G23" s="48">
        <v>3517</v>
      </c>
      <c r="H23" s="48">
        <f t="shared" si="0"/>
        <v>-7</v>
      </c>
      <c r="I23" s="48">
        <f t="shared" si="1"/>
        <v>304</v>
      </c>
      <c r="J23" s="48">
        <f t="shared" si="2"/>
        <v>42.038216560509554</v>
      </c>
      <c r="K23" s="48">
        <f t="shared" si="3"/>
        <v>57.961783439490446</v>
      </c>
    </row>
    <row r="24" spans="4:11">
      <c r="D24" s="16">
        <v>43508</v>
      </c>
      <c r="E24" s="82">
        <v>3245</v>
      </c>
      <c r="F24" s="82">
        <v>3205</v>
      </c>
      <c r="G24" s="48">
        <v>3513</v>
      </c>
      <c r="H24" s="48">
        <f t="shared" si="0"/>
        <v>-40</v>
      </c>
      <c r="I24" s="48">
        <f t="shared" si="1"/>
        <v>268</v>
      </c>
      <c r="J24" s="48">
        <f t="shared" si="2"/>
        <v>31.557093425605537</v>
      </c>
      <c r="K24" s="48">
        <f t="shared" si="3"/>
        <v>68.44290657439447</v>
      </c>
    </row>
    <row r="25" spans="4:11">
      <c r="D25" s="16">
        <v>43509</v>
      </c>
      <c r="H25" s="48">
        <f t="shared" si="0"/>
        <v>0</v>
      </c>
      <c r="I25" s="48">
        <f t="shared" si="1"/>
        <v>0</v>
      </c>
      <c r="J25" s="48">
        <f t="shared" si="2"/>
        <v>0</v>
      </c>
      <c r="K25" s="48"/>
    </row>
    <row r="26" spans="4:11">
      <c r="D26" s="16">
        <v>43510</v>
      </c>
      <c r="H26" s="48">
        <f t="shared" si="0"/>
        <v>0</v>
      </c>
      <c r="I26" s="48">
        <f t="shared" si="1"/>
        <v>0</v>
      </c>
      <c r="J26" s="48">
        <f t="shared" si="2"/>
        <v>0</v>
      </c>
      <c r="K26" s="48"/>
    </row>
    <row r="27" spans="4:11">
      <c r="D27" s="16">
        <v>43511</v>
      </c>
      <c r="H27" s="48">
        <f t="shared" si="0"/>
        <v>0</v>
      </c>
      <c r="I27" s="48">
        <f t="shared" si="1"/>
        <v>0</v>
      </c>
      <c r="J27" s="48">
        <f t="shared" si="2"/>
        <v>0</v>
      </c>
      <c r="K27" s="48"/>
    </row>
    <row r="28" spans="4:11">
      <c r="D28" s="16">
        <v>43512</v>
      </c>
      <c r="H28" s="48">
        <f t="shared" si="0"/>
        <v>0</v>
      </c>
      <c r="I28" s="48">
        <f t="shared" si="1"/>
        <v>0</v>
      </c>
      <c r="J28" s="48">
        <f t="shared" si="2"/>
        <v>0</v>
      </c>
      <c r="K28" s="48"/>
    </row>
    <row r="29" spans="4:11">
      <c r="D29" s="16">
        <v>43513</v>
      </c>
      <c r="H29" s="48">
        <f t="shared" si="0"/>
        <v>0</v>
      </c>
      <c r="I29" s="48">
        <f t="shared" si="1"/>
        <v>0</v>
      </c>
      <c r="J29" s="48">
        <f t="shared" si="2"/>
        <v>0</v>
      </c>
      <c r="K29" s="48"/>
    </row>
    <row r="30" spans="4:11">
      <c r="D30" s="16">
        <v>43514</v>
      </c>
      <c r="H30" s="48">
        <f t="shared" si="0"/>
        <v>0</v>
      </c>
      <c r="I30" s="48">
        <f t="shared" si="1"/>
        <v>0</v>
      </c>
      <c r="J30" s="48">
        <f t="shared" si="2"/>
        <v>0</v>
      </c>
      <c r="K30"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J8"/>
  <sheetViews>
    <sheetView workbookViewId="0">
      <selection activeCell="J2" sqref="J2"/>
    </sheetView>
  </sheetViews>
  <sheetFormatPr defaultRowHeight="13.5"/>
  <cols>
    <col min="4" max="4" width="20.875" customWidth="1"/>
    <col min="5" max="7" width="9.5" bestFit="1" customWidth="1"/>
  </cols>
  <sheetData>
    <row r="1" spans="1:10">
      <c r="E1" s="81" t="s">
        <v>186</v>
      </c>
      <c r="F1" s="81" t="s">
        <v>187</v>
      </c>
      <c r="G1" s="81" t="s">
        <v>184</v>
      </c>
      <c r="J1" s="48" t="s">
        <v>185</v>
      </c>
    </row>
    <row r="2" spans="1:10">
      <c r="A2" t="s">
        <v>180</v>
      </c>
      <c r="B2">
        <v>3089</v>
      </c>
      <c r="D2" s="16">
        <v>43495</v>
      </c>
      <c r="E2" s="82">
        <v>4285</v>
      </c>
      <c r="F2" s="82">
        <v>4504</v>
      </c>
      <c r="G2" s="48">
        <v>5156</v>
      </c>
      <c r="H2" s="48">
        <f t="shared" ref="H2" si="0">MIN(IFERROR(F2-E2,0),0)</f>
        <v>0</v>
      </c>
      <c r="I2" s="48">
        <f t="shared" ref="I2" si="1">(G2-E2)</f>
        <v>871</v>
      </c>
      <c r="J2" s="48">
        <f>(H2+I2)*100/(E2-1500)*2</f>
        <v>62.549371633752244</v>
      </c>
    </row>
    <row r="3" spans="1:10">
      <c r="A3" t="s">
        <v>181</v>
      </c>
      <c r="B3">
        <v>3561</v>
      </c>
    </row>
    <row r="4" spans="1:10">
      <c r="A4" t="s">
        <v>182</v>
      </c>
      <c r="B4">
        <f>3089*0.9</f>
        <v>2780.1</v>
      </c>
    </row>
    <row r="6" spans="1:10">
      <c r="A6" t="s">
        <v>183</v>
      </c>
      <c r="B6">
        <f>B2^10*25/(B4*0.98)^10</f>
        <v>87.751420883694834</v>
      </c>
    </row>
    <row r="7" spans="1:10">
      <c r="B7" s="48">
        <f>(B3-B4)/6</f>
        <v>130.15</v>
      </c>
    </row>
    <row r="8" spans="1:10">
      <c r="B8" s="48">
        <f>B6+B7</f>
        <v>217.90142088369484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交易记录</vt:lpstr>
      <vt:lpstr>定投</vt:lpstr>
      <vt:lpstr>笔记</vt:lpstr>
      <vt:lpstr>古债平衡</vt:lpstr>
      <vt:lpstr>Sheet4</vt:lpstr>
      <vt:lpstr>300</vt:lpstr>
      <vt:lpstr>500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2019-02-12T12:10:44Z</dcterms:modified>
</cp:coreProperties>
</file>