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 name="300" sheetId="10" r:id="rId7"/>
    <sheet name="500" sheetId="12" r:id="rId8"/>
    <sheet name="Sheet1" sheetId="11" r:id="rId9"/>
  </sheets>
  <calcPr calcId="124519"/>
</workbook>
</file>

<file path=xl/calcChain.xml><?xml version="1.0" encoding="utf-8"?>
<calcChain xmlns="http://schemas.openxmlformats.org/spreadsheetml/2006/main">
  <c r="J14" i="10"/>
  <c r="J15"/>
  <c r="J16"/>
  <c r="J17"/>
  <c r="J18"/>
  <c r="J19"/>
  <c r="J20"/>
  <c r="J21"/>
  <c r="J22"/>
  <c r="J23"/>
  <c r="I14"/>
  <c r="I15"/>
  <c r="I16"/>
  <c r="I17"/>
  <c r="I18"/>
  <c r="I19"/>
  <c r="I20"/>
  <c r="I21"/>
  <c r="I22"/>
  <c r="I23"/>
  <c r="H14"/>
  <c r="H15"/>
  <c r="H16"/>
  <c r="H17"/>
  <c r="H18"/>
  <c r="H19"/>
  <c r="H20"/>
  <c r="H21"/>
  <c r="H22"/>
  <c r="H23"/>
  <c r="I13"/>
  <c r="J13" s="1"/>
  <c r="H13"/>
  <c r="I12"/>
  <c r="J12" s="1"/>
  <c r="H12"/>
  <c r="J2" i="12"/>
  <c r="I2"/>
  <c r="H2"/>
  <c r="B7"/>
  <c r="B6"/>
  <c r="B4"/>
  <c r="I11" i="10"/>
  <c r="H11"/>
  <c r="J31" i="3"/>
  <c r="I10" i="10"/>
  <c r="H10"/>
  <c r="J30" i="3"/>
  <c r="E2"/>
  <c r="J40"/>
  <c r="J39"/>
  <c r="J29"/>
  <c r="J38"/>
  <c r="J28"/>
  <c r="J42"/>
  <c r="G36"/>
  <c r="G39"/>
  <c r="J7" i="10"/>
  <c r="I7"/>
  <c r="I8"/>
  <c r="I9"/>
  <c r="H7"/>
  <c r="H8"/>
  <c r="J8" s="1"/>
  <c r="H9"/>
  <c r="J9" s="1"/>
  <c r="E65" i="3"/>
  <c r="E66"/>
  <c r="E67"/>
  <c r="E70"/>
  <c r="E71"/>
  <c r="E72"/>
  <c r="E75"/>
  <c r="E76"/>
  <c r="E77"/>
  <c r="H3" i="10"/>
  <c r="H4"/>
  <c r="H5"/>
  <c r="H6"/>
  <c r="H2"/>
  <c r="B8" i="12" l="1"/>
  <c r="J11" i="10"/>
  <c r="J10"/>
  <c r="J37" i="3"/>
  <c r="K38" s="1"/>
  <c r="I3" i="10"/>
  <c r="I4"/>
  <c r="I5"/>
  <c r="I6"/>
  <c r="J3"/>
  <c r="J4"/>
  <c r="J5"/>
  <c r="J6"/>
  <c r="I2"/>
  <c r="K40" i="3" l="1"/>
  <c r="K41"/>
  <c r="K39"/>
  <c r="J2" i="10"/>
  <c r="B4"/>
  <c r="B6" s="1"/>
  <c r="E23" i="8"/>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J32" i="3"/>
  <c r="M16" i="9"/>
  <c r="J16"/>
  <c r="J17"/>
  <c r="J18"/>
  <c r="J19"/>
  <c r="J20"/>
  <c r="J21"/>
  <c r="J22"/>
  <c r="J23"/>
  <c r="L23"/>
  <c r="L22"/>
  <c r="L21"/>
  <c r="L20"/>
  <c r="L19"/>
  <c r="L18"/>
  <c r="L17"/>
  <c r="L16"/>
  <c r="E36" i="3"/>
  <c r="E37"/>
  <c r="E39"/>
  <c r="J27" l="1"/>
  <c r="K30" s="1"/>
  <c r="M15" i="9"/>
  <c r="M23"/>
  <c r="M18"/>
  <c r="M17"/>
  <c r="M19"/>
  <c r="K31" i="3" l="1"/>
  <c r="K28"/>
  <c r="K29"/>
</calcChain>
</file>

<file path=xl/sharedStrings.xml><?xml version="1.0" encoding="utf-8"?>
<sst xmlns="http://schemas.openxmlformats.org/spreadsheetml/2006/main" count="287" uniqueCount="201">
  <si>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</si>
  <si>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</si>
  <si>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</si>
  <si>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</si>
  <si>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</si>
  <si>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</si>
  <si>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</si>
  <si>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</si>
  <si>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</si>
  <si>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</si>
  <si>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</si>
  <si>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</si>
  <si>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</si>
  <si>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</si>
  <si>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</si>
  <si>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</si>
  <si>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</si>
  <si>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</si>
  <si>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</si>
  <si>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</si>
  <si>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</si>
  <si>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</si>
  <si>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</si>
  <si>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</si>
  <si>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</si>
  <si>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</si>
  <si>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</si>
  <si>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</si>
  <si>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</si>
  <si>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</si>
  <si>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</si>
  <si>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</si>
  <si>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</si>
  <si>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</si>
  <si>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</si>
  <si>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</si>
  <si>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</si>
  <si>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</si>
  <si>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</si>
  <si>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</si>
  <si>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</si>
  <si>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</si>
  <si>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</si>
  <si>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</si>
  <si>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</si>
  <si>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</si>
  <si>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</si>
  <si>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</si>
  <si>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</si>
  <si>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</si>
  <si>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</si>
  <si>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</si>
  <si>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</si>
  <si>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</si>
  <si>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</si>
  <si>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</si>
  <si>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</si>
  <si>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</si>
  <si>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</si>
  <si>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</si>
  <si>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</si>
  <si>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</si>
  <si>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</si>
  <si>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</si>
  <si>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</si>
  <si>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</si>
  <si>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</si>
  <si>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</si>
  <si>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</si>
  <si>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</si>
  <si>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</si>
  <si>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</si>
  <si>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</si>
  <si>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</si>
  <si>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</si>
  <si>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</si>
  <si>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</si>
  <si>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</si>
  <si>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</si>
  <si>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</si>
  <si>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</si>
  <si>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</si>
  <si>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</si>
  <si>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</si>
  <si>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</si>
  <si>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</si>
  <si>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</si>
  <si>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</si>
  <si>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</si>
  <si>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</si>
  <si>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</si>
  <si>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</si>
  <si>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</si>
  <si>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</si>
  <si>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</si>
  <si>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</si>
  <si>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</si>
  <si>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</si>
  <si>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</si>
  <si>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</si>
  <si>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</si>
  <si>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</si>
  <si>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</si>
  <si>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</si>
  <si>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</si>
  <si>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</si>
  <si>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</si>
  <si>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</si>
  <si>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</si>
  <si>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</si>
  <si>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</si>
  <si>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</si>
  <si>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</si>
  <si>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</si>
  <si>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</si>
  <si>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</si>
  <si>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</si>
  <si>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</si>
  <si>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</si>
  <si>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</si>
  <si>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</si>
  <si>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</si>
  <si>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</si>
  <si>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</si>
  <si>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</si>
  <si>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</si>
  <si>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</si>
  <si>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</si>
  <si>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</si>
  <si>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</si>
  <si>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</si>
  <si>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</si>
  <si>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</si>
  <si>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</si>
  <si>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</si>
  <si>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</si>
  <si>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</si>
  <si>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</si>
  <si>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</si>
  <si>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</si>
  <si>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</si>
  <si>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</si>
  <si>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</si>
  <si>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</si>
  <si>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</si>
  <si>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</si>
  <si>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</si>
  <si>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</si>
  <si>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</si>
  <si>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</si>
  <si>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</si>
  <si>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</si>
  <si>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</si>
  <si>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</si>
  <si>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</si>
  <si>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</si>
  <si>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</si>
  <si>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</si>
  <si>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</si>
  <si>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</si>
  <si>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</si>
  <si>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</si>
  <si>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</si>
  <si>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</si>
  <si>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</si>
  <si>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</si>
  <si>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</si>
  <si>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</si>
  <si>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</si>
  <si>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</si>
  <si>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</si>
  <si>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</si>
  <si>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</si>
  <si>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</si>
  <si>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</si>
  <si>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</si>
  <si>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</si>
  <si>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</si>
  <si>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</si>
  <si>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</si>
  <si>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</si>
  <si>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</si>
  <si>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</si>
  <si>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</si>
  <si>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</si>
  <si>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定投额</t>
    <phoneticPr fontId="1" type="noConversion"/>
  </si>
  <si>
    <t>广发货币B</t>
    <phoneticPr fontId="1" type="noConversion"/>
  </si>
  <si>
    <t>M5</t>
    <phoneticPr fontId="1" type="noConversion"/>
  </si>
  <si>
    <t>M120</t>
    <phoneticPr fontId="1" type="noConversion"/>
  </si>
  <si>
    <t>广发中证500ETF联接(LOF)</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</si>
  <si>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</si>
  <si>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</si>
  <si>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</si>
  <si>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</si>
  <si>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</si>
  <si>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</si>
  <si>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</si>
  <si>
    <t>270</t>
    <phoneticPr fontId="1" type="noConversion"/>
  </si>
  <si>
    <t>002903</t>
    <phoneticPr fontId="1" type="noConversion"/>
  </si>
  <si>
    <t>博时信用债券B</t>
    <phoneticPr fontId="1" type="noConversion"/>
  </si>
  <si>
    <t>051011</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</si>
</sst>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9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19" fillId="8" borderId="0" xfId="0" applyFont="1" applyFill="1">
      <alignment vertical="center"/>
    </xf>
    <xf numFmtId="49" fontId="0" fillId="8" borderId="0" xfId="0" applyNumberFormat="1" applyFill="1">
      <alignment vertical="center"/>
    </xf>
    <xf numFmtId="0" fontId="0" fillId="8" borderId="0" xfId="0" applyNumberFormat="1" applyFill="1">
      <alignment vertical="center"/>
    </xf>
    <xf numFmtId="14" fontId="0" fillId="8" borderId="0" xfId="0" applyNumberFormat="1" applyFill="1">
      <alignment vertical="center"/>
    </xf>
    <xf numFmtId="10" fontId="0" fillId="8" borderId="0" xfId="0" applyNumberFormat="1" applyFill="1">
      <alignment vertical="center"/>
    </xf>
    <xf numFmtId="10" fontId="0" fillId="8" borderId="0" xfId="0" applyNumberFormat="1" applyFill="1" applyAlignment="1">
      <alignment horizontal="right" vertical="center"/>
    </xf>
    <xf numFmtId="10" fontId="13" fillId="8" borderId="0" xfId="0" applyNumberFormat="1" applyFont="1" applyFill="1">
      <alignment vertical="center"/>
    </xf>
    <xf numFmtId="0" fontId="0" fillId="8" borderId="0" xfId="0" applyFill="1">
      <alignment vertical="center"/>
    </xf>
    <xf numFmtId="0" fontId="16" fillId="8" borderId="0" xfId="0" applyFont="1" applyFill="1">
      <alignment vertical="center"/>
    </xf>
    <xf numFmtId="0" fontId="20" fillId="8" borderId="0" xfId="0" applyFont="1" applyFill="1">
      <alignment vertical="center"/>
    </xf>
    <xf numFmtId="14" fontId="12" fillId="8" borderId="0" xfId="0" applyNumberFormat="1" applyFont="1" applyFill="1">
      <alignment vertical="center"/>
    </xf>
    <xf numFmtId="10" fontId="13" fillId="8" borderId="0" xfId="0" applyNumberFormat="1" applyFont="1" applyFill="1" applyAlignment="1">
      <alignment horizontal="righ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title>
    <c:plotArea>
      <c:layout/>
      <c:lineChart>
        <c:grouping val="standard"/>
        <c:ser>
          <c:idx val="2"/>
          <c:order val="0"/>
          <c:tx>
            <c:v>M5</c:v>
          </c:tx>
          <c:marker>
            <c:symbol val="none"/>
          </c:marker>
          <c:cat>
            <c:numRef>
              <c:f>'300'!$D$2:$D$5</c:f>
              <c:numCache>
                <c:formatCode>yyyy/m/d</c:formatCode>
                <c:ptCount val="4"/>
                <c:pt idx="0">
                  <c:v>43486</c:v>
                </c:pt>
                <c:pt idx="1">
                  <c:v>43487</c:v>
                </c:pt>
                <c:pt idx="2">
                  <c:v>43488</c:v>
                </c:pt>
                <c:pt idx="3">
                  <c:v>43489</c:v>
                </c:pt>
              </c:numCache>
            </c:numRef>
          </c:cat>
          <c:val>
            <c:numRef>
              <c:f>'300'!$E$2:$E$5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'300'!$D$2:$D$5</c:f>
              <c:numCache>
                <c:formatCode>yyyy/m/d</c:formatCode>
                <c:ptCount val="4"/>
                <c:pt idx="0">
                  <c:v>43486</c:v>
                </c:pt>
                <c:pt idx="1">
                  <c:v>43487</c:v>
                </c:pt>
                <c:pt idx="2">
                  <c:v>43488</c:v>
                </c:pt>
                <c:pt idx="3">
                  <c:v>43489</c:v>
                </c:pt>
              </c:numCache>
            </c:numRef>
          </c:cat>
          <c:val>
            <c:numRef>
              <c:f>'300'!$F$2:$F$5</c:f>
              <c:numCache>
                <c:formatCode>0.00_ </c:formatCode>
                <c:ptCount val="4"/>
                <c:pt idx="0">
                  <c:v>3225</c:v>
                </c:pt>
                <c:pt idx="1">
                  <c:v>3222</c:v>
                </c:pt>
                <c:pt idx="2">
                  <c:v>3218</c:v>
                </c:pt>
                <c:pt idx="3">
                  <c:v>3215</c:v>
                </c:pt>
              </c:numCache>
            </c:numRef>
          </c:val>
        </c:ser>
        <c:ser>
          <c:idx val="1"/>
          <c:order val="2"/>
          <c:tx>
            <c:strRef>
              <c:f>'300'!$G$1</c:f>
              <c:strCache>
                <c:ptCount val="1"/>
                <c:pt idx="0">
                  <c:v>M250</c:v>
                </c:pt>
              </c:strCache>
            </c:strRef>
          </c:tx>
          <c:marker>
            <c:symbol val="none"/>
          </c:marker>
          <c:cat>
            <c:numRef>
              <c:f>'300'!$D$2:$D$5</c:f>
              <c:numCache>
                <c:formatCode>yyyy/m/d</c:formatCode>
                <c:ptCount val="4"/>
                <c:pt idx="0">
                  <c:v>43486</c:v>
                </c:pt>
                <c:pt idx="1">
                  <c:v>43487</c:v>
                </c:pt>
                <c:pt idx="2">
                  <c:v>43488</c:v>
                </c:pt>
                <c:pt idx="3">
                  <c:v>43489</c:v>
                </c:pt>
              </c:numCache>
            </c:numRef>
          </c:cat>
          <c:val>
            <c:numRef>
              <c:f>'300'!$G$2:$G$5</c:f>
              <c:numCache>
                <c:formatCode>0.00_ </c:formatCode>
                <c:ptCount val="4"/>
                <c:pt idx="0">
                  <c:v>3565</c:v>
                </c:pt>
                <c:pt idx="1">
                  <c:v>3556</c:v>
                </c:pt>
                <c:pt idx="2">
                  <c:v>3552</c:v>
                </c:pt>
                <c:pt idx="3">
                  <c:v>3548</c:v>
                </c:pt>
              </c:numCache>
            </c:numRef>
          </c:val>
        </c:ser>
        <c:ser>
          <c:idx val="3"/>
          <c:order val="3"/>
          <c:tx>
            <c:strRef>
              <c:f>'300'!$J$1</c:f>
              <c:strCache>
                <c:ptCount val="1"/>
                <c:pt idx="0">
                  <c:v>定投额</c:v>
                </c:pt>
              </c:strCache>
            </c:strRef>
          </c:tx>
          <c:marker>
            <c:symbol val="none"/>
          </c:marker>
          <c:cat>
            <c:numRef>
              <c:f>'300'!$D$2:$D$5</c:f>
              <c:numCache>
                <c:formatCode>yyyy/m/d</c:formatCode>
                <c:ptCount val="4"/>
                <c:pt idx="0">
                  <c:v>43486</c:v>
                </c:pt>
                <c:pt idx="1">
                  <c:v>43487</c:v>
                </c:pt>
                <c:pt idx="2">
                  <c:v>43488</c:v>
                </c:pt>
                <c:pt idx="3">
                  <c:v>43489</c:v>
                </c:pt>
              </c:numCache>
            </c:numRef>
          </c:cat>
          <c:val>
            <c:numRef>
              <c:f>'300'!$J$2:$J$5</c:f>
              <c:numCache>
                <c:formatCode>0.00_ </c:formatCode>
                <c:ptCount val="4"/>
                <c:pt idx="0">
                  <c:v>55.426917510853833</c:v>
                </c:pt>
                <c:pt idx="1">
                  <c:v>60.7275426874536</c:v>
                </c:pt>
                <c:pt idx="2">
                  <c:v>59.747961452928095</c:v>
                </c:pt>
                <c:pt idx="3">
                  <c:v>58.197932053175776</c:v>
                </c:pt>
              </c:numCache>
            </c:numRef>
          </c:val>
        </c:ser>
        <c:marker val="1"/>
        <c:axId val="91931776"/>
        <c:axId val="91933312"/>
      </c:lineChart>
      <c:dateAx>
        <c:axId val="91931776"/>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933312"/>
        <c:crosses val="autoZero"/>
        <c:auto val="1"/>
        <c:lblOffset val="100"/>
        <c:baseTimeUnit val="days"/>
      </c:dateAx>
      <c:valAx>
        <c:axId val="91933312"/>
        <c:scaling>
          <c:orientation val="minMax"/>
        </c:scaling>
        <c:axPos val="l"/>
        <c:majorGridlines>
          <c:spPr>
            <a:ln w="9525" cap="flat" cmpd="sng" algn="ctr">
              <a:solidFill>
                <a:schemeClr val="tx1">
                  <a:lumMod val="15000"/>
                  <a:lumOff val="85000"/>
                </a:schemeClr>
              </a:solidFill>
              <a:round/>
            </a:ln>
            <a:effectLst/>
          </c:spPr>
        </c:majorGridlines>
        <c:title>
          <c:layout/>
        </c:title>
        <c:numFmt formatCode="0.00_ " sourceLinked="1"/>
        <c:majorTickMark val="in"/>
        <c:minorTickMark val="in"/>
        <c:tickLblPos val="nextTo"/>
        <c:txPr>
          <a:bodyPr rot="-60000000" vert="horz"/>
          <a:lstStyle/>
          <a:p>
            <a:pPr>
              <a:defRPr/>
            </a:pPr>
            <a:endParaRPr lang="zh-CN"/>
          </a:p>
        </c:txPr>
        <c:crossAx val="91931776"/>
        <c:crosses val="autoZero"/>
        <c:crossBetween val="between"/>
      </c:val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352426</xdr:colOff>
      <xdr:row>7</xdr:row>
      <xdr:rowOff>161924</xdr:rowOff>
    </xdr:from>
    <xdr:to>
      <xdr:col>18</xdr:col>
      <xdr:colOff>523876</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G16"/>
  <sheetViews>
    <sheetView topLeftCell="A4"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46">
        <v>7</v>
      </c>
      <c r="I29" s="46">
        <v>1.1393359999999999</v>
      </c>
      <c r="J29" s="46">
        <v>1.087548</v>
      </c>
      <c r="K29" s="46">
        <v>1.03576</v>
      </c>
      <c r="L29" s="7">
        <v>3000</v>
      </c>
      <c r="M29" s="46"/>
      <c r="N29" s="45"/>
      <c r="O29" s="45"/>
    </row>
    <row r="30" spans="7:20">
      <c r="G30">
        <v>9</v>
      </c>
      <c r="H30" s="46">
        <v>8</v>
      </c>
      <c r="I30" s="46">
        <v>1.178177</v>
      </c>
      <c r="J30" s="46">
        <v>1.1246235</v>
      </c>
      <c r="K30" s="46">
        <v>1.07107</v>
      </c>
      <c r="L30" s="7">
        <v>3000</v>
      </c>
      <c r="M30" s="46"/>
      <c r="N30" s="45"/>
      <c r="O30" s="45"/>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79"/>
  <sheetViews>
    <sheetView tabSelected="1" workbookViewId="0">
      <selection activeCell="D5" sqref="D5"/>
    </sheetView>
  </sheetViews>
  <sheetFormatPr defaultRowHeight="13.5"/>
  <cols>
    <col min="2" max="2" width="41" customWidth="1"/>
    <col min="3" max="3" width="14.125" style="20" customWidth="1"/>
    <col min="4" max="5" width="14.125" style="48" customWidth="1"/>
    <col min="6" max="6" width="14.125" style="20" customWidth="1"/>
    <col min="7" max="7" width="11.625" bestFit="1" customWidth="1"/>
    <col min="8" max="8" width="8.875" customWidth="1"/>
    <col min="9" max="9" width="12.75" style="57" bestFit="1" customWidth="1"/>
    <col min="11" max="11" width="11.625" customWidth="1"/>
    <col min="12" max="12" width="11" customWidth="1"/>
    <col min="16" max="16" width="21.5" customWidth="1"/>
  </cols>
  <sheetData>
    <row r="1" spans="2:28" ht="17.25" thickBot="1">
      <c r="B1" s="18" t="s">
        <v>39</v>
      </c>
      <c r="C1" s="19" t="s">
        <v>40</v>
      </c>
      <c r="D1" s="47" t="s">
        <v>142</v>
      </c>
      <c r="E1" s="47" t="s">
        <v>143</v>
      </c>
      <c r="F1" s="19" t="s">
        <v>49</v>
      </c>
      <c r="G1" s="18" t="s">
        <v>33</v>
      </c>
      <c r="H1" s="18" t="s">
        <v>41</v>
      </c>
      <c r="I1" s="50" t="s">
        <v>36</v>
      </c>
      <c r="J1" s="18" t="s">
        <v>37</v>
      </c>
      <c r="K1" s="18" t="s">
        <v>34</v>
      </c>
      <c r="L1" s="18" t="s">
        <v>35</v>
      </c>
      <c r="M1" s="18" t="s">
        <v>38</v>
      </c>
      <c r="N1" s="18" t="s">
        <v>152</v>
      </c>
      <c r="O1" s="18" t="s">
        <v>66</v>
      </c>
      <c r="P1" s="26" t="s">
        <v>81</v>
      </c>
    </row>
    <row r="2" spans="2:28" s="12" customFormat="1" ht="29.25" thickBot="1">
      <c r="B2" s="12" t="s">
        <v>60</v>
      </c>
      <c r="C2" s="28">
        <v>519976</v>
      </c>
      <c r="D2" s="59">
        <v>1500</v>
      </c>
      <c r="E2" s="59">
        <f>4068+1025</f>
        <v>5093</v>
      </c>
      <c r="F2" s="28" t="s">
        <v>61</v>
      </c>
      <c r="G2" s="29">
        <v>40998</v>
      </c>
      <c r="H2" s="30">
        <v>-3.6999999999999998E-2</v>
      </c>
      <c r="I2" s="51">
        <v>-5.4300000000000001E-2</v>
      </c>
      <c r="J2" s="31">
        <v>-1.0800000000000001E-2</v>
      </c>
      <c r="K2" s="31">
        <v>-4.58E-2</v>
      </c>
      <c r="L2" s="31">
        <v>-0.16250000000000001</v>
      </c>
      <c r="M2" s="31">
        <v>1.1455</v>
      </c>
      <c r="N2" s="60" t="s">
        <v>151</v>
      </c>
      <c r="O2" s="12" t="s">
        <v>65</v>
      </c>
      <c r="P2" s="32" t="s">
        <v>84</v>
      </c>
      <c r="Q2" s="34" t="s">
        <v>95</v>
      </c>
      <c r="R2" s="35" t="s">
        <v>101</v>
      </c>
      <c r="S2" s="34" t="s">
        <v>97</v>
      </c>
      <c r="T2" s="35" t="s">
        <v>100</v>
      </c>
      <c r="U2" s="34" t="s">
        <v>99</v>
      </c>
      <c r="V2" s="35" t="s">
        <v>127</v>
      </c>
      <c r="W2" s="34" t="s">
        <v>103</v>
      </c>
      <c r="X2" s="35" t="s">
        <v>104</v>
      </c>
      <c r="Y2" s="34" t="s">
        <v>128</v>
      </c>
      <c r="Z2" s="35" t="s">
        <v>104</v>
      </c>
      <c r="AA2" s="34" t="s">
        <v>129</v>
      </c>
      <c r="AB2" s="35" t="s">
        <v>130</v>
      </c>
    </row>
    <row r="3" spans="2:28" s="12" customFormat="1" ht="15" thickBot="1">
      <c r="B3" s="44" t="s">
        <v>126</v>
      </c>
      <c r="C3" s="28" t="s">
        <v>119</v>
      </c>
      <c r="D3" s="59">
        <v>1000</v>
      </c>
      <c r="E3" s="59">
        <v>6000</v>
      </c>
      <c r="F3" s="28"/>
      <c r="I3" s="52"/>
      <c r="P3" s="38" t="s">
        <v>125</v>
      </c>
    </row>
    <row r="4" spans="2:28" s="12" customFormat="1" ht="29.25" thickBot="1">
      <c r="B4" s="12" t="s">
        <v>42</v>
      </c>
      <c r="C4" s="28" t="s">
        <v>43</v>
      </c>
      <c r="D4" s="59">
        <v>1000</v>
      </c>
      <c r="E4" s="59"/>
      <c r="F4" s="28"/>
      <c r="G4" s="33">
        <v>43406</v>
      </c>
      <c r="H4" s="31">
        <v>5.4999999999999997E-3</v>
      </c>
      <c r="I4" s="52"/>
      <c r="P4" s="12" t="s">
        <v>85</v>
      </c>
      <c r="Q4" s="34" t="s">
        <v>95</v>
      </c>
      <c r="R4" s="35" t="s">
        <v>131</v>
      </c>
      <c r="S4" s="34" t="s">
        <v>97</v>
      </c>
      <c r="T4" s="35" t="s">
        <v>100</v>
      </c>
      <c r="U4" s="34" t="s">
        <v>99</v>
      </c>
      <c r="V4" s="35" t="s">
        <v>132</v>
      </c>
      <c r="W4" s="34" t="s">
        <v>103</v>
      </c>
      <c r="X4" s="35" t="s">
        <v>104</v>
      </c>
      <c r="Y4" s="34" t="s">
        <v>128</v>
      </c>
      <c r="Z4" s="35" t="s">
        <v>104</v>
      </c>
      <c r="AA4" s="34" t="s">
        <v>129</v>
      </c>
      <c r="AB4" s="35" t="s">
        <v>133</v>
      </c>
    </row>
    <row r="5" spans="2:28" s="12" customFormat="1" ht="15" thickBot="1">
      <c r="B5" s="12" t="s">
        <v>199</v>
      </c>
      <c r="C5" s="28" t="s">
        <v>200</v>
      </c>
      <c r="D5" s="59"/>
      <c r="E5" s="59"/>
      <c r="F5" s="28"/>
      <c r="G5" s="33"/>
      <c r="H5" s="31"/>
      <c r="I5" s="52"/>
      <c r="Q5" s="34"/>
      <c r="R5" s="35"/>
      <c r="S5" s="34"/>
      <c r="T5" s="35"/>
      <c r="U5" s="34"/>
      <c r="V5" s="35"/>
      <c r="W5" s="34"/>
      <c r="X5" s="35"/>
      <c r="Y5" s="34"/>
      <c r="Z5" s="35"/>
      <c r="AA5" s="34"/>
      <c r="AB5" s="35"/>
    </row>
    <row r="6" spans="2:28" s="12" customFormat="1" ht="29.25" thickBot="1">
      <c r="B6" s="12" t="s">
        <v>51</v>
      </c>
      <c r="C6" s="28" t="s">
        <v>50</v>
      </c>
      <c r="D6" s="59">
        <v>1864</v>
      </c>
      <c r="E6" s="59">
        <v>1019</v>
      </c>
      <c r="F6" s="28" t="s">
        <v>52</v>
      </c>
      <c r="G6" s="33">
        <v>39974</v>
      </c>
      <c r="H6" s="31">
        <v>-1.3100000000000001E-2</v>
      </c>
      <c r="I6" s="53">
        <v>1.8E-3</v>
      </c>
      <c r="J6" s="31">
        <v>4.53E-2</v>
      </c>
      <c r="K6" s="31">
        <v>2.4799999999999999E-2</v>
      </c>
      <c r="L6" s="31">
        <v>3.9399999999999998E-2</v>
      </c>
      <c r="M6" s="31">
        <v>1.3714999999999999</v>
      </c>
      <c r="P6" s="12" t="s">
        <v>83</v>
      </c>
      <c r="Q6" s="34" t="s">
        <v>95</v>
      </c>
      <c r="R6" s="35" t="s">
        <v>101</v>
      </c>
      <c r="S6" s="34" t="s">
        <v>97</v>
      </c>
      <c r="T6" s="35" t="s">
        <v>100</v>
      </c>
      <c r="U6" s="34" t="s">
        <v>99</v>
      </c>
      <c r="V6" s="35" t="s">
        <v>127</v>
      </c>
      <c r="W6" s="34" t="s">
        <v>103</v>
      </c>
      <c r="X6" s="35" t="s">
        <v>104</v>
      </c>
      <c r="Y6" s="34" t="s">
        <v>128</v>
      </c>
      <c r="Z6" s="35" t="s">
        <v>104</v>
      </c>
      <c r="AA6" s="34" t="s">
        <v>129</v>
      </c>
      <c r="AB6" s="35" t="s">
        <v>130</v>
      </c>
    </row>
    <row r="7" spans="2:28" s="12" customFormat="1" ht="14.25">
      <c r="B7" s="38" t="s">
        <v>123</v>
      </c>
      <c r="C7" s="28" t="s">
        <v>118</v>
      </c>
      <c r="D7" s="59">
        <v>0</v>
      </c>
      <c r="E7" s="59">
        <v>1004</v>
      </c>
      <c r="F7" s="28"/>
      <c r="I7" s="52"/>
      <c r="P7" s="38" t="s">
        <v>124</v>
      </c>
    </row>
    <row r="8" spans="2:28" s="12" customFormat="1" ht="15" thickBot="1">
      <c r="B8" s="38" t="s">
        <v>160</v>
      </c>
      <c r="C8" s="28" t="s">
        <v>159</v>
      </c>
      <c r="D8" s="59">
        <v>1000</v>
      </c>
      <c r="E8" s="59">
        <v>0</v>
      </c>
      <c r="F8" s="28"/>
      <c r="I8" s="52"/>
      <c r="P8" s="38" t="s">
        <v>122</v>
      </c>
    </row>
    <row r="9" spans="2:28" s="12" customFormat="1" ht="29.25" thickBot="1">
      <c r="B9" s="38" t="s">
        <v>189</v>
      </c>
      <c r="C9" s="28" t="s">
        <v>198</v>
      </c>
      <c r="D9" s="59">
        <v>0</v>
      </c>
      <c r="E9" s="59">
        <v>0</v>
      </c>
      <c r="F9" s="28"/>
      <c r="I9" s="52"/>
      <c r="P9" s="38"/>
      <c r="Q9" s="34" t="s">
        <v>95</v>
      </c>
      <c r="R9" s="35" t="s">
        <v>96</v>
      </c>
      <c r="S9" s="34" t="s">
        <v>97</v>
      </c>
      <c r="T9" s="35" t="s">
        <v>98</v>
      </c>
      <c r="U9" s="34" t="s">
        <v>99</v>
      </c>
      <c r="V9" s="35" t="s">
        <v>100</v>
      </c>
    </row>
    <row r="10" spans="2:28" s="12" customFormat="1" ht="15.75" customHeight="1" thickBot="1">
      <c r="B10" s="37" t="s">
        <v>93</v>
      </c>
      <c r="C10" s="28" t="s">
        <v>94</v>
      </c>
      <c r="D10" s="59">
        <v>25</v>
      </c>
      <c r="E10" s="59">
        <v>0</v>
      </c>
      <c r="F10" s="28"/>
      <c r="G10" s="33"/>
      <c r="H10" s="31"/>
      <c r="I10" s="53"/>
      <c r="J10" s="31"/>
      <c r="K10" s="31"/>
      <c r="L10" s="31"/>
      <c r="M10" s="31"/>
      <c r="Q10" s="34" t="s">
        <v>95</v>
      </c>
      <c r="R10" s="35" t="s">
        <v>96</v>
      </c>
      <c r="S10" s="34" t="s">
        <v>97</v>
      </c>
      <c r="T10" s="35" t="s">
        <v>98</v>
      </c>
      <c r="U10" s="34" t="s">
        <v>99</v>
      </c>
      <c r="V10" s="35" t="s">
        <v>100</v>
      </c>
    </row>
    <row r="11" spans="2:28" s="12" customFormat="1" ht="16.5">
      <c r="B11" s="28" t="s">
        <v>71</v>
      </c>
      <c r="C11" s="28">
        <v>485011</v>
      </c>
      <c r="D11" s="61">
        <v>1000</v>
      </c>
      <c r="E11" s="61"/>
      <c r="F11" s="28" t="s">
        <v>77</v>
      </c>
      <c r="G11" s="62">
        <v>40406</v>
      </c>
      <c r="H11" s="63">
        <v>1.1000000000000001E-3</v>
      </c>
      <c r="I11" s="64">
        <v>2.5700000000000001E-2</v>
      </c>
      <c r="J11" s="63">
        <v>4.8399999999999999E-2</v>
      </c>
      <c r="K11" s="63">
        <v>9.1800000000000007E-2</v>
      </c>
      <c r="L11" s="63">
        <v>0.13100000000000001</v>
      </c>
      <c r="M11" s="63">
        <v>0.79490000000000005</v>
      </c>
      <c r="N11" s="12" t="s">
        <v>154</v>
      </c>
      <c r="P11" s="32" t="s">
        <v>89</v>
      </c>
    </row>
    <row r="12" spans="2:28" s="12" customFormat="1">
      <c r="B12" s="12" t="s">
        <v>48</v>
      </c>
      <c r="C12" s="28" t="s">
        <v>79</v>
      </c>
      <c r="D12" s="61"/>
      <c r="E12" s="61">
        <v>5148</v>
      </c>
      <c r="F12" s="28" t="s">
        <v>64</v>
      </c>
      <c r="G12" s="33">
        <v>41429</v>
      </c>
      <c r="H12" s="31">
        <v>2.8E-3</v>
      </c>
      <c r="I12" s="53">
        <v>1.37E-2</v>
      </c>
      <c r="J12" s="31">
        <v>4.53E-2</v>
      </c>
      <c r="K12" s="31">
        <v>9.5500000000000002E-2</v>
      </c>
      <c r="L12" s="31">
        <v>0.1108</v>
      </c>
      <c r="M12" s="31">
        <v>0.53739999999999999</v>
      </c>
      <c r="N12" s="12" t="s">
        <v>155</v>
      </c>
      <c r="P12" s="12" t="s">
        <v>82</v>
      </c>
    </row>
    <row r="13" spans="2:28" s="12" customFormat="1">
      <c r="B13" s="12" t="s">
        <v>163</v>
      </c>
      <c r="C13" s="28">
        <v>110018</v>
      </c>
      <c r="D13" s="61"/>
      <c r="E13" s="61"/>
      <c r="F13" s="28" t="s">
        <v>194</v>
      </c>
      <c r="G13" s="33"/>
      <c r="H13" s="31"/>
      <c r="I13" s="53"/>
      <c r="J13" s="31"/>
      <c r="K13" s="31"/>
      <c r="L13" s="31"/>
      <c r="M13" s="31"/>
    </row>
    <row r="14" spans="2:28" s="21" customFormat="1" ht="16.5">
      <c r="B14" s="21" t="s">
        <v>47</v>
      </c>
      <c r="C14" s="22" t="s">
        <v>46</v>
      </c>
      <c r="D14" s="49">
        <v>2637</v>
      </c>
      <c r="E14" s="49">
        <v>4091</v>
      </c>
      <c r="F14" s="22" t="s">
        <v>63</v>
      </c>
      <c r="G14" s="23">
        <v>41255</v>
      </c>
      <c r="H14" s="24">
        <v>2.5000000000000001E-3</v>
      </c>
      <c r="I14" s="55">
        <v>1.5900000000000001E-2</v>
      </c>
      <c r="J14" s="24">
        <v>3.4799999999999998E-2</v>
      </c>
      <c r="K14" s="24">
        <v>6.0499999999999998E-2</v>
      </c>
      <c r="L14" s="24">
        <v>8.7099999999999997E-2</v>
      </c>
      <c r="M14" s="24">
        <v>0.39169999999999999</v>
      </c>
      <c r="N14" s="21" t="s">
        <v>44</v>
      </c>
      <c r="O14" s="21" t="s">
        <v>68</v>
      </c>
      <c r="P14" s="27" t="s">
        <v>87</v>
      </c>
    </row>
    <row r="15" spans="2:28" ht="16.5">
      <c r="B15" t="s">
        <v>57</v>
      </c>
      <c r="C15" s="20" t="s">
        <v>53</v>
      </c>
      <c r="D15" s="49">
        <v>5362</v>
      </c>
      <c r="E15" s="49">
        <v>3997</v>
      </c>
      <c r="F15" s="22" t="s">
        <v>72</v>
      </c>
      <c r="G15" s="16">
        <v>41519</v>
      </c>
      <c r="H15" s="17">
        <v>3.0000000000000001E-3</v>
      </c>
      <c r="I15" s="54">
        <v>2.76E-2</v>
      </c>
      <c r="J15" s="17">
        <v>4.7699999999999999E-2</v>
      </c>
      <c r="K15" s="17">
        <v>9.6000000000000002E-2</v>
      </c>
      <c r="L15" s="17">
        <v>0.1229</v>
      </c>
      <c r="M15" s="17">
        <v>0.34060000000000001</v>
      </c>
      <c r="P15" s="27" t="s">
        <v>88</v>
      </c>
    </row>
    <row r="16" spans="2:28" s="21" customFormat="1" ht="16.5">
      <c r="B16" s="39" t="s">
        <v>55</v>
      </c>
      <c r="C16" s="22" t="s">
        <v>54</v>
      </c>
      <c r="D16" s="49">
        <v>1000</v>
      </c>
      <c r="E16" s="61">
        <v>0</v>
      </c>
      <c r="F16" s="22" t="s">
        <v>73</v>
      </c>
      <c r="G16" s="25">
        <v>41341</v>
      </c>
      <c r="H16" s="24">
        <v>2.5000000000000001E-3</v>
      </c>
      <c r="I16" s="55">
        <v>1.84E-2</v>
      </c>
      <c r="J16" s="24">
        <v>3.8300000000000001E-2</v>
      </c>
      <c r="K16" s="24">
        <v>6.8400000000000002E-2</v>
      </c>
      <c r="L16" s="24">
        <v>8.5300000000000001E-2</v>
      </c>
      <c r="M16" s="24">
        <v>0.25140000000000001</v>
      </c>
      <c r="P16" s="27" t="s">
        <v>82</v>
      </c>
    </row>
    <row r="17" spans="2:16" ht="16.5">
      <c r="B17" t="s">
        <v>56</v>
      </c>
      <c r="C17" s="20" t="s">
        <v>58</v>
      </c>
      <c r="D17" s="49">
        <v>2000</v>
      </c>
      <c r="E17" s="49">
        <v>1880</v>
      </c>
      <c r="F17" s="22" t="s">
        <v>74</v>
      </c>
      <c r="G17" s="16">
        <v>41478</v>
      </c>
      <c r="H17" s="17">
        <v>2.7000000000000001E-3</v>
      </c>
      <c r="I17" s="56">
        <v>1.9900000000000001E-2</v>
      </c>
      <c r="J17" s="17">
        <v>3.4799999999999998E-2</v>
      </c>
      <c r="K17" s="17">
        <v>5.3100000000000001E-2</v>
      </c>
      <c r="L17" s="17">
        <v>9.6500000000000002E-2</v>
      </c>
      <c r="M17" s="17">
        <v>0.35639999999999999</v>
      </c>
      <c r="P17" s="27" t="s">
        <v>82</v>
      </c>
    </row>
    <row r="18" spans="2:16" ht="14.25">
      <c r="B18" s="42" t="s">
        <v>120</v>
      </c>
      <c r="C18" s="20" t="s">
        <v>106</v>
      </c>
      <c r="D18" s="49">
        <v>1200</v>
      </c>
      <c r="E18" s="49">
        <v>2583</v>
      </c>
      <c r="N18" t="s">
        <v>153</v>
      </c>
      <c r="P18" s="43" t="s">
        <v>121</v>
      </c>
    </row>
    <row r="19" spans="2:16" ht="14.25">
      <c r="B19" s="20" t="s">
        <v>165</v>
      </c>
      <c r="C19" s="20" t="s">
        <v>164</v>
      </c>
      <c r="D19" s="49">
        <v>1300</v>
      </c>
      <c r="E19" s="49"/>
      <c r="P19" s="43"/>
    </row>
    <row r="20" spans="2:16" ht="14.25">
      <c r="B20" s="20" t="s">
        <v>156</v>
      </c>
      <c r="C20" s="20" t="s">
        <v>157</v>
      </c>
      <c r="D20" s="49">
        <v>1000</v>
      </c>
      <c r="E20" s="49"/>
      <c r="P20" s="43"/>
    </row>
    <row r="21" spans="2:16">
      <c r="B21" s="20" t="s">
        <v>186</v>
      </c>
      <c r="C21" s="20">
        <v>270014</v>
      </c>
      <c r="E21" s="49"/>
    </row>
    <row r="22" spans="2:16">
      <c r="B22" t="s">
        <v>161</v>
      </c>
      <c r="D22" s="49">
        <v>10000</v>
      </c>
      <c r="E22" s="49"/>
    </row>
    <row r="23" spans="2:16">
      <c r="B23" t="s">
        <v>150</v>
      </c>
      <c r="E23" s="49">
        <v>0</v>
      </c>
    </row>
    <row r="24" spans="2:16">
      <c r="I24" s="54"/>
      <c r="J24" s="17"/>
      <c r="K24" s="17"/>
    </row>
    <row r="26" spans="2:16">
      <c r="I26" s="7" t="s">
        <v>196</v>
      </c>
      <c r="J26" s="58"/>
      <c r="K26" s="7" t="s">
        <v>139</v>
      </c>
    </row>
    <row r="27" spans="2:16">
      <c r="I27" s="7" t="s">
        <v>140</v>
      </c>
      <c r="J27" s="74">
        <f>SUM(J28:J32)</f>
        <v>54896</v>
      </c>
      <c r="K27" s="7"/>
    </row>
    <row r="28" spans="2:16">
      <c r="I28" s="7" t="s">
        <v>137</v>
      </c>
      <c r="J28" s="74">
        <f>SUM(D14:D20)</f>
        <v>14499</v>
      </c>
      <c r="K28" s="65">
        <f>J28/J27</f>
        <v>0.26411760419702712</v>
      </c>
    </row>
    <row r="29" spans="2:16">
      <c r="I29" s="7" t="s">
        <v>138</v>
      </c>
      <c r="J29" s="74">
        <f>SUM(D6:D13)</f>
        <v>3889</v>
      </c>
      <c r="K29" s="65">
        <f>J29/J27</f>
        <v>7.0843048673856018E-2</v>
      </c>
    </row>
    <row r="30" spans="2:16">
      <c r="I30" s="7" t="s">
        <v>158</v>
      </c>
      <c r="J30" s="74">
        <f>SUM(D2:D4)</f>
        <v>3500</v>
      </c>
      <c r="K30" s="65">
        <f>J30/J27</f>
        <v>6.3756922180122411E-2</v>
      </c>
    </row>
    <row r="31" spans="2:16">
      <c r="I31" s="7" t="s">
        <v>141</v>
      </c>
      <c r="J31" s="79">
        <f>SUM(G36:G40)</f>
        <v>23008</v>
      </c>
      <c r="K31" s="65">
        <f>J31/J27</f>
        <v>0.4191197901486447</v>
      </c>
    </row>
    <row r="32" spans="2:16">
      <c r="I32" s="77" t="s">
        <v>166</v>
      </c>
      <c r="J32" s="74">
        <f>SUM(D21:D22)</f>
        <v>10000</v>
      </c>
      <c r="K32" s="7"/>
    </row>
    <row r="33" spans="2:11">
      <c r="I33"/>
      <c r="J33" s="57"/>
    </row>
    <row r="34" spans="2:11">
      <c r="I34"/>
      <c r="J34" s="57"/>
    </row>
    <row r="35" spans="2:11">
      <c r="B35" s="10"/>
      <c r="C35" s="10" t="s">
        <v>15</v>
      </c>
      <c r="D35" s="10" t="s">
        <v>16</v>
      </c>
      <c r="E35" s="10" t="s">
        <v>32</v>
      </c>
      <c r="F35" s="10" t="s">
        <v>17</v>
      </c>
      <c r="G35" s="10" t="s">
        <v>18</v>
      </c>
      <c r="I35"/>
      <c r="J35" s="57"/>
    </row>
    <row r="36" spans="2:11">
      <c r="B36" s="8" t="s">
        <v>21</v>
      </c>
      <c r="C36" s="8">
        <v>501029</v>
      </c>
      <c r="D36" s="8">
        <v>0.89400000000000002</v>
      </c>
      <c r="E36" s="8">
        <f>D36*1.05</f>
        <v>0.93870000000000009</v>
      </c>
      <c r="F36" s="8">
        <v>19500</v>
      </c>
      <c r="G36" s="58">
        <f>D36*F36</f>
        <v>17433</v>
      </c>
      <c r="I36" s="7" t="s">
        <v>195</v>
      </c>
      <c r="J36" s="58"/>
      <c r="K36" s="7" t="s">
        <v>139</v>
      </c>
    </row>
    <row r="37" spans="2:11">
      <c r="B37" s="8" t="s">
        <v>20</v>
      </c>
      <c r="C37" s="8">
        <v>159905</v>
      </c>
      <c r="D37" s="8">
        <v>1.381</v>
      </c>
      <c r="E37" s="8">
        <f>D37*1.05</f>
        <v>1.4500500000000001</v>
      </c>
      <c r="F37" s="8">
        <v>0</v>
      </c>
      <c r="G37" s="58">
        <v>0</v>
      </c>
      <c r="I37" s="7" t="s">
        <v>140</v>
      </c>
      <c r="J37" s="74">
        <f>SUM(J38:J42)</f>
        <v>30815</v>
      </c>
      <c r="K37" s="7"/>
    </row>
    <row r="38" spans="2:11">
      <c r="B38" s="8" t="s">
        <v>24</v>
      </c>
      <c r="C38" s="8">
        <v>510880</v>
      </c>
      <c r="D38" s="8"/>
      <c r="E38" s="8"/>
      <c r="F38" s="8"/>
      <c r="G38" s="58">
        <v>0</v>
      </c>
      <c r="I38" s="7" t="s">
        <v>137</v>
      </c>
      <c r="J38" s="74">
        <f>SUM(E14:E20)</f>
        <v>12551</v>
      </c>
      <c r="K38" s="65">
        <f>J38/J37</f>
        <v>0.40730163881226678</v>
      </c>
    </row>
    <row r="39" spans="2:11">
      <c r="B39" s="8" t="s">
        <v>25</v>
      </c>
      <c r="C39" s="8">
        <v>510900</v>
      </c>
      <c r="D39" s="8">
        <v>1.2989999999999999</v>
      </c>
      <c r="E39" s="8">
        <f>D39*1.05</f>
        <v>1.36395</v>
      </c>
      <c r="F39" s="8">
        <v>4000</v>
      </c>
      <c r="G39" s="58">
        <f>D39*F39</f>
        <v>5196</v>
      </c>
      <c r="I39" s="7" t="s">
        <v>138</v>
      </c>
      <c r="J39" s="74">
        <f>SUM(E6:E13)</f>
        <v>7171</v>
      </c>
      <c r="K39" s="65">
        <f>J39/J37</f>
        <v>0.23271134187895506</v>
      </c>
    </row>
    <row r="40" spans="2:11">
      <c r="B40" s="37" t="s">
        <v>93</v>
      </c>
      <c r="C40" s="28" t="s">
        <v>94</v>
      </c>
      <c r="F40" s="20" t="s">
        <v>197</v>
      </c>
      <c r="G40">
        <v>379</v>
      </c>
      <c r="I40" s="7" t="s">
        <v>158</v>
      </c>
      <c r="J40" s="74">
        <f>SUM(E2:E3)</f>
        <v>11093</v>
      </c>
      <c r="K40" s="65">
        <f>J40/J37</f>
        <v>0.35998701930877819</v>
      </c>
    </row>
    <row r="41" spans="2:11">
      <c r="I41" s="7" t="s">
        <v>141</v>
      </c>
      <c r="J41" s="79">
        <v>0</v>
      </c>
      <c r="K41" s="65">
        <f>J41/J37</f>
        <v>0</v>
      </c>
    </row>
    <row r="42" spans="2:11">
      <c r="I42" s="77" t="s">
        <v>166</v>
      </c>
      <c r="J42" s="74">
        <f>SUM(D31:D32)</f>
        <v>0</v>
      </c>
      <c r="K42" s="7"/>
    </row>
    <row r="62" spans="2:5">
      <c r="B62" s="65" t="s">
        <v>193</v>
      </c>
      <c r="C62" s="85">
        <v>22</v>
      </c>
    </row>
    <row r="64" spans="2:5">
      <c r="B64" s="8" t="s">
        <v>24</v>
      </c>
      <c r="C64" s="40" t="s">
        <v>187</v>
      </c>
      <c r="D64" s="84">
        <v>2559</v>
      </c>
      <c r="E64" s="84"/>
    </row>
    <row r="65" spans="2:9">
      <c r="B65" s="7"/>
      <c r="C65" s="40" t="s">
        <v>188</v>
      </c>
      <c r="D65" s="84">
        <v>2520</v>
      </c>
      <c r="E65" s="84">
        <f>MIN(IFERROR(D65-D64,0),0)*100*$C$62/(D64-1800)</f>
        <v>-113.04347826086956</v>
      </c>
      <c r="F65" s="20" t="s">
        <v>192</v>
      </c>
    </row>
    <row r="66" spans="2:9">
      <c r="B66" s="7"/>
      <c r="C66" s="40" t="s">
        <v>190</v>
      </c>
      <c r="D66" s="84">
        <v>2547</v>
      </c>
      <c r="E66" s="84">
        <f>(D66-D64)*100*$C$62/(D64-1800)</f>
        <v>-34.782608695652172</v>
      </c>
      <c r="F66" s="20" t="s">
        <v>191</v>
      </c>
    </row>
    <row r="67" spans="2:9">
      <c r="E67" s="84">
        <f>(D66+D65-D64*2)*100*$C$62/(D64-1800)</f>
        <v>-147.82608695652175</v>
      </c>
    </row>
    <row r="69" spans="2:9">
      <c r="B69" s="8" t="s">
        <v>20</v>
      </c>
      <c r="C69" s="40" t="s">
        <v>187</v>
      </c>
      <c r="D69" s="84">
        <v>1277</v>
      </c>
      <c r="E69" s="84"/>
    </row>
    <row r="70" spans="2:9">
      <c r="B70" s="7"/>
      <c r="C70" s="40" t="s">
        <v>188</v>
      </c>
      <c r="D70" s="84">
        <v>1359</v>
      </c>
      <c r="E70" s="84">
        <f>MIN(IFERROR(D70-D69,0),0)*100*$C$62/(D69-1800)</f>
        <v>0</v>
      </c>
      <c r="F70" s="20" t="s">
        <v>192</v>
      </c>
    </row>
    <row r="71" spans="2:9">
      <c r="B71" s="7"/>
      <c r="C71" s="40" t="s">
        <v>190</v>
      </c>
      <c r="D71" s="84">
        <v>1537</v>
      </c>
      <c r="E71" s="84">
        <f>(D71-D69)*100*$C$62/(D69-1000)</f>
        <v>2064.9819494584835</v>
      </c>
      <c r="F71" s="20" t="s">
        <v>191</v>
      </c>
    </row>
    <row r="72" spans="2:9">
      <c r="E72" s="84">
        <f>(D71+D70-D69*2)*100*$C$62/(D69-1000)</f>
        <v>2716.2454873646211</v>
      </c>
    </row>
    <row r="74" spans="2:9">
      <c r="B74" s="8" t="s">
        <v>21</v>
      </c>
      <c r="C74" s="40" t="s">
        <v>187</v>
      </c>
      <c r="D74" s="84">
        <v>869</v>
      </c>
      <c r="E74" s="84"/>
    </row>
    <row r="75" spans="2:9">
      <c r="B75" s="7"/>
      <c r="C75" s="40" t="s">
        <v>188</v>
      </c>
      <c r="D75" s="84">
        <v>877</v>
      </c>
      <c r="E75" s="84">
        <f>MIN(IFERROR(D75-D74,0),0)*100*$C$62/(D74-1800)</f>
        <v>0</v>
      </c>
      <c r="F75" s="20" t="s">
        <v>192</v>
      </c>
    </row>
    <row r="76" spans="2:9">
      <c r="B76" s="7"/>
      <c r="C76" s="40" t="s">
        <v>190</v>
      </c>
      <c r="D76" s="84">
        <v>958</v>
      </c>
      <c r="E76" s="84">
        <f>(D76-D74)*100*$C$62/(D74-800)</f>
        <v>2837.68115942029</v>
      </c>
      <c r="F76" s="20" t="s">
        <v>191</v>
      </c>
    </row>
    <row r="77" spans="2:9">
      <c r="E77" s="84">
        <f>(D76+D75-D74*2)*100*$C$62/(D74-800)</f>
        <v>3092.753623188406</v>
      </c>
    </row>
    <row r="78" spans="2:9">
      <c r="C78"/>
      <c r="D78" s="57"/>
      <c r="E78"/>
      <c r="F78"/>
      <c r="I78"/>
    </row>
    <row r="79" spans="2:9">
      <c r="C79"/>
      <c r="D79" s="57"/>
      <c r="E79"/>
      <c r="F79"/>
      <c r="I79"/>
    </row>
  </sheetData>
  <phoneticPr fontId="1" type="noConversion"/>
  <hyperlinks>
    <hyperlink ref="B18" r:id="rId1" display="http://fund.eastmoney.com/270045.html"/>
    <hyperlink ref="B3" r:id="rId2" display="http://fund.eastmoney.com/110028.html"/>
  </hyperlinks>
  <pageMargins left="0.7" right="0.7" top="0.75" bottom="0.75" header="0.3" footer="0.3"/>
  <pageSetup paperSize="9" orientation="portrait" r:id="rId3"/>
  <ignoredErrors>
    <ignoredError sqref="J29" formulaRange="1"/>
  </ignoredErrors>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36" t="s">
        <v>105</v>
      </c>
    </row>
    <row r="6" spans="2:2">
      <c r="B6" s="73" t="s">
        <v>162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D22" sqref="D22"/>
    </sheetView>
  </sheetViews>
  <sheetFormatPr defaultRowHeight="13.5"/>
  <cols>
    <col min="4" max="4" width="13.75" customWidth="1"/>
  </cols>
  <sheetData>
    <row r="17" spans="3:14">
      <c r="E17" s="40" t="s">
        <v>107</v>
      </c>
      <c r="F17" s="40" t="s">
        <v>115</v>
      </c>
      <c r="G17" s="40" t="s">
        <v>111</v>
      </c>
      <c r="H17" s="40" t="s">
        <v>116</v>
      </c>
      <c r="I17" s="40">
        <v>15</v>
      </c>
      <c r="J17" s="40">
        <v>20</v>
      </c>
      <c r="K17" s="40">
        <v>25</v>
      </c>
      <c r="L17" s="40">
        <v>30</v>
      </c>
      <c r="M17" s="40">
        <v>35</v>
      </c>
      <c r="N17" s="40">
        <v>40</v>
      </c>
    </row>
    <row r="18" spans="3:14">
      <c r="E18" s="40" t="s">
        <v>108</v>
      </c>
      <c r="F18" s="40">
        <v>70</v>
      </c>
      <c r="G18" s="40">
        <v>50</v>
      </c>
      <c r="H18" s="40">
        <v>40</v>
      </c>
      <c r="I18" s="40">
        <v>35</v>
      </c>
      <c r="J18" s="40">
        <v>30</v>
      </c>
      <c r="K18" s="41">
        <v>25</v>
      </c>
      <c r="L18" s="40" t="s">
        <v>112</v>
      </c>
      <c r="M18" s="40" t="s">
        <v>114</v>
      </c>
      <c r="N18" s="41">
        <v>0</v>
      </c>
    </row>
    <row r="19" spans="3:14">
      <c r="E19" s="40" t="s">
        <v>109</v>
      </c>
      <c r="F19" s="40">
        <v>30</v>
      </c>
      <c r="G19" s="40">
        <v>50</v>
      </c>
      <c r="H19" s="40">
        <v>60</v>
      </c>
      <c r="I19" s="40">
        <v>65</v>
      </c>
      <c r="J19" s="40">
        <v>70</v>
      </c>
      <c r="K19" s="41">
        <v>75</v>
      </c>
      <c r="L19" s="40" t="s">
        <v>113</v>
      </c>
      <c r="M19" s="40" t="s">
        <v>110</v>
      </c>
      <c r="N19" s="41">
        <v>100</v>
      </c>
    </row>
    <row r="20" spans="3:14">
      <c r="C20" s="40"/>
      <c r="D20" s="40"/>
      <c r="E20" s="40">
        <v>40</v>
      </c>
      <c r="F20" s="40">
        <v>35</v>
      </c>
      <c r="G20" s="40">
        <v>30</v>
      </c>
      <c r="H20" s="41">
        <v>25</v>
      </c>
      <c r="I20" s="40" t="s">
        <v>112</v>
      </c>
      <c r="J20" s="40" t="s">
        <v>114</v>
      </c>
      <c r="K20" s="41">
        <v>0</v>
      </c>
    </row>
    <row r="22" spans="3:14">
      <c r="D22" t="s">
        <v>178</v>
      </c>
      <c r="E22" s="80" t="s">
        <v>179</v>
      </c>
    </row>
    <row r="23" spans="3:14">
      <c r="E23">
        <f>(4000-3180)/3180</f>
        <v>0.25786163522012578</v>
      </c>
    </row>
    <row r="28" spans="3:14" ht="123" customHeight="1">
      <c r="E28" s="98" t="s">
        <v>117</v>
      </c>
      <c r="F28" s="98"/>
      <c r="G28" s="98"/>
      <c r="H28" s="98"/>
      <c r="I28" s="98"/>
      <c r="J28" s="98"/>
      <c r="K28" s="9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I48" sqref="I48"/>
    </sheetView>
  </sheetViews>
  <sheetFormatPr defaultRowHeight="13.5"/>
  <cols>
    <col min="6" max="7" width="9" style="75"/>
    <col min="8" max="8" width="13.375" customWidth="1"/>
    <col min="9" max="9" width="11.75" customWidth="1"/>
  </cols>
  <sheetData>
    <row r="9" spans="7:13">
      <c r="G9" s="76"/>
      <c r="H9" s="7" t="s">
        <v>146</v>
      </c>
      <c r="I9" s="7" t="s">
        <v>149</v>
      </c>
      <c r="J9" s="7" t="s">
        <v>148</v>
      </c>
      <c r="K9" s="7" t="s">
        <v>144</v>
      </c>
      <c r="L9" s="7" t="s">
        <v>145</v>
      </c>
      <c r="M9" s="14" t="s">
        <v>147</v>
      </c>
    </row>
    <row r="10" spans="7:13">
      <c r="G10" s="76">
        <v>1</v>
      </c>
      <c r="H10" s="7">
        <v>4.9000000000000004</v>
      </c>
      <c r="I10" s="7"/>
      <c r="J10" s="7"/>
      <c r="K10" s="7"/>
      <c r="L10" s="7"/>
    </row>
    <row r="11" spans="7:13">
      <c r="G11" s="76">
        <v>2</v>
      </c>
      <c r="H11" s="7">
        <v>4.5999999999999996</v>
      </c>
      <c r="I11" s="7"/>
      <c r="J11" s="7"/>
      <c r="L11" s="7"/>
    </row>
    <row r="12" spans="7:13">
      <c r="G12" s="76">
        <v>3</v>
      </c>
      <c r="H12" s="7">
        <v>4.3</v>
      </c>
      <c r="I12" s="7"/>
      <c r="J12" s="7"/>
      <c r="K12">
        <v>6500</v>
      </c>
      <c r="L12" s="7"/>
    </row>
    <row r="13" spans="7:13">
      <c r="G13" s="76">
        <v>4</v>
      </c>
      <c r="H13" s="7">
        <v>4</v>
      </c>
      <c r="I13" s="7"/>
      <c r="J13" s="7"/>
      <c r="K13">
        <v>6000</v>
      </c>
      <c r="L13" s="7"/>
    </row>
    <row r="14" spans="7:13">
      <c r="G14" s="76">
        <v>5</v>
      </c>
      <c r="H14" s="7">
        <v>3.7</v>
      </c>
      <c r="I14" s="7"/>
      <c r="J14" s="7"/>
      <c r="K14">
        <v>5500</v>
      </c>
      <c r="L14" s="7"/>
    </row>
    <row r="15" spans="7:13">
      <c r="G15" s="76">
        <v>6</v>
      </c>
      <c r="H15" s="7">
        <v>3.4</v>
      </c>
      <c r="I15" s="7">
        <v>0</v>
      </c>
      <c r="J15" s="7">
        <v>0</v>
      </c>
      <c r="K15">
        <v>5000</v>
      </c>
      <c r="L15" s="7"/>
      <c r="M15">
        <f>SUM(J15)</f>
        <v>0</v>
      </c>
    </row>
    <row r="16" spans="7:13">
      <c r="G16" s="76">
        <v>7</v>
      </c>
      <c r="H16" s="7">
        <v>3.1</v>
      </c>
      <c r="I16" s="7">
        <v>4500</v>
      </c>
      <c r="J16" s="7">
        <f t="shared" ref="J16:J23" si="0">H16*I16</f>
        <v>13950</v>
      </c>
      <c r="K16">
        <v>4500</v>
      </c>
      <c r="L16" s="7">
        <f>SUM(I15:I16)</f>
        <v>4500</v>
      </c>
      <c r="M16">
        <f>SUM(J15:J16)</f>
        <v>13950</v>
      </c>
    </row>
    <row r="17" spans="1:13">
      <c r="G17" s="76">
        <v>8</v>
      </c>
      <c r="H17" s="7">
        <v>2.8</v>
      </c>
      <c r="I17" s="7">
        <v>5000</v>
      </c>
      <c r="J17" s="7">
        <f t="shared" si="0"/>
        <v>14000</v>
      </c>
      <c r="K17">
        <v>4000</v>
      </c>
      <c r="L17" s="7">
        <f>SUM(I15:I17)</f>
        <v>9500</v>
      </c>
      <c r="M17">
        <f>SUM(J15:J17)</f>
        <v>27950</v>
      </c>
    </row>
    <row r="18" spans="1:13">
      <c r="G18" s="76">
        <v>9</v>
      </c>
      <c r="H18" s="7">
        <v>2.5</v>
      </c>
      <c r="I18" s="7">
        <v>5500</v>
      </c>
      <c r="J18" s="7">
        <f t="shared" si="0"/>
        <v>13750</v>
      </c>
      <c r="K18">
        <v>3500</v>
      </c>
      <c r="L18" s="7">
        <f>SUM(I15:I18)</f>
        <v>15000</v>
      </c>
      <c r="M18">
        <f>SUM(J15:J18)</f>
        <v>41700</v>
      </c>
    </row>
    <row r="19" spans="1:13">
      <c r="G19" s="76">
        <v>10</v>
      </c>
      <c r="H19" s="7">
        <v>2.2000000000000002</v>
      </c>
      <c r="I19" s="7">
        <v>6000</v>
      </c>
      <c r="J19" s="7">
        <f t="shared" si="0"/>
        <v>13200.000000000002</v>
      </c>
      <c r="K19">
        <v>3000</v>
      </c>
      <c r="L19" s="7">
        <f>SUM(I15:I19)</f>
        <v>21000</v>
      </c>
      <c r="M19">
        <f>SUM(J15:J19)</f>
        <v>54900</v>
      </c>
    </row>
    <row r="20" spans="1:13">
      <c r="G20" s="76">
        <v>11</v>
      </c>
      <c r="H20" s="7">
        <v>1.9</v>
      </c>
      <c r="I20" s="7">
        <v>6500</v>
      </c>
      <c r="J20" s="7">
        <f t="shared" si="0"/>
        <v>12350</v>
      </c>
      <c r="K20">
        <v>2500</v>
      </c>
      <c r="L20" s="7">
        <f>SUM(I15:I20)</f>
        <v>27500</v>
      </c>
    </row>
    <row r="21" spans="1:13">
      <c r="G21" s="76">
        <v>12</v>
      </c>
      <c r="H21" s="7">
        <v>1.6</v>
      </c>
      <c r="I21" s="7">
        <v>7000</v>
      </c>
      <c r="J21" s="7">
        <f t="shared" si="0"/>
        <v>11200</v>
      </c>
      <c r="K21">
        <v>2000</v>
      </c>
      <c r="L21" s="7">
        <f>SUM(I15:I21)</f>
        <v>34500</v>
      </c>
    </row>
    <row r="22" spans="1:13">
      <c r="G22" s="76">
        <v>13</v>
      </c>
      <c r="H22" s="7">
        <v>1.3</v>
      </c>
      <c r="I22" s="7">
        <v>7500</v>
      </c>
      <c r="J22" s="7">
        <f t="shared" si="0"/>
        <v>9750</v>
      </c>
      <c r="L22" s="7">
        <f>SUM(I15:I22)</f>
        <v>42000</v>
      </c>
    </row>
    <row r="23" spans="1:13">
      <c r="G23" s="76">
        <v>14</v>
      </c>
      <c r="H23" s="7">
        <v>1</v>
      </c>
      <c r="I23" s="7">
        <v>8000</v>
      </c>
      <c r="J23" s="7">
        <f t="shared" si="0"/>
        <v>8000</v>
      </c>
      <c r="L23" s="7">
        <f>SUM(I15:I23)</f>
        <v>50000</v>
      </c>
      <c r="M23">
        <f>SUM(J15:J23)</f>
        <v>96200</v>
      </c>
    </row>
    <row r="24" spans="1:13">
      <c r="G24" s="76">
        <v>15</v>
      </c>
      <c r="H24" s="7">
        <v>0.7</v>
      </c>
      <c r="I24" s="7"/>
      <c r="J24" s="7"/>
      <c r="K24" s="7"/>
      <c r="L24" s="7"/>
    </row>
    <row r="29" spans="1:13">
      <c r="A29" s="9" t="s">
        <v>23</v>
      </c>
      <c r="B29" s="78">
        <v>510900</v>
      </c>
      <c r="C29" s="7" t="s">
        <v>168</v>
      </c>
      <c r="D29" s="46">
        <v>1.177</v>
      </c>
    </row>
    <row r="30" spans="1:13">
      <c r="C30" s="7" t="s">
        <v>170</v>
      </c>
      <c r="D30" s="7">
        <v>0.03</v>
      </c>
      <c r="E30" t="s">
        <v>169</v>
      </c>
    </row>
    <row r="31" spans="1:13">
      <c r="C31" s="7" t="s">
        <v>171</v>
      </c>
      <c r="D31" s="7">
        <v>0.05</v>
      </c>
    </row>
    <row r="32" spans="1:13">
      <c r="C32" s="77" t="s">
        <v>176</v>
      </c>
      <c r="D32" s="77">
        <v>0</v>
      </c>
    </row>
    <row r="35" spans="5:9">
      <c r="E35" s="7" t="s">
        <v>172</v>
      </c>
      <c r="F35" s="76" t="s">
        <v>173</v>
      </c>
      <c r="G35" s="76" t="s">
        <v>174</v>
      </c>
      <c r="H35" s="7" t="s">
        <v>175</v>
      </c>
      <c r="I35" s="77" t="s">
        <v>177</v>
      </c>
    </row>
    <row r="36" spans="5:9">
      <c r="E36" s="7">
        <v>3</v>
      </c>
      <c r="F36" s="76">
        <f>$D$29*(1+E36*$D$30)</f>
        <v>1.2829300000000001</v>
      </c>
      <c r="G36" s="76">
        <f>F36*(1+$D$31)</f>
        <v>1.3470765000000002</v>
      </c>
      <c r="H36" s="7">
        <v>2000</v>
      </c>
      <c r="I36" s="7">
        <f>SUM($H$36:H36)+$D$32</f>
        <v>2000</v>
      </c>
    </row>
    <row r="37" spans="5:9">
      <c r="E37" s="7">
        <v>2</v>
      </c>
      <c r="F37" s="76">
        <f t="shared" ref="F37:F51" si="1">$D$29*(1+E37*$D$30)</f>
        <v>1.2476200000000002</v>
      </c>
      <c r="G37" s="76">
        <f t="shared" ref="G37:G51" si="2">F37*(1+$D$31)</f>
        <v>1.3100010000000002</v>
      </c>
      <c r="H37" s="7">
        <v>2000</v>
      </c>
      <c r="I37" s="7">
        <f>SUM($H$36:H37)+$D$32</f>
        <v>4000</v>
      </c>
    </row>
    <row r="38" spans="5:9">
      <c r="E38" s="7">
        <v>1</v>
      </c>
      <c r="F38" s="76">
        <f t="shared" si="1"/>
        <v>1.21231</v>
      </c>
      <c r="G38" s="76">
        <f t="shared" si="2"/>
        <v>1.2729255000000002</v>
      </c>
      <c r="H38" s="7">
        <v>2000</v>
      </c>
      <c r="I38" s="7">
        <f>SUM($H$36:H38)+$D$32</f>
        <v>6000</v>
      </c>
    </row>
    <row r="39" spans="5:9">
      <c r="E39" s="7">
        <v>0</v>
      </c>
      <c r="F39" s="76">
        <f t="shared" si="1"/>
        <v>1.177</v>
      </c>
      <c r="G39" s="76">
        <f t="shared" si="2"/>
        <v>1.2358500000000001</v>
      </c>
      <c r="H39" s="7">
        <v>2000</v>
      </c>
      <c r="I39" s="7">
        <f>SUM($H$36:H39)+$D$32</f>
        <v>8000</v>
      </c>
    </row>
    <row r="40" spans="5:9">
      <c r="E40" s="7">
        <v>-1</v>
      </c>
      <c r="F40" s="76">
        <f t="shared" si="1"/>
        <v>1.1416900000000001</v>
      </c>
      <c r="G40" s="76">
        <f t="shared" si="2"/>
        <v>1.1987745000000001</v>
      </c>
      <c r="H40" s="7">
        <v>2000</v>
      </c>
      <c r="I40" s="7">
        <f>SUM($H$36:H40)+$D$32</f>
        <v>10000</v>
      </c>
    </row>
    <row r="41" spans="5:9">
      <c r="E41" s="7">
        <v>-2</v>
      </c>
      <c r="F41" s="76">
        <f t="shared" si="1"/>
        <v>1.1063799999999999</v>
      </c>
      <c r="G41" s="76">
        <f t="shared" si="2"/>
        <v>1.161699</v>
      </c>
      <c r="H41" s="7">
        <v>3000</v>
      </c>
      <c r="I41" s="7">
        <f>SUM($H$36:H41)+$D$32</f>
        <v>13000</v>
      </c>
    </row>
    <row r="42" spans="5:9">
      <c r="E42" s="7">
        <v>-3</v>
      </c>
      <c r="F42" s="76">
        <f t="shared" si="1"/>
        <v>1.0710700000000002</v>
      </c>
      <c r="G42" s="76">
        <f t="shared" si="2"/>
        <v>1.1246235000000002</v>
      </c>
      <c r="H42" s="7">
        <v>3000</v>
      </c>
      <c r="I42" s="7">
        <f>SUM($H$36:H42)+$D$32</f>
        <v>16000</v>
      </c>
    </row>
    <row r="43" spans="5:9">
      <c r="E43" s="7">
        <v>-4</v>
      </c>
      <c r="F43" s="76">
        <f t="shared" si="1"/>
        <v>1.03576</v>
      </c>
      <c r="G43" s="76">
        <f t="shared" si="2"/>
        <v>1.087548</v>
      </c>
      <c r="H43" s="7">
        <v>3000</v>
      </c>
      <c r="I43" s="7">
        <f>SUM($H$36:H43)+$D$32</f>
        <v>19000</v>
      </c>
    </row>
    <row r="44" spans="5:9">
      <c r="E44" s="7">
        <v>-5</v>
      </c>
      <c r="F44" s="76">
        <f t="shared" si="1"/>
        <v>1.0004500000000001</v>
      </c>
      <c r="G44" s="76">
        <f t="shared" si="2"/>
        <v>1.0504725000000001</v>
      </c>
      <c r="H44" s="7">
        <v>4000</v>
      </c>
      <c r="I44" s="7">
        <f>SUM($H$36:H44)+$D$32</f>
        <v>23000</v>
      </c>
    </row>
    <row r="45" spans="5:9">
      <c r="E45" s="7">
        <v>-6</v>
      </c>
      <c r="F45" s="76">
        <f t="shared" si="1"/>
        <v>0.96514000000000011</v>
      </c>
      <c r="G45" s="76">
        <f t="shared" si="2"/>
        <v>1.0133970000000001</v>
      </c>
      <c r="H45" s="7">
        <v>4000</v>
      </c>
      <c r="I45" s="7">
        <f>SUM($H$36:H45)+$D$32</f>
        <v>27000</v>
      </c>
    </row>
    <row r="46" spans="5:9">
      <c r="E46" s="7">
        <v>-7</v>
      </c>
      <c r="F46" s="76">
        <f t="shared" si="1"/>
        <v>0.92983000000000005</v>
      </c>
      <c r="G46" s="76">
        <f t="shared" si="2"/>
        <v>0.97632150000000006</v>
      </c>
      <c r="H46" s="7">
        <v>4000</v>
      </c>
      <c r="I46" s="7">
        <f>SUM($H$36:H46)+$D$32</f>
        <v>31000</v>
      </c>
    </row>
    <row r="47" spans="5:9">
      <c r="E47" s="7">
        <v>-8</v>
      </c>
      <c r="F47" s="76">
        <f t="shared" si="1"/>
        <v>0.89452000000000009</v>
      </c>
      <c r="G47" s="76">
        <f t="shared" si="2"/>
        <v>0.93924600000000014</v>
      </c>
      <c r="H47" s="7">
        <v>4000</v>
      </c>
      <c r="I47" s="7">
        <f>SUM($H$36:H47)+$D$32</f>
        <v>35000</v>
      </c>
    </row>
    <row r="48" spans="5:9">
      <c r="E48" s="7">
        <v>-9</v>
      </c>
      <c r="F48" s="76">
        <f t="shared" si="1"/>
        <v>0.85921000000000003</v>
      </c>
      <c r="G48" s="76">
        <f t="shared" si="2"/>
        <v>0.9021705000000001</v>
      </c>
      <c r="H48" s="7">
        <v>4000</v>
      </c>
      <c r="I48" s="7">
        <f>SUM($H$36:H48)+$D$32</f>
        <v>39000</v>
      </c>
    </row>
    <row r="49" spans="5:9">
      <c r="E49" s="7">
        <v>-10</v>
      </c>
      <c r="F49" s="76">
        <f t="shared" si="1"/>
        <v>0.82389999999999997</v>
      </c>
      <c r="G49" s="76">
        <f t="shared" si="2"/>
        <v>0.86509499999999995</v>
      </c>
      <c r="H49" s="7">
        <v>5000</v>
      </c>
      <c r="I49" s="7">
        <f>SUM($H$36:H49)+$D$32</f>
        <v>44000</v>
      </c>
    </row>
    <row r="50" spans="5:9">
      <c r="E50" s="7">
        <v>-11</v>
      </c>
      <c r="F50" s="76">
        <f t="shared" si="1"/>
        <v>0.78859000000000012</v>
      </c>
      <c r="G50" s="76">
        <f t="shared" si="2"/>
        <v>0.82801950000000013</v>
      </c>
      <c r="H50" s="7">
        <v>5000</v>
      </c>
      <c r="I50" s="7">
        <f>SUM($H$36:H50)+$D$32</f>
        <v>49000</v>
      </c>
    </row>
    <row r="51" spans="5:9">
      <c r="E51" s="77">
        <v>-12</v>
      </c>
      <c r="F51" s="76">
        <f t="shared" si="1"/>
        <v>0.75328000000000006</v>
      </c>
      <c r="G51" s="76">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J23"/>
  <sheetViews>
    <sheetView workbookViewId="0">
      <selection activeCell="J23" sqref="J23"/>
    </sheetView>
  </sheetViews>
  <sheetFormatPr defaultRowHeight="13.5"/>
  <cols>
    <col min="2" max="2" width="9.75" customWidth="1"/>
    <col min="4" max="4" width="10.5" bestFit="1" customWidth="1"/>
    <col min="5" max="6" width="10.5" style="82" customWidth="1"/>
    <col min="7" max="7" width="10.5" style="48" customWidth="1"/>
    <col min="8" max="8" width="9.375" customWidth="1"/>
    <col min="10" max="10" width="16.125" customWidth="1"/>
  </cols>
  <sheetData>
    <row r="1" spans="1:10">
      <c r="E1" s="81" t="s">
        <v>187</v>
      </c>
      <c r="F1" s="81" t="s">
        <v>188</v>
      </c>
      <c r="G1" s="81" t="s">
        <v>184</v>
      </c>
      <c r="J1" s="48" t="s">
        <v>185</v>
      </c>
    </row>
    <row r="2" spans="1:10">
      <c r="A2" t="s">
        <v>180</v>
      </c>
      <c r="B2">
        <v>3089</v>
      </c>
      <c r="D2" s="16">
        <v>43486</v>
      </c>
      <c r="E2" s="82">
        <v>3182</v>
      </c>
      <c r="F2" s="83">
        <v>3225</v>
      </c>
      <c r="G2" s="48">
        <v>3565</v>
      </c>
      <c r="H2" s="48">
        <f>MIN(IFERROR(F2-E2,0),0)</f>
        <v>0</v>
      </c>
      <c r="I2" s="48">
        <f>(G2-E2)</f>
        <v>383</v>
      </c>
      <c r="J2" s="48">
        <f>(H2+I2)*100/(E2-1800)*2</f>
        <v>55.426917510853833</v>
      </c>
    </row>
    <row r="3" spans="1:10">
      <c r="A3" t="s">
        <v>181</v>
      </c>
      <c r="B3">
        <v>3561</v>
      </c>
      <c r="D3" s="16">
        <v>43487</v>
      </c>
      <c r="E3" s="82">
        <v>3147</v>
      </c>
      <c r="F3" s="82">
        <v>3222</v>
      </c>
      <c r="G3" s="48">
        <v>3556</v>
      </c>
      <c r="H3" s="48">
        <f t="shared" ref="H3:H23" si="0">MIN(IFERROR(F3-E3,0),0)</f>
        <v>0</v>
      </c>
      <c r="I3" s="48">
        <f t="shared" ref="I3:I23" si="1">(G3-E3)</f>
        <v>409</v>
      </c>
      <c r="J3" s="48">
        <f t="shared" ref="J3:J23" si="2">(H3+I3)*100/(E3-1800)*2</f>
        <v>60.7275426874536</v>
      </c>
    </row>
    <row r="4" spans="1:10">
      <c r="A4" t="s">
        <v>182</v>
      </c>
      <c r="B4">
        <f>3089*0.9</f>
        <v>2780.1</v>
      </c>
      <c r="D4" s="16">
        <v>43488</v>
      </c>
      <c r="E4" s="82">
        <v>3149</v>
      </c>
      <c r="F4" s="82">
        <v>3218</v>
      </c>
      <c r="G4" s="48">
        <v>3552</v>
      </c>
      <c r="H4" s="48">
        <f t="shared" si="0"/>
        <v>0</v>
      </c>
      <c r="I4" s="48">
        <f t="shared" si="1"/>
        <v>403</v>
      </c>
      <c r="J4" s="48">
        <f t="shared" si="2"/>
        <v>59.747961452928095</v>
      </c>
    </row>
    <row r="5" spans="1:10">
      <c r="D5" s="16">
        <v>43489</v>
      </c>
      <c r="E5" s="82">
        <v>3154</v>
      </c>
      <c r="F5" s="82">
        <v>3215</v>
      </c>
      <c r="G5" s="48">
        <v>3548</v>
      </c>
      <c r="H5" s="48">
        <f t="shared" si="0"/>
        <v>0</v>
      </c>
      <c r="I5" s="48">
        <f t="shared" si="1"/>
        <v>394</v>
      </c>
      <c r="J5" s="48">
        <f t="shared" si="2"/>
        <v>58.197932053175776</v>
      </c>
    </row>
    <row r="6" spans="1:10">
      <c r="A6" t="s">
        <v>183</v>
      </c>
      <c r="B6">
        <f>B2^10*25/(B4*0.98)^10</f>
        <v>87.751420883694834</v>
      </c>
      <c r="D6" s="16">
        <v>43490</v>
      </c>
      <c r="E6" s="82">
        <v>3161</v>
      </c>
      <c r="F6" s="82">
        <v>3213</v>
      </c>
      <c r="G6" s="48">
        <v>3544</v>
      </c>
      <c r="H6" s="48">
        <f t="shared" si="0"/>
        <v>0</v>
      </c>
      <c r="I6" s="48">
        <f t="shared" si="1"/>
        <v>383</v>
      </c>
      <c r="J6" s="48">
        <f t="shared" si="2"/>
        <v>56.282145481263775</v>
      </c>
    </row>
    <row r="7" spans="1:10">
      <c r="B7" s="48">
        <f>(B3-B4)/6</f>
        <v>130.15</v>
      </c>
      <c r="D7" s="16">
        <v>43491</v>
      </c>
      <c r="H7" s="48">
        <f t="shared" si="0"/>
        <v>0</v>
      </c>
      <c r="I7" s="48">
        <f t="shared" si="1"/>
        <v>0</v>
      </c>
      <c r="J7" s="48">
        <f t="shared" si="2"/>
        <v>0</v>
      </c>
    </row>
    <row r="8" spans="1:10">
      <c r="B8" s="48">
        <f>B6+B7</f>
        <v>217.90142088369484</v>
      </c>
      <c r="D8" s="16">
        <v>43492</v>
      </c>
      <c r="H8" s="48">
        <f t="shared" si="0"/>
        <v>0</v>
      </c>
      <c r="I8" s="48">
        <f t="shared" si="1"/>
        <v>0</v>
      </c>
      <c r="J8" s="48">
        <f t="shared" si="2"/>
        <v>0</v>
      </c>
    </row>
    <row r="9" spans="1:10">
      <c r="D9" s="16">
        <v>43493</v>
      </c>
      <c r="E9" s="82">
        <v>3169</v>
      </c>
      <c r="F9" s="82">
        <v>3211</v>
      </c>
      <c r="G9" s="48">
        <v>3539</v>
      </c>
      <c r="H9" s="48">
        <f t="shared" si="0"/>
        <v>0</v>
      </c>
      <c r="I9" s="48">
        <f t="shared" si="1"/>
        <v>370</v>
      </c>
      <c r="J9" s="48">
        <f t="shared" si="2"/>
        <v>54.054054054054056</v>
      </c>
    </row>
    <row r="10" spans="1:10">
      <c r="D10" s="16">
        <v>43494</v>
      </c>
      <c r="E10" s="82">
        <v>3169</v>
      </c>
      <c r="F10" s="82">
        <v>3209</v>
      </c>
      <c r="G10" s="48">
        <v>3535</v>
      </c>
      <c r="H10" s="48">
        <f t="shared" si="0"/>
        <v>0</v>
      </c>
      <c r="I10" s="48">
        <f t="shared" si="1"/>
        <v>366</v>
      </c>
      <c r="J10" s="48">
        <f t="shared" si="2"/>
        <v>53.469685902118336</v>
      </c>
    </row>
    <row r="11" spans="1:10">
      <c r="D11" s="16">
        <v>43495</v>
      </c>
      <c r="E11" s="82">
        <v>3179</v>
      </c>
      <c r="F11" s="82">
        <v>3208</v>
      </c>
      <c r="G11" s="48">
        <v>3531</v>
      </c>
      <c r="H11" s="48">
        <f t="shared" si="0"/>
        <v>0</v>
      </c>
      <c r="I11" s="48">
        <f t="shared" si="1"/>
        <v>352</v>
      </c>
      <c r="J11" s="48">
        <f t="shared" si="2"/>
        <v>51.051486584481509</v>
      </c>
    </row>
    <row r="12" spans="1:10">
      <c r="D12" s="16">
        <v>43496</v>
      </c>
      <c r="E12" s="82">
        <v>3183</v>
      </c>
      <c r="F12" s="82">
        <v>3207</v>
      </c>
      <c r="G12" s="48">
        <v>3526</v>
      </c>
      <c r="H12" s="48">
        <f t="shared" si="0"/>
        <v>0</v>
      </c>
      <c r="I12" s="48">
        <f t="shared" si="1"/>
        <v>343</v>
      </c>
      <c r="J12" s="48">
        <f t="shared" si="2"/>
        <v>49.602313810556758</v>
      </c>
    </row>
    <row r="13" spans="1:10">
      <c r="D13" s="16">
        <v>43497</v>
      </c>
      <c r="E13" s="82">
        <v>3192</v>
      </c>
      <c r="F13" s="82">
        <v>3206</v>
      </c>
      <c r="G13" s="48">
        <v>3521</v>
      </c>
      <c r="H13" s="48">
        <f t="shared" si="0"/>
        <v>0</v>
      </c>
      <c r="I13" s="48">
        <f t="shared" si="1"/>
        <v>329</v>
      </c>
      <c r="J13" s="48">
        <f t="shared" si="2"/>
        <v>47.270114942528735</v>
      </c>
    </row>
    <row r="14" spans="1:10">
      <c r="D14" s="16">
        <v>43498</v>
      </c>
      <c r="H14" s="48">
        <f t="shared" si="0"/>
        <v>0</v>
      </c>
      <c r="I14" s="48">
        <f t="shared" si="1"/>
        <v>0</v>
      </c>
      <c r="J14" s="48">
        <f t="shared" si="2"/>
        <v>0</v>
      </c>
    </row>
    <row r="15" spans="1:10">
      <c r="D15" s="16">
        <v>43499</v>
      </c>
      <c r="H15" s="48">
        <f t="shared" si="0"/>
        <v>0</v>
      </c>
      <c r="I15" s="48">
        <f t="shared" si="1"/>
        <v>0</v>
      </c>
      <c r="J15" s="48">
        <f t="shared" si="2"/>
        <v>0</v>
      </c>
    </row>
    <row r="16" spans="1:10">
      <c r="D16" s="16">
        <v>43500</v>
      </c>
      <c r="H16" s="48">
        <f t="shared" si="0"/>
        <v>0</v>
      </c>
      <c r="I16" s="48">
        <f t="shared" si="1"/>
        <v>0</v>
      </c>
      <c r="J16" s="48">
        <f t="shared" si="2"/>
        <v>0</v>
      </c>
    </row>
    <row r="17" spans="4:10">
      <c r="D17" s="16">
        <v>43501</v>
      </c>
      <c r="H17" s="48">
        <f t="shared" si="0"/>
        <v>0</v>
      </c>
      <c r="I17" s="48">
        <f t="shared" si="1"/>
        <v>0</v>
      </c>
      <c r="J17" s="48">
        <f t="shared" si="2"/>
        <v>0</v>
      </c>
    </row>
    <row r="18" spans="4:10">
      <c r="D18" s="16">
        <v>43502</v>
      </c>
      <c r="H18" s="48">
        <f t="shared" si="0"/>
        <v>0</v>
      </c>
      <c r="I18" s="48">
        <f t="shared" si="1"/>
        <v>0</v>
      </c>
      <c r="J18" s="48">
        <f t="shared" si="2"/>
        <v>0</v>
      </c>
    </row>
    <row r="19" spans="4:10">
      <c r="D19" s="16">
        <v>43503</v>
      </c>
      <c r="H19" s="48">
        <f t="shared" si="0"/>
        <v>0</v>
      </c>
      <c r="I19" s="48">
        <f t="shared" si="1"/>
        <v>0</v>
      </c>
      <c r="J19" s="48">
        <f t="shared" si="2"/>
        <v>0</v>
      </c>
    </row>
    <row r="20" spans="4:10">
      <c r="D20" s="16">
        <v>43504</v>
      </c>
      <c r="H20" s="48">
        <f t="shared" si="0"/>
        <v>0</v>
      </c>
      <c r="I20" s="48">
        <f t="shared" si="1"/>
        <v>0</v>
      </c>
      <c r="J20" s="48">
        <f t="shared" si="2"/>
        <v>0</v>
      </c>
    </row>
    <row r="21" spans="4:10">
      <c r="D21" s="16">
        <v>43505</v>
      </c>
      <c r="H21" s="48">
        <f t="shared" si="0"/>
        <v>0</v>
      </c>
      <c r="I21" s="48">
        <f t="shared" si="1"/>
        <v>0</v>
      </c>
      <c r="J21" s="48">
        <f t="shared" si="2"/>
        <v>0</v>
      </c>
    </row>
    <row r="22" spans="4:10">
      <c r="D22" s="16">
        <v>43506</v>
      </c>
      <c r="H22" s="48">
        <f t="shared" si="0"/>
        <v>0</v>
      </c>
      <c r="I22" s="48">
        <f t="shared" si="1"/>
        <v>0</v>
      </c>
      <c r="J22" s="48">
        <f t="shared" si="2"/>
        <v>0</v>
      </c>
    </row>
    <row r="23" spans="4:10">
      <c r="D23" s="16">
        <v>43507</v>
      </c>
      <c r="E23" s="82">
        <v>3213</v>
      </c>
      <c r="F23" s="82">
        <v>3206</v>
      </c>
      <c r="G23" s="48">
        <v>3517</v>
      </c>
      <c r="H23" s="48">
        <f t="shared" si="0"/>
        <v>-7</v>
      </c>
      <c r="I23" s="48">
        <f t="shared" si="1"/>
        <v>304</v>
      </c>
      <c r="J23" s="48">
        <f t="shared" si="2"/>
        <v>42.038216560509554</v>
      </c>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J8"/>
  <sheetViews>
    <sheetView workbookViewId="0">
      <selection activeCell="J2" sqref="J2"/>
    </sheetView>
  </sheetViews>
  <sheetFormatPr defaultRowHeight="13.5"/>
  <cols>
    <col min="4" max="4" width="20.875" customWidth="1"/>
    <col min="5" max="7" width="9.5" bestFit="1" customWidth="1"/>
  </cols>
  <sheetData>
    <row r="1" spans="1:10">
      <c r="E1" s="81" t="s">
        <v>187</v>
      </c>
      <c r="F1" s="81" t="s">
        <v>188</v>
      </c>
      <c r="G1" s="81" t="s">
        <v>184</v>
      </c>
      <c r="J1" s="48" t="s">
        <v>185</v>
      </c>
    </row>
    <row r="2" spans="1:10">
      <c r="A2" t="s">
        <v>180</v>
      </c>
      <c r="B2">
        <v>3089</v>
      </c>
      <c r="D2" s="16">
        <v>43495</v>
      </c>
      <c r="E2" s="82">
        <v>4285</v>
      </c>
      <c r="F2" s="82">
        <v>4504</v>
      </c>
      <c r="G2" s="48">
        <v>5156</v>
      </c>
      <c r="H2" s="48">
        <f t="shared" ref="H2" si="0">MIN(IFERROR(F2-E2,0),0)</f>
        <v>0</v>
      </c>
      <c r="I2" s="48">
        <f t="shared" ref="I2" si="1">(G2-E2)</f>
        <v>871</v>
      </c>
      <c r="J2" s="48">
        <f>(H2+I2)*100/(E2-1500)*2</f>
        <v>62.549371633752244</v>
      </c>
    </row>
    <row r="3" spans="1:10">
      <c r="A3" t="s">
        <v>181</v>
      </c>
      <c r="B3">
        <v>3561</v>
      </c>
    </row>
    <row r="4" spans="1:10">
      <c r="A4" t="s">
        <v>182</v>
      </c>
      <c r="B4">
        <f>3089*0.9</f>
        <v>2780.1</v>
      </c>
    </row>
    <row r="6" spans="1:10">
      <c r="A6" t="s">
        <v>183</v>
      </c>
      <c r="B6">
        <f>B2^10*25/(B4*0.98)^10</f>
        <v>87.751420883694834</v>
      </c>
    </row>
    <row r="7" spans="1:10">
      <c r="B7" s="48">
        <f>(B3-B4)/6</f>
        <v>130.15</v>
      </c>
    </row>
    <row r="8" spans="1:10">
      <c r="B8" s="48">
        <f>B6+B7</f>
        <v>217.90142088369484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B1:X4"/>
  <sheetViews>
    <sheetView workbookViewId="0">
      <selection activeCell="A4" sqref="A4:XFD4"/>
    </sheetView>
  </sheetViews>
  <sheetFormatPr defaultRowHeight="13.5"/>
  <cols>
    <col min="2" max="2" width="16.125" customWidth="1"/>
  </cols>
  <sheetData>
    <row r="1" spans="2:24" s="93" customFormat="1" ht="19.5">
      <c r="B1" s="86" t="s">
        <v>80</v>
      </c>
      <c r="C1" s="87" t="s">
        <v>59</v>
      </c>
      <c r="D1" s="88"/>
      <c r="E1" s="88"/>
      <c r="F1" s="87" t="s">
        <v>75</v>
      </c>
      <c r="G1" s="89">
        <v>42268</v>
      </c>
      <c r="H1" s="90">
        <v>0</v>
      </c>
      <c r="I1" s="91">
        <v>1.8499999999999999E-2</v>
      </c>
      <c r="J1" s="90">
        <v>3.9699999999999999E-2</v>
      </c>
      <c r="K1" s="90">
        <v>6.9000000000000006E-2</v>
      </c>
      <c r="L1" s="90">
        <v>0.11600000000000001</v>
      </c>
      <c r="M1" s="92">
        <v>0.13619999999999999</v>
      </c>
      <c r="O1" s="94"/>
      <c r="P1" s="95" t="s">
        <v>92</v>
      </c>
    </row>
    <row r="2" spans="2:24" s="93" customFormat="1" ht="16.5">
      <c r="B2" s="87" t="s">
        <v>70</v>
      </c>
      <c r="C2" s="87" t="s">
        <v>69</v>
      </c>
      <c r="D2" s="88"/>
      <c r="E2" s="88"/>
      <c r="F2" s="87" t="s">
        <v>76</v>
      </c>
      <c r="G2" s="96">
        <v>42744</v>
      </c>
      <c r="H2" s="92">
        <v>4.7999999999999996E-3</v>
      </c>
      <c r="I2" s="97">
        <v>0.02</v>
      </c>
      <c r="J2" s="92">
        <v>3.0300000000000001E-2</v>
      </c>
      <c r="K2" s="92">
        <v>4.9799999999999997E-2</v>
      </c>
      <c r="P2" s="95" t="s">
        <v>82</v>
      </c>
    </row>
    <row r="3" spans="2:24" s="66" customFormat="1" ht="17.25" thickBot="1">
      <c r="B3" s="66" t="s">
        <v>45</v>
      </c>
      <c r="C3" s="67" t="s">
        <v>78</v>
      </c>
      <c r="D3" s="68">
        <v>0</v>
      </c>
      <c r="E3" s="68"/>
      <c r="F3" s="67" t="s">
        <v>62</v>
      </c>
      <c r="G3" s="69">
        <v>38833</v>
      </c>
      <c r="H3" s="70">
        <v>2.0999999999999999E-3</v>
      </c>
      <c r="I3" s="71">
        <v>8.3000000000000001E-3</v>
      </c>
      <c r="J3" s="70">
        <v>2.2100000000000002E-2</v>
      </c>
      <c r="K3" s="70">
        <v>5.3699999999999998E-2</v>
      </c>
      <c r="L3" s="70">
        <v>0.1139</v>
      </c>
      <c r="M3" s="70">
        <v>0.5514</v>
      </c>
      <c r="O3" s="66" t="s">
        <v>67</v>
      </c>
      <c r="P3" s="72" t="s">
        <v>86</v>
      </c>
    </row>
    <row r="4" spans="2:24" s="12" customFormat="1" ht="29.25" thickBot="1">
      <c r="B4" s="12" t="s">
        <v>90</v>
      </c>
      <c r="C4" s="28">
        <v>340001</v>
      </c>
      <c r="D4" s="59"/>
      <c r="E4" s="59"/>
      <c r="F4" s="28"/>
      <c r="G4" s="33"/>
      <c r="H4" s="31"/>
      <c r="I4" s="53"/>
      <c r="J4" s="31"/>
      <c r="K4" s="31"/>
      <c r="L4" s="31"/>
      <c r="M4" s="31"/>
      <c r="P4" s="32" t="s">
        <v>91</v>
      </c>
      <c r="Q4" s="34" t="s">
        <v>95</v>
      </c>
      <c r="R4" s="35" t="s">
        <v>134</v>
      </c>
      <c r="S4" s="34" t="s">
        <v>97</v>
      </c>
      <c r="T4" s="35" t="s">
        <v>102</v>
      </c>
      <c r="U4" s="34" t="s">
        <v>99</v>
      </c>
      <c r="V4" s="35" t="s">
        <v>135</v>
      </c>
      <c r="W4" s="34" t="s">
        <v>103</v>
      </c>
      <c r="X4" s="35" t="s">
        <v>136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记录</vt:lpstr>
      <vt:lpstr>交易记录</vt:lpstr>
      <vt:lpstr>定投</vt:lpstr>
      <vt:lpstr>笔记</vt:lpstr>
      <vt:lpstr>古债平衡</vt:lpstr>
      <vt:lpstr>Sheet4</vt:lpstr>
      <vt:lpstr>300</vt:lpstr>
      <vt:lpstr>500</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2019-02-11T02:42:00Z</dcterms:modified>
</cp:coreProperties>
</file>