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6110" windowHeight="1650" activeTab="8"/>
  </bookViews>
  <sheets>
    <sheet name="记录" sheetId="1" r:id="rId1"/>
    <sheet name="定投" sheetId="3" r:id="rId2"/>
    <sheet name="笔记" sheetId="4" r:id="rId3"/>
    <sheet name="古债平衡" sheetId="8" r:id="rId4"/>
    <sheet name="H股ETF" sheetId="9" r:id="rId5"/>
    <sheet name="红利ETF" sheetId="13" r:id="rId6"/>
    <sheet name="300" sheetId="10" r:id="rId7"/>
    <sheet name="500" sheetId="12" r:id="rId8"/>
    <sheet name="有色" sheetId="20" r:id="rId9"/>
    <sheet name="医药ETF" sheetId="21" r:id="rId10"/>
  </sheets>
  <calcPr calcId="124519"/>
</workbook>
</file>

<file path=xl/calcChain.xml><?xml version="1.0" encoding="utf-8"?>
<calcChain xmlns="http://schemas.openxmlformats.org/spreadsheetml/2006/main">
  <c r="G26" i="21"/>
  <c r="K25"/>
  <c r="J25"/>
  <c r="F25"/>
  <c r="K24"/>
  <c r="J24"/>
  <c r="M24" s="1"/>
  <c r="F24"/>
  <c r="H24" s="1"/>
  <c r="J23"/>
  <c r="M23" s="1"/>
  <c r="F23"/>
  <c r="K23" s="1"/>
  <c r="J22"/>
  <c r="F22"/>
  <c r="K22" s="1"/>
  <c r="J21"/>
  <c r="F21"/>
  <c r="J20"/>
  <c r="F20"/>
  <c r="H20" s="1"/>
  <c r="J19"/>
  <c r="F19"/>
  <c r="K19" s="1"/>
  <c r="J18"/>
  <c r="F18"/>
  <c r="K18" s="1"/>
  <c r="J17"/>
  <c r="F17"/>
  <c r="J16"/>
  <c r="H16"/>
  <c r="F16"/>
  <c r="K16" s="1"/>
  <c r="J15"/>
  <c r="H15"/>
  <c r="F15"/>
  <c r="K15" s="1"/>
  <c r="J14"/>
  <c r="F14"/>
  <c r="K14" s="1"/>
  <c r="K13"/>
  <c r="J13"/>
  <c r="F13"/>
  <c r="J12"/>
  <c r="M12" s="1"/>
  <c r="H12"/>
  <c r="F12"/>
  <c r="K12" s="1"/>
  <c r="J11"/>
  <c r="F11"/>
  <c r="J10"/>
  <c r="H10"/>
  <c r="F10"/>
  <c r="K10" s="1"/>
  <c r="F12" i="20"/>
  <c r="H12" s="1"/>
  <c r="G26"/>
  <c r="F10"/>
  <c r="H10" s="1"/>
  <c r="F11"/>
  <c r="H11" s="1"/>
  <c r="F13"/>
  <c r="H13" s="1"/>
  <c r="F14"/>
  <c r="H14" s="1"/>
  <c r="F15"/>
  <c r="H15" s="1"/>
  <c r="F16"/>
  <c r="H16" s="1"/>
  <c r="F17"/>
  <c r="H17" s="1"/>
  <c r="F18"/>
  <c r="H18" s="1"/>
  <c r="F19"/>
  <c r="H19" s="1"/>
  <c r="F20"/>
  <c r="H20" s="1"/>
  <c r="F21"/>
  <c r="H21" s="1"/>
  <c r="F22"/>
  <c r="H22" s="1"/>
  <c r="F23"/>
  <c r="H23" s="1"/>
  <c r="F24"/>
  <c r="H24" s="1"/>
  <c r="F25"/>
  <c r="H25" s="1"/>
  <c r="J25"/>
  <c r="J24"/>
  <c r="J23"/>
  <c r="J22"/>
  <c r="J21"/>
  <c r="J20"/>
  <c r="J19"/>
  <c r="J18"/>
  <c r="J17"/>
  <c r="J16"/>
  <c r="J15"/>
  <c r="J14"/>
  <c r="J13"/>
  <c r="J12"/>
  <c r="J11"/>
  <c r="J10"/>
  <c r="M11" i="21" l="1"/>
  <c r="M13"/>
  <c r="M17"/>
  <c r="M21"/>
  <c r="M25"/>
  <c r="M10"/>
  <c r="M15"/>
  <c r="M20"/>
  <c r="K21"/>
  <c r="H23"/>
  <c r="M19"/>
  <c r="K20"/>
  <c r="K11"/>
  <c r="L14" s="1"/>
  <c r="M16"/>
  <c r="K17"/>
  <c r="H19"/>
  <c r="L16"/>
  <c r="L15"/>
  <c r="L13"/>
  <c r="L12"/>
  <c r="L10"/>
  <c r="H14"/>
  <c r="M14"/>
  <c r="H18"/>
  <c r="M18"/>
  <c r="H22"/>
  <c r="M22"/>
  <c r="H11"/>
  <c r="H13"/>
  <c r="H17"/>
  <c r="H21"/>
  <c r="H25"/>
  <c r="M10" i="20"/>
  <c r="M14"/>
  <c r="M18"/>
  <c r="M22"/>
  <c r="M12"/>
  <c r="M16"/>
  <c r="M20"/>
  <c r="M24"/>
  <c r="M13"/>
  <c r="M17"/>
  <c r="K22"/>
  <c r="M19"/>
  <c r="M23"/>
  <c r="K23"/>
  <c r="M11"/>
  <c r="M15"/>
  <c r="M21"/>
  <c r="M25"/>
  <c r="K24"/>
  <c r="K25"/>
  <c r="K21"/>
  <c r="K20"/>
  <c r="K18"/>
  <c r="K19"/>
  <c r="K14"/>
  <c r="K15"/>
  <c r="K16"/>
  <c r="K12"/>
  <c r="K10"/>
  <c r="K11"/>
  <c r="K17"/>
  <c r="K13"/>
  <c r="E45" i="3"/>
  <c r="E44"/>
  <c r="J33"/>
  <c r="J32"/>
  <c r="J31"/>
  <c r="L24" i="21" l="1"/>
  <c r="N24" s="1"/>
  <c r="N13"/>
  <c r="L21"/>
  <c r="N21" s="1"/>
  <c r="L17"/>
  <c r="L20"/>
  <c r="N20" s="1"/>
  <c r="N14"/>
  <c r="N17"/>
  <c r="L11"/>
  <c r="N15"/>
  <c r="N16"/>
  <c r="N22"/>
  <c r="L22"/>
  <c r="K26"/>
  <c r="L23"/>
  <c r="N23" s="1"/>
  <c r="L18"/>
  <c r="N18" s="1"/>
  <c r="L25"/>
  <c r="N25" s="1"/>
  <c r="L19"/>
  <c r="N19" s="1"/>
  <c r="K26" i="20"/>
  <c r="L10"/>
  <c r="L12"/>
  <c r="L11"/>
  <c r="L14"/>
  <c r="N14" s="1"/>
  <c r="L18"/>
  <c r="N18" s="1"/>
  <c r="L22"/>
  <c r="N22" s="1"/>
  <c r="L13"/>
  <c r="N13" s="1"/>
  <c r="L17"/>
  <c r="N17" s="1"/>
  <c r="L21"/>
  <c r="N21" s="1"/>
  <c r="L25"/>
  <c r="N25" s="1"/>
  <c r="L16"/>
  <c r="N16" s="1"/>
  <c r="L20"/>
  <c r="N20" s="1"/>
  <c r="L24"/>
  <c r="N24" s="1"/>
  <c r="L15"/>
  <c r="N15" s="1"/>
  <c r="L19"/>
  <c r="N19" s="1"/>
  <c r="L23"/>
  <c r="N23" s="1"/>
  <c r="F11" i="13"/>
  <c r="F12"/>
  <c r="F13"/>
  <c r="F14"/>
  <c r="F15"/>
  <c r="F16"/>
  <c r="F17"/>
  <c r="F18"/>
  <c r="F19"/>
  <c r="F20"/>
  <c r="F21"/>
  <c r="F22"/>
  <c r="F23"/>
  <c r="F24"/>
  <c r="F25"/>
  <c r="F10"/>
  <c r="E43" i="3" l="1"/>
  <c r="G40"/>
  <c r="G41"/>
  <c r="G39"/>
  <c r="E41"/>
  <c r="E39"/>
  <c r="E40"/>
  <c r="E42"/>
  <c r="G42"/>
  <c r="J34" s="1"/>
  <c r="E68"/>
  <c r="E69"/>
  <c r="E70"/>
  <c r="E73"/>
  <c r="E74"/>
  <c r="E75"/>
  <c r="E78"/>
  <c r="E79"/>
  <c r="E80"/>
  <c r="H26" i="13"/>
  <c r="I25"/>
  <c r="G25"/>
  <c r="I24"/>
  <c r="G24"/>
  <c r="I23"/>
  <c r="G23"/>
  <c r="I22"/>
  <c r="G22"/>
  <c r="I21"/>
  <c r="G21"/>
  <c r="I20"/>
  <c r="G20"/>
  <c r="I19"/>
  <c r="G19"/>
  <c r="I18"/>
  <c r="G18"/>
  <c r="I17"/>
  <c r="G17"/>
  <c r="I16"/>
  <c r="G16"/>
  <c r="I15"/>
  <c r="G15"/>
  <c r="I14"/>
  <c r="G14"/>
  <c r="I13"/>
  <c r="G13"/>
  <c r="I12"/>
  <c r="G12"/>
  <c r="I11"/>
  <c r="G11"/>
  <c r="I10"/>
  <c r="G10"/>
  <c r="D2" i="12"/>
  <c r="E2" s="1"/>
  <c r="F2" s="1"/>
  <c r="J43" i="3"/>
  <c r="J42"/>
  <c r="J41"/>
  <c r="J45"/>
  <c r="J30" l="1"/>
  <c r="J13" i="13"/>
  <c r="J21"/>
  <c r="J17"/>
  <c r="J24"/>
  <c r="J20"/>
  <c r="J16"/>
  <c r="J12"/>
  <c r="J10"/>
  <c r="J22"/>
  <c r="J18"/>
  <c r="J14"/>
  <c r="J25"/>
  <c r="J23"/>
  <c r="J19"/>
  <c r="J15"/>
  <c r="J11"/>
  <c r="J40" i="3"/>
  <c r="K41" s="1"/>
  <c r="D2" i="10"/>
  <c r="E2" s="1"/>
  <c r="F2" s="1"/>
  <c r="K43" i="3" l="1"/>
  <c r="K44"/>
  <c r="K42"/>
  <c r="E23" i="8"/>
  <c r="I11" i="9"/>
  <c r="I12"/>
  <c r="I13"/>
  <c r="I14"/>
  <c r="I15"/>
  <c r="I16"/>
  <c r="I17"/>
  <c r="I18"/>
  <c r="I19"/>
  <c r="I20"/>
  <c r="I21"/>
  <c r="I22"/>
  <c r="I23"/>
  <c r="I24"/>
  <c r="I25"/>
  <c r="I10"/>
  <c r="H26"/>
  <c r="F25"/>
  <c r="G25" s="1"/>
  <c r="F24"/>
  <c r="G24" s="1"/>
  <c r="F11"/>
  <c r="G11" s="1"/>
  <c r="F12"/>
  <c r="G12" s="1"/>
  <c r="F13"/>
  <c r="G13" s="1"/>
  <c r="F14"/>
  <c r="G14" s="1"/>
  <c r="F15"/>
  <c r="G15" s="1"/>
  <c r="F16"/>
  <c r="G16" s="1"/>
  <c r="F17"/>
  <c r="G17" s="1"/>
  <c r="F18"/>
  <c r="G18" s="1"/>
  <c r="F19"/>
  <c r="G19" s="1"/>
  <c r="F20"/>
  <c r="G20" s="1"/>
  <c r="F21"/>
  <c r="G21" s="1"/>
  <c r="F22"/>
  <c r="G22" s="1"/>
  <c r="F23"/>
  <c r="G23" s="1"/>
  <c r="F10"/>
  <c r="G10" s="1"/>
  <c r="S10" l="1"/>
  <c r="P10"/>
  <c r="P11"/>
  <c r="P12"/>
  <c r="P13"/>
  <c r="P14"/>
  <c r="P15"/>
  <c r="P16"/>
  <c r="P17"/>
  <c r="R17"/>
  <c r="R16"/>
  <c r="R15"/>
  <c r="R14"/>
  <c r="R13"/>
  <c r="R12"/>
  <c r="R11"/>
  <c r="R10"/>
  <c r="K33" i="3" l="1"/>
  <c r="S9" i="9"/>
  <c r="S17"/>
  <c r="S12"/>
  <c r="S11"/>
  <c r="S13"/>
  <c r="K34" i="3" l="1"/>
  <c r="K31"/>
  <c r="K32"/>
</calcChain>
</file>

<file path=xl/sharedStrings.xml><?xml version="1.0" encoding="utf-8"?>
<sst xmlns="http://schemas.openxmlformats.org/spreadsheetml/2006/main" count="288" uniqueCount="198">
  <si>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</si>
  <si>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</si>
  <si>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</si>
  <si>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</si>
  <si>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</si>
  <si>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</si>
  <si>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</si>
  <si>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</si>
  <si>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</si>
  <si>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</si>
  <si>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</si>
  <si>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</si>
  <si>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</si>
  <si>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</si>
  <si>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</si>
  <si>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</si>
  <si>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</si>
  <si>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</si>
  <si>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</si>
  <si>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深红利</t>
    <phoneticPr fontId="1" type="noConversion"/>
  </si>
  <si>
    <t>红利基金</t>
    <phoneticPr fontId="1" type="noConversion"/>
  </si>
  <si>
    <t>H股ETF</t>
    <phoneticPr fontId="1" type="noConversion"/>
  </si>
  <si>
    <t>红利ETF</t>
    <phoneticPr fontId="1" type="noConversion"/>
  </si>
  <si>
    <t>H股ETF</t>
    <phoneticPr fontId="1" type="noConversion"/>
  </si>
  <si>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</si>
  <si>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</si>
  <si>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</si>
  <si>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</si>
  <si>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</si>
  <si>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</si>
  <si>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</si>
  <si>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</si>
  <si>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</si>
  <si>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</si>
  <si>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</si>
  <si>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</si>
  <si>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</si>
  <si>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</si>
  <si>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</si>
  <si>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</si>
  <si>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</si>
  <si>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</si>
  <si>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</si>
  <si>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</si>
  <si>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</si>
  <si>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</si>
  <si>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</si>
  <si>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</si>
  <si>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</si>
  <si>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长信可转债C</t>
    <phoneticPr fontId="1" type="noConversion"/>
  </si>
  <si>
    <t>11.61亿</t>
    <phoneticPr fontId="1" type="noConversion"/>
  </si>
  <si>
    <t>14.78亿</t>
    <phoneticPr fontId="1" type="noConversion"/>
  </si>
  <si>
    <t>60%-%80机构</t>
    <phoneticPr fontId="1" type="noConversion"/>
  </si>
  <si>
    <t>持有结构</t>
    <phoneticPr fontId="1" type="noConversion"/>
  </si>
  <si>
    <t>96%个人</t>
    <phoneticPr fontId="1" type="noConversion"/>
  </si>
  <si>
    <t>工银瑞信双利债券B</t>
    <phoneticPr fontId="1" type="noConversion"/>
  </si>
  <si>
    <t>1.69亿</t>
    <phoneticPr fontId="1" type="noConversion"/>
  </si>
  <si>
    <t>21.90亿</t>
    <phoneticPr fontId="1" type="noConversion"/>
  </si>
  <si>
    <t>1.62亿</t>
    <phoneticPr fontId="1" type="noConversion"/>
  </si>
  <si>
    <t>3.16亿元</t>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</si>
  <si>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</si>
  <si>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</si>
  <si>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</si>
  <si>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</si>
  <si>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</si>
  <si>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中债总全价指数收益率</t>
  </si>
  <si>
    <t>中债综合全价(总值)指数</t>
  </si>
  <si>
    <t>中债综合财富指数收益率</t>
  </si>
  <si>
    <t>广发沪深300ETF联接C (002987)</t>
  </si>
  <si>
    <t>002987</t>
    <phoneticPr fontId="1" type="noConversion"/>
  </si>
  <si>
    <t>管理费率</t>
  </si>
  <si>
    <t>0.50%（每年）</t>
  </si>
  <si>
    <t>托管费率</t>
  </si>
  <si>
    <t>0.10%（每年）</t>
  </si>
  <si>
    <t>销售服务费率</t>
  </si>
  <si>
    <t>0.20%（每年）</t>
  </si>
  <si>
    <t>0.70%（每年）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</si>
  <si>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</si>
  <si>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</si>
  <si>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</si>
  <si>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</si>
  <si>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</si>
  <si>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</si>
  <si>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</si>
  <si>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</si>
  <si>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</si>
  <si>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</si>
  <si>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</si>
  <si>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</si>
  <si>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</si>
  <si>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</si>
  <si>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</si>
  <si>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</si>
  <si>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</si>
  <si>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</si>
  <si>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</si>
  <si>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</si>
  <si>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</si>
  <si>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</si>
  <si>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</si>
  <si>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</si>
  <si>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</si>
  <si>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</si>
  <si>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</si>
  <si>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</si>
  <si>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</si>
  <si>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</si>
  <si>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</si>
  <si>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</si>
  <si>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</si>
  <si>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</si>
  <si>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</si>
  <si>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</si>
  <si>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</si>
  <si>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</si>
  <si>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</si>
  <si>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</si>
  <si>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</si>
  <si>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</si>
  <si>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</si>
  <si>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</si>
  <si>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</si>
  <si>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</si>
  <si>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</si>
  <si>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</si>
  <si>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</si>
  <si>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</si>
  <si>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</si>
  <si>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</si>
  <si>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</si>
  <si>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</si>
  <si>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</si>
  <si>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</si>
  <si>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000033</t>
    <phoneticPr fontId="1" type="noConversion"/>
  </si>
  <si>
    <t>易方达信用债债券C</t>
    <phoneticPr fontId="1" type="noConversion"/>
  </si>
  <si>
    <t>货基</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</si>
  <si>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</si>
  <si>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</si>
  <si>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</si>
  <si>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</si>
  <si>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</si>
  <si>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</si>
  <si>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</si>
  <si>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</si>
  <si>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</si>
  <si>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</si>
  <si>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</si>
  <si>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</si>
  <si>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</si>
  <si>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</si>
  <si>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</si>
  <si>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</si>
  <si>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</si>
  <si>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</si>
  <si>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</si>
  <si>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</si>
  <si>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B</t>
    <phoneticPr fontId="1" type="noConversion"/>
  </si>
  <si>
    <t>A</t>
    <phoneticPr fontId="1" type="noConversion"/>
  </si>
  <si>
    <t>博时宏观回报债券B</t>
  </si>
  <si>
    <t>易方达增强回报债券B</t>
  </si>
  <si>
    <t>110018</t>
  </si>
  <si>
    <t>易方达稳健收益债券B</t>
  </si>
  <si>
    <t>110008</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</si>
  <si>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</si>
  <si>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</si>
  <si>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</si>
  <si>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</si>
  <si>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</si>
  <si>
    <t>博时转债增强债券C</t>
  </si>
  <si>
    <t>050119</t>
  </si>
  <si>
    <t>000131</t>
    <phoneticPr fontId="1" type="noConversion"/>
  </si>
  <si>
    <t>大成景兴信用债债券C</t>
    <phoneticPr fontId="1" type="noConversion"/>
  </si>
  <si>
    <t>维持仓位（元）</t>
    <phoneticPr fontId="1" type="noConversion"/>
  </si>
  <si>
    <t>当前仓位(股数)</t>
    <phoneticPr fontId="1" type="noConversion"/>
  </si>
  <si>
    <t>PE排位</t>
    <phoneticPr fontId="1" type="noConversion"/>
  </si>
  <si>
    <t>&lt;10%</t>
    <phoneticPr fontId="1" type="noConversion"/>
  </si>
  <si>
    <t>极度低估</t>
    <phoneticPr fontId="1" type="noConversion"/>
  </si>
  <si>
    <t>10%-20%</t>
    <phoneticPr fontId="1" type="noConversion"/>
  </si>
  <si>
    <t>低估</t>
    <phoneticPr fontId="1" type="noConversion"/>
  </si>
  <si>
    <t>20%-50%</t>
    <phoneticPr fontId="1" type="noConversion"/>
  </si>
  <si>
    <t>正常偏低</t>
    <phoneticPr fontId="1" type="noConversion"/>
  </si>
  <si>
    <t>80%-90%</t>
    <phoneticPr fontId="1" type="noConversion"/>
  </si>
  <si>
    <t>高估</t>
    <phoneticPr fontId="1" type="noConversion"/>
  </si>
  <si>
    <t>&gt;90%</t>
    <phoneticPr fontId="1" type="noConversion"/>
  </si>
  <si>
    <t>极度高估</t>
    <phoneticPr fontId="1" type="noConversion"/>
  </si>
  <si>
    <t>510300</t>
    <phoneticPr fontId="1" type="noConversion"/>
  </si>
  <si>
    <t>519713</t>
    <phoneticPr fontId="1" type="noConversion"/>
  </si>
  <si>
    <t>交银阿尔法后</t>
    <phoneticPr fontId="1" type="noConversion"/>
  </si>
  <si>
    <t>002903</t>
    <phoneticPr fontId="1" type="noConversion"/>
  </si>
  <si>
    <t>003766</t>
    <phoneticPr fontId="1" type="noConversion"/>
  </si>
  <si>
    <t>76</t>
    <phoneticPr fontId="1" type="noConversion"/>
  </si>
  <si>
    <t>215</t>
    <phoneticPr fontId="1" type="noConversion"/>
  </si>
  <si>
    <t>792</t>
    <phoneticPr fontId="1" type="noConversion"/>
  </si>
  <si>
    <t>050116</t>
    <phoneticPr fontId="1" type="noConversion"/>
  </si>
  <si>
    <t>仓位(股)</t>
    <phoneticPr fontId="1" type="noConversion"/>
  </si>
  <si>
    <t>当前仓位（股）</t>
    <phoneticPr fontId="1" type="noConversion"/>
  </si>
  <si>
    <t>卖出</t>
    <phoneticPr fontId="1" type="noConversion"/>
  </si>
  <si>
    <t>医药ETF</t>
    <phoneticPr fontId="1" type="noConversion"/>
  </si>
</sst>
</file>

<file path=xl/styles.xml><?xml version="1.0" encoding="utf-8"?>
<styleSheet xmlns="http://schemas.openxmlformats.org/spreadsheetml/2006/main">
  <numFmts count="6">
    <numFmt numFmtId="176" formatCode="0.00_ "/>
    <numFmt numFmtId="177" formatCode="0;[Red]0"/>
    <numFmt numFmtId="178" formatCode="0_ "/>
    <numFmt numFmtId="179" formatCode="0.000_ "/>
    <numFmt numFmtId="180" formatCode="0_);[Red]\(0\)"/>
    <numFmt numFmtId="181" formatCode="0_ ;[Red]\-0\ "/>
  </numFmts>
  <fonts count="24">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
      <sz val="11"/>
      <color indexed="8"/>
      <name val="宋体"/>
      <family val="3"/>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0" fontId="23" fillId="0" borderId="0">
      <alignment vertical="center"/>
    </xf>
  </cellStyleXfs>
  <cellXfs count="83">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2"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3" xfId="0" applyFont="1" applyBorder="1" applyAlignment="1">
      <alignment vertical="center" wrapText="1"/>
    </xf>
    <xf numFmtId="0" fontId="16"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16" fillId="2" borderId="0" xfId="0" applyFont="1" applyFill="1">
      <alignment vertical="center"/>
    </xf>
    <xf numFmtId="14" fontId="0" fillId="2" borderId="0" xfId="0" applyNumberFormat="1" applyFill="1">
      <alignment vertical="center"/>
    </xf>
    <xf numFmtId="0" fontId="18" fillId="4" borderId="4"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9" fillId="0" borderId="0" xfId="0" applyFont="1">
      <alignment vertical="center"/>
    </xf>
    <xf numFmtId="0" fontId="17" fillId="2" borderId="0" xfId="1" applyFont="1" applyFill="1" applyAlignment="1" applyProtection="1">
      <alignment vertical="center" wrapText="1"/>
    </xf>
    <xf numFmtId="0" fontId="18"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18" fillId="0" borderId="0" xfId="0" applyFont="1">
      <alignment vertical="center"/>
    </xf>
    <xf numFmtId="0" fontId="8" fillId="2" borderId="0" xfId="1" applyFill="1" applyAlignment="1" applyProtection="1">
      <alignment vertical="center" wrapText="1"/>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0"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22"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5"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0" fillId="0" borderId="0" xfId="0" applyNumberFormat="1" applyFill="1">
      <alignment vertical="center"/>
    </xf>
    <xf numFmtId="178" fontId="0" fillId="0" borderId="0" xfId="0" applyNumberFormat="1">
      <alignment vertical="center"/>
    </xf>
    <xf numFmtId="178" fontId="0" fillId="0" borderId="2" xfId="0" applyNumberFormat="1" applyFill="1" applyBorder="1">
      <alignment vertical="center"/>
    </xf>
    <xf numFmtId="180" fontId="0" fillId="0" borderId="0" xfId="0" applyNumberFormat="1">
      <alignment vertical="center"/>
    </xf>
    <xf numFmtId="181" fontId="0" fillId="0" borderId="0" xfId="0" applyNumberFormat="1">
      <alignment vertical="center"/>
    </xf>
    <xf numFmtId="179" fontId="0" fillId="2" borderId="1" xfId="0" applyNumberFormat="1" applyFill="1" applyBorder="1">
      <alignment vertical="center"/>
    </xf>
    <xf numFmtId="179" fontId="0" fillId="7" borderId="1" xfId="0" applyNumberFormat="1" applyFill="1" applyBorder="1">
      <alignment vertical="center"/>
    </xf>
    <xf numFmtId="0" fontId="0" fillId="0" borderId="0" xfId="0" applyAlignment="1">
      <alignment horizontal="left" vertical="center" wrapText="1"/>
    </xf>
  </cellXfs>
  <cellStyles count="3">
    <cellStyle name="常规" xfId="0" builtinId="0"/>
    <cellStyle name="常规 4" xfId="2"/>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twoCellAnchor editAs="oneCell">
    <xdr:from>
      <xdr:col>3</xdr:col>
      <xdr:colOff>0</xdr:colOff>
      <xdr:row>31</xdr:row>
      <xdr:rowOff>0</xdr:rowOff>
    </xdr:from>
    <xdr:to>
      <xdr:col>6</xdr:col>
      <xdr:colOff>590861</xdr:colOff>
      <xdr:row>40</xdr:row>
      <xdr:rowOff>133963</xdr:rowOff>
    </xdr:to>
    <xdr:pic>
      <xdr:nvPicPr>
        <xdr:cNvPr id="3" name="图片 2" descr="dfc2fd99746abb4235eba39f46fd8a6f.png"/>
        <xdr:cNvPicPr>
          <a:picLocks noChangeAspect="1"/>
        </xdr:cNvPicPr>
      </xdr:nvPicPr>
      <xdr:blipFill>
        <a:blip xmlns:r="http://schemas.openxmlformats.org/officeDocument/2006/relationships" r:embed="rId2" cstate="print"/>
        <a:stretch>
          <a:fillRect/>
        </a:stretch>
      </xdr:blipFill>
      <xdr:spPr>
        <a:xfrm>
          <a:off x="2057400" y="6705600"/>
          <a:ext cx="3010211" cy="167701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B2" sqref="B2"/>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21</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10.xml><?xml version="1.0" encoding="utf-8"?>
<worksheet xmlns="http://schemas.openxmlformats.org/spreadsheetml/2006/main" xmlns:r="http://schemas.openxmlformats.org/officeDocument/2006/relationships">
  <dimension ref="A3:N26"/>
  <sheetViews>
    <sheetView topLeftCell="A3" workbookViewId="0">
      <selection activeCell="A3" sqref="A3"/>
    </sheetView>
  </sheetViews>
  <sheetFormatPr defaultRowHeight="13.5"/>
  <cols>
    <col min="6" max="6" width="9" style="65"/>
    <col min="7" max="7" width="13.375" customWidth="1"/>
    <col min="8" max="8" width="9" style="65"/>
    <col min="9" max="9" width="13.375" customWidth="1"/>
    <col min="10" max="10" width="11.75" customWidth="1"/>
    <col min="11" max="11" width="9" style="76"/>
    <col min="13" max="13" width="9" style="76"/>
    <col min="14" max="14" width="9" style="65"/>
  </cols>
  <sheetData>
    <row r="3" spans="1:14">
      <c r="A3" s="9" t="s">
        <v>197</v>
      </c>
      <c r="B3" s="68">
        <v>512010</v>
      </c>
      <c r="C3" s="7" t="s">
        <v>136</v>
      </c>
      <c r="D3" s="43">
        <v>1.722</v>
      </c>
    </row>
    <row r="4" spans="1:14">
      <c r="C4" s="7" t="s">
        <v>138</v>
      </c>
      <c r="D4" s="7">
        <v>0.03</v>
      </c>
      <c r="E4" t="s">
        <v>137</v>
      </c>
    </row>
    <row r="5" spans="1:14">
      <c r="C5" s="7" t="s">
        <v>139</v>
      </c>
      <c r="D5" s="7">
        <v>0.05</v>
      </c>
    </row>
    <row r="6" spans="1:14">
      <c r="C6" s="67" t="s">
        <v>144</v>
      </c>
      <c r="D6" s="67">
        <v>0</v>
      </c>
    </row>
    <row r="9" spans="1:14">
      <c r="E9" s="7" t="s">
        <v>140</v>
      </c>
      <c r="F9" s="66" t="s">
        <v>141</v>
      </c>
      <c r="G9" s="7" t="s">
        <v>194</v>
      </c>
      <c r="H9" s="66" t="s">
        <v>24</v>
      </c>
      <c r="I9" s="7" t="s">
        <v>196</v>
      </c>
      <c r="J9" s="67" t="s">
        <v>195</v>
      </c>
    </row>
    <row r="10" spans="1:14">
      <c r="E10" s="7">
        <v>3</v>
      </c>
      <c r="F10" s="80">
        <f t="shared" ref="F10:F25" si="0">$D$3*(1+E10*$D$4)</f>
        <v>1.8769800000000001</v>
      </c>
      <c r="G10" s="9">
        <v>500</v>
      </c>
      <c r="H10" s="66">
        <f t="shared" ref="H10:H25" si="1">F10*(1+$D$5)</f>
        <v>1.9708290000000002</v>
      </c>
      <c r="I10" s="7">
        <v>0</v>
      </c>
      <c r="J10" s="7">
        <f>SUM($G$10:G10)+$D$6</f>
        <v>500</v>
      </c>
      <c r="K10" s="76">
        <f t="shared" ref="K10:K25" si="2">F10*G10</f>
        <v>938.49</v>
      </c>
      <c r="L10" s="76">
        <f>SUM($K$10:K10)+$D$6</f>
        <v>938.49</v>
      </c>
      <c r="M10" s="76">
        <f>F10*J10</f>
        <v>938.49</v>
      </c>
    </row>
    <row r="11" spans="1:14">
      <c r="E11" s="7">
        <v>2</v>
      </c>
      <c r="F11" s="80">
        <f t="shared" si="0"/>
        <v>1.8253200000000001</v>
      </c>
      <c r="G11" s="9">
        <v>600</v>
      </c>
      <c r="H11" s="66">
        <f t="shared" si="1"/>
        <v>1.9165860000000001</v>
      </c>
      <c r="I11" s="7">
        <v>0</v>
      </c>
      <c r="J11" s="7">
        <f>SUM($G$10:G11)+$D$6</f>
        <v>1100</v>
      </c>
      <c r="K11" s="76">
        <f t="shared" si="2"/>
        <v>1095.192</v>
      </c>
      <c r="L11" s="76">
        <f>SUM($K$10:K11)+$D$6</f>
        <v>2033.682</v>
      </c>
      <c r="M11" s="76">
        <f t="shared" ref="M11:M25" si="3">F11*J11</f>
        <v>2007.8520000000001</v>
      </c>
    </row>
    <row r="12" spans="1:14">
      <c r="E12" s="7">
        <v>1</v>
      </c>
      <c r="F12" s="80">
        <f t="shared" si="0"/>
        <v>1.77366</v>
      </c>
      <c r="G12" s="9">
        <v>700</v>
      </c>
      <c r="H12" s="66">
        <f t="shared" si="1"/>
        <v>1.8623430000000001</v>
      </c>
      <c r="I12" s="7">
        <v>0</v>
      </c>
      <c r="J12" s="7">
        <f>SUM($G$10:G12)+$D$6</f>
        <v>1800</v>
      </c>
      <c r="K12" s="76">
        <f t="shared" si="2"/>
        <v>1241.5619999999999</v>
      </c>
      <c r="L12" s="76">
        <f>SUM($K$10:K12)+$D$6</f>
        <v>3275.2439999999997</v>
      </c>
      <c r="M12" s="76">
        <f t="shared" si="3"/>
        <v>3192.5880000000002</v>
      </c>
    </row>
    <row r="13" spans="1:14">
      <c r="E13" s="7">
        <v>0</v>
      </c>
      <c r="F13" s="81">
        <f t="shared" si="0"/>
        <v>1.722</v>
      </c>
      <c r="G13" s="9">
        <v>800</v>
      </c>
      <c r="H13" s="66">
        <f t="shared" si="1"/>
        <v>1.8081</v>
      </c>
      <c r="I13" s="7">
        <v>0</v>
      </c>
      <c r="J13" s="7">
        <f>SUM($G$10:G13)+$D$6</f>
        <v>2600</v>
      </c>
      <c r="K13" s="76">
        <f t="shared" si="2"/>
        <v>1377.6</v>
      </c>
      <c r="L13" s="76">
        <f>SUM($K$10:K13)+$D$6</f>
        <v>4652.8439999999991</v>
      </c>
      <c r="M13" s="76">
        <f t="shared" si="3"/>
        <v>4477.2</v>
      </c>
      <c r="N13" s="65">
        <f>M13/L13</f>
        <v>0.96225018504811266</v>
      </c>
    </row>
    <row r="14" spans="1:14">
      <c r="E14" s="7">
        <v>-1</v>
      </c>
      <c r="F14" s="81">
        <f t="shared" si="0"/>
        <v>1.6703399999999999</v>
      </c>
      <c r="G14" s="9">
        <v>900</v>
      </c>
      <c r="H14" s="66">
        <f t="shared" si="1"/>
        <v>1.753857</v>
      </c>
      <c r="I14" s="7">
        <v>0</v>
      </c>
      <c r="J14" s="7">
        <f>SUM($G$10:G14)+$D$6</f>
        <v>3500</v>
      </c>
      <c r="K14" s="76">
        <f t="shared" si="2"/>
        <v>1503.306</v>
      </c>
      <c r="L14" s="76">
        <f>SUM($K$10:K14)+$D$6</f>
        <v>6156.15</v>
      </c>
      <c r="M14" s="76">
        <f t="shared" si="3"/>
        <v>5846.19</v>
      </c>
      <c r="N14" s="65">
        <f t="shared" ref="N14:N25" si="4">M14/L14</f>
        <v>0.94965034965034967</v>
      </c>
    </row>
    <row r="15" spans="1:14">
      <c r="E15" s="7">
        <v>-2</v>
      </c>
      <c r="F15" s="66">
        <f t="shared" si="0"/>
        <v>1.6186799999999999</v>
      </c>
      <c r="G15" s="9">
        <v>1000</v>
      </c>
      <c r="H15" s="66">
        <f t="shared" si="1"/>
        <v>1.699614</v>
      </c>
      <c r="I15" s="7">
        <v>0</v>
      </c>
      <c r="J15" s="7">
        <f>SUM($G$10:G15)+$D$6</f>
        <v>4500</v>
      </c>
      <c r="K15" s="76">
        <f t="shared" si="2"/>
        <v>1618.6799999999998</v>
      </c>
      <c r="L15" s="76">
        <f>SUM($K$10:K15)+$D$6</f>
        <v>7774.83</v>
      </c>
      <c r="M15" s="76">
        <f t="shared" si="3"/>
        <v>7284.0599999999995</v>
      </c>
      <c r="N15" s="65">
        <f t="shared" si="4"/>
        <v>0.93687707641196005</v>
      </c>
    </row>
    <row r="16" spans="1:14">
      <c r="E16" s="7">
        <v>-3</v>
      </c>
      <c r="F16" s="66">
        <f t="shared" si="0"/>
        <v>1.5670200000000001</v>
      </c>
      <c r="G16" s="9">
        <v>1100</v>
      </c>
      <c r="H16" s="66">
        <f t="shared" si="1"/>
        <v>1.6453710000000001</v>
      </c>
      <c r="I16" s="7">
        <v>0</v>
      </c>
      <c r="J16" s="7">
        <f>SUM($G$10:G16)+$D$6</f>
        <v>5600</v>
      </c>
      <c r="K16" s="76">
        <f t="shared" si="2"/>
        <v>1723.722</v>
      </c>
      <c r="L16" s="76">
        <f>SUM($K$10:K16)+$D$6</f>
        <v>9498.5519999999997</v>
      </c>
      <c r="M16" s="76">
        <f t="shared" si="3"/>
        <v>8775.3119999999999</v>
      </c>
      <c r="N16" s="65">
        <f t="shared" si="4"/>
        <v>0.92385786802030456</v>
      </c>
    </row>
    <row r="17" spans="5:14">
      <c r="E17" s="7">
        <v>-4</v>
      </c>
      <c r="F17" s="66">
        <f t="shared" si="0"/>
        <v>1.51536</v>
      </c>
      <c r="G17" s="9">
        <v>1200</v>
      </c>
      <c r="H17" s="66">
        <f t="shared" si="1"/>
        <v>1.5911280000000001</v>
      </c>
      <c r="I17" s="7">
        <v>0</v>
      </c>
      <c r="J17" s="7">
        <f>SUM($G$10:G17)+$D$6</f>
        <v>6800</v>
      </c>
      <c r="K17" s="76">
        <f t="shared" si="2"/>
        <v>1818.432</v>
      </c>
      <c r="L17" s="76">
        <f>SUM($K$10:K17)+$D$6</f>
        <v>11316.984</v>
      </c>
      <c r="M17" s="76">
        <f t="shared" si="3"/>
        <v>10304.448</v>
      </c>
      <c r="N17" s="65">
        <f t="shared" si="4"/>
        <v>0.91052951917224589</v>
      </c>
    </row>
    <row r="18" spans="5:14">
      <c r="E18" s="7">
        <v>-5</v>
      </c>
      <c r="F18" s="66">
        <f t="shared" si="0"/>
        <v>1.4637</v>
      </c>
      <c r="G18" s="9">
        <v>1300</v>
      </c>
      <c r="H18" s="66">
        <f t="shared" si="1"/>
        <v>1.5368850000000001</v>
      </c>
      <c r="I18" s="7">
        <v>0</v>
      </c>
      <c r="J18" s="7">
        <f>SUM($G$10:G18)+$D$6</f>
        <v>8100</v>
      </c>
      <c r="K18" s="76">
        <f t="shared" si="2"/>
        <v>1902.81</v>
      </c>
      <c r="L18" s="76">
        <f>SUM($K$10:K18)+$D$6</f>
        <v>13219.794</v>
      </c>
      <c r="M18" s="76">
        <f t="shared" si="3"/>
        <v>11855.97</v>
      </c>
      <c r="N18" s="65">
        <f t="shared" si="4"/>
        <v>0.89683470105509966</v>
      </c>
    </row>
    <row r="19" spans="5:14">
      <c r="E19" s="7">
        <v>-6</v>
      </c>
      <c r="F19" s="66">
        <f t="shared" si="0"/>
        <v>1.4120400000000002</v>
      </c>
      <c r="G19" s="9">
        <v>1400</v>
      </c>
      <c r="H19" s="66">
        <f t="shared" si="1"/>
        <v>1.4826420000000002</v>
      </c>
      <c r="I19" s="7">
        <v>0</v>
      </c>
      <c r="J19" s="7">
        <f>SUM($G$10:G19)+$D$6</f>
        <v>9500</v>
      </c>
      <c r="K19" s="76">
        <f t="shared" si="2"/>
        <v>1976.8560000000002</v>
      </c>
      <c r="L19" s="76">
        <f>SUM($K$10:K19)+$D$6</f>
        <v>15196.65</v>
      </c>
      <c r="M19" s="76">
        <f t="shared" si="3"/>
        <v>13414.380000000001</v>
      </c>
      <c r="N19" s="65">
        <f t="shared" si="4"/>
        <v>0.88271954674220976</v>
      </c>
    </row>
    <row r="20" spans="5:14">
      <c r="E20" s="7">
        <v>-7</v>
      </c>
      <c r="F20" s="66">
        <f t="shared" si="0"/>
        <v>1.3603800000000001</v>
      </c>
      <c r="G20" s="9">
        <v>1500</v>
      </c>
      <c r="H20" s="66">
        <f t="shared" si="1"/>
        <v>1.4283990000000002</v>
      </c>
      <c r="I20" s="7">
        <v>0</v>
      </c>
      <c r="J20" s="7">
        <f>SUM($G$10:G20)+$D$6</f>
        <v>11000</v>
      </c>
      <c r="K20" s="76">
        <f t="shared" si="2"/>
        <v>2040.5700000000002</v>
      </c>
      <c r="L20" s="76">
        <f>SUM($K$10:K20)+$D$6</f>
        <v>17237.22</v>
      </c>
      <c r="M20" s="76">
        <f t="shared" si="3"/>
        <v>14964.180000000002</v>
      </c>
      <c r="N20" s="65">
        <f t="shared" si="4"/>
        <v>0.86813186813186816</v>
      </c>
    </row>
    <row r="21" spans="5:14">
      <c r="E21" s="7">
        <v>-8</v>
      </c>
      <c r="F21" s="66">
        <f t="shared" si="0"/>
        <v>1.3087200000000001</v>
      </c>
      <c r="G21" s="9">
        <v>1600</v>
      </c>
      <c r="H21" s="66">
        <f t="shared" si="1"/>
        <v>1.3741560000000002</v>
      </c>
      <c r="I21" s="7">
        <v>0</v>
      </c>
      <c r="J21" s="7">
        <f>SUM($G$10:G21)+$D$6</f>
        <v>12600</v>
      </c>
      <c r="K21" s="76">
        <f t="shared" si="2"/>
        <v>2093.9520000000002</v>
      </c>
      <c r="L21" s="76">
        <f>SUM($K$10:K21)+$D$6</f>
        <v>19331.172000000002</v>
      </c>
      <c r="M21" s="76">
        <f t="shared" si="3"/>
        <v>16489.872000000003</v>
      </c>
      <c r="N21" s="65">
        <f t="shared" si="4"/>
        <v>0.85301977552111174</v>
      </c>
    </row>
    <row r="22" spans="5:14">
      <c r="E22" s="7">
        <v>-9</v>
      </c>
      <c r="F22" s="66">
        <f t="shared" si="0"/>
        <v>1.2570599999999998</v>
      </c>
      <c r="G22" s="9">
        <v>1700</v>
      </c>
      <c r="H22" s="66">
        <f t="shared" si="1"/>
        <v>1.3199129999999999</v>
      </c>
      <c r="I22" s="7">
        <v>0</v>
      </c>
      <c r="J22" s="7">
        <f>SUM($G$10:G22)+$D$6</f>
        <v>14300</v>
      </c>
      <c r="K22" s="76">
        <f t="shared" si="2"/>
        <v>2137.002</v>
      </c>
      <c r="L22" s="76">
        <f>SUM($K$10:K22)+$D$6</f>
        <v>21468.174000000003</v>
      </c>
      <c r="M22" s="76">
        <f t="shared" si="3"/>
        <v>17975.957999999999</v>
      </c>
      <c r="N22" s="65">
        <f t="shared" si="4"/>
        <v>0.83733055265901968</v>
      </c>
    </row>
    <row r="23" spans="5:14">
      <c r="E23" s="7">
        <v>-10</v>
      </c>
      <c r="F23" s="66">
        <f t="shared" si="0"/>
        <v>1.2053999999999998</v>
      </c>
      <c r="G23" s="9">
        <v>1800</v>
      </c>
      <c r="H23" s="66">
        <f t="shared" si="1"/>
        <v>1.2656699999999999</v>
      </c>
      <c r="I23" s="7">
        <v>0</v>
      </c>
      <c r="J23" s="7">
        <f>SUM($G$10:G23)+$D$6</f>
        <v>16100</v>
      </c>
      <c r="K23" s="76">
        <f t="shared" si="2"/>
        <v>2169.7199999999998</v>
      </c>
      <c r="L23" s="76">
        <f>SUM($K$10:K23)+$D$6</f>
        <v>23637.894000000004</v>
      </c>
      <c r="M23" s="76">
        <f t="shared" si="3"/>
        <v>19406.939999999995</v>
      </c>
      <c r="N23" s="65">
        <f t="shared" si="4"/>
        <v>0.82100968893421689</v>
      </c>
    </row>
    <row r="24" spans="5:14">
      <c r="E24" s="7">
        <v>-11</v>
      </c>
      <c r="F24" s="66">
        <f t="shared" si="0"/>
        <v>1.15374</v>
      </c>
      <c r="G24" s="9">
        <v>1900</v>
      </c>
      <c r="H24" s="66">
        <f t="shared" si="1"/>
        <v>1.211427</v>
      </c>
      <c r="I24" s="7">
        <v>0</v>
      </c>
      <c r="J24" s="7">
        <f>SUM($G$10:G24)+$D$6</f>
        <v>18000</v>
      </c>
      <c r="K24" s="76">
        <f t="shared" si="2"/>
        <v>2192.1059999999998</v>
      </c>
      <c r="L24" s="76">
        <f>SUM($K$10:K24)+$D$6</f>
        <v>25830.000000000004</v>
      </c>
      <c r="M24" s="76">
        <f t="shared" si="3"/>
        <v>20767.32</v>
      </c>
      <c r="N24" s="65">
        <f t="shared" si="4"/>
        <v>0.80399999999999983</v>
      </c>
    </row>
    <row r="25" spans="5:14">
      <c r="E25" s="67">
        <v>-12</v>
      </c>
      <c r="F25" s="66">
        <f t="shared" si="0"/>
        <v>1.1020799999999999</v>
      </c>
      <c r="G25" s="9">
        <v>2000</v>
      </c>
      <c r="H25" s="66">
        <f t="shared" si="1"/>
        <v>1.157184</v>
      </c>
      <c r="I25" s="7">
        <v>0</v>
      </c>
      <c r="J25" s="7">
        <f>SUM($G$10:G25)+$D$6</f>
        <v>20000</v>
      </c>
      <c r="K25" s="76">
        <f t="shared" si="2"/>
        <v>2204.16</v>
      </c>
      <c r="L25" s="76">
        <f>SUM($K$10:K25)+$D$6</f>
        <v>28034.160000000003</v>
      </c>
      <c r="M25" s="76">
        <f t="shared" si="3"/>
        <v>22041.599999999999</v>
      </c>
      <c r="N25" s="65">
        <f t="shared" si="4"/>
        <v>0.78624078624078608</v>
      </c>
    </row>
    <row r="26" spans="5:14">
      <c r="G26">
        <f>SUM(G10:G25)</f>
        <v>20000</v>
      </c>
      <c r="K26" s="76">
        <f>SUM(K10:K25)</f>
        <v>28034.160000000003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3"/>
  <dimension ref="B1:AI82"/>
  <sheetViews>
    <sheetView topLeftCell="A13" workbookViewId="0">
      <selection activeCell="C25" sqref="C25"/>
    </sheetView>
  </sheetViews>
  <sheetFormatPr defaultRowHeight="13.5"/>
  <cols>
    <col min="2" max="2" width="41" customWidth="1"/>
    <col min="3" max="3" width="14.125" style="18" customWidth="1"/>
    <col min="4" max="5" width="14.125" style="45" customWidth="1"/>
    <col min="6" max="6" width="14.125" style="18" customWidth="1"/>
    <col min="7" max="7" width="11.625" bestFit="1" customWidth="1"/>
    <col min="8" max="8" width="8.875" customWidth="1"/>
    <col min="9" max="9" width="12.75" style="54" bestFit="1" customWidth="1"/>
    <col min="11" max="11" width="11.625" customWidth="1"/>
    <col min="12" max="12" width="11" customWidth="1"/>
    <col min="16" max="16" width="21.5" customWidth="1"/>
  </cols>
  <sheetData>
    <row r="1" spans="2:35" ht="17.25" thickBot="1">
      <c r="B1" s="16" t="s">
        <v>31</v>
      </c>
      <c r="C1" s="17" t="s">
        <v>32</v>
      </c>
      <c r="D1" s="44" t="s">
        <v>113</v>
      </c>
      <c r="E1" s="44" t="s">
        <v>114</v>
      </c>
      <c r="F1" s="17" t="s">
        <v>39</v>
      </c>
      <c r="G1" s="16" t="s">
        <v>25</v>
      </c>
      <c r="H1" s="16" t="s">
        <v>33</v>
      </c>
      <c r="I1" s="47" t="s">
        <v>28</v>
      </c>
      <c r="J1" s="16" t="s">
        <v>29</v>
      </c>
      <c r="K1" s="16" t="s">
        <v>26</v>
      </c>
      <c r="L1" s="16" t="s">
        <v>27</v>
      </c>
      <c r="M1" s="16" t="s">
        <v>30</v>
      </c>
      <c r="N1" s="16" t="s">
        <v>123</v>
      </c>
      <c r="O1" s="16" t="s">
        <v>53</v>
      </c>
      <c r="P1" s="24" t="s">
        <v>60</v>
      </c>
    </row>
    <row r="2" spans="2:35" s="12" customFormat="1" ht="29.25" thickBot="1">
      <c r="B2" s="12" t="s">
        <v>49</v>
      </c>
      <c r="C2" s="26">
        <v>519976</v>
      </c>
      <c r="D2" s="56">
        <v>16436</v>
      </c>
      <c r="E2" s="56">
        <v>5364</v>
      </c>
      <c r="F2" s="26" t="s">
        <v>50</v>
      </c>
      <c r="G2" s="27">
        <v>40998</v>
      </c>
      <c r="H2" s="28">
        <v>-3.6999999999999998E-2</v>
      </c>
      <c r="I2" s="48">
        <v>-5.4300000000000001E-2</v>
      </c>
      <c r="J2" s="29">
        <v>-1.0800000000000001E-2</v>
      </c>
      <c r="K2" s="29">
        <v>-4.58E-2</v>
      </c>
      <c r="L2" s="29">
        <v>-0.16250000000000001</v>
      </c>
      <c r="M2" s="29">
        <v>1.1455</v>
      </c>
      <c r="N2" s="57" t="s">
        <v>122</v>
      </c>
      <c r="O2" s="12" t="s">
        <v>52</v>
      </c>
      <c r="P2" s="30" t="s">
        <v>63</v>
      </c>
      <c r="Q2" s="32" t="s">
        <v>70</v>
      </c>
      <c r="R2" s="33" t="s">
        <v>76</v>
      </c>
      <c r="S2" s="32" t="s">
        <v>72</v>
      </c>
      <c r="T2" s="33" t="s">
        <v>75</v>
      </c>
      <c r="U2" s="32" t="s">
        <v>74</v>
      </c>
      <c r="V2" s="33"/>
      <c r="W2" s="33"/>
      <c r="X2" s="33"/>
      <c r="Y2" s="33"/>
      <c r="Z2" s="33"/>
      <c r="AA2" s="33"/>
      <c r="AB2" s="33"/>
      <c r="AC2" s="33" t="s">
        <v>101</v>
      </c>
      <c r="AD2" s="32" t="s">
        <v>77</v>
      </c>
      <c r="AE2" s="33" t="s">
        <v>78</v>
      </c>
      <c r="AF2" s="32" t="s">
        <v>102</v>
      </c>
      <c r="AG2" s="33" t="s">
        <v>78</v>
      </c>
      <c r="AH2" s="32" t="s">
        <v>103</v>
      </c>
      <c r="AI2" s="33" t="s">
        <v>104</v>
      </c>
    </row>
    <row r="3" spans="2:35" s="12" customFormat="1" ht="14.25">
      <c r="B3" s="42" t="s">
        <v>100</v>
      </c>
      <c r="C3" s="26" t="s">
        <v>93</v>
      </c>
      <c r="D3" s="56">
        <v>12009</v>
      </c>
      <c r="E3" s="56">
        <v>6179</v>
      </c>
      <c r="F3" s="26"/>
      <c r="I3" s="49"/>
      <c r="P3" s="36" t="s">
        <v>99</v>
      </c>
    </row>
    <row r="4" spans="2:35" s="12" customFormat="1" ht="18.75" customHeight="1" thickBot="1">
      <c r="B4" s="12" t="s">
        <v>168</v>
      </c>
      <c r="C4" s="26" t="s">
        <v>169</v>
      </c>
      <c r="D4" s="58">
        <v>2348</v>
      </c>
      <c r="E4" s="58"/>
      <c r="F4" s="26"/>
      <c r="G4" s="31"/>
      <c r="H4" s="29"/>
      <c r="I4" s="50"/>
      <c r="J4" s="29"/>
      <c r="K4" s="29"/>
      <c r="L4" s="29"/>
      <c r="M4" s="29"/>
    </row>
    <row r="5" spans="2:35" s="12" customFormat="1" ht="29.25" thickBot="1">
      <c r="B5" s="12" t="s">
        <v>34</v>
      </c>
      <c r="C5" s="26" t="s">
        <v>35</v>
      </c>
      <c r="D5" s="56">
        <v>2958</v>
      </c>
      <c r="E5" s="56"/>
      <c r="F5" s="26"/>
      <c r="G5" s="31">
        <v>43406</v>
      </c>
      <c r="H5" s="29">
        <v>5.4999999999999997E-3</v>
      </c>
      <c r="I5" s="49"/>
      <c r="P5" s="12" t="s">
        <v>64</v>
      </c>
      <c r="Q5" s="32" t="s">
        <v>70</v>
      </c>
      <c r="R5" s="33" t="s">
        <v>105</v>
      </c>
      <c r="S5" s="32" t="s">
        <v>72</v>
      </c>
      <c r="T5" s="33" t="s">
        <v>75</v>
      </c>
      <c r="U5" s="32" t="s">
        <v>74</v>
      </c>
      <c r="V5" s="33"/>
      <c r="W5" s="33"/>
      <c r="X5" s="33"/>
      <c r="Y5" s="33"/>
      <c r="Z5" s="33"/>
      <c r="AA5" s="33"/>
      <c r="AB5" s="33"/>
      <c r="AC5" s="33" t="s">
        <v>106</v>
      </c>
      <c r="AD5" s="32" t="s">
        <v>77</v>
      </c>
      <c r="AE5" s="33" t="s">
        <v>78</v>
      </c>
      <c r="AF5" s="32" t="s">
        <v>102</v>
      </c>
      <c r="AG5" s="33" t="s">
        <v>78</v>
      </c>
      <c r="AH5" s="32" t="s">
        <v>103</v>
      </c>
      <c r="AI5" s="33" t="s">
        <v>107</v>
      </c>
    </row>
    <row r="6" spans="2:35" s="12" customFormat="1" ht="29.25" thickBot="1">
      <c r="B6" s="12" t="s">
        <v>41</v>
      </c>
      <c r="C6" s="26" t="s">
        <v>40</v>
      </c>
      <c r="D6" s="56">
        <v>3217</v>
      </c>
      <c r="E6" s="56">
        <v>1054</v>
      </c>
      <c r="F6" s="26" t="s">
        <v>42</v>
      </c>
      <c r="G6" s="31">
        <v>39974</v>
      </c>
      <c r="H6" s="29">
        <v>-1.3100000000000001E-2</v>
      </c>
      <c r="I6" s="50">
        <v>1.8E-3</v>
      </c>
      <c r="J6" s="29">
        <v>4.53E-2</v>
      </c>
      <c r="K6" s="29">
        <v>2.4799999999999999E-2</v>
      </c>
      <c r="L6" s="29">
        <v>3.9399999999999998E-2</v>
      </c>
      <c r="M6" s="29">
        <v>1.3714999999999999</v>
      </c>
      <c r="P6" s="12" t="s">
        <v>62</v>
      </c>
      <c r="Q6" s="32" t="s">
        <v>70</v>
      </c>
      <c r="R6" s="33" t="s">
        <v>76</v>
      </c>
      <c r="S6" s="32" t="s">
        <v>72</v>
      </c>
      <c r="T6" s="33" t="s">
        <v>75</v>
      </c>
      <c r="U6" s="32" t="s">
        <v>74</v>
      </c>
      <c r="V6" s="33"/>
      <c r="W6" s="33"/>
      <c r="X6" s="33"/>
      <c r="Y6" s="33"/>
      <c r="Z6" s="33"/>
      <c r="AA6" s="33"/>
      <c r="AB6" s="33"/>
      <c r="AC6" s="33" t="s">
        <v>101</v>
      </c>
      <c r="AD6" s="32" t="s">
        <v>77</v>
      </c>
      <c r="AE6" s="33" t="s">
        <v>78</v>
      </c>
      <c r="AF6" s="32" t="s">
        <v>102</v>
      </c>
      <c r="AG6" s="33" t="s">
        <v>78</v>
      </c>
      <c r="AH6" s="32" t="s">
        <v>103</v>
      </c>
      <c r="AI6" s="33" t="s">
        <v>104</v>
      </c>
    </row>
    <row r="7" spans="2:35" s="12" customFormat="1" ht="14.25">
      <c r="B7" s="36" t="s">
        <v>97</v>
      </c>
      <c r="C7" s="26" t="s">
        <v>92</v>
      </c>
      <c r="D7" s="56">
        <v>1006</v>
      </c>
      <c r="E7" s="56">
        <v>1017</v>
      </c>
      <c r="F7" s="26"/>
      <c r="I7" s="49"/>
      <c r="P7" s="36" t="s">
        <v>98</v>
      </c>
    </row>
    <row r="8" spans="2:35" s="12" customFormat="1" ht="14.25">
      <c r="B8" s="36" t="s">
        <v>130</v>
      </c>
      <c r="C8" s="26" t="s">
        <v>129</v>
      </c>
      <c r="D8" s="56">
        <v>1200</v>
      </c>
      <c r="E8" s="56">
        <v>914</v>
      </c>
      <c r="F8" s="26"/>
      <c r="I8" s="49"/>
      <c r="P8" s="36" t="s">
        <v>96</v>
      </c>
    </row>
    <row r="9" spans="2:35" s="12" customFormat="1" ht="16.5">
      <c r="B9" s="26" t="s">
        <v>55</v>
      </c>
      <c r="C9" s="26">
        <v>485011</v>
      </c>
      <c r="D9" s="58">
        <v>1731</v>
      </c>
      <c r="E9" s="58"/>
      <c r="F9" s="26" t="s">
        <v>59</v>
      </c>
      <c r="G9" s="59">
        <v>40406</v>
      </c>
      <c r="H9" s="60">
        <v>1.1000000000000001E-3</v>
      </c>
      <c r="I9" s="61">
        <v>2.5700000000000001E-2</v>
      </c>
      <c r="J9" s="60">
        <v>4.8399999999999999E-2</v>
      </c>
      <c r="K9" s="60">
        <v>9.1800000000000007E-2</v>
      </c>
      <c r="L9" s="60">
        <v>0.13100000000000001</v>
      </c>
      <c r="M9" s="60">
        <v>0.79490000000000005</v>
      </c>
      <c r="N9" s="12" t="s">
        <v>125</v>
      </c>
      <c r="P9" s="30" t="s">
        <v>67</v>
      </c>
    </row>
    <row r="10" spans="2:35" s="12" customFormat="1">
      <c r="B10" s="12" t="s">
        <v>161</v>
      </c>
      <c r="C10" s="26" t="s">
        <v>162</v>
      </c>
      <c r="D10" s="58">
        <v>200</v>
      </c>
      <c r="E10" s="58"/>
      <c r="F10" s="26"/>
      <c r="G10" s="31"/>
      <c r="H10" s="29"/>
      <c r="I10" s="50"/>
      <c r="J10" s="29"/>
      <c r="K10" s="29"/>
      <c r="L10" s="29"/>
      <c r="M10" s="29"/>
    </row>
    <row r="11" spans="2:35" s="12" customFormat="1">
      <c r="B11" s="12" t="s">
        <v>159</v>
      </c>
      <c r="C11" s="26" t="s">
        <v>160</v>
      </c>
      <c r="D11" s="58">
        <v>200</v>
      </c>
      <c r="E11" s="58"/>
      <c r="F11" s="26"/>
      <c r="G11" s="31"/>
      <c r="H11" s="29"/>
      <c r="I11" s="50"/>
      <c r="J11" s="29"/>
      <c r="K11" s="29"/>
      <c r="L11" s="29"/>
      <c r="M11" s="29"/>
    </row>
    <row r="12" spans="2:35" s="12" customFormat="1">
      <c r="B12" s="12" t="s">
        <v>158</v>
      </c>
      <c r="C12" s="26" t="s">
        <v>193</v>
      </c>
      <c r="D12" s="58">
        <v>500</v>
      </c>
      <c r="E12" s="58"/>
      <c r="F12" s="26"/>
      <c r="G12" s="31"/>
      <c r="H12" s="29"/>
      <c r="I12" s="50"/>
      <c r="J12" s="29"/>
      <c r="K12" s="29"/>
      <c r="L12" s="29"/>
      <c r="M12" s="29"/>
    </row>
    <row r="13" spans="2:35" s="12" customFormat="1">
      <c r="B13" s="12" t="s">
        <v>163</v>
      </c>
      <c r="C13" s="26" t="s">
        <v>164</v>
      </c>
      <c r="D13" s="58">
        <v>200</v>
      </c>
      <c r="E13" s="58"/>
      <c r="F13" s="26"/>
      <c r="G13" s="31"/>
      <c r="H13" s="29"/>
      <c r="I13" s="50"/>
      <c r="J13" s="29"/>
      <c r="K13" s="29"/>
      <c r="L13" s="29"/>
      <c r="M13" s="29"/>
    </row>
    <row r="14" spans="2:35" s="12" customFormat="1">
      <c r="B14" s="12" t="s">
        <v>171</v>
      </c>
      <c r="C14" s="26" t="s">
        <v>170</v>
      </c>
      <c r="D14" s="58"/>
      <c r="E14" s="58">
        <v>5173</v>
      </c>
      <c r="F14" s="26"/>
      <c r="G14" s="31"/>
      <c r="H14" s="29"/>
      <c r="I14" s="50"/>
      <c r="J14" s="29"/>
      <c r="K14" s="29"/>
      <c r="L14" s="29"/>
      <c r="M14" s="29"/>
    </row>
    <row r="15" spans="2:35" s="12" customFormat="1" ht="14.25" thickBot="1">
      <c r="B15" s="12" t="s">
        <v>187</v>
      </c>
      <c r="C15" s="26" t="s">
        <v>186</v>
      </c>
      <c r="D15" s="58">
        <v>1000</v>
      </c>
      <c r="E15" s="58"/>
      <c r="F15" s="26"/>
      <c r="G15" s="31"/>
      <c r="H15" s="29"/>
      <c r="I15" s="50"/>
      <c r="J15" s="29"/>
      <c r="K15" s="29"/>
      <c r="L15" s="29"/>
      <c r="M15" s="29"/>
    </row>
    <row r="16" spans="2:35" s="12" customFormat="1" ht="15.75" customHeight="1" thickBot="1">
      <c r="B16" s="35" t="s">
        <v>68</v>
      </c>
      <c r="C16" s="26" t="s">
        <v>69</v>
      </c>
      <c r="D16" s="56">
        <v>628</v>
      </c>
      <c r="E16" s="56">
        <v>0</v>
      </c>
      <c r="F16" s="26"/>
      <c r="G16" s="31"/>
      <c r="H16" s="29"/>
      <c r="I16" s="50"/>
      <c r="J16" s="29"/>
      <c r="K16" s="29"/>
      <c r="L16" s="29"/>
      <c r="M16" s="29"/>
      <c r="Q16" s="32" t="s">
        <v>70</v>
      </c>
      <c r="R16" s="33" t="s">
        <v>71</v>
      </c>
      <c r="S16" s="32" t="s">
        <v>72</v>
      </c>
      <c r="T16" s="33" t="s">
        <v>73</v>
      </c>
      <c r="U16" s="32" t="s">
        <v>74</v>
      </c>
      <c r="V16" s="33"/>
      <c r="W16" s="33"/>
      <c r="X16" s="33"/>
      <c r="Y16" s="33"/>
      <c r="Z16" s="33"/>
      <c r="AA16" s="33"/>
      <c r="AB16" s="33"/>
      <c r="AC16" s="33" t="s">
        <v>75</v>
      </c>
    </row>
    <row r="17" spans="2:16" s="19" customFormat="1" ht="16.5">
      <c r="B17" s="19" t="s">
        <v>38</v>
      </c>
      <c r="C17" s="20" t="s">
        <v>37</v>
      </c>
      <c r="D17" s="46">
        <v>1940</v>
      </c>
      <c r="E17" s="46">
        <v>2305</v>
      </c>
      <c r="F17" s="20" t="s">
        <v>51</v>
      </c>
      <c r="G17" s="21">
        <v>41255</v>
      </c>
      <c r="H17" s="22">
        <v>2.5000000000000001E-3</v>
      </c>
      <c r="I17" s="52">
        <v>1.5900000000000001E-2</v>
      </c>
      <c r="J17" s="22">
        <v>3.4799999999999998E-2</v>
      </c>
      <c r="K17" s="22">
        <v>6.0499999999999998E-2</v>
      </c>
      <c r="L17" s="22">
        <v>8.7099999999999997E-2</v>
      </c>
      <c r="M17" s="22">
        <v>0.39169999999999999</v>
      </c>
      <c r="N17" s="19" t="s">
        <v>36</v>
      </c>
      <c r="O17" s="19" t="s">
        <v>54</v>
      </c>
      <c r="P17" s="25" t="s">
        <v>65</v>
      </c>
    </row>
    <row r="18" spans="2:16" ht="16.5">
      <c r="B18" t="s">
        <v>47</v>
      </c>
      <c r="C18" s="20" t="s">
        <v>43</v>
      </c>
      <c r="D18" s="46">
        <v>5384</v>
      </c>
      <c r="E18" s="46">
        <v>4014</v>
      </c>
      <c r="F18" s="20" t="s">
        <v>56</v>
      </c>
      <c r="G18" s="14">
        <v>41519</v>
      </c>
      <c r="H18" s="15">
        <v>3.0000000000000001E-3</v>
      </c>
      <c r="I18" s="51">
        <v>2.76E-2</v>
      </c>
      <c r="J18" s="15">
        <v>4.7699999999999999E-2</v>
      </c>
      <c r="K18" s="15">
        <v>9.6000000000000002E-2</v>
      </c>
      <c r="L18" s="15">
        <v>0.1229</v>
      </c>
      <c r="M18" s="15">
        <v>0.34060000000000001</v>
      </c>
      <c r="P18" s="25" t="s">
        <v>66</v>
      </c>
    </row>
    <row r="19" spans="2:16" s="19" customFormat="1" ht="16.5">
      <c r="B19" s="37" t="s">
        <v>45</v>
      </c>
      <c r="C19" s="20" t="s">
        <v>44</v>
      </c>
      <c r="D19" s="46">
        <v>1205</v>
      </c>
      <c r="E19" s="75">
        <v>0</v>
      </c>
      <c r="F19" s="20" t="s">
        <v>57</v>
      </c>
      <c r="G19" s="23">
        <v>41341</v>
      </c>
      <c r="H19" s="22">
        <v>2.5000000000000001E-3</v>
      </c>
      <c r="I19" s="52">
        <v>1.84E-2</v>
      </c>
      <c r="J19" s="22">
        <v>3.8300000000000001E-2</v>
      </c>
      <c r="K19" s="22">
        <v>6.8400000000000002E-2</v>
      </c>
      <c r="L19" s="22">
        <v>8.5300000000000001E-2</v>
      </c>
      <c r="M19" s="22">
        <v>0.25140000000000001</v>
      </c>
      <c r="P19" s="25" t="s">
        <v>61</v>
      </c>
    </row>
    <row r="20" spans="2:16" ht="16.5">
      <c r="B20" t="s">
        <v>46</v>
      </c>
      <c r="C20" s="20" t="s">
        <v>48</v>
      </c>
      <c r="D20" s="46">
        <v>2200</v>
      </c>
      <c r="E20" s="46">
        <v>974</v>
      </c>
      <c r="F20" s="20" t="s">
        <v>58</v>
      </c>
      <c r="G20" s="14">
        <v>41478</v>
      </c>
      <c r="H20" s="15">
        <v>2.7000000000000001E-3</v>
      </c>
      <c r="I20" s="53">
        <v>1.9900000000000001E-2</v>
      </c>
      <c r="J20" s="15">
        <v>3.4799999999999998E-2</v>
      </c>
      <c r="K20" s="15">
        <v>5.3100000000000001E-2</v>
      </c>
      <c r="L20" s="15">
        <v>9.6500000000000002E-2</v>
      </c>
      <c r="M20" s="15">
        <v>0.35639999999999999</v>
      </c>
      <c r="P20" s="25" t="s">
        <v>61</v>
      </c>
    </row>
    <row r="21" spans="2:16" ht="14.25">
      <c r="B21" s="40" t="s">
        <v>94</v>
      </c>
      <c r="C21" s="20" t="s">
        <v>80</v>
      </c>
      <c r="D21" s="46">
        <v>2410</v>
      </c>
      <c r="E21" s="46">
        <v>4402</v>
      </c>
      <c r="N21" t="s">
        <v>124</v>
      </c>
      <c r="P21" s="41" t="s">
        <v>95</v>
      </c>
    </row>
    <row r="22" spans="2:16" ht="14.25">
      <c r="B22" s="40" t="s">
        <v>165</v>
      </c>
      <c r="C22" s="20" t="s">
        <v>166</v>
      </c>
      <c r="D22" s="46">
        <v>996</v>
      </c>
      <c r="E22" s="46"/>
      <c r="P22" s="41"/>
    </row>
    <row r="23" spans="2:16" ht="14.25">
      <c r="B23" s="18" t="s">
        <v>134</v>
      </c>
      <c r="C23" s="20" t="s">
        <v>133</v>
      </c>
      <c r="D23" s="45">
        <v>498</v>
      </c>
      <c r="E23" s="46">
        <v>1300</v>
      </c>
      <c r="P23" s="41"/>
    </row>
    <row r="24" spans="2:16" ht="14.25">
      <c r="B24" s="18" t="s">
        <v>126</v>
      </c>
      <c r="C24" s="20" t="s">
        <v>127</v>
      </c>
      <c r="D24" s="46">
        <v>1002</v>
      </c>
      <c r="E24" s="46"/>
      <c r="P24" s="41"/>
    </row>
    <row r="25" spans="2:16">
      <c r="B25" t="s">
        <v>131</v>
      </c>
      <c r="D25" s="46">
        <v>3035</v>
      </c>
      <c r="E25" s="46"/>
    </row>
    <row r="26" spans="2:16">
      <c r="B26" t="s">
        <v>121</v>
      </c>
      <c r="D26" s="46">
        <v>4148</v>
      </c>
      <c r="E26" s="46">
        <v>0</v>
      </c>
    </row>
    <row r="27" spans="2:16">
      <c r="I27" s="51"/>
      <c r="J27" s="15"/>
      <c r="K27" s="15"/>
    </row>
    <row r="29" spans="2:16">
      <c r="I29" s="7" t="s">
        <v>157</v>
      </c>
      <c r="J29" s="55"/>
      <c r="K29" s="7" t="s">
        <v>110</v>
      </c>
    </row>
    <row r="30" spans="2:16">
      <c r="B30" s="12" t="s">
        <v>167</v>
      </c>
      <c r="I30" s="7" t="s">
        <v>111</v>
      </c>
      <c r="J30" s="64">
        <f>SUM(J31:J35)</f>
        <v>90465.9</v>
      </c>
      <c r="K30" s="7"/>
    </row>
    <row r="31" spans="2:16">
      <c r="I31" s="7" t="s">
        <v>108</v>
      </c>
      <c r="J31" s="64">
        <f>SUM(D17:E24)</f>
        <v>28630</v>
      </c>
      <c r="K31" s="62">
        <f>J31/J30</f>
        <v>0.31647283672632454</v>
      </c>
    </row>
    <row r="32" spans="2:16">
      <c r="I32" s="7" t="s">
        <v>109</v>
      </c>
      <c r="J32" s="64">
        <f>SUM(D6:E14)</f>
        <v>16412</v>
      </c>
      <c r="K32" s="62">
        <f>J32/J30</f>
        <v>0.18141642320476556</v>
      </c>
    </row>
    <row r="33" spans="2:11">
      <c r="I33" s="7" t="s">
        <v>128</v>
      </c>
      <c r="J33" s="64">
        <f>SUM(D2:E5)</f>
        <v>45294</v>
      </c>
      <c r="K33" s="62">
        <f>J33/J30</f>
        <v>0.5006748399120553</v>
      </c>
    </row>
    <row r="34" spans="2:11">
      <c r="I34" s="7" t="s">
        <v>112</v>
      </c>
      <c r="J34" s="69">
        <f>SUM(G39:G45)</f>
        <v>129.9</v>
      </c>
      <c r="K34" s="62">
        <f>J34/J30</f>
        <v>1.4359001568546824E-3</v>
      </c>
    </row>
    <row r="35" spans="2:11">
      <c r="I35" s="67" t="s">
        <v>135</v>
      </c>
      <c r="J35" s="64">
        <v>0</v>
      </c>
      <c r="K35" s="7"/>
    </row>
    <row r="36" spans="2:11">
      <c r="I36"/>
      <c r="J36" s="54"/>
    </row>
    <row r="37" spans="2:11">
      <c r="I37"/>
      <c r="J37" s="54"/>
    </row>
    <row r="38" spans="2:11">
      <c r="B38" s="10"/>
      <c r="C38" s="10" t="s">
        <v>15</v>
      </c>
      <c r="D38" s="10" t="s">
        <v>16</v>
      </c>
      <c r="E38" s="10" t="s">
        <v>24</v>
      </c>
      <c r="F38" s="10" t="s">
        <v>17</v>
      </c>
      <c r="G38" s="10" t="s">
        <v>18</v>
      </c>
      <c r="I38"/>
      <c r="J38" s="54"/>
    </row>
    <row r="39" spans="2:11">
      <c r="B39" s="8" t="s">
        <v>20</v>
      </c>
      <c r="C39" s="8">
        <v>501029</v>
      </c>
      <c r="D39" s="8">
        <v>0.89400000000000002</v>
      </c>
      <c r="E39" s="8">
        <f t="shared" ref="E39:E45" si="0">D39*1.05</f>
        <v>0.93870000000000009</v>
      </c>
      <c r="F39" s="8">
        <v>0</v>
      </c>
      <c r="G39" s="55">
        <f>D39*F39</f>
        <v>0</v>
      </c>
      <c r="I39" s="7" t="s">
        <v>156</v>
      </c>
      <c r="J39" s="55"/>
      <c r="K39" s="7" t="s">
        <v>110</v>
      </c>
    </row>
    <row r="40" spans="2:11">
      <c r="B40" s="8" t="s">
        <v>19</v>
      </c>
      <c r="C40" s="8">
        <v>159905</v>
      </c>
      <c r="D40" s="8">
        <v>1.381</v>
      </c>
      <c r="E40" s="8">
        <f t="shared" si="0"/>
        <v>1.4500500000000001</v>
      </c>
      <c r="F40" s="8">
        <v>0</v>
      </c>
      <c r="G40" s="55">
        <f t="shared" ref="G40:G41" si="1">D40*F40</f>
        <v>0</v>
      </c>
      <c r="I40" s="7" t="s">
        <v>111</v>
      </c>
      <c r="J40" s="64">
        <f>SUM(J41:J45)</f>
        <v>27523</v>
      </c>
      <c r="K40" s="7"/>
    </row>
    <row r="41" spans="2:11">
      <c r="B41" s="8" t="s">
        <v>22</v>
      </c>
      <c r="C41" s="8">
        <v>510880</v>
      </c>
      <c r="D41" s="8">
        <v>2.6379999999999999</v>
      </c>
      <c r="E41" s="8">
        <f t="shared" si="0"/>
        <v>2.7698999999999998</v>
      </c>
      <c r="F41" s="8">
        <v>0</v>
      </c>
      <c r="G41" s="55">
        <f t="shared" si="1"/>
        <v>0</v>
      </c>
      <c r="I41" s="7" t="s">
        <v>108</v>
      </c>
      <c r="J41" s="64">
        <f>SUM(E17:E24)</f>
        <v>12995</v>
      </c>
      <c r="K41" s="62">
        <f>J41/J40</f>
        <v>0.47215056498201502</v>
      </c>
    </row>
    <row r="42" spans="2:11">
      <c r="B42" s="8" t="s">
        <v>23</v>
      </c>
      <c r="C42" s="8">
        <v>510900</v>
      </c>
      <c r="D42" s="8">
        <v>1.2989999999999999</v>
      </c>
      <c r="E42" s="8">
        <f t="shared" si="0"/>
        <v>1.36395</v>
      </c>
      <c r="F42" s="8">
        <v>100</v>
      </c>
      <c r="G42" s="55">
        <f>D42*F42</f>
        <v>129.9</v>
      </c>
      <c r="I42" s="7" t="s">
        <v>109</v>
      </c>
      <c r="J42" s="64">
        <f>SUM(E6:E13)</f>
        <v>2985</v>
      </c>
      <c r="K42" s="62">
        <f>J42/J40</f>
        <v>0.1084547469389238</v>
      </c>
    </row>
    <row r="43" spans="2:11">
      <c r="B43" s="35" t="s">
        <v>68</v>
      </c>
      <c r="C43" s="26" t="s">
        <v>185</v>
      </c>
      <c r="D43" s="45">
        <v>3.3410000000000002</v>
      </c>
      <c r="E43" s="45">
        <f t="shared" si="0"/>
        <v>3.5080500000000003</v>
      </c>
      <c r="F43" s="18" t="s">
        <v>192</v>
      </c>
      <c r="G43" s="18" t="s">
        <v>192</v>
      </c>
      <c r="I43" s="7" t="s">
        <v>128</v>
      </c>
      <c r="J43" s="64">
        <f>SUM(E2:E3)</f>
        <v>11543</v>
      </c>
      <c r="K43" s="62">
        <f>J43/J40</f>
        <v>0.41939468807906116</v>
      </c>
    </row>
    <row r="44" spans="2:11">
      <c r="B44" s="35" t="s">
        <v>68</v>
      </c>
      <c r="C44" s="26" t="s">
        <v>188</v>
      </c>
      <c r="D44" s="45">
        <v>3.3410000000000002</v>
      </c>
      <c r="E44" s="45">
        <f t="shared" si="0"/>
        <v>3.5080500000000003</v>
      </c>
      <c r="F44" s="18" t="s">
        <v>191</v>
      </c>
      <c r="G44" s="18" t="s">
        <v>191</v>
      </c>
      <c r="I44" s="7" t="s">
        <v>112</v>
      </c>
      <c r="J44" s="69">
        <v>0</v>
      </c>
      <c r="K44" s="62">
        <f>J44/J40</f>
        <v>0</v>
      </c>
    </row>
    <row r="45" spans="2:11">
      <c r="B45" s="35" t="s">
        <v>68</v>
      </c>
      <c r="C45" s="26" t="s">
        <v>189</v>
      </c>
      <c r="D45" s="45">
        <v>3.3410000000000002</v>
      </c>
      <c r="E45" s="45">
        <f t="shared" si="0"/>
        <v>3.5080500000000003</v>
      </c>
      <c r="F45" s="18" t="s">
        <v>190</v>
      </c>
      <c r="G45" s="18" t="s">
        <v>190</v>
      </c>
      <c r="I45" s="67" t="s">
        <v>135</v>
      </c>
      <c r="J45" s="64">
        <f>SUM(D34:D35)</f>
        <v>0</v>
      </c>
      <c r="K45" s="7"/>
    </row>
    <row r="65" spans="2:6">
      <c r="B65" s="62" t="s">
        <v>155</v>
      </c>
      <c r="C65" s="74">
        <v>22</v>
      </c>
    </row>
    <row r="67" spans="2:6">
      <c r="B67" s="8" t="s">
        <v>22</v>
      </c>
      <c r="C67" s="38" t="s">
        <v>150</v>
      </c>
      <c r="D67" s="73">
        <v>2559</v>
      </c>
      <c r="E67" s="73"/>
    </row>
    <row r="68" spans="2:6">
      <c r="B68" s="7"/>
      <c r="C68" s="38" t="s">
        <v>151</v>
      </c>
      <c r="D68" s="73">
        <v>2520</v>
      </c>
      <c r="E68" s="73">
        <f>MIN(IFERROR(D68-D67,0),0)*100*$C$65/(D67-1800)</f>
        <v>-113.04347826086956</v>
      </c>
      <c r="F68" s="18" t="s">
        <v>154</v>
      </c>
    </row>
    <row r="69" spans="2:6">
      <c r="B69" s="7"/>
      <c r="C69" s="38" t="s">
        <v>152</v>
      </c>
      <c r="D69" s="73">
        <v>2547</v>
      </c>
      <c r="E69" s="73">
        <f>(D69-D67)*100*$C$65/(D67-1800)</f>
        <v>-34.782608695652172</v>
      </c>
      <c r="F69" s="18" t="s">
        <v>153</v>
      </c>
    </row>
    <row r="70" spans="2:6">
      <c r="E70" s="73">
        <f>(D69+D68-D67*2)*100*$C$65/(D67-1800)</f>
        <v>-147.82608695652175</v>
      </c>
    </row>
    <row r="72" spans="2:6">
      <c r="B72" s="8" t="s">
        <v>19</v>
      </c>
      <c r="C72" s="38" t="s">
        <v>150</v>
      </c>
      <c r="D72" s="73">
        <v>1277</v>
      </c>
      <c r="E72" s="73"/>
    </row>
    <row r="73" spans="2:6">
      <c r="B73" s="7"/>
      <c r="C73" s="38" t="s">
        <v>151</v>
      </c>
      <c r="D73" s="73">
        <v>1359</v>
      </c>
      <c r="E73" s="73">
        <f>MIN(IFERROR(D73-D72,0),0)*100*$C$65/(D72-1800)</f>
        <v>0</v>
      </c>
      <c r="F73" s="18" t="s">
        <v>154</v>
      </c>
    </row>
    <row r="74" spans="2:6">
      <c r="B74" s="7"/>
      <c r="C74" s="38" t="s">
        <v>152</v>
      </c>
      <c r="D74" s="73">
        <v>1537</v>
      </c>
      <c r="E74" s="73">
        <f>(D74-D72)*100*$C$65/(D72-1000)</f>
        <v>2064.9819494584835</v>
      </c>
      <c r="F74" s="18" t="s">
        <v>153</v>
      </c>
    </row>
    <row r="75" spans="2:6">
      <c r="E75" s="73">
        <f>(D74+D73-D72*2)*100*$C$65/(D72-1000)</f>
        <v>2716.2454873646211</v>
      </c>
    </row>
    <row r="77" spans="2:6">
      <c r="B77" s="8" t="s">
        <v>20</v>
      </c>
      <c r="C77" s="38" t="s">
        <v>150</v>
      </c>
      <c r="D77" s="73">
        <v>869</v>
      </c>
      <c r="E77" s="73"/>
    </row>
    <row r="78" spans="2:6">
      <c r="B78" s="7"/>
      <c r="C78" s="38" t="s">
        <v>151</v>
      </c>
      <c r="D78" s="73">
        <v>877</v>
      </c>
      <c r="E78" s="73">
        <f>MIN(IFERROR(D78-D77,0),0)*100*$C$65/(D77-1800)</f>
        <v>0</v>
      </c>
      <c r="F78" s="18" t="s">
        <v>154</v>
      </c>
    </row>
    <row r="79" spans="2:6">
      <c r="B79" s="7"/>
      <c r="C79" s="38" t="s">
        <v>152</v>
      </c>
      <c r="D79" s="73">
        <v>958</v>
      </c>
      <c r="E79" s="73">
        <f>(D79-D77)*100*$C$65/(D77-800)</f>
        <v>2837.68115942029</v>
      </c>
      <c r="F79" s="18" t="s">
        <v>153</v>
      </c>
    </row>
    <row r="80" spans="2:6">
      <c r="E80" s="73">
        <f>(D79+D78-D77*2)*100*$C$65/(D77-800)</f>
        <v>3092.753623188406</v>
      </c>
    </row>
    <row r="81" spans="3:9">
      <c r="C81"/>
      <c r="D81" s="54"/>
      <c r="E81"/>
      <c r="F81"/>
      <c r="I81"/>
    </row>
    <row r="82" spans="3:9">
      <c r="C82"/>
      <c r="D82" s="54"/>
      <c r="E82"/>
      <c r="F82"/>
      <c r="I82"/>
    </row>
  </sheetData>
  <phoneticPr fontId="1" type="noConversion"/>
  <hyperlinks>
    <hyperlink ref="B21" r:id="rId1" display="http://fund.eastmoney.com/270045.html"/>
    <hyperlink ref="B3" r:id="rId2" display="http://fund.eastmoney.com/110028.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sheetPr codeName="Sheet4"/>
  <dimension ref="B5:B6"/>
  <sheetViews>
    <sheetView workbookViewId="0">
      <selection activeCell="B10" sqref="B9:B10"/>
    </sheetView>
  </sheetViews>
  <sheetFormatPr defaultRowHeight="13.5"/>
  <cols>
    <col min="2" max="2" width="185.5" customWidth="1"/>
  </cols>
  <sheetData>
    <row r="5" spans="2:2" ht="14.25">
      <c r="B5" s="34" t="s">
        <v>79</v>
      </c>
    </row>
    <row r="6" spans="2:2">
      <c r="B6" s="63" t="s">
        <v>132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5"/>
  <dimension ref="C17:N49"/>
  <sheetViews>
    <sheetView workbookViewId="0">
      <selection activeCell="C27" sqref="C27"/>
    </sheetView>
  </sheetViews>
  <sheetFormatPr defaultRowHeight="13.5"/>
  <cols>
    <col min="4" max="4" width="13.75" customWidth="1"/>
  </cols>
  <sheetData>
    <row r="17" spans="3:14">
      <c r="E17" s="38" t="s">
        <v>81</v>
      </c>
      <c r="F17" s="38" t="s">
        <v>89</v>
      </c>
      <c r="G17" s="38" t="s">
        <v>85</v>
      </c>
      <c r="H17" s="38" t="s">
        <v>90</v>
      </c>
      <c r="I17" s="38">
        <v>15</v>
      </c>
      <c r="J17" s="38">
        <v>20</v>
      </c>
      <c r="K17" s="38">
        <v>25</v>
      </c>
      <c r="L17" s="38">
        <v>30</v>
      </c>
      <c r="M17" s="38">
        <v>35</v>
      </c>
      <c r="N17" s="38">
        <v>40</v>
      </c>
    </row>
    <row r="18" spans="3:14">
      <c r="E18" s="38" t="s">
        <v>82</v>
      </c>
      <c r="F18" s="38">
        <v>70</v>
      </c>
      <c r="G18" s="38">
        <v>50</v>
      </c>
      <c r="H18" s="38">
        <v>40</v>
      </c>
      <c r="I18" s="38">
        <v>35</v>
      </c>
      <c r="J18" s="38">
        <v>30</v>
      </c>
      <c r="K18" s="39">
        <v>25</v>
      </c>
      <c r="L18" s="38" t="s">
        <v>86</v>
      </c>
      <c r="M18" s="38" t="s">
        <v>88</v>
      </c>
      <c r="N18" s="39">
        <v>0</v>
      </c>
    </row>
    <row r="19" spans="3:14">
      <c r="E19" s="38" t="s">
        <v>83</v>
      </c>
      <c r="F19" s="38">
        <v>30</v>
      </c>
      <c r="G19" s="38">
        <v>50</v>
      </c>
      <c r="H19" s="38">
        <v>60</v>
      </c>
      <c r="I19" s="38">
        <v>65</v>
      </c>
      <c r="J19" s="38">
        <v>70</v>
      </c>
      <c r="K19" s="39">
        <v>75</v>
      </c>
      <c r="L19" s="38" t="s">
        <v>87</v>
      </c>
      <c r="M19" s="38" t="s">
        <v>84</v>
      </c>
      <c r="N19" s="39">
        <v>100</v>
      </c>
    </row>
    <row r="20" spans="3:14">
      <c r="C20" s="38"/>
      <c r="D20" s="38"/>
      <c r="E20" s="38">
        <v>40</v>
      </c>
      <c r="F20" s="38">
        <v>35</v>
      </c>
      <c r="G20" s="38">
        <v>30</v>
      </c>
      <c r="H20" s="39">
        <v>25</v>
      </c>
      <c r="I20" s="38" t="s">
        <v>86</v>
      </c>
      <c r="J20" s="38" t="s">
        <v>88</v>
      </c>
      <c r="K20" s="39">
        <v>0</v>
      </c>
    </row>
    <row r="22" spans="3:14">
      <c r="D22" t="s">
        <v>146</v>
      </c>
      <c r="E22" s="70" t="s">
        <v>147</v>
      </c>
    </row>
    <row r="23" spans="3:14">
      <c r="E23">
        <f>(4000-3180)/3180</f>
        <v>0.25786163522012578</v>
      </c>
    </row>
    <row r="28" spans="3:14" ht="123" customHeight="1">
      <c r="E28" s="82" t="s">
        <v>91</v>
      </c>
      <c r="F28" s="82"/>
      <c r="G28" s="82"/>
      <c r="H28" s="82"/>
      <c r="I28" s="82"/>
      <c r="J28" s="82"/>
      <c r="K28" s="82"/>
    </row>
    <row r="44" spans="6:7">
      <c r="F44" t="s">
        <v>174</v>
      </c>
    </row>
    <row r="45" spans="6:7">
      <c r="F45" t="s">
        <v>175</v>
      </c>
      <c r="G45" t="s">
        <v>176</v>
      </c>
    </row>
    <row r="46" spans="6:7">
      <c r="F46" t="s">
        <v>177</v>
      </c>
      <c r="G46" t="s">
        <v>178</v>
      </c>
    </row>
    <row r="47" spans="6:7">
      <c r="F47" t="s">
        <v>179</v>
      </c>
      <c r="G47" t="s">
        <v>180</v>
      </c>
    </row>
    <row r="48" spans="6:7">
      <c r="F48" t="s">
        <v>181</v>
      </c>
      <c r="G48" t="s">
        <v>182</v>
      </c>
    </row>
    <row r="49" spans="6:7">
      <c r="F49" t="s">
        <v>183</v>
      </c>
      <c r="G49" t="s">
        <v>184</v>
      </c>
    </row>
  </sheetData>
  <mergeCells count="1">
    <mergeCell ref="E28:K28"/>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6"/>
  <dimension ref="A3:S26"/>
  <sheetViews>
    <sheetView workbookViewId="0">
      <selection activeCell="I13" sqref="I13"/>
    </sheetView>
  </sheetViews>
  <sheetFormatPr defaultRowHeight="13.5"/>
  <cols>
    <col min="6" max="7" width="9" style="65"/>
    <col min="8" max="8" width="13.375" customWidth="1"/>
    <col min="9" max="9" width="11.75" customWidth="1"/>
  </cols>
  <sheetData>
    <row r="3" spans="1:19">
      <c r="A3" s="9" t="s">
        <v>21</v>
      </c>
      <c r="B3" s="68">
        <v>510900</v>
      </c>
      <c r="C3" s="7" t="s">
        <v>136</v>
      </c>
      <c r="D3" s="43">
        <v>1.07</v>
      </c>
      <c r="M3" s="66"/>
      <c r="N3" s="7" t="s">
        <v>117</v>
      </c>
      <c r="O3" s="7" t="s">
        <v>120</v>
      </c>
      <c r="P3" s="7" t="s">
        <v>119</v>
      </c>
      <c r="Q3" s="7" t="s">
        <v>115</v>
      </c>
      <c r="R3" s="7" t="s">
        <v>116</v>
      </c>
      <c r="S3" s="13" t="s">
        <v>118</v>
      </c>
    </row>
    <row r="4" spans="1:19">
      <c r="C4" s="7" t="s">
        <v>138</v>
      </c>
      <c r="D4" s="7">
        <v>0.03</v>
      </c>
      <c r="E4" t="s">
        <v>137</v>
      </c>
      <c r="M4" s="66">
        <v>1</v>
      </c>
      <c r="N4" s="7">
        <v>4.9000000000000004</v>
      </c>
      <c r="O4" s="7"/>
      <c r="P4" s="7"/>
      <c r="Q4" s="7"/>
      <c r="R4" s="7"/>
    </row>
    <row r="5" spans="1:19">
      <c r="C5" s="7" t="s">
        <v>139</v>
      </c>
      <c r="D5" s="7">
        <v>0.05</v>
      </c>
      <c r="M5" s="66">
        <v>2</v>
      </c>
      <c r="N5" s="7">
        <v>4.5999999999999996</v>
      </c>
      <c r="O5" s="7"/>
      <c r="P5" s="7"/>
      <c r="R5" s="7"/>
    </row>
    <row r="6" spans="1:19">
      <c r="C6" s="67" t="s">
        <v>144</v>
      </c>
      <c r="D6" s="67">
        <v>0</v>
      </c>
      <c r="M6" s="66">
        <v>3</v>
      </c>
      <c r="N6" s="7">
        <v>4.3</v>
      </c>
      <c r="O6" s="7"/>
      <c r="P6" s="7"/>
      <c r="Q6">
        <v>6500</v>
      </c>
      <c r="R6" s="7"/>
    </row>
    <row r="7" spans="1:19">
      <c r="M7" s="66">
        <v>4</v>
      </c>
      <c r="N7" s="7">
        <v>4</v>
      </c>
      <c r="O7" s="7"/>
      <c r="P7" s="7"/>
      <c r="Q7">
        <v>6000</v>
      </c>
      <c r="R7" s="7"/>
    </row>
    <row r="8" spans="1:19">
      <c r="M8" s="66">
        <v>5</v>
      </c>
      <c r="N8" s="7">
        <v>3.7</v>
      </c>
      <c r="O8" s="7"/>
      <c r="P8" s="7"/>
      <c r="Q8">
        <v>5500</v>
      </c>
      <c r="R8" s="7"/>
    </row>
    <row r="9" spans="1:19">
      <c r="E9" s="7" t="s">
        <v>140</v>
      </c>
      <c r="F9" s="66" t="s">
        <v>141</v>
      </c>
      <c r="G9" s="66" t="s">
        <v>142</v>
      </c>
      <c r="H9" s="7" t="s">
        <v>143</v>
      </c>
      <c r="I9" s="67" t="s">
        <v>145</v>
      </c>
      <c r="M9" s="66">
        <v>6</v>
      </c>
      <c r="N9" s="7">
        <v>3.4</v>
      </c>
      <c r="O9" s="7">
        <v>0</v>
      </c>
      <c r="P9" s="7">
        <v>0</v>
      </c>
      <c r="Q9">
        <v>5000</v>
      </c>
      <c r="R9" s="7"/>
      <c r="S9">
        <f>SUM(P9)</f>
        <v>0</v>
      </c>
    </row>
    <row r="10" spans="1:19">
      <c r="E10" s="7">
        <v>3</v>
      </c>
      <c r="F10" s="66">
        <f>$D$3*(1+E10*$D$4)</f>
        <v>1.1663000000000001</v>
      </c>
      <c r="G10" s="66">
        <f>F10*(1+$D$5)</f>
        <v>1.2246150000000002</v>
      </c>
      <c r="H10" s="7">
        <v>1800</v>
      </c>
      <c r="I10" s="7">
        <f>SUM($H$10:H10)+$D$6</f>
        <v>1800</v>
      </c>
      <c r="M10" s="66">
        <v>7</v>
      </c>
      <c r="N10" s="7">
        <v>3.1</v>
      </c>
      <c r="O10" s="7">
        <v>4500</v>
      </c>
      <c r="P10" s="7">
        <f t="shared" ref="P10:P17" si="0">N10*O10</f>
        <v>13950</v>
      </c>
      <c r="Q10">
        <v>4500</v>
      </c>
      <c r="R10" s="7">
        <f>SUM(O9:O10)</f>
        <v>4500</v>
      </c>
      <c r="S10">
        <f>SUM(P9:P10)</f>
        <v>13950</v>
      </c>
    </row>
    <row r="11" spans="1:19">
      <c r="E11" s="7">
        <v>2</v>
      </c>
      <c r="F11" s="66">
        <f t="shared" ref="F11:F25" si="1">$D$3*(1+E11*$D$4)</f>
        <v>1.1342000000000001</v>
      </c>
      <c r="G11" s="66">
        <f t="shared" ref="G11:G25" si="2">F11*(1+$D$5)</f>
        <v>1.1909100000000001</v>
      </c>
      <c r="H11" s="7">
        <v>1900</v>
      </c>
      <c r="I11" s="7">
        <f>SUM($H$10:H11)+$D$6</f>
        <v>3700</v>
      </c>
      <c r="M11" s="66">
        <v>8</v>
      </c>
      <c r="N11" s="7">
        <v>2.8</v>
      </c>
      <c r="O11" s="7">
        <v>5000</v>
      </c>
      <c r="P11" s="7">
        <f t="shared" si="0"/>
        <v>14000</v>
      </c>
      <c r="Q11">
        <v>4000</v>
      </c>
      <c r="R11" s="7">
        <f>SUM(O9:O11)</f>
        <v>9500</v>
      </c>
      <c r="S11">
        <f>SUM(P9:P11)</f>
        <v>27950</v>
      </c>
    </row>
    <row r="12" spans="1:19">
      <c r="E12" s="7">
        <v>1</v>
      </c>
      <c r="F12" s="66">
        <f t="shared" si="1"/>
        <v>1.1021000000000001</v>
      </c>
      <c r="G12" s="66">
        <f t="shared" si="2"/>
        <v>1.157205</v>
      </c>
      <c r="H12" s="7">
        <v>2000</v>
      </c>
      <c r="I12" s="7">
        <f>SUM($H$10:H12)+$D$6</f>
        <v>5700</v>
      </c>
      <c r="M12" s="66">
        <v>9</v>
      </c>
      <c r="N12" s="7">
        <v>2.5</v>
      </c>
      <c r="O12" s="7">
        <v>5500</v>
      </c>
      <c r="P12" s="7">
        <f t="shared" si="0"/>
        <v>13750</v>
      </c>
      <c r="Q12">
        <v>3500</v>
      </c>
      <c r="R12" s="7">
        <f>SUM(O9:O12)</f>
        <v>15000</v>
      </c>
      <c r="S12">
        <f>SUM(P9:P12)</f>
        <v>41700</v>
      </c>
    </row>
    <row r="13" spans="1:19">
      <c r="E13" s="7">
        <v>0</v>
      </c>
      <c r="F13" s="66">
        <f t="shared" si="1"/>
        <v>1.07</v>
      </c>
      <c r="G13" s="66">
        <f t="shared" si="2"/>
        <v>1.1235000000000002</v>
      </c>
      <c r="H13" s="7">
        <v>2100</v>
      </c>
      <c r="I13" s="7">
        <f>SUM($H$10:H13)+$D$6</f>
        <v>7800</v>
      </c>
      <c r="M13" s="66">
        <v>10</v>
      </c>
      <c r="N13" s="7">
        <v>2.2000000000000002</v>
      </c>
      <c r="O13" s="7">
        <v>6000</v>
      </c>
      <c r="P13" s="7">
        <f t="shared" si="0"/>
        <v>13200.000000000002</v>
      </c>
      <c r="Q13">
        <v>3000</v>
      </c>
      <c r="R13" s="7">
        <f>SUM(O9:O13)</f>
        <v>21000</v>
      </c>
      <c r="S13">
        <f>SUM(P9:P13)</f>
        <v>54900</v>
      </c>
    </row>
    <row r="14" spans="1:19">
      <c r="E14" s="7">
        <v>-1</v>
      </c>
      <c r="F14" s="66">
        <f t="shared" si="1"/>
        <v>1.0379</v>
      </c>
      <c r="G14" s="66">
        <f t="shared" si="2"/>
        <v>1.0897950000000001</v>
      </c>
      <c r="H14" s="7">
        <v>2200</v>
      </c>
      <c r="I14" s="7">
        <f>SUM($H$10:H14)+$D$6</f>
        <v>10000</v>
      </c>
      <c r="M14" s="66">
        <v>11</v>
      </c>
      <c r="N14" s="7">
        <v>1.9</v>
      </c>
      <c r="O14" s="7">
        <v>6500</v>
      </c>
      <c r="P14" s="7">
        <f t="shared" si="0"/>
        <v>12350</v>
      </c>
      <c r="Q14">
        <v>2500</v>
      </c>
      <c r="R14" s="7">
        <f>SUM(O9:O14)</f>
        <v>27500</v>
      </c>
    </row>
    <row r="15" spans="1:19">
      <c r="E15" s="7">
        <v>-2</v>
      </c>
      <c r="F15" s="66">
        <f t="shared" si="1"/>
        <v>1.0058</v>
      </c>
      <c r="G15" s="66">
        <f t="shared" si="2"/>
        <v>1.05609</v>
      </c>
      <c r="H15" s="7">
        <v>2300</v>
      </c>
      <c r="I15" s="7">
        <f>SUM($H$10:H15)+$D$6</f>
        <v>12300</v>
      </c>
      <c r="M15" s="66">
        <v>12</v>
      </c>
      <c r="N15" s="7">
        <v>1.6</v>
      </c>
      <c r="O15" s="7">
        <v>7000</v>
      </c>
      <c r="P15" s="7">
        <f t="shared" si="0"/>
        <v>11200</v>
      </c>
      <c r="Q15">
        <v>2000</v>
      </c>
      <c r="R15" s="7">
        <f>SUM(O9:O15)</f>
        <v>34500</v>
      </c>
    </row>
    <row r="16" spans="1:19">
      <c r="E16" s="7">
        <v>-3</v>
      </c>
      <c r="F16" s="66">
        <f t="shared" si="1"/>
        <v>0.97370000000000012</v>
      </c>
      <c r="G16" s="66">
        <f t="shared" si="2"/>
        <v>1.0223850000000001</v>
      </c>
      <c r="H16" s="7">
        <v>2400</v>
      </c>
      <c r="I16" s="7">
        <f>SUM($H$10:H16)+$D$6</f>
        <v>14700</v>
      </c>
      <c r="M16" s="66">
        <v>13</v>
      </c>
      <c r="N16" s="7">
        <v>1.3</v>
      </c>
      <c r="O16" s="7">
        <v>7500</v>
      </c>
      <c r="P16" s="7">
        <f t="shared" si="0"/>
        <v>9750</v>
      </c>
      <c r="R16" s="7">
        <f>SUM(O9:O16)</f>
        <v>42000</v>
      </c>
    </row>
    <row r="17" spans="5:19">
      <c r="E17" s="7">
        <v>-4</v>
      </c>
      <c r="F17" s="66">
        <f t="shared" si="1"/>
        <v>0.9416000000000001</v>
      </c>
      <c r="G17" s="66">
        <f t="shared" si="2"/>
        <v>0.98868000000000011</v>
      </c>
      <c r="H17" s="7">
        <v>2500</v>
      </c>
      <c r="I17" s="7">
        <f>SUM($H$10:H17)+$D$6</f>
        <v>17200</v>
      </c>
      <c r="M17" s="66">
        <v>14</v>
      </c>
      <c r="N17" s="7">
        <v>1</v>
      </c>
      <c r="O17" s="7">
        <v>8000</v>
      </c>
      <c r="P17" s="7">
        <f t="shared" si="0"/>
        <v>8000</v>
      </c>
      <c r="R17" s="7">
        <f>SUM(O9:O17)</f>
        <v>50000</v>
      </c>
      <c r="S17">
        <f>SUM(P9:P17)</f>
        <v>96200</v>
      </c>
    </row>
    <row r="18" spans="5:19">
      <c r="E18" s="7">
        <v>-5</v>
      </c>
      <c r="F18" s="66">
        <f t="shared" si="1"/>
        <v>0.90949999999999998</v>
      </c>
      <c r="G18" s="66">
        <f t="shared" si="2"/>
        <v>0.95497500000000002</v>
      </c>
      <c r="H18" s="7">
        <v>2600</v>
      </c>
      <c r="I18" s="7">
        <f>SUM($H$10:H18)+$D$6</f>
        <v>19800</v>
      </c>
      <c r="M18" s="66">
        <v>15</v>
      </c>
      <c r="N18" s="7">
        <v>0.7</v>
      </c>
      <c r="O18" s="7"/>
      <c r="P18" s="7"/>
      <c r="Q18" s="7"/>
      <c r="R18" s="7"/>
    </row>
    <row r="19" spans="5:19">
      <c r="E19" s="7">
        <v>-6</v>
      </c>
      <c r="F19" s="66">
        <f t="shared" si="1"/>
        <v>0.87740000000000007</v>
      </c>
      <c r="G19" s="66">
        <f t="shared" si="2"/>
        <v>0.92127000000000014</v>
      </c>
      <c r="H19" s="7">
        <v>2700</v>
      </c>
      <c r="I19" s="7">
        <f>SUM($H$10:H19)+$D$6</f>
        <v>22500</v>
      </c>
    </row>
    <row r="20" spans="5:19">
      <c r="E20" s="7">
        <v>-7</v>
      </c>
      <c r="F20" s="66">
        <f t="shared" si="1"/>
        <v>0.84530000000000005</v>
      </c>
      <c r="G20" s="66">
        <f t="shared" si="2"/>
        <v>0.88756500000000005</v>
      </c>
      <c r="H20" s="7">
        <v>2800</v>
      </c>
      <c r="I20" s="7">
        <f>SUM($H$10:H20)+$D$6</f>
        <v>25300</v>
      </c>
    </row>
    <row r="21" spans="5:19">
      <c r="E21" s="7">
        <v>-8</v>
      </c>
      <c r="F21" s="66">
        <f t="shared" si="1"/>
        <v>0.81320000000000003</v>
      </c>
      <c r="G21" s="66">
        <f t="shared" si="2"/>
        <v>0.85386000000000006</v>
      </c>
      <c r="H21" s="7">
        <v>2900</v>
      </c>
      <c r="I21" s="7">
        <f>SUM($H$10:H21)+$D$6</f>
        <v>28200</v>
      </c>
    </row>
    <row r="22" spans="5:19">
      <c r="E22" s="7">
        <v>-9</v>
      </c>
      <c r="F22" s="66">
        <f t="shared" si="1"/>
        <v>0.78110000000000002</v>
      </c>
      <c r="G22" s="66">
        <f t="shared" si="2"/>
        <v>0.82015500000000008</v>
      </c>
      <c r="H22" s="7">
        <v>3000</v>
      </c>
      <c r="I22" s="7">
        <f>SUM($H$10:H22)+$D$6</f>
        <v>31200</v>
      </c>
    </row>
    <row r="23" spans="5:19">
      <c r="E23" s="7">
        <v>-10</v>
      </c>
      <c r="F23" s="66">
        <f t="shared" si="1"/>
        <v>0.749</v>
      </c>
      <c r="G23" s="66">
        <f t="shared" si="2"/>
        <v>0.78644999999999998</v>
      </c>
      <c r="H23" s="7">
        <v>3100</v>
      </c>
      <c r="I23" s="7">
        <f>SUM($H$10:H23)+$D$6</f>
        <v>34300</v>
      </c>
    </row>
    <row r="24" spans="5:19">
      <c r="E24" s="7">
        <v>-11</v>
      </c>
      <c r="F24" s="66">
        <f t="shared" si="1"/>
        <v>0.71690000000000009</v>
      </c>
      <c r="G24" s="66">
        <f t="shared" si="2"/>
        <v>0.75274500000000011</v>
      </c>
      <c r="H24" s="7">
        <v>3200</v>
      </c>
      <c r="I24" s="7">
        <f>SUM($H$10:H24)+$D$6</f>
        <v>37500</v>
      </c>
    </row>
    <row r="25" spans="5:19">
      <c r="E25" s="67">
        <v>-12</v>
      </c>
      <c r="F25" s="66">
        <f t="shared" si="1"/>
        <v>0.68480000000000008</v>
      </c>
      <c r="G25" s="66">
        <f t="shared" si="2"/>
        <v>0.71904000000000012</v>
      </c>
      <c r="H25" s="7">
        <v>3300</v>
      </c>
      <c r="I25" s="7">
        <f>SUM($H$10:H25)+$D$6</f>
        <v>40800</v>
      </c>
    </row>
    <row r="26" spans="5:19">
      <c r="H26">
        <f>SUM(H10:H25)</f>
        <v>40800</v>
      </c>
    </row>
  </sheetData>
  <sortState ref="Q36:Q43">
    <sortCondition ref="Q1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2"/>
  <dimension ref="A3:J26"/>
  <sheetViews>
    <sheetView workbookViewId="0">
      <selection activeCell="G3" sqref="G3"/>
    </sheetView>
  </sheetViews>
  <sheetFormatPr defaultRowHeight="13.5"/>
  <cols>
    <col min="6" max="6" width="9.5" style="65" bestFit="1" customWidth="1"/>
    <col min="7" max="7" width="9" style="65"/>
    <col min="8" max="8" width="13.375" customWidth="1"/>
    <col min="9" max="9" width="11.75" customWidth="1"/>
    <col min="10" max="10" width="10.125" style="76" customWidth="1"/>
  </cols>
  <sheetData>
    <row r="3" spans="1:10">
      <c r="A3" s="9" t="s">
        <v>21</v>
      </c>
      <c r="B3" s="68">
        <v>510900</v>
      </c>
      <c r="C3" s="7" t="s">
        <v>136</v>
      </c>
      <c r="D3" s="43">
        <v>2.5</v>
      </c>
    </row>
    <row r="4" spans="1:10">
      <c r="C4" s="7" t="s">
        <v>138</v>
      </c>
      <c r="D4" s="7">
        <v>0.03</v>
      </c>
      <c r="E4" t="s">
        <v>137</v>
      </c>
    </row>
    <row r="5" spans="1:10">
      <c r="C5" s="7" t="s">
        <v>139</v>
      </c>
      <c r="D5" s="7">
        <v>0.05</v>
      </c>
    </row>
    <row r="6" spans="1:10">
      <c r="C6" s="67" t="s">
        <v>144</v>
      </c>
      <c r="D6" s="67">
        <v>0</v>
      </c>
    </row>
    <row r="9" spans="1:10">
      <c r="E9" s="7" t="s">
        <v>140</v>
      </c>
      <c r="F9" s="66" t="s">
        <v>141</v>
      </c>
      <c r="G9" s="66" t="s">
        <v>142</v>
      </c>
      <c r="H9" s="7" t="s">
        <v>143</v>
      </c>
      <c r="I9" s="67" t="s">
        <v>172</v>
      </c>
      <c r="J9" s="77" t="s">
        <v>173</v>
      </c>
    </row>
    <row r="10" spans="1:10">
      <c r="E10" s="7">
        <v>3</v>
      </c>
      <c r="F10" s="66">
        <f>$D$3*(1+E11*$D$4)</f>
        <v>2.6500000000000004</v>
      </c>
      <c r="G10" s="66">
        <f>F10*(1+$D$5)</f>
        <v>2.7825000000000006</v>
      </c>
      <c r="H10" s="7">
        <v>1000</v>
      </c>
      <c r="I10" s="7">
        <f>SUM($H$10:H10)+$D$6</f>
        <v>1000</v>
      </c>
      <c r="J10" s="76">
        <f>INT(H10/(F10*100))*100</f>
        <v>300</v>
      </c>
    </row>
    <row r="11" spans="1:10">
      <c r="E11" s="7">
        <v>2</v>
      </c>
      <c r="F11" s="66">
        <f t="shared" ref="F11:F25" si="0">$D$3*(1+E12*$D$4)</f>
        <v>2.5750000000000002</v>
      </c>
      <c r="G11" s="66">
        <f t="shared" ref="G11:G25" si="1">F11*(1+$D$5)</f>
        <v>2.7037500000000003</v>
      </c>
      <c r="H11" s="7">
        <v>1100</v>
      </c>
      <c r="I11" s="7">
        <f>SUM($H$10:H11)+$D$6</f>
        <v>2100</v>
      </c>
      <c r="J11" s="76">
        <f t="shared" ref="J11:J25" si="2">INT(H11/(F11*100))*100</f>
        <v>400</v>
      </c>
    </row>
    <row r="12" spans="1:10">
      <c r="E12" s="7">
        <v>1</v>
      </c>
      <c r="F12" s="66">
        <f t="shared" si="0"/>
        <v>2.5</v>
      </c>
      <c r="G12" s="66">
        <f t="shared" si="1"/>
        <v>2.625</v>
      </c>
      <c r="H12" s="7">
        <v>1200</v>
      </c>
      <c r="I12" s="7">
        <f>SUM($H$10:H12)+$D$6</f>
        <v>3300</v>
      </c>
      <c r="J12" s="76">
        <f t="shared" si="2"/>
        <v>400</v>
      </c>
    </row>
    <row r="13" spans="1:10">
      <c r="E13" s="7">
        <v>0</v>
      </c>
      <c r="F13" s="66">
        <f t="shared" si="0"/>
        <v>2.4249999999999998</v>
      </c>
      <c r="G13" s="66">
        <f t="shared" si="1"/>
        <v>2.5462500000000001</v>
      </c>
      <c r="H13" s="7">
        <v>1300</v>
      </c>
      <c r="I13" s="7">
        <f>SUM($H$10:H13)+$D$6</f>
        <v>4600</v>
      </c>
      <c r="J13" s="76">
        <f t="shared" si="2"/>
        <v>500</v>
      </c>
    </row>
    <row r="14" spans="1:10">
      <c r="E14" s="7">
        <v>-1</v>
      </c>
      <c r="F14" s="66">
        <f t="shared" si="0"/>
        <v>2.3499999999999996</v>
      </c>
      <c r="G14" s="66">
        <f t="shared" si="1"/>
        <v>2.4674999999999998</v>
      </c>
      <c r="H14" s="7">
        <v>1400</v>
      </c>
      <c r="I14" s="7">
        <f>SUM($H$10:H14)+$D$6</f>
        <v>6000</v>
      </c>
      <c r="J14" s="76">
        <f t="shared" si="2"/>
        <v>500</v>
      </c>
    </row>
    <row r="15" spans="1:10">
      <c r="E15" s="7">
        <v>-2</v>
      </c>
      <c r="F15" s="66">
        <f t="shared" si="0"/>
        <v>2.2749999999999999</v>
      </c>
      <c r="G15" s="66">
        <f t="shared" si="1"/>
        <v>2.3887499999999999</v>
      </c>
      <c r="H15" s="7">
        <v>1500</v>
      </c>
      <c r="I15" s="7">
        <f>SUM($H$10:H15)+$D$6</f>
        <v>7500</v>
      </c>
      <c r="J15" s="76">
        <f t="shared" si="2"/>
        <v>600</v>
      </c>
    </row>
    <row r="16" spans="1:10">
      <c r="E16" s="7">
        <v>-3</v>
      </c>
      <c r="F16" s="66">
        <f t="shared" si="0"/>
        <v>2.2000000000000002</v>
      </c>
      <c r="G16" s="66">
        <f t="shared" si="1"/>
        <v>2.3100000000000005</v>
      </c>
      <c r="H16" s="7">
        <v>1600</v>
      </c>
      <c r="I16" s="7">
        <f>SUM($H$10:H16)+$D$6</f>
        <v>9100</v>
      </c>
      <c r="J16" s="76">
        <f t="shared" si="2"/>
        <v>700</v>
      </c>
    </row>
    <row r="17" spans="5:10">
      <c r="E17" s="7">
        <v>-4</v>
      </c>
      <c r="F17" s="66">
        <f t="shared" si="0"/>
        <v>2.125</v>
      </c>
      <c r="G17" s="66">
        <f t="shared" si="1"/>
        <v>2.2312500000000002</v>
      </c>
      <c r="H17" s="7">
        <v>1700</v>
      </c>
      <c r="I17" s="7">
        <f>SUM($H$10:H17)+$D$6</f>
        <v>10800</v>
      </c>
      <c r="J17" s="76">
        <f t="shared" si="2"/>
        <v>800</v>
      </c>
    </row>
    <row r="18" spans="5:10">
      <c r="E18" s="7">
        <v>-5</v>
      </c>
      <c r="F18" s="66">
        <f t="shared" si="0"/>
        <v>2.0500000000000003</v>
      </c>
      <c r="G18" s="66">
        <f t="shared" si="1"/>
        <v>2.1525000000000003</v>
      </c>
      <c r="H18" s="7">
        <v>1800</v>
      </c>
      <c r="I18" s="7">
        <f>SUM($H$10:H18)+$D$6</f>
        <v>12600</v>
      </c>
      <c r="J18" s="76">
        <f t="shared" si="2"/>
        <v>800</v>
      </c>
    </row>
    <row r="19" spans="5:10">
      <c r="E19" s="7">
        <v>-6</v>
      </c>
      <c r="F19" s="66">
        <f t="shared" si="0"/>
        <v>1.9750000000000001</v>
      </c>
      <c r="G19" s="66">
        <f t="shared" si="1"/>
        <v>2.07375</v>
      </c>
      <c r="H19" s="7">
        <v>1900</v>
      </c>
      <c r="I19" s="7">
        <f>SUM($H$10:H19)+$D$6</f>
        <v>14500</v>
      </c>
      <c r="J19" s="76">
        <f t="shared" si="2"/>
        <v>900</v>
      </c>
    </row>
    <row r="20" spans="5:10">
      <c r="E20" s="7">
        <v>-7</v>
      </c>
      <c r="F20" s="66">
        <f t="shared" si="0"/>
        <v>1.9</v>
      </c>
      <c r="G20" s="66">
        <f t="shared" si="1"/>
        <v>1.9949999999999999</v>
      </c>
      <c r="H20" s="7">
        <v>2000</v>
      </c>
      <c r="I20" s="7">
        <f>SUM($H$10:H20)+$D$6</f>
        <v>16500</v>
      </c>
      <c r="J20" s="76">
        <f t="shared" si="2"/>
        <v>1000</v>
      </c>
    </row>
    <row r="21" spans="5:10">
      <c r="E21" s="7">
        <v>-8</v>
      </c>
      <c r="F21" s="66">
        <f t="shared" si="0"/>
        <v>1.825</v>
      </c>
      <c r="G21" s="66">
        <f t="shared" si="1"/>
        <v>1.91625</v>
      </c>
      <c r="H21" s="7">
        <v>2100</v>
      </c>
      <c r="I21" s="7">
        <f>SUM($H$10:H21)+$D$6</f>
        <v>18600</v>
      </c>
      <c r="J21" s="76">
        <f t="shared" si="2"/>
        <v>1100</v>
      </c>
    </row>
    <row r="22" spans="5:10">
      <c r="E22" s="7">
        <v>-9</v>
      </c>
      <c r="F22" s="66">
        <f t="shared" si="0"/>
        <v>1.75</v>
      </c>
      <c r="G22" s="66">
        <f t="shared" si="1"/>
        <v>1.8375000000000001</v>
      </c>
      <c r="H22" s="7">
        <v>2200</v>
      </c>
      <c r="I22" s="7">
        <f>SUM($H$10:H22)+$D$6</f>
        <v>20800</v>
      </c>
      <c r="J22" s="76">
        <f t="shared" si="2"/>
        <v>1200</v>
      </c>
    </row>
    <row r="23" spans="5:10">
      <c r="E23" s="7">
        <v>-10</v>
      </c>
      <c r="F23" s="66">
        <f t="shared" si="0"/>
        <v>1.675</v>
      </c>
      <c r="G23" s="66">
        <f t="shared" si="1"/>
        <v>1.75875</v>
      </c>
      <c r="H23" s="7">
        <v>2300</v>
      </c>
      <c r="I23" s="7">
        <f>SUM($H$10:H23)+$D$6</f>
        <v>23100</v>
      </c>
      <c r="J23" s="76">
        <f t="shared" si="2"/>
        <v>1300</v>
      </c>
    </row>
    <row r="24" spans="5:10">
      <c r="E24" s="7">
        <v>-11</v>
      </c>
      <c r="F24" s="66">
        <f t="shared" si="0"/>
        <v>1.6</v>
      </c>
      <c r="G24" s="66">
        <f t="shared" si="1"/>
        <v>1.6800000000000002</v>
      </c>
      <c r="H24" s="7">
        <v>2400</v>
      </c>
      <c r="I24" s="7">
        <f>SUM($H$10:H24)+$D$6</f>
        <v>25500</v>
      </c>
      <c r="J24" s="76">
        <f t="shared" si="2"/>
        <v>1500</v>
      </c>
    </row>
    <row r="25" spans="5:10">
      <c r="E25" s="67">
        <v>-12</v>
      </c>
      <c r="F25" s="66">
        <f t="shared" si="0"/>
        <v>2.5</v>
      </c>
      <c r="G25" s="66">
        <f t="shared" si="1"/>
        <v>2.625</v>
      </c>
      <c r="H25" s="7">
        <v>2500</v>
      </c>
      <c r="I25" s="7">
        <f>SUM($H$10:H25)+$D$6</f>
        <v>28000</v>
      </c>
      <c r="J25" s="76">
        <f t="shared" si="2"/>
        <v>1000</v>
      </c>
    </row>
    <row r="26" spans="5:10">
      <c r="H26">
        <f>SUM(H10:H25)</f>
        <v>28000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N14"/>
  <sheetViews>
    <sheetView workbookViewId="0">
      <selection activeCell="B2" sqref="B2"/>
    </sheetView>
  </sheetViews>
  <sheetFormatPr defaultRowHeight="13.5"/>
  <cols>
    <col min="1" max="1" width="10.5" bestFit="1" customWidth="1"/>
    <col min="2" max="2" width="10.5" style="72" customWidth="1"/>
    <col min="3" max="3" width="10.5" style="45" customWidth="1"/>
    <col min="5" max="5" width="7.625" style="79" customWidth="1"/>
  </cols>
  <sheetData>
    <row r="1" spans="1:14">
      <c r="B1" s="71" t="s">
        <v>150</v>
      </c>
      <c r="C1" s="71" t="s">
        <v>148</v>
      </c>
      <c r="E1" s="79" t="s">
        <v>149</v>
      </c>
    </row>
    <row r="2" spans="1:14">
      <c r="A2" s="14">
        <v>43486</v>
      </c>
      <c r="B2" s="72">
        <v>3182</v>
      </c>
      <c r="C2" s="45">
        <v>3565</v>
      </c>
      <c r="D2" s="45">
        <f t="shared" ref="D2" si="0">(C2-B2)</f>
        <v>383</v>
      </c>
      <c r="E2" s="79">
        <f>(D2)*100/(B2-807)*4</f>
        <v>64.505263157894731</v>
      </c>
      <c r="F2" s="78">
        <f>SUM(E2:E153)</f>
        <v>64.505263157894731</v>
      </c>
    </row>
    <row r="14" spans="1:14">
      <c r="N14" s="45"/>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8"/>
  <dimension ref="A1:F2"/>
  <sheetViews>
    <sheetView workbookViewId="0">
      <selection activeCell="F22" sqref="F22"/>
    </sheetView>
  </sheetViews>
  <sheetFormatPr defaultRowHeight="13.5"/>
  <cols>
    <col min="1" max="1" width="11.625" customWidth="1"/>
    <col min="2" max="3" width="9.5" bestFit="1" customWidth="1"/>
    <col min="5" max="5" width="16.125" style="78" customWidth="1"/>
  </cols>
  <sheetData>
    <row r="1" spans="1:6">
      <c r="B1" s="71" t="s">
        <v>150</v>
      </c>
      <c r="C1" s="71" t="s">
        <v>148</v>
      </c>
      <c r="E1" s="78" t="s">
        <v>149</v>
      </c>
    </row>
    <row r="2" spans="1:6">
      <c r="A2" s="14">
        <v>43514</v>
      </c>
      <c r="B2" s="72">
        <v>4507</v>
      </c>
      <c r="C2" s="45">
        <v>5095</v>
      </c>
      <c r="D2" s="45">
        <f>(C2-B2)</f>
        <v>588</v>
      </c>
      <c r="E2" s="79">
        <f>(D2)*100/(B2-1500)*2</f>
        <v>39.108746258729632</v>
      </c>
      <c r="F2" s="78">
        <f>SUM(E2:E174)</f>
        <v>39.108746258729632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N26"/>
  <sheetViews>
    <sheetView tabSelected="1" workbookViewId="0">
      <selection activeCell="K11" sqref="K11"/>
    </sheetView>
  </sheetViews>
  <sheetFormatPr defaultRowHeight="13.5"/>
  <cols>
    <col min="6" max="6" width="9" style="65"/>
    <col min="7" max="7" width="13.375" customWidth="1"/>
    <col min="8" max="8" width="9" style="65"/>
    <col min="9" max="9" width="13.375" customWidth="1"/>
    <col min="10" max="10" width="11.75" customWidth="1"/>
    <col min="11" max="11" width="9" style="76"/>
    <col min="13" max="13" width="9" style="76"/>
    <col min="14" max="14" width="9" style="65"/>
  </cols>
  <sheetData>
    <row r="3" spans="1:14">
      <c r="A3" s="9" t="s">
        <v>21</v>
      </c>
      <c r="B3" s="68">
        <v>510900</v>
      </c>
      <c r="C3" s="7" t="s">
        <v>136</v>
      </c>
      <c r="D3" s="43">
        <v>0.66</v>
      </c>
    </row>
    <row r="4" spans="1:14">
      <c r="C4" s="7" t="s">
        <v>138</v>
      </c>
      <c r="D4" s="7">
        <v>0.03</v>
      </c>
      <c r="E4" t="s">
        <v>137</v>
      </c>
    </row>
    <row r="5" spans="1:14">
      <c r="C5" s="7" t="s">
        <v>139</v>
      </c>
      <c r="D5" s="7">
        <v>0.05</v>
      </c>
    </row>
    <row r="6" spans="1:14">
      <c r="C6" s="67" t="s">
        <v>144</v>
      </c>
      <c r="D6" s="67">
        <v>0</v>
      </c>
    </row>
    <row r="9" spans="1:14">
      <c r="E9" s="7" t="s">
        <v>140</v>
      </c>
      <c r="F9" s="66" t="s">
        <v>141</v>
      </c>
      <c r="G9" s="7" t="s">
        <v>194</v>
      </c>
      <c r="H9" s="66" t="s">
        <v>142</v>
      </c>
      <c r="I9" s="7" t="s">
        <v>196</v>
      </c>
      <c r="J9" s="67" t="s">
        <v>195</v>
      </c>
    </row>
    <row r="10" spans="1:14">
      <c r="E10" s="7">
        <v>3</v>
      </c>
      <c r="F10" s="80">
        <f t="shared" ref="F10:F25" si="0">$D$3*(1+E10*$D$4)</f>
        <v>0.71940000000000004</v>
      </c>
      <c r="G10" s="9">
        <v>2500</v>
      </c>
      <c r="H10" s="66">
        <f t="shared" ref="H10:H25" si="1">F10*(1+$D$5)</f>
        <v>0.7553700000000001</v>
      </c>
      <c r="I10" s="7">
        <v>0</v>
      </c>
      <c r="J10" s="7">
        <f>SUM($G$10:G10)+$D$6</f>
        <v>2500</v>
      </c>
      <c r="K10" s="76">
        <f t="shared" ref="K10:K17" si="2">F10*G10</f>
        <v>1798.5</v>
      </c>
      <c r="L10" s="76">
        <f>SUM($K$10:K10)+$D$6</f>
        <v>1798.5</v>
      </c>
      <c r="M10" s="76">
        <f>F10*J10</f>
        <v>1798.5</v>
      </c>
    </row>
    <row r="11" spans="1:14">
      <c r="E11" s="7">
        <v>2</v>
      </c>
      <c r="F11" s="80">
        <f t="shared" si="0"/>
        <v>0.69960000000000011</v>
      </c>
      <c r="G11" s="9">
        <v>3000</v>
      </c>
      <c r="H11" s="66">
        <f t="shared" si="1"/>
        <v>0.73458000000000012</v>
      </c>
      <c r="I11" s="7">
        <v>0</v>
      </c>
      <c r="J11" s="7">
        <f>SUM($G$10:G11)+$D$6</f>
        <v>5500</v>
      </c>
      <c r="K11" s="76">
        <f t="shared" si="2"/>
        <v>2098.8000000000002</v>
      </c>
      <c r="L11" s="76">
        <f>SUM($K$10:K11)+$D$6</f>
        <v>3897.3</v>
      </c>
      <c r="M11" s="76">
        <f t="shared" ref="M11:M25" si="3">F11*J11</f>
        <v>3847.8000000000006</v>
      </c>
    </row>
    <row r="12" spans="1:14">
      <c r="E12" s="7">
        <v>1</v>
      </c>
      <c r="F12" s="80">
        <f t="shared" si="0"/>
        <v>0.67980000000000007</v>
      </c>
      <c r="G12" s="9">
        <v>3500</v>
      </c>
      <c r="H12" s="66">
        <f t="shared" si="1"/>
        <v>0.71379000000000015</v>
      </c>
      <c r="I12" s="7">
        <v>0</v>
      </c>
      <c r="J12" s="7">
        <f>SUM($G$10:G12)+$D$6</f>
        <v>9000</v>
      </c>
      <c r="K12" s="76">
        <f t="shared" si="2"/>
        <v>2379.3000000000002</v>
      </c>
      <c r="L12" s="76">
        <f>SUM($K$10:K12)+$D$6</f>
        <v>6276.6</v>
      </c>
      <c r="M12" s="76">
        <f t="shared" si="3"/>
        <v>6118.2000000000007</v>
      </c>
    </row>
    <row r="13" spans="1:14">
      <c r="E13" s="7">
        <v>0</v>
      </c>
      <c r="F13" s="81">
        <f t="shared" si="0"/>
        <v>0.66</v>
      </c>
      <c r="G13" s="9">
        <v>4000</v>
      </c>
      <c r="H13" s="66">
        <f t="shared" si="1"/>
        <v>0.69300000000000006</v>
      </c>
      <c r="I13" s="7">
        <v>0</v>
      </c>
      <c r="J13" s="7">
        <f>SUM($G$10:G13)+$D$6</f>
        <v>13000</v>
      </c>
      <c r="K13" s="76">
        <f t="shared" si="2"/>
        <v>2640</v>
      </c>
      <c r="L13" s="76">
        <f>SUM($K$10:K13)+$D$6</f>
        <v>8916.6</v>
      </c>
      <c r="M13" s="76">
        <f t="shared" si="3"/>
        <v>8580</v>
      </c>
      <c r="N13" s="65">
        <f>M13/L13</f>
        <v>0.96225018504811244</v>
      </c>
    </row>
    <row r="14" spans="1:14">
      <c r="E14" s="7">
        <v>-1</v>
      </c>
      <c r="F14" s="81">
        <f t="shared" si="0"/>
        <v>0.64019999999999999</v>
      </c>
      <c r="G14" s="9">
        <v>4500</v>
      </c>
      <c r="H14" s="66">
        <f t="shared" si="1"/>
        <v>0.67220999999999997</v>
      </c>
      <c r="I14" s="7">
        <v>0</v>
      </c>
      <c r="J14" s="7">
        <f>SUM($G$10:G14)+$D$6</f>
        <v>17500</v>
      </c>
      <c r="K14" s="76">
        <f t="shared" si="2"/>
        <v>2880.9</v>
      </c>
      <c r="L14" s="76">
        <f>SUM($K$10:K14)+$D$6</f>
        <v>11797.5</v>
      </c>
      <c r="M14" s="76">
        <f t="shared" si="3"/>
        <v>11203.5</v>
      </c>
      <c r="N14" s="65">
        <f t="shared" ref="N14:N25" si="4">M14/L14</f>
        <v>0.94965034965034967</v>
      </c>
    </row>
    <row r="15" spans="1:14">
      <c r="E15" s="7">
        <v>-2</v>
      </c>
      <c r="F15" s="66">
        <f t="shared" si="0"/>
        <v>0.62039999999999995</v>
      </c>
      <c r="G15" s="9">
        <v>5000</v>
      </c>
      <c r="H15" s="66">
        <f t="shared" si="1"/>
        <v>0.65142</v>
      </c>
      <c r="I15" s="7">
        <v>0</v>
      </c>
      <c r="J15" s="7">
        <f>SUM($G$10:G15)+$D$6</f>
        <v>22500</v>
      </c>
      <c r="K15" s="76">
        <f t="shared" si="2"/>
        <v>3101.9999999999995</v>
      </c>
      <c r="L15" s="76">
        <f>SUM($K$10:K15)+$D$6</f>
        <v>14899.5</v>
      </c>
      <c r="M15" s="76">
        <f t="shared" si="3"/>
        <v>13958.999999999998</v>
      </c>
      <c r="N15" s="65">
        <f t="shared" si="4"/>
        <v>0.93687707641196005</v>
      </c>
    </row>
    <row r="16" spans="1:14">
      <c r="E16" s="7">
        <v>-3</v>
      </c>
      <c r="F16" s="66">
        <f t="shared" si="0"/>
        <v>0.60060000000000002</v>
      </c>
      <c r="G16" s="9">
        <v>5500</v>
      </c>
      <c r="H16" s="66">
        <f t="shared" si="1"/>
        <v>0.63063000000000002</v>
      </c>
      <c r="I16" s="7">
        <v>0</v>
      </c>
      <c r="J16" s="7">
        <f>SUM($G$10:G16)+$D$6</f>
        <v>28000</v>
      </c>
      <c r="K16" s="76">
        <f t="shared" si="2"/>
        <v>3303.3</v>
      </c>
      <c r="L16" s="76">
        <f>SUM($K$10:K16)+$D$6</f>
        <v>18202.8</v>
      </c>
      <c r="M16" s="76">
        <f t="shared" si="3"/>
        <v>16816.8</v>
      </c>
      <c r="N16" s="65">
        <f t="shared" si="4"/>
        <v>0.92385786802030456</v>
      </c>
    </row>
    <row r="17" spans="5:14">
      <c r="E17" s="7">
        <v>-4</v>
      </c>
      <c r="F17" s="66">
        <f t="shared" si="0"/>
        <v>0.58079999999999998</v>
      </c>
      <c r="G17" s="9">
        <v>6000</v>
      </c>
      <c r="H17" s="66">
        <f t="shared" si="1"/>
        <v>0.60984000000000005</v>
      </c>
      <c r="I17" s="7">
        <v>0</v>
      </c>
      <c r="J17" s="7">
        <f>SUM($G$10:G17)+$D$6</f>
        <v>34000</v>
      </c>
      <c r="K17" s="76">
        <f t="shared" si="2"/>
        <v>3484.7999999999997</v>
      </c>
      <c r="L17" s="76">
        <f>SUM($K$10:K17)+$D$6</f>
        <v>21687.599999999999</v>
      </c>
      <c r="M17" s="76">
        <f t="shared" si="3"/>
        <v>19747.2</v>
      </c>
      <c r="N17" s="65">
        <f t="shared" si="4"/>
        <v>0.910529519172246</v>
      </c>
    </row>
    <row r="18" spans="5:14">
      <c r="E18" s="7">
        <v>-5</v>
      </c>
      <c r="F18" s="66">
        <f t="shared" si="0"/>
        <v>0.56100000000000005</v>
      </c>
      <c r="G18" s="9">
        <v>6500</v>
      </c>
      <c r="H18" s="66">
        <f t="shared" si="1"/>
        <v>0.58905000000000007</v>
      </c>
      <c r="I18" s="7">
        <v>0</v>
      </c>
      <c r="J18" s="7">
        <f>SUM($G$10:G18)+$D$6</f>
        <v>40500</v>
      </c>
      <c r="K18" s="76">
        <f t="shared" ref="K18:K25" si="5">F18*G18</f>
        <v>3646.5000000000005</v>
      </c>
      <c r="L18" s="76">
        <f>SUM($K$10:K18)+$D$6</f>
        <v>25334.1</v>
      </c>
      <c r="M18" s="76">
        <f t="shared" si="3"/>
        <v>22720.500000000004</v>
      </c>
      <c r="N18" s="65">
        <f t="shared" si="4"/>
        <v>0.89683470105509988</v>
      </c>
    </row>
    <row r="19" spans="5:14">
      <c r="E19" s="7">
        <v>-6</v>
      </c>
      <c r="F19" s="66">
        <f t="shared" si="0"/>
        <v>0.54120000000000001</v>
      </c>
      <c r="G19" s="9">
        <v>7000</v>
      </c>
      <c r="H19" s="66">
        <f t="shared" si="1"/>
        <v>0.56825999999999999</v>
      </c>
      <c r="I19" s="7">
        <v>0</v>
      </c>
      <c r="J19" s="7">
        <f>SUM($G$10:G19)+$D$6</f>
        <v>47500</v>
      </c>
      <c r="K19" s="76">
        <f t="shared" si="5"/>
        <v>3788.4</v>
      </c>
      <c r="L19" s="76">
        <f>SUM($K$10:K19)+$D$6</f>
        <v>29122.5</v>
      </c>
      <c r="M19" s="76">
        <f t="shared" si="3"/>
        <v>25707</v>
      </c>
      <c r="N19" s="65">
        <f t="shared" si="4"/>
        <v>0.88271954674220965</v>
      </c>
    </row>
    <row r="20" spans="5:14">
      <c r="E20" s="7">
        <v>-7</v>
      </c>
      <c r="F20" s="66">
        <f t="shared" si="0"/>
        <v>0.52140000000000009</v>
      </c>
      <c r="G20" s="9">
        <v>7500</v>
      </c>
      <c r="H20" s="66">
        <f t="shared" si="1"/>
        <v>0.54747000000000012</v>
      </c>
      <c r="I20" s="7">
        <v>0</v>
      </c>
      <c r="J20" s="7">
        <f>SUM($G$10:G20)+$D$6</f>
        <v>55000</v>
      </c>
      <c r="K20" s="76">
        <f t="shared" si="5"/>
        <v>3910.5000000000005</v>
      </c>
      <c r="L20" s="76">
        <f>SUM($K$10:K20)+$D$6</f>
        <v>33033</v>
      </c>
      <c r="M20" s="76">
        <f t="shared" si="3"/>
        <v>28677.000000000004</v>
      </c>
      <c r="N20" s="65">
        <f t="shared" si="4"/>
        <v>0.86813186813186827</v>
      </c>
    </row>
    <row r="21" spans="5:14">
      <c r="E21" s="7">
        <v>-8</v>
      </c>
      <c r="F21" s="66">
        <f t="shared" si="0"/>
        <v>0.50160000000000005</v>
      </c>
      <c r="G21" s="9">
        <v>8000</v>
      </c>
      <c r="H21" s="66">
        <f t="shared" si="1"/>
        <v>0.52668000000000004</v>
      </c>
      <c r="I21" s="7">
        <v>0</v>
      </c>
      <c r="J21" s="7">
        <f>SUM($G$10:G21)+$D$6</f>
        <v>63000</v>
      </c>
      <c r="K21" s="76">
        <f t="shared" si="5"/>
        <v>4012.8</v>
      </c>
      <c r="L21" s="76">
        <f>SUM($K$10:K21)+$D$6</f>
        <v>37045.800000000003</v>
      </c>
      <c r="M21" s="76">
        <f t="shared" si="3"/>
        <v>31600.800000000003</v>
      </c>
      <c r="N21" s="65">
        <f t="shared" si="4"/>
        <v>0.85301977552111174</v>
      </c>
    </row>
    <row r="22" spans="5:14">
      <c r="E22" s="7">
        <v>-9</v>
      </c>
      <c r="F22" s="66">
        <f t="shared" si="0"/>
        <v>0.48180000000000001</v>
      </c>
      <c r="G22" s="9">
        <v>8500</v>
      </c>
      <c r="H22" s="66">
        <f t="shared" si="1"/>
        <v>0.50589000000000006</v>
      </c>
      <c r="I22" s="7">
        <v>0</v>
      </c>
      <c r="J22" s="7">
        <f>SUM($G$10:G22)+$D$6</f>
        <v>71500</v>
      </c>
      <c r="K22" s="76">
        <f t="shared" si="5"/>
        <v>4095.3</v>
      </c>
      <c r="L22" s="76">
        <f>SUM($K$10:K22)+$D$6</f>
        <v>41141.100000000006</v>
      </c>
      <c r="M22" s="76">
        <f t="shared" si="3"/>
        <v>34448.699999999997</v>
      </c>
      <c r="N22" s="65">
        <f t="shared" si="4"/>
        <v>0.83733055265901968</v>
      </c>
    </row>
    <row r="23" spans="5:14">
      <c r="E23" s="7">
        <v>-10</v>
      </c>
      <c r="F23" s="66">
        <f t="shared" si="0"/>
        <v>0.46199999999999997</v>
      </c>
      <c r="G23" s="9">
        <v>9000</v>
      </c>
      <c r="H23" s="66">
        <f t="shared" si="1"/>
        <v>0.48509999999999998</v>
      </c>
      <c r="I23" s="7">
        <v>0</v>
      </c>
      <c r="J23" s="7">
        <f>SUM($G$10:G23)+$D$6</f>
        <v>80500</v>
      </c>
      <c r="K23" s="76">
        <f t="shared" si="5"/>
        <v>4158</v>
      </c>
      <c r="L23" s="76">
        <f>SUM($K$10:K23)+$D$6</f>
        <v>45299.100000000006</v>
      </c>
      <c r="M23" s="76">
        <f t="shared" si="3"/>
        <v>37191</v>
      </c>
      <c r="N23" s="65">
        <f t="shared" si="4"/>
        <v>0.82100968893421711</v>
      </c>
    </row>
    <row r="24" spans="5:14">
      <c r="E24" s="7">
        <v>-11</v>
      </c>
      <c r="F24" s="66">
        <f t="shared" si="0"/>
        <v>0.44220000000000004</v>
      </c>
      <c r="G24" s="9">
        <v>9500</v>
      </c>
      <c r="H24" s="66">
        <f t="shared" si="1"/>
        <v>0.46431000000000006</v>
      </c>
      <c r="I24" s="7">
        <v>0</v>
      </c>
      <c r="J24" s="7">
        <f>SUM($G$10:G24)+$D$6</f>
        <v>90000</v>
      </c>
      <c r="K24" s="76">
        <f t="shared" si="5"/>
        <v>4200.9000000000005</v>
      </c>
      <c r="L24" s="76">
        <f>SUM($K$10:K24)+$D$6</f>
        <v>49500.000000000007</v>
      </c>
      <c r="M24" s="76">
        <f t="shared" si="3"/>
        <v>39798</v>
      </c>
      <c r="N24" s="65">
        <f t="shared" si="4"/>
        <v>0.80399999999999994</v>
      </c>
    </row>
    <row r="25" spans="5:14">
      <c r="E25" s="67">
        <v>-12</v>
      </c>
      <c r="F25" s="66">
        <f t="shared" si="0"/>
        <v>0.42240000000000005</v>
      </c>
      <c r="G25" s="9">
        <v>10000</v>
      </c>
      <c r="H25" s="66">
        <f t="shared" si="1"/>
        <v>0.44352000000000008</v>
      </c>
      <c r="I25" s="7">
        <v>0</v>
      </c>
      <c r="J25" s="7">
        <f>SUM($G$10:G25)+$D$6</f>
        <v>100000</v>
      </c>
      <c r="K25" s="76">
        <f t="shared" si="5"/>
        <v>4224.0000000000009</v>
      </c>
      <c r="L25" s="76">
        <f>SUM($K$10:K25)+$D$6</f>
        <v>53724.000000000007</v>
      </c>
      <c r="M25" s="76">
        <f t="shared" si="3"/>
        <v>42240.000000000007</v>
      </c>
      <c r="N25" s="65">
        <f t="shared" si="4"/>
        <v>0.7862407862407863</v>
      </c>
    </row>
    <row r="26" spans="5:14">
      <c r="G26">
        <f>SUM(G10:G25)</f>
        <v>100000</v>
      </c>
      <c r="K26" s="76">
        <f>SUM(K10:K25)</f>
        <v>53724.000000000007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记录</vt:lpstr>
      <vt:lpstr>定投</vt:lpstr>
      <vt:lpstr>笔记</vt:lpstr>
      <vt:lpstr>古债平衡</vt:lpstr>
      <vt:lpstr>H股ETF</vt:lpstr>
      <vt:lpstr>红利ETF</vt:lpstr>
      <vt:lpstr>300</vt:lpstr>
      <vt:lpstr>500</vt:lpstr>
      <vt:lpstr>有色</vt:lpstr>
      <vt:lpstr>医药ETF</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2019-04-11T07:19:54Z</dcterms:modified>
</cp:coreProperties>
</file>