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20" yWindow="60" windowWidth="24915" windowHeight="12330"/>
  </bookViews>
  <sheets>
    <sheet name="Arbitrage examples" sheetId="1" r:id="rId1"/>
    <sheet name="data" sheetId="3" state="hidden" r:id="rId2"/>
    <sheet name="Disclaimer" sheetId="4" r:id="rId3"/>
  </sheets>
  <definedNames>
    <definedName name="_xlnm._FilterDatabase" localSheetId="1" hidden="1">data!$G$2:$G$75</definedName>
    <definedName name="rngArb">'Arbitrage examples'!$A$37:$C$45</definedName>
    <definedName name="rngCCY">data!$D$2:$D$11</definedName>
    <definedName name="rngFutures">'Arbitrage examples'!$A$50:$F$72</definedName>
    <definedName name="rngPeriod">data!$F$2:$F$4</definedName>
  </definedNames>
  <calcPr calcId="145621"/>
</workbook>
</file>

<file path=xl/calcChain.xml><?xml version="1.0" encoding="utf-8"?>
<calcChain xmlns="http://schemas.openxmlformats.org/spreadsheetml/2006/main">
  <c r="A71" i="1" l="1"/>
  <c r="C70" i="1"/>
  <c r="C71" i="1" s="1"/>
  <c r="C72" i="1" s="1"/>
  <c r="B70" i="1"/>
  <c r="A67" i="1"/>
  <c r="B65" i="1"/>
  <c r="C64" i="1"/>
  <c r="D63" i="1"/>
  <c r="E63" i="1" s="1"/>
  <c r="B63" i="1"/>
  <c r="B62" i="1"/>
  <c r="A59" i="1"/>
  <c r="C58" i="1"/>
  <c r="C59" i="1" s="1"/>
  <c r="C60" i="1" s="1"/>
  <c r="B58" i="1"/>
  <c r="A55" i="1"/>
  <c r="B53" i="1"/>
  <c r="C52" i="1"/>
  <c r="D51" i="1"/>
  <c r="E51" i="1" s="1"/>
  <c r="B51" i="1"/>
  <c r="B50" i="1"/>
  <c r="H17" i="1"/>
  <c r="H18" i="1" s="1"/>
  <c r="G14" i="1"/>
  <c r="G13" i="1"/>
  <c r="G9" i="1"/>
  <c r="G8" i="1"/>
  <c r="I6" i="1"/>
  <c r="A62" i="1" s="1"/>
  <c r="J7" i="1"/>
  <c r="B52" i="1" l="1"/>
  <c r="A53" i="1" s="1"/>
  <c r="B56" i="1"/>
  <c r="B57" i="1" s="1"/>
  <c r="B64" i="1"/>
  <c r="A65" i="1" s="1"/>
  <c r="B68" i="1"/>
  <c r="B69" i="1" s="1"/>
  <c r="B59" i="1"/>
  <c r="B60" i="1" s="1"/>
  <c r="A52" i="1"/>
  <c r="A51" i="1"/>
  <c r="B71" i="1"/>
  <c r="B72" i="1" s="1"/>
  <c r="C49" i="1" s="1"/>
  <c r="A64" i="1"/>
  <c r="A63" i="1"/>
  <c r="C56" i="1"/>
  <c r="C57" i="1" s="1"/>
  <c r="C68" i="1"/>
  <c r="C69" i="1" s="1"/>
  <c r="A50" i="1"/>
  <c r="G20" i="1" l="1"/>
  <c r="A68" i="1"/>
  <c r="A56" i="1"/>
  <c r="B49" i="1"/>
  <c r="A49" i="1" s="1"/>
  <c r="I27" i="1" s="1"/>
  <c r="G24" i="1" l="1"/>
  <c r="H28" i="1"/>
  <c r="I30" i="1"/>
  <c r="G22" i="1"/>
  <c r="G26" i="1"/>
  <c r="I28" i="1"/>
  <c r="I29" i="1"/>
  <c r="G23" i="1"/>
  <c r="G28" i="1"/>
  <c r="H31" i="1"/>
  <c r="G31" i="1"/>
  <c r="I31" i="1"/>
  <c r="G21" i="1"/>
  <c r="H27" i="1"/>
  <c r="I23" i="1"/>
  <c r="H23" i="1"/>
  <c r="H30" i="1"/>
  <c r="G29" i="1"/>
  <c r="H22" i="1"/>
  <c r="G30" i="1"/>
  <c r="G27" i="1"/>
  <c r="H21" i="1"/>
  <c r="H29" i="1"/>
  <c r="H24" i="1"/>
  <c r="D7" i="1" l="1"/>
  <c r="B12" i="1"/>
  <c r="C37" i="1" s="1"/>
  <c r="E17" i="1"/>
  <c r="E13" i="1"/>
  <c r="E12" i="1"/>
  <c r="B44" i="1"/>
  <c r="D18" i="1"/>
  <c r="B42" i="1" s="1"/>
  <c r="C18" i="1"/>
  <c r="B39" i="1"/>
  <c r="B38" i="1"/>
  <c r="B37" i="1"/>
  <c r="C14" i="1"/>
  <c r="B13" i="1"/>
  <c r="B17" i="1"/>
  <c r="C43" i="1" s="1"/>
  <c r="B45" i="1" l="1"/>
  <c r="B43" i="1"/>
  <c r="B40" i="1"/>
  <c r="A36" i="1" s="1"/>
  <c r="A43" i="1"/>
  <c r="A38" i="1"/>
  <c r="A44" i="1"/>
  <c r="A39" i="1"/>
  <c r="C44" i="1"/>
  <c r="C45" i="1" s="1"/>
  <c r="A42" i="1"/>
  <c r="B18" i="1"/>
  <c r="A37" i="1"/>
  <c r="C38" i="1"/>
  <c r="C42" i="1"/>
  <c r="C39" i="1"/>
  <c r="C40" i="1" s="1"/>
  <c r="B14" i="1"/>
  <c r="B36" i="1" l="1"/>
  <c r="C21" i="1" l="1"/>
  <c r="C36" i="1"/>
  <c r="A20" i="1" s="1"/>
  <c r="A24" i="1"/>
  <c r="C23" i="1"/>
  <c r="A21" i="1"/>
  <c r="A22" i="1"/>
  <c r="B22" i="1"/>
  <c r="B21" i="1"/>
  <c r="B23" i="1"/>
  <c r="C24" i="1"/>
  <c r="B24" i="1"/>
  <c r="A23" i="1"/>
  <c r="C22" i="1"/>
</calcChain>
</file>

<file path=xl/comments1.xml><?xml version="1.0" encoding="utf-8"?>
<comments xmlns="http://schemas.openxmlformats.org/spreadsheetml/2006/main">
  <authors>
    <author>Author</author>
  </authors>
  <commentList>
    <comment ref="H8" authorId="0">
      <text>
        <r>
          <rPr>
            <sz val="9"/>
            <color indexed="81"/>
            <rFont val="Tahoma"/>
            <family val="2"/>
          </rPr>
          <t>Include all trade fees in quotes</t>
        </r>
        <r>
          <rPr>
            <sz val="9"/>
            <color indexed="81"/>
            <rFont val="Tahoma"/>
            <charset val="1"/>
          </rPr>
          <t xml:space="preserve">
</t>
        </r>
      </text>
    </comment>
    <comment ref="H13" authorId="0">
      <text>
        <r>
          <rPr>
            <sz val="9"/>
            <color indexed="81"/>
            <rFont val="Tahoma"/>
            <family val="2"/>
          </rPr>
          <t xml:space="preserve">Enter the interest rate that matches the length of the futures contract
</t>
        </r>
      </text>
    </comment>
    <comment ref="H15" authorId="0">
      <text>
        <r>
          <rPr>
            <sz val="9"/>
            <color indexed="81"/>
            <rFont val="Tahoma"/>
            <family val="2"/>
          </rPr>
          <t xml:space="preserve">Add any costs for borrowing or lending
</t>
        </r>
      </text>
    </comment>
  </commentList>
</comments>
</file>

<file path=xl/sharedStrings.xml><?xml version="1.0" encoding="utf-8"?>
<sst xmlns="http://schemas.openxmlformats.org/spreadsheetml/2006/main" count="102" uniqueCount="89">
  <si>
    <t>Cross currency arbitrage</t>
  </si>
  <si>
    <t>First currency</t>
  </si>
  <si>
    <t>Second currency</t>
  </si>
  <si>
    <t>Symbol</t>
  </si>
  <si>
    <t>Pip value</t>
  </si>
  <si>
    <t>AUDCAD</t>
  </si>
  <si>
    <t>AUDCHF</t>
  </si>
  <si>
    <t>AUDJPY</t>
  </si>
  <si>
    <t>AUDNZD</t>
  </si>
  <si>
    <t>AUDSGD</t>
  </si>
  <si>
    <t>AUDUSD</t>
  </si>
  <si>
    <t>CADCHF</t>
  </si>
  <si>
    <t>CADJPY</t>
  </si>
  <si>
    <t>CHFJPY</t>
  </si>
  <si>
    <t>CHFSGD</t>
  </si>
  <si>
    <t>EURAUD</t>
  </si>
  <si>
    <t>EURCAD</t>
  </si>
  <si>
    <t>EURCHF</t>
  </si>
  <si>
    <t>EURGBP</t>
  </si>
  <si>
    <t>EURHKD</t>
  </si>
  <si>
    <t>EURJPY</t>
  </si>
  <si>
    <t>EURNZD</t>
  </si>
  <si>
    <t>EURSGD</t>
  </si>
  <si>
    <t>EURUSD</t>
  </si>
  <si>
    <t>GBPAUD</t>
  </si>
  <si>
    <t>GBPCAD</t>
  </si>
  <si>
    <t>GBPCHF</t>
  </si>
  <si>
    <t>GBPJPY</t>
  </si>
  <si>
    <t>GBPNZD</t>
  </si>
  <si>
    <t>GBPSGD</t>
  </si>
  <si>
    <t>GBPUSD</t>
  </si>
  <si>
    <t>NZDCAD</t>
  </si>
  <si>
    <t>NZDCHF</t>
  </si>
  <si>
    <t>NZDJPY</t>
  </si>
  <si>
    <t>NZDSGD</t>
  </si>
  <si>
    <t>NZDUSD</t>
  </si>
  <si>
    <t>SGDJPY</t>
  </si>
  <si>
    <t>USDCAD</t>
  </si>
  <si>
    <t>USDCHF</t>
  </si>
  <si>
    <t>USDHKD</t>
  </si>
  <si>
    <t>USDJPY</t>
  </si>
  <si>
    <t>USDSGD</t>
  </si>
  <si>
    <t>AUD</t>
  </si>
  <si>
    <t>CAD</t>
  </si>
  <si>
    <t>CHF</t>
  </si>
  <si>
    <t>EUR</t>
  </si>
  <si>
    <t>GBP</t>
  </si>
  <si>
    <t>NZD</t>
  </si>
  <si>
    <t>SGD</t>
  </si>
  <si>
    <t>USD</t>
  </si>
  <si>
    <t>JPY</t>
  </si>
  <si>
    <t>HKD</t>
  </si>
  <si>
    <t>CCY</t>
  </si>
  <si>
    <t>Third currency</t>
  </si>
  <si>
    <t>Cross rate</t>
  </si>
  <si>
    <t>Rate one</t>
  </si>
  <si>
    <t>Rate two</t>
  </si>
  <si>
    <t>Broker A</t>
  </si>
  <si>
    <t>Broker B</t>
  </si>
  <si>
    <t>Implied cross rate</t>
  </si>
  <si>
    <t>Pair</t>
  </si>
  <si>
    <t>Buy rate</t>
  </si>
  <si>
    <t>Sell rate</t>
  </si>
  <si>
    <t>Profit</t>
  </si>
  <si>
    <t>Trade size</t>
  </si>
  <si>
    <t>val</t>
  </si>
  <si>
    <t>Period</t>
  </si>
  <si>
    <t>days</t>
  </si>
  <si>
    <t>months</t>
  </si>
  <si>
    <t>years</t>
  </si>
  <si>
    <t>Disclaimer</t>
  </si>
  <si>
    <t>This software is provided through our website (Forexop.com) for demonstration purposes only. Reproduction is prohibited other than in accordance with the copyright notice, which forms part of these terms and conditions.
Forex, CFDs, options and other leveraged products carry a high degree of risk. They are not suitable for all investors. You should obtain independent financial advice before investing to ensure such products are suitable for your particular circumstances.
This software may describe business strategies, investment ideas, marketing methods and other business advice that, regardless of our own results and experience, may not produce the same results (or any results) for you. 
Forexop.com makes absolutely no guarantee, expressed or implied, that by following the advice or using the software that you will make any money or improve current profits, as there are several factors and variables that come into play regarding any given business.
Primarily, results will depend on the nature of the investment, the market conditions, the experience of the individual, and situations and elements that are beyond your control.
As with any strategy, you assume all risk related to investment and money based on your own discretion and at your own potential expense.
Liability Disclaimer: By using this software, you assume all risks associated with using the advice given, with a full understanding that you, solely, are responsible for anything that may occur as a result of putting this information into action in any way, and regardless of your interpretation of the advice.
Full disclaimer:  http://forexop.com/disclaimer/</t>
  </si>
  <si>
    <t>Full disclaimer:  http://forexop.com/disclaimer/</t>
  </si>
  <si>
    <t>Find us</t>
  </si>
  <si>
    <t>forexop</t>
  </si>
  <si>
    <t>fb</t>
  </si>
  <si>
    <t>facebook</t>
  </si>
  <si>
    <t>twitter</t>
  </si>
  <si>
    <t>@forexop</t>
  </si>
  <si>
    <t>Arbitrage Calculator</t>
  </si>
  <si>
    <t>Contracts to trade</t>
  </si>
  <si>
    <t>Contract size</t>
  </si>
  <si>
    <t xml:space="preserve">Delivery </t>
  </si>
  <si>
    <t>Interest rate spread</t>
  </si>
  <si>
    <t>Fair value</t>
  </si>
  <si>
    <t>Anomaly</t>
  </si>
  <si>
    <t>Deliver amount</t>
  </si>
  <si>
    <t>Receive amount</t>
  </si>
  <si>
    <t>Forward and futures Arbitrage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</si>
</sst>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0"/>
    <numFmt numFmtId="165" formatCode="0.0000"/>
    <numFmt numFmtId="166" formatCode="#,##0.0000"/>
  </numFmts>
  <fonts count="24">
    <font>
      <sz val="11"/>
      <color theme="1"/>
      <name val="Calibri"/>
      <family val="2"/>
      <scheme val="minor"/>
    </font>
    <font>
      <b/>
      <sz val="11"/>
      <color theme="1"/>
      <name val="Calibri"/>
      <family val="2"/>
      <scheme val="minor"/>
    </font>
    <font>
      <sz val="10"/>
      <name val="Arial"/>
      <family val="2"/>
    </font>
    <font>
      <sz val="22"/>
      <name val="Arial"/>
      <family val="2"/>
    </font>
    <font>
      <b/>
      <sz val="10"/>
      <name val="Arial"/>
      <family val="2"/>
    </font>
    <font>
      <b/>
      <sz val="16"/>
      <name val="Arial"/>
      <family val="2"/>
    </font>
    <font>
      <sz val="10"/>
      <name val="Mangal"/>
      <family val="2"/>
    </font>
    <font>
      <sz val="10"/>
      <color indexed="8"/>
      <name val="Mangal"/>
      <family val="2"/>
    </font>
    <font>
      <sz val="10"/>
      <color indexed="25"/>
      <name val="Mangal"/>
      <family val="2"/>
    </font>
    <font>
      <sz val="10"/>
      <color indexed="17"/>
      <name val="Mangal"/>
      <family val="2"/>
    </font>
    <font>
      <sz val="10"/>
      <color indexed="10"/>
      <name val="Mangal"/>
      <family val="2"/>
    </font>
    <font>
      <sz val="10"/>
      <color indexed="62"/>
      <name val="Arial"/>
      <family val="2"/>
    </font>
    <font>
      <b/>
      <sz val="18"/>
      <color indexed="53"/>
      <name val="Arial"/>
      <family val="2"/>
    </font>
    <font>
      <b/>
      <sz val="10"/>
      <color indexed="53"/>
      <name val="Arial"/>
      <family val="2"/>
    </font>
    <font>
      <b/>
      <sz val="16"/>
      <color theme="0"/>
      <name val="Calibri"/>
      <family val="2"/>
      <scheme val="minor"/>
    </font>
    <font>
      <u/>
      <sz val="10"/>
      <color theme="9"/>
      <name val="Arial"/>
      <family val="2"/>
    </font>
    <font>
      <sz val="12"/>
      <color theme="1"/>
      <name val="Calibri"/>
      <family val="2"/>
      <scheme val="minor"/>
    </font>
    <font>
      <b/>
      <sz val="12"/>
      <color theme="1"/>
      <name val="Calibri"/>
      <family val="2"/>
      <scheme val="minor"/>
    </font>
    <font>
      <b/>
      <sz val="12"/>
      <color rgb="FFFF0000"/>
      <name val="Calibri"/>
      <family val="2"/>
      <scheme val="minor"/>
    </font>
    <font>
      <b/>
      <sz val="12"/>
      <color rgb="FFFFC000"/>
      <name val="Calibri"/>
      <family val="2"/>
      <scheme val="minor"/>
    </font>
    <font>
      <sz val="18"/>
      <color rgb="FFFFC000"/>
      <name val="Calibri"/>
      <family val="2"/>
      <scheme val="minor"/>
    </font>
    <font>
      <sz val="11"/>
      <color rgb="FFFFC000"/>
      <name val="Calibri"/>
      <family val="2"/>
      <scheme val="minor"/>
    </font>
    <font>
      <sz val="9"/>
      <color indexed="81"/>
      <name val="Tahoma"/>
      <family val="2"/>
    </font>
    <font>
      <sz val="9"/>
      <color indexed="81"/>
      <name val="Tahoma"/>
      <charset val="1"/>
    </font>
  </fonts>
  <fills count="10">
    <fill>
      <patternFill patternType="none"/>
    </fill>
    <fill>
      <patternFill patternType="gray125"/>
    </fill>
    <fill>
      <patternFill patternType="solid">
        <fgColor theme="0" tint="-0.14999847407452621"/>
        <bgColor indexed="64"/>
      </patternFill>
    </fill>
    <fill>
      <patternFill patternType="solid">
        <fgColor indexed="25"/>
        <bgColor indexed="60"/>
      </patternFill>
    </fill>
    <fill>
      <patternFill patternType="solid">
        <fgColor indexed="11"/>
        <bgColor indexed="57"/>
      </patternFill>
    </fill>
    <fill>
      <patternFill patternType="solid">
        <fgColor theme="1"/>
        <bgColor indexed="64"/>
      </patternFill>
    </fill>
    <fill>
      <patternFill patternType="solid">
        <fgColor indexed="8"/>
        <bgColor indexed="58"/>
      </patternFill>
    </fill>
    <fill>
      <patternFill patternType="solid">
        <fgColor rgb="FFDFF1CB"/>
        <bgColor indexed="64"/>
      </patternFill>
    </fill>
    <fill>
      <patternFill patternType="solid">
        <fgColor theme="0" tint="-4.9989318521683403E-2"/>
        <bgColor indexed="64"/>
      </patternFill>
    </fill>
    <fill>
      <patternFill patternType="solid">
        <fgColor theme="1" tint="0.34998626667073579"/>
        <bgColor indexed="64"/>
      </patternFill>
    </fill>
  </fills>
  <borders count="1">
    <border>
      <left/>
      <right/>
      <top/>
      <bottom/>
      <diagonal/>
    </border>
  </borders>
  <cellStyleXfs count="10">
    <xf numFmtId="0" fontId="0" fillId="0" borderId="0"/>
    <xf numFmtId="0" fontId="2" fillId="0" borderId="0"/>
    <xf numFmtId="0" fontId="2" fillId="0" borderId="0"/>
    <xf numFmtId="0" fontId="6" fillId="3" borderId="0"/>
    <xf numFmtId="0" fontId="6" fillId="4" borderId="0"/>
    <xf numFmtId="0" fontId="7" fillId="0" borderId="0"/>
    <xf numFmtId="0" fontId="8" fillId="0" borderId="0"/>
    <xf numFmtId="0" fontId="9" fillId="0" borderId="0"/>
    <xf numFmtId="0" fontId="10" fillId="0" borderId="0"/>
    <xf numFmtId="0" fontId="15" fillId="0" borderId="0" applyNumberFormat="0" applyFill="0" applyBorder="0" applyAlignment="0" applyProtection="0">
      <alignment vertical="top"/>
      <protection locked="0"/>
    </xf>
  </cellStyleXfs>
  <cellXfs count="53">
    <xf numFmtId="0" fontId="0" fillId="0" borderId="0" xfId="0"/>
    <xf numFmtId="2" fontId="0" fillId="0" borderId="0" xfId="0" applyNumberFormat="1" applyProtection="1">
      <protection hidden="1"/>
    </xf>
    <xf numFmtId="164" fontId="0" fillId="0" borderId="0" xfId="0" applyNumberFormat="1" applyProtection="1">
      <protection hidden="1"/>
    </xf>
    <xf numFmtId="0" fontId="0" fillId="2" borderId="0" xfId="0" applyFill="1"/>
    <xf numFmtId="165" fontId="0" fillId="2" borderId="0" xfId="0" applyNumberFormat="1" applyFill="1"/>
    <xf numFmtId="0" fontId="1" fillId="2" borderId="0" xfId="0" applyFont="1" applyFill="1"/>
    <xf numFmtId="4" fontId="1" fillId="2" borderId="0" xfId="0" applyNumberFormat="1" applyFont="1" applyFill="1"/>
    <xf numFmtId="4" fontId="0" fillId="2" borderId="0" xfId="0" applyNumberFormat="1" applyFill="1"/>
    <xf numFmtId="0" fontId="3" fillId="0" borderId="0" xfId="1" applyFont="1" applyProtection="1">
      <protection hidden="1"/>
    </xf>
    <xf numFmtId="0" fontId="2" fillId="0" borderId="0" xfId="1" applyProtection="1">
      <protection hidden="1"/>
    </xf>
    <xf numFmtId="0" fontId="4" fillId="0" borderId="0" xfId="1" applyFont="1" applyAlignment="1" applyProtection="1">
      <alignment vertical="top" wrapText="1"/>
      <protection hidden="1"/>
    </xf>
    <xf numFmtId="0" fontId="5" fillId="0" borderId="0" xfId="1" applyFont="1" applyProtection="1">
      <protection hidden="1"/>
    </xf>
    <xf numFmtId="0" fontId="0" fillId="5" borderId="0" xfId="0" applyFill="1" applyProtection="1">
      <protection hidden="1"/>
    </xf>
    <xf numFmtId="0" fontId="2" fillId="5" borderId="0" xfId="2" applyFill="1" applyProtection="1">
      <protection hidden="1"/>
    </xf>
    <xf numFmtId="2" fontId="11" fillId="5" borderId="0" xfId="1" applyNumberFormat="1" applyFont="1" applyFill="1" applyProtection="1">
      <protection hidden="1"/>
    </xf>
    <xf numFmtId="0" fontId="0" fillId="0" borderId="0" xfId="0" applyProtection="1">
      <protection hidden="1"/>
    </xf>
    <xf numFmtId="0" fontId="12" fillId="6" borderId="0" xfId="2" applyFont="1" applyFill="1" applyProtection="1">
      <protection hidden="1"/>
    </xf>
    <xf numFmtId="0" fontId="13" fillId="6" borderId="0" xfId="2" applyFont="1" applyFill="1" applyProtection="1">
      <protection hidden="1"/>
    </xf>
    <xf numFmtId="0" fontId="14" fillId="5" borderId="0" xfId="0" applyFont="1" applyFill="1" applyAlignment="1" applyProtection="1">
      <alignment horizontal="right" vertical="center"/>
      <protection hidden="1"/>
    </xf>
    <xf numFmtId="0" fontId="2" fillId="5" borderId="0" xfId="2" applyFill="1" applyAlignment="1" applyProtection="1">
      <alignment vertical="center"/>
      <protection hidden="1"/>
    </xf>
    <xf numFmtId="0" fontId="15" fillId="6" borderId="0" xfId="9" applyFill="1" applyAlignment="1" applyProtection="1">
      <alignment vertical="center"/>
      <protection hidden="1"/>
    </xf>
    <xf numFmtId="0" fontId="13" fillId="5" borderId="0" xfId="2" applyFont="1" applyFill="1" applyAlignment="1" applyProtection="1">
      <alignment horizontal="right" vertical="center"/>
      <protection hidden="1"/>
    </xf>
    <xf numFmtId="0" fontId="15" fillId="5" borderId="0" xfId="9" applyFill="1" applyAlignment="1" applyProtection="1">
      <alignment vertical="center"/>
      <protection hidden="1"/>
    </xf>
    <xf numFmtId="165" fontId="2" fillId="5" borderId="0" xfId="2" applyNumberFormat="1" applyFill="1" applyProtection="1">
      <protection hidden="1"/>
    </xf>
    <xf numFmtId="0" fontId="0" fillId="5" borderId="0" xfId="0" applyFill="1" applyAlignment="1" applyProtection="1">
      <alignment vertical="center"/>
      <protection hidden="1"/>
    </xf>
    <xf numFmtId="0" fontId="16" fillId="0" borderId="0" xfId="0" applyFont="1"/>
    <xf numFmtId="0" fontId="18" fillId="0" borderId="0" xfId="0" applyFont="1"/>
    <xf numFmtId="0" fontId="17" fillId="0" borderId="0" xfId="0" applyFont="1"/>
    <xf numFmtId="165" fontId="16" fillId="0" borderId="0" xfId="0" applyNumberFormat="1" applyFont="1"/>
    <xf numFmtId="0" fontId="19" fillId="5" borderId="0" xfId="0" applyFont="1" applyFill="1"/>
    <xf numFmtId="4" fontId="19" fillId="5" borderId="0" xfId="0" applyNumberFormat="1" applyFont="1" applyFill="1"/>
    <xf numFmtId="0" fontId="16" fillId="7" borderId="0" xfId="0" applyFont="1" applyFill="1" applyAlignment="1" applyProtection="1">
      <alignment horizontal="left"/>
      <protection locked="0"/>
    </xf>
    <xf numFmtId="0" fontId="17" fillId="7" borderId="0" xfId="0" applyFont="1" applyFill="1" applyProtection="1">
      <protection locked="0"/>
    </xf>
    <xf numFmtId="165" fontId="16" fillId="7" borderId="0" xfId="0" applyNumberFormat="1" applyFont="1" applyFill="1" applyProtection="1">
      <protection locked="0"/>
    </xf>
    <xf numFmtId="0" fontId="0" fillId="8" borderId="0" xfId="0" applyFill="1"/>
    <xf numFmtId="4" fontId="0" fillId="8" borderId="0" xfId="0" applyNumberFormat="1" applyFill="1"/>
    <xf numFmtId="165" fontId="0" fillId="8" borderId="0" xfId="0" applyNumberFormat="1" applyFill="1"/>
    <xf numFmtId="10" fontId="0" fillId="8" borderId="0" xfId="0" applyNumberFormat="1" applyFill="1"/>
    <xf numFmtId="0" fontId="1" fillId="8" borderId="0" xfId="0" applyFont="1" applyFill="1"/>
    <xf numFmtId="4" fontId="1" fillId="8" borderId="0" xfId="0" applyNumberFormat="1" applyFont="1" applyFill="1"/>
    <xf numFmtId="166" fontId="16" fillId="0" borderId="0" xfId="0" applyNumberFormat="1" applyFont="1"/>
    <xf numFmtId="165" fontId="16" fillId="0" borderId="0" xfId="0" applyNumberFormat="1" applyFont="1" applyFill="1"/>
    <xf numFmtId="10" fontId="16" fillId="0" borderId="0" xfId="0" applyNumberFormat="1" applyFont="1" applyFill="1"/>
    <xf numFmtId="4" fontId="16" fillId="0" borderId="0" xfId="0" applyNumberFormat="1" applyFont="1" applyFill="1"/>
    <xf numFmtId="0" fontId="16" fillId="0" borderId="0" xfId="0" applyFont="1" applyFill="1"/>
    <xf numFmtId="0" fontId="17" fillId="7" borderId="0" xfId="0" applyFont="1" applyFill="1" applyAlignment="1" applyProtection="1">
      <alignment horizontal="right"/>
      <protection locked="0"/>
    </xf>
    <xf numFmtId="0" fontId="16" fillId="7" borderId="0" xfId="0" applyFont="1" applyFill="1" applyProtection="1">
      <protection locked="0"/>
    </xf>
    <xf numFmtId="3" fontId="16" fillId="7" borderId="0" xfId="0" applyNumberFormat="1" applyFont="1" applyFill="1" applyAlignment="1" applyProtection="1">
      <alignment horizontal="right"/>
      <protection locked="0"/>
    </xf>
    <xf numFmtId="0" fontId="16" fillId="7" borderId="0" xfId="0" applyFont="1" applyFill="1" applyAlignment="1" applyProtection="1">
      <alignment horizontal="right"/>
      <protection locked="0"/>
    </xf>
    <xf numFmtId="10" fontId="16" fillId="7" borderId="0" xfId="0" applyNumberFormat="1" applyFont="1" applyFill="1" applyAlignment="1" applyProtection="1">
      <alignment horizontal="right"/>
      <protection locked="0"/>
    </xf>
    <xf numFmtId="10" fontId="16" fillId="7" borderId="0" xfId="0" applyNumberFormat="1" applyFont="1" applyFill="1" applyProtection="1">
      <protection locked="0"/>
    </xf>
    <xf numFmtId="0" fontId="20" fillId="9" borderId="0" xfId="0" applyFont="1" applyFill="1"/>
    <xf numFmtId="0" fontId="21" fillId="9" borderId="0" xfId="0" applyFont="1" applyFill="1"/>
  </cellXfs>
  <cellStyles count="10">
    <cellStyle name="Excel Built-in Normal" xfId="2"/>
    <cellStyle name="Hyperlink" xfId="9" builtinId="8"/>
    <cellStyle name="Normal" xfId="0" builtinId="0"/>
    <cellStyle name="Normal 2" xfId="1"/>
    <cellStyle name="Untitled1" xfId="3"/>
    <cellStyle name="Untitled2" xfId="4"/>
    <cellStyle name="Untitled3" xfId="5"/>
    <cellStyle name="Untitled4" xfId="6"/>
    <cellStyle name="Untitled5" xfId="7"/>
    <cellStyle name="Untitled6" xfId="8"/>
  </cellStyles>
  <dxfs count="0"/>
  <tableStyles count="0" defaultTableStyle="TableStyleMedium9" defaultPivotStyle="PivotStyleLight16"/>
  <colors>
    <mruColors>
      <color rgb="FFDFF1C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forexop.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57151</xdr:rowOff>
    </xdr:from>
    <xdr:to>
      <xdr:col>1</xdr:col>
      <xdr:colOff>171212</xdr:colOff>
      <xdr:row>2</xdr:row>
      <xdr:rowOff>174544</xdr:rowOff>
    </xdr:to>
    <xdr:pic>
      <xdr:nvPicPr>
        <xdr:cNvPr id="3" name="Picture 2" descr="forexop_white.pn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190500" y="57151"/>
          <a:ext cx="1904762" cy="6603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witter.com/forexop" TargetMode="External"/><Relationship Id="rId7" Type="http://schemas.openxmlformats.org/officeDocument/2006/relationships/comments" Target="../comments1.xml"/><Relationship Id="rId2" Type="http://schemas.openxmlformats.org/officeDocument/2006/relationships/hyperlink" Target="https://facebook.com/forexop" TargetMode="External"/><Relationship Id="rId1" Type="http://schemas.openxmlformats.org/officeDocument/2006/relationships/hyperlink" Target="http://forexop.com/"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3"/>
  <sheetViews>
    <sheetView tabSelected="1" workbookViewId="0">
      <selection activeCell="B6" sqref="B6"/>
    </sheetView>
  </sheetViews>
  <sheetFormatPr defaultRowHeight="15"/>
  <cols>
    <col min="1" max="1" width="28.85546875" customWidth="1"/>
    <col min="2" max="3" width="11.85546875" customWidth="1"/>
    <col min="4" max="4" width="13" customWidth="1"/>
    <col min="5" max="5" width="0" hidden="1" customWidth="1"/>
    <col min="6" max="6" width="7" bestFit="1" customWidth="1"/>
    <col min="7" max="7" width="32.85546875" customWidth="1"/>
    <col min="8" max="8" width="10.7109375" customWidth="1"/>
    <col min="9" max="9" width="13.7109375" customWidth="1"/>
    <col min="10" max="10" width="12.7109375" bestFit="1" customWidth="1"/>
  </cols>
  <sheetData>
    <row r="1" spans="1:14" s="15" customFormat="1">
      <c r="A1" s="12"/>
      <c r="B1" s="13"/>
      <c r="C1" s="13"/>
      <c r="D1" s="13"/>
      <c r="E1" s="13"/>
      <c r="F1" s="14"/>
      <c r="G1" s="13"/>
      <c r="H1" s="13"/>
      <c r="I1" s="13"/>
      <c r="J1" s="13"/>
      <c r="K1" s="13"/>
      <c r="L1" s="13"/>
      <c r="M1" s="13"/>
      <c r="N1" s="12"/>
    </row>
    <row r="2" spans="1:14" s="15" customFormat="1" ht="27.75" customHeight="1">
      <c r="A2" s="12"/>
      <c r="B2" s="16" t="s">
        <v>79</v>
      </c>
      <c r="C2" s="13"/>
      <c r="D2" s="12"/>
      <c r="E2" s="17"/>
      <c r="F2" s="17"/>
      <c r="G2" s="17"/>
      <c r="H2" s="18" t="s">
        <v>73</v>
      </c>
      <c r="I2" s="19"/>
      <c r="J2" s="20" t="s">
        <v>74</v>
      </c>
      <c r="K2" s="21" t="s">
        <v>75</v>
      </c>
      <c r="L2" s="22" t="s">
        <v>76</v>
      </c>
      <c r="M2" s="21" t="s">
        <v>77</v>
      </c>
      <c r="N2" s="22" t="s">
        <v>78</v>
      </c>
    </row>
    <row r="3" spans="1:14" s="15" customFormat="1">
      <c r="A3" s="12"/>
      <c r="B3" s="23"/>
      <c r="C3" s="13"/>
      <c r="D3" s="13"/>
      <c r="E3" s="13"/>
      <c r="F3" s="14"/>
      <c r="G3" s="13"/>
      <c r="H3" s="19"/>
      <c r="I3" s="19"/>
      <c r="J3" s="19"/>
      <c r="K3" s="19"/>
      <c r="L3" s="19"/>
      <c r="M3" s="24"/>
      <c r="N3" s="24"/>
    </row>
    <row r="4" spans="1:14" ht="23.25">
      <c r="A4" s="51" t="s">
        <v>0</v>
      </c>
      <c r="B4" s="52"/>
      <c r="C4" s="52"/>
      <c r="D4" s="52"/>
      <c r="E4" s="52"/>
      <c r="F4" s="52"/>
      <c r="G4" s="51" t="s">
        <v>88</v>
      </c>
      <c r="H4" s="52"/>
      <c r="I4" s="52"/>
      <c r="J4" s="52"/>
      <c r="K4" s="52"/>
      <c r="L4" s="52"/>
      <c r="M4" s="52"/>
      <c r="N4" s="52"/>
    </row>
    <row r="6" spans="1:14" ht="15.75">
      <c r="A6" s="25" t="s">
        <v>64</v>
      </c>
      <c r="B6" s="31">
        <v>10000</v>
      </c>
      <c r="C6" s="25"/>
      <c r="D6" s="25"/>
      <c r="G6" s="25" t="s">
        <v>1</v>
      </c>
      <c r="H6" s="45" t="s">
        <v>46</v>
      </c>
      <c r="I6" s="25" t="str">
        <f>H6&amp;"/"&amp;H7</f>
        <v>GBP/USD</v>
      </c>
    </row>
    <row r="7" spans="1:14" ht="15.75">
      <c r="A7" s="25" t="s">
        <v>1</v>
      </c>
      <c r="B7" s="32" t="s">
        <v>45</v>
      </c>
      <c r="C7" s="25"/>
      <c r="D7" s="26" t="str">
        <f>IF(OR(B7=B8,B7=B9,B8=B9),"Error : Currencies cannot be the same","")</f>
        <v/>
      </c>
      <c r="G7" s="25" t="s">
        <v>2</v>
      </c>
      <c r="H7" s="45" t="s">
        <v>49</v>
      </c>
      <c r="I7" s="25"/>
      <c r="J7" s="26" t="str">
        <f>IF(OR(H6=H7),"Error: Currencies cannot be the same","")</f>
        <v/>
      </c>
    </row>
    <row r="8" spans="1:14" ht="15.75">
      <c r="A8" s="25" t="s">
        <v>2</v>
      </c>
      <c r="B8" s="32" t="s">
        <v>46</v>
      </c>
      <c r="C8" s="25"/>
      <c r="D8" s="25"/>
      <c r="G8" s="25" t="str">
        <f>H6&amp;"/"&amp;H7 &amp; " Futures quote"</f>
        <v>GBP/USD Futures quote</v>
      </c>
      <c r="H8" s="33">
        <v>1.44</v>
      </c>
      <c r="I8" s="25"/>
    </row>
    <row r="9" spans="1:14" ht="15.75">
      <c r="A9" s="25" t="s">
        <v>53</v>
      </c>
      <c r="B9" s="32" t="s">
        <v>49</v>
      </c>
      <c r="C9" s="25"/>
      <c r="D9" s="25"/>
      <c r="G9" s="25" t="str">
        <f>H6 &amp; "/" &amp;H7 &amp; " Spot quote"</f>
        <v>GBP/USD Spot quote</v>
      </c>
      <c r="H9" s="33">
        <v>1.45</v>
      </c>
      <c r="I9" s="25"/>
      <c r="J9" s="25"/>
    </row>
    <row r="10" spans="1:14" ht="15.75">
      <c r="A10" s="25"/>
      <c r="B10" s="25"/>
      <c r="C10" s="25"/>
      <c r="D10" s="25"/>
      <c r="G10" s="25" t="s">
        <v>80</v>
      </c>
      <c r="H10" s="46">
        <v>1</v>
      </c>
      <c r="I10" s="25"/>
      <c r="J10" s="25"/>
    </row>
    <row r="11" spans="1:14" ht="15.75">
      <c r="A11" s="27" t="s">
        <v>57</v>
      </c>
      <c r="B11" s="27" t="s">
        <v>60</v>
      </c>
      <c r="C11" s="27" t="s">
        <v>61</v>
      </c>
      <c r="D11" s="27" t="s">
        <v>62</v>
      </c>
      <c r="E11" s="5" t="s">
        <v>65</v>
      </c>
      <c r="G11" s="25" t="s">
        <v>81</v>
      </c>
      <c r="H11" s="47">
        <v>1000</v>
      </c>
      <c r="I11" s="25"/>
      <c r="J11" s="25"/>
    </row>
    <row r="12" spans="1:14" ht="15.75">
      <c r="A12" s="25" t="s">
        <v>55</v>
      </c>
      <c r="B12" s="25" t="str">
        <f>B7 &amp; "/" &amp; B9</f>
        <v>EUR/USD</v>
      </c>
      <c r="C12" s="33">
        <v>1.2215</v>
      </c>
      <c r="D12" s="33">
        <v>1.2210000000000001</v>
      </c>
      <c r="E12" s="3">
        <f>IF(AND(D12&gt;0,D12&lt;=C12),1,0)</f>
        <v>1</v>
      </c>
      <c r="G12" s="25" t="s">
        <v>82</v>
      </c>
      <c r="H12" s="48">
        <v>12</v>
      </c>
      <c r="I12" s="46" t="s">
        <v>68</v>
      </c>
      <c r="J12" s="25"/>
    </row>
    <row r="13" spans="1:14" ht="15.75">
      <c r="A13" s="25" t="s">
        <v>56</v>
      </c>
      <c r="B13" s="25" t="str">
        <f>B8 &amp; "/" &amp; B9</f>
        <v>GBP/USD</v>
      </c>
      <c r="C13" s="33">
        <v>1.5505</v>
      </c>
      <c r="D13" s="33">
        <v>1.55</v>
      </c>
      <c r="E13" s="3">
        <f>IF(AND(D13&gt;0,D13&lt;=C13),1,0)</f>
        <v>1</v>
      </c>
      <c r="G13" s="25" t="str">
        <f>H6 &amp; " " &amp; H12 &amp; "-" &amp; I12 &amp; " interest rate"</f>
        <v>GBP 12-months interest rate</v>
      </c>
      <c r="H13" s="49">
        <v>0.03</v>
      </c>
      <c r="I13" s="25"/>
      <c r="J13" s="25"/>
    </row>
    <row r="14" spans="1:14" ht="15.75">
      <c r="A14" s="25" t="s">
        <v>59</v>
      </c>
      <c r="B14" s="25" t="str">
        <f>B17</f>
        <v>EUR/GBP</v>
      </c>
      <c r="C14" s="28">
        <f>C12/C13</f>
        <v>0.78781038374717838</v>
      </c>
      <c r="D14" s="28">
        <v>0.81220000000000003</v>
      </c>
      <c r="E14" s="3"/>
      <c r="G14" s="25" t="str">
        <f>H7 &amp; " " &amp; H12 &amp; "-" &amp; I12 &amp; " interest rate"</f>
        <v>USD 12-months interest rate</v>
      </c>
      <c r="H14" s="49">
        <v>1.4999999999999999E-2</v>
      </c>
      <c r="I14" s="25"/>
      <c r="J14" s="25"/>
    </row>
    <row r="15" spans="1:14" ht="15.75">
      <c r="A15" s="25"/>
      <c r="B15" s="25"/>
      <c r="C15" s="28"/>
      <c r="D15" s="28"/>
      <c r="E15" s="3"/>
      <c r="G15" s="25" t="s">
        <v>83</v>
      </c>
      <c r="H15" s="50">
        <v>0</v>
      </c>
      <c r="I15" s="25"/>
      <c r="J15" s="25"/>
    </row>
    <row r="16" spans="1:14" ht="15.75">
      <c r="A16" s="27" t="s">
        <v>58</v>
      </c>
      <c r="B16" s="25"/>
      <c r="C16" s="28"/>
      <c r="D16" s="28"/>
      <c r="E16" s="3"/>
      <c r="G16" s="25"/>
      <c r="H16" s="25"/>
      <c r="I16" s="25"/>
      <c r="J16" s="25"/>
    </row>
    <row r="17" spans="1:10" ht="15.75">
      <c r="A17" s="25" t="s">
        <v>54</v>
      </c>
      <c r="B17" s="25" t="str">
        <f>B7 &amp; "/" &amp; B8</f>
        <v>EUR/GBP</v>
      </c>
      <c r="C17" s="33">
        <v>0.78</v>
      </c>
      <c r="D17" s="33">
        <v>0.77949999999999997</v>
      </c>
      <c r="E17" s="3">
        <f>IF(AND(D17&gt;0,D17&lt;=C17),1,0)</f>
        <v>1</v>
      </c>
      <c r="G17" s="25" t="s">
        <v>84</v>
      </c>
      <c r="H17" s="40">
        <f>H9*EXP(H14-H13)</f>
        <v>1.4284123124244408</v>
      </c>
      <c r="I17" s="25"/>
      <c r="J17" s="25"/>
    </row>
    <row r="18" spans="1:10" ht="15.75">
      <c r="A18" s="25"/>
      <c r="B18" s="25" t="str">
        <f>RIGHT(B17,3)&amp;"/"&amp;LEFT(B17,3)</f>
        <v>GBP/EUR</v>
      </c>
      <c r="C18" s="25">
        <f>ROUND(1/C17,4)</f>
        <v>1.2821</v>
      </c>
      <c r="D18" s="25">
        <f>ROUND(1/D17,4)</f>
        <v>1.2828999999999999</v>
      </c>
      <c r="E18" s="3"/>
      <c r="G18" s="25" t="s">
        <v>85</v>
      </c>
      <c r="H18" s="40">
        <f>H8-H17</f>
        <v>1.1587687575559169E-2</v>
      </c>
      <c r="I18" s="25"/>
      <c r="J18" s="25"/>
    </row>
    <row r="19" spans="1:10" ht="15.75">
      <c r="A19" s="25"/>
      <c r="B19" s="25"/>
      <c r="C19" s="25"/>
      <c r="D19" s="25"/>
      <c r="G19" s="25"/>
      <c r="H19" s="25"/>
      <c r="I19" s="25"/>
      <c r="J19" s="25"/>
    </row>
    <row r="20" spans="1:10" ht="15.75">
      <c r="A20" s="27" t="str">
        <f>IF(OR(B36&gt;0,C36&gt;0),"Arbitrage opportunity","No arbitrage")</f>
        <v>Arbitrage opportunity</v>
      </c>
      <c r="B20" s="25"/>
      <c r="C20" s="25"/>
      <c r="D20" s="25"/>
      <c r="G20" s="27" t="str">
        <f>IF(OR(B60&gt;0,B72&gt;0),"Arbitrage opportunity","No arbitrage")</f>
        <v>Arbitrage opportunity</v>
      </c>
      <c r="H20" s="25"/>
      <c r="I20" s="25"/>
      <c r="J20" s="25"/>
    </row>
    <row r="21" spans="1:10" ht="15.75">
      <c r="A21" s="25" t="str">
        <f>INDEX(rngArb,$A$36,1)</f>
        <v>Buy 7800 x GBP from A @</v>
      </c>
      <c r="B21" s="28">
        <f>INDEX(rngArb,$A$36,2)</f>
        <v>1.20939</v>
      </c>
      <c r="C21" s="25" t="str">
        <f>INDEX(rngArb,$A$36,3)</f>
        <v>USD</v>
      </c>
      <c r="D21" s="28"/>
      <c r="G21" s="25" t="str">
        <f>INDEX(rngFutures,$A$49,1)</f>
        <v xml:space="preserve">Sell 1 x GBP/USD Future @ </v>
      </c>
      <c r="H21" s="41">
        <f>INDEX(rngFutures,$A$49,2)</f>
        <v>1.44</v>
      </c>
      <c r="I21" s="25"/>
      <c r="J21" s="25"/>
    </row>
    <row r="22" spans="1:10" ht="15.75">
      <c r="A22" s="25" t="str">
        <f>INDEX(rngArb,$A$36+1,1)</f>
        <v>Buy 10000 x EUR from B @</v>
      </c>
      <c r="B22" s="28">
        <f>INDEX(rngArb,$A$36+1,2)</f>
        <v>0.78</v>
      </c>
      <c r="C22" s="25" t="str">
        <f>INDEX(rngArb,$A$36+1,3)</f>
        <v>GBP</v>
      </c>
      <c r="D22" s="25"/>
      <c r="G22" s="25" t="str">
        <f>INDEX(rngFutures,$A$49+1,1)</f>
        <v>Borrow USD 1407.15 @</v>
      </c>
      <c r="H22" s="42">
        <f>INDEX(rngFutures,$A$49+1,2)</f>
        <v>1.4999999999999999E-2</v>
      </c>
      <c r="I22" s="25"/>
      <c r="J22" s="25"/>
    </row>
    <row r="23" spans="1:10" ht="15.75">
      <c r="A23" s="25" t="str">
        <f>INDEX(rngArb,$A$36+2,1)</f>
        <v>Sell 10000 x EUR to A @</v>
      </c>
      <c r="B23" s="28">
        <f>INDEX(rngArb,$A$36+2,2)</f>
        <v>1.2210000000000001</v>
      </c>
      <c r="C23" s="25" t="str">
        <f>INDEX(rngArb,$A$36+2,3)</f>
        <v>USD</v>
      </c>
      <c r="D23" s="25"/>
      <c r="G23" s="25" t="str">
        <f>INDEX(rngFutures,$A$49+2,1)</f>
        <v xml:space="preserve">Convert USD 1407.15 to </v>
      </c>
      <c r="H23" s="43">
        <f>INDEX(rngFutures,$A$49+2,2)</f>
        <v>970.44553354850814</v>
      </c>
      <c r="I23" s="43" t="str">
        <f>INDEX(rngFutures,$A$49+2,3)</f>
        <v>GBP</v>
      </c>
      <c r="J23" s="25"/>
    </row>
    <row r="24" spans="1:10" ht="15.75">
      <c r="A24" s="29" t="str">
        <f>INDEX(rngArb,$A$36+3,1)</f>
        <v>Profit</v>
      </c>
      <c r="B24" s="30">
        <f>INDEX(rngArb,$A$36+3,2)</f>
        <v>116.1000000000012</v>
      </c>
      <c r="C24" s="29" t="str">
        <f>INDEX(rngArb,$A$36+3,3)</f>
        <v>USD</v>
      </c>
      <c r="D24" s="25"/>
      <c r="G24" s="25" t="str">
        <f>INDEX(rngFutures,$A$49+3,1)</f>
        <v>Deposit GBP 970.45 @</v>
      </c>
      <c r="H24" s="42">
        <f>INDEX(rngFutures,$A$49+3,2)</f>
        <v>0.03</v>
      </c>
      <c r="I24" s="25"/>
      <c r="J24" s="25"/>
    </row>
    <row r="25" spans="1:10" ht="15.75">
      <c r="D25" s="25"/>
      <c r="G25" s="25"/>
      <c r="H25" s="42"/>
      <c r="I25" s="25"/>
      <c r="J25" s="25"/>
    </row>
    <row r="26" spans="1:10" ht="15.75">
      <c r="D26" s="25"/>
      <c r="G26" s="25" t="str">
        <f>INDEX(rngFutures,$A$49+5,1)</f>
        <v>After 12 months</v>
      </c>
      <c r="H26" s="43"/>
      <c r="I26" s="25"/>
      <c r="J26" s="25"/>
    </row>
    <row r="27" spans="1:10" ht="15.75">
      <c r="D27" s="25"/>
      <c r="G27" s="25" t="str">
        <f>INDEX(rngFutures,$A$49+6,1)</f>
        <v>Value of GBP 970.45 is now</v>
      </c>
      <c r="H27" s="43">
        <f>INDEX(rngFutures,$A$49+6,2)</f>
        <v>1000</v>
      </c>
      <c r="I27" s="43" t="str">
        <f>INDEX(rngFutures,$A$49+6,3)</f>
        <v>GBP</v>
      </c>
      <c r="J27" s="25"/>
    </row>
    <row r="28" spans="1:10" ht="15.75">
      <c r="D28" s="25"/>
      <c r="G28" s="25" t="str">
        <f>INDEX(rngFutures,$A$49+7,1)</f>
        <v>Deliver amount</v>
      </c>
      <c r="H28" s="43">
        <f>INDEX(rngFutures,$A$49+7,2)</f>
        <v>1000</v>
      </c>
      <c r="I28" s="43" t="str">
        <f>INDEX(rngFutures,$A$49+7,3)</f>
        <v>GBP</v>
      </c>
      <c r="J28" s="25"/>
    </row>
    <row r="29" spans="1:10" ht="15.75">
      <c r="D29" s="25"/>
      <c r="G29" s="25" t="str">
        <f>INDEX(rngFutures,$A$49+8,1)</f>
        <v>Receive amount</v>
      </c>
      <c r="H29" s="44">
        <f>INDEX(rngFutures,$A$49+8,2)</f>
        <v>1440</v>
      </c>
      <c r="I29" s="44" t="str">
        <f>INDEX(rngFutures,$A$49+8,3)</f>
        <v>USD</v>
      </c>
      <c r="J29" s="25"/>
    </row>
    <row r="30" spans="1:10" ht="15.75">
      <c r="D30" s="25"/>
      <c r="G30" s="25" t="str">
        <f>INDEX(rngFutures,$A$49+9,1)</f>
        <v>Repay loan interest @ 1.5%</v>
      </c>
      <c r="H30" s="43">
        <f>INDEX(rngFutures,$A$49+9,2)</f>
        <v>21.266288779103888</v>
      </c>
      <c r="I30" s="43" t="str">
        <f>INDEX(rngFutures,$A$49+9,3)</f>
        <v>USD</v>
      </c>
      <c r="J30" s="25"/>
    </row>
    <row r="31" spans="1:10" ht="15.75">
      <c r="D31" s="25"/>
      <c r="G31" s="29" t="str">
        <f>INDEX(rngFutures,$A$49+10,1)</f>
        <v>Profit</v>
      </c>
      <c r="H31" s="30">
        <f>INDEX(rngFutures,$A$49+10,2)</f>
        <v>11.587687575559357</v>
      </c>
      <c r="I31" s="30" t="str">
        <f>INDEX(rngFutures,$A$49+10,3)</f>
        <v>USD</v>
      </c>
      <c r="J31" s="25"/>
    </row>
    <row r="32" spans="1:10" ht="15.75">
      <c r="J32" s="25"/>
    </row>
    <row r="34" spans="1:3" hidden="1"/>
    <row r="35" spans="1:3" hidden="1"/>
    <row r="36" spans="1:3" hidden="1">
      <c r="A36" s="3">
        <f>IF(B40&gt;0,1,6)</f>
        <v>1</v>
      </c>
      <c r="B36" s="7">
        <f>INDEX(rngArb,4,2)</f>
        <v>116.1000000000012</v>
      </c>
      <c r="C36" s="7">
        <f>INDEX(rngArb,3+A36,2)</f>
        <v>116.1000000000012</v>
      </c>
    </row>
    <row r="37" spans="1:3" hidden="1">
      <c r="A37" s="3" t="str">
        <f>"Buy " &amp; $C$17*$B$6 &amp; " x "  &amp; RIGHT($B$17,3) &amp; " from A @"</f>
        <v>Buy 7800 x GBP from A @</v>
      </c>
      <c r="B37" s="4">
        <f>$C$13*$C$17</f>
        <v>1.20939</v>
      </c>
      <c r="C37" s="3" t="str">
        <f>RIGHT(B12,3)</f>
        <v>USD</v>
      </c>
    </row>
    <row r="38" spans="1:3" hidden="1">
      <c r="A38" s="3" t="str">
        <f>"Buy " &amp;$B$6 &amp; " x "  &amp; LEFT($B$17,3) &amp; " from B @"</f>
        <v>Buy 10000 x EUR from B @</v>
      </c>
      <c r="B38" s="4">
        <f>$C$17</f>
        <v>0.78</v>
      </c>
      <c r="C38" s="3" t="str">
        <f>RIGHT($B$17,3)</f>
        <v>GBP</v>
      </c>
    </row>
    <row r="39" spans="1:3" hidden="1">
      <c r="A39" s="3" t="str">
        <f>"Sell " &amp; $B$6 &amp; " x " &amp; LEFT($B$17,3) &amp; " to A @"</f>
        <v>Sell 10000 x EUR to A @</v>
      </c>
      <c r="B39" s="4">
        <f>$D$12</f>
        <v>1.2210000000000001</v>
      </c>
      <c r="C39" s="3" t="str">
        <f>RIGHT($B$12,3)</f>
        <v>USD</v>
      </c>
    </row>
    <row r="40" spans="1:3" hidden="1">
      <c r="A40" s="5" t="s">
        <v>63</v>
      </c>
      <c r="B40" s="6">
        <f>B6*(B39-B37)</f>
        <v>116.1000000000012</v>
      </c>
      <c r="C40" s="5" t="str">
        <f>C39</f>
        <v>USD</v>
      </c>
    </row>
    <row r="41" spans="1:3" hidden="1">
      <c r="A41" s="3"/>
      <c r="B41" s="3"/>
      <c r="C41" s="3"/>
    </row>
    <row r="42" spans="1:3" hidden="1">
      <c r="A42" s="3" t="str">
        <f>"Sell " &amp; D18 &amp; " x "  &amp; LEFT($B$17,3) &amp; " to A @"</f>
        <v>Sell 1.2829 x EUR to A @</v>
      </c>
      <c r="B42" s="4">
        <f>$D$12*D18</f>
        <v>1.5664209</v>
      </c>
      <c r="C42" s="3" t="str">
        <f>RIGHT(B12,3)</f>
        <v>USD</v>
      </c>
    </row>
    <row r="43" spans="1:3" hidden="1">
      <c r="A43" s="3" t="str">
        <f>"Sell " &amp; 1 &amp; " x "  &amp; RIGHT($B$17,3) &amp; " to B @"</f>
        <v>Sell 1 x GBP to B @</v>
      </c>
      <c r="B43" s="4">
        <f>D18</f>
        <v>1.2828999999999999</v>
      </c>
      <c r="C43" s="3" t="str">
        <f>LEFT($B$17,3)</f>
        <v>EUR</v>
      </c>
    </row>
    <row r="44" spans="1:3" hidden="1">
      <c r="A44" s="3" t="str">
        <f>"Buy " &amp; $B$6 &amp; " x " &amp; RIGHT($B$17,3) &amp; " from A @"</f>
        <v>Buy 10000 x GBP from A @</v>
      </c>
      <c r="B44" s="4">
        <f>$D$13</f>
        <v>1.55</v>
      </c>
      <c r="C44" s="3" t="str">
        <f>RIGHT($B$12,3)</f>
        <v>USD</v>
      </c>
    </row>
    <row r="45" spans="1:3" hidden="1">
      <c r="A45" s="5" t="s">
        <v>63</v>
      </c>
      <c r="B45" s="6">
        <f>B6*(B44-B42)</f>
        <v>-164.20899999999961</v>
      </c>
      <c r="C45" s="5" t="str">
        <f>C44</f>
        <v>USD</v>
      </c>
    </row>
    <row r="46" spans="1:3" hidden="1"/>
    <row r="47" spans="1:3" hidden="1"/>
    <row r="48" spans="1:3" hidden="1"/>
    <row r="49" spans="1:6" hidden="1">
      <c r="A49" s="34">
        <f>IF(B49&gt;0,1,13)</f>
        <v>1</v>
      </c>
      <c r="B49" s="35">
        <f>B60</f>
        <v>11.587687575559357</v>
      </c>
      <c r="C49" s="35">
        <f>B72</f>
        <v>-8.1122848597486836</v>
      </c>
      <c r="D49" s="34"/>
      <c r="E49" s="34"/>
      <c r="F49" s="34"/>
    </row>
    <row r="50" spans="1:6" hidden="1">
      <c r="A50" s="34" t="str">
        <f>"Sell " &amp; $H$10 &amp; " x " &amp; $I$6 &amp; " Future @ "</f>
        <v xml:space="preserve">Sell 1 x GBP/USD Future @ </v>
      </c>
      <c r="B50" s="36">
        <f>$H$8</f>
        <v>1.44</v>
      </c>
      <c r="C50" s="34"/>
      <c r="D50" s="34"/>
      <c r="E50" s="34"/>
      <c r="F50" s="34"/>
    </row>
    <row r="51" spans="1:6" hidden="1">
      <c r="A51" s="34" t="str">
        <f>"Borrow " &amp; $H$7 &amp; " " &amp; ROUND($E$51,2) &amp; " @"</f>
        <v>Borrow USD 1407.15 @</v>
      </c>
      <c r="B51" s="37">
        <f>$H$14+$H$15</f>
        <v>1.4999999999999999E-2</v>
      </c>
      <c r="C51" s="34"/>
      <c r="D51" s="34">
        <f>$H$10*$H$11/EXP($H$13-$H$15)</f>
        <v>970.44553354850814</v>
      </c>
      <c r="E51" s="34">
        <f>($D$51*$H$9)</f>
        <v>1407.1460236453368</v>
      </c>
      <c r="F51" s="34"/>
    </row>
    <row r="52" spans="1:6" hidden="1">
      <c r="A52" s="34" t="str">
        <f>"Convert " &amp; $H$7 &amp; " " &amp; ROUND($E$51,2) &amp; " to "</f>
        <v xml:space="preserve">Convert USD 1407.15 to </v>
      </c>
      <c r="B52" s="35">
        <f>$D$51</f>
        <v>970.44553354850814</v>
      </c>
      <c r="C52" s="34" t="str">
        <f>$H$6</f>
        <v>GBP</v>
      </c>
      <c r="D52" s="34"/>
      <c r="E52" s="34"/>
      <c r="F52" s="34"/>
    </row>
    <row r="53" spans="1:6" hidden="1">
      <c r="A53" s="34" t="str">
        <f>"Deposit " &amp; $C$52 &amp; " " &amp; ROUND($B$52,2) &amp; " @"</f>
        <v>Deposit GBP 970.45 @</v>
      </c>
      <c r="B53" s="37">
        <f>$H$13-$H$15</f>
        <v>0.03</v>
      </c>
      <c r="C53" s="34"/>
      <c r="D53" s="34"/>
      <c r="E53" s="34"/>
      <c r="F53" s="34"/>
    </row>
    <row r="54" spans="1:6" hidden="1">
      <c r="A54" s="34"/>
      <c r="B54" s="37"/>
      <c r="C54" s="34"/>
      <c r="D54" s="34"/>
      <c r="E54" s="34"/>
      <c r="F54" s="34"/>
    </row>
    <row r="55" spans="1:6" hidden="1">
      <c r="A55" s="38" t="str">
        <f>"After " &amp; $H$12 &amp; " " &amp; $I$12</f>
        <v>After 12 months</v>
      </c>
      <c r="B55" s="35"/>
      <c r="C55" s="34"/>
      <c r="D55" s="34"/>
      <c r="E55" s="34"/>
      <c r="F55" s="34"/>
    </row>
    <row r="56" spans="1:6" hidden="1">
      <c r="A56" s="34" t="str">
        <f>"Value of " &amp; $C$52 &amp; " " &amp; ROUND($B$52,2) &amp; " is now"</f>
        <v>Value of GBP 970.45 is now</v>
      </c>
      <c r="B56" s="35">
        <f>D51*EXP(H13-H15)</f>
        <v>1000</v>
      </c>
      <c r="C56" s="34" t="str">
        <f>C52</f>
        <v>GBP</v>
      </c>
      <c r="D56" s="34"/>
      <c r="E56" s="34"/>
      <c r="F56" s="34"/>
    </row>
    <row r="57" spans="1:6" hidden="1">
      <c r="A57" s="34" t="s">
        <v>86</v>
      </c>
      <c r="B57" s="35">
        <f>B56</f>
        <v>1000</v>
      </c>
      <c r="C57" s="34" t="str">
        <f>C56</f>
        <v>GBP</v>
      </c>
      <c r="D57" s="34"/>
      <c r="E57" s="34"/>
      <c r="F57" s="34"/>
    </row>
    <row r="58" spans="1:6" hidden="1">
      <c r="A58" s="34" t="s">
        <v>87</v>
      </c>
      <c r="B58" s="34">
        <f>H10*H11*H8</f>
        <v>1440</v>
      </c>
      <c r="C58" s="34" t="str">
        <f>H7</f>
        <v>USD</v>
      </c>
      <c r="D58" s="34"/>
      <c r="E58" s="34"/>
      <c r="F58" s="34"/>
    </row>
    <row r="59" spans="1:6" hidden="1">
      <c r="A59" s="34" t="str">
        <f>"Repay loan interest @ " &amp; ROUND($H$14+$H$15,3)*100 &amp; "%"</f>
        <v>Repay loan interest @ 1.5%</v>
      </c>
      <c r="B59" s="35">
        <f>E51*EXP(H14+H15)-E51</f>
        <v>21.266288779103888</v>
      </c>
      <c r="C59" s="34" t="str">
        <f>C58</f>
        <v>USD</v>
      </c>
      <c r="D59" s="34"/>
      <c r="E59" s="34"/>
      <c r="F59" s="34"/>
    </row>
    <row r="60" spans="1:6" hidden="1">
      <c r="A60" s="38" t="s">
        <v>63</v>
      </c>
      <c r="B60" s="39">
        <f>B58-(B59+E51)</f>
        <v>11.587687575559357</v>
      </c>
      <c r="C60" s="38" t="str">
        <f>C59</f>
        <v>USD</v>
      </c>
      <c r="D60" s="34"/>
      <c r="E60" s="34"/>
      <c r="F60" s="34"/>
    </row>
    <row r="61" spans="1:6" hidden="1">
      <c r="A61" s="34"/>
      <c r="B61" s="34"/>
      <c r="C61" s="34"/>
      <c r="D61" s="34"/>
      <c r="E61" s="34"/>
      <c r="F61" s="34"/>
    </row>
    <row r="62" spans="1:6" hidden="1">
      <c r="A62" s="34" t="str">
        <f>"Buy " &amp; $H$10 &amp; " x " &amp; $I$6 &amp; " Future @ "</f>
        <v xml:space="preserve">Buy 1 x GBP/USD Future @ </v>
      </c>
      <c r="B62" s="36">
        <f>$H$8</f>
        <v>1.44</v>
      </c>
      <c r="C62" s="34"/>
      <c r="D62" s="34"/>
      <c r="E62" s="34"/>
      <c r="F62" s="34"/>
    </row>
    <row r="63" spans="1:6" hidden="1">
      <c r="A63" s="34" t="str">
        <f>"Borrow " &amp; $H$6 &amp; " " &amp; ROUND($E$63,2) &amp; " @"</f>
        <v>Borrow GBP 978.32 @</v>
      </c>
      <c r="B63" s="37">
        <f>$H$13+$H$15</f>
        <v>0.03</v>
      </c>
      <c r="C63" s="34"/>
      <c r="D63" s="34">
        <f>($H$10*$H$11*H8/EXP($H$14-$H$15))</f>
        <v>1418.5611930284103</v>
      </c>
      <c r="E63" s="34">
        <f>($D$63/$H$9)</f>
        <v>978.31806415752442</v>
      </c>
      <c r="F63" s="34"/>
    </row>
    <row r="64" spans="1:6" hidden="1">
      <c r="A64" s="34" t="str">
        <f>"Convert " &amp; $H$6 &amp; " " &amp; ROUND($E$63,2) &amp; " to "</f>
        <v xml:space="preserve">Convert GBP 978.32 to </v>
      </c>
      <c r="B64" s="35">
        <f>$D$63</f>
        <v>1418.5611930284103</v>
      </c>
      <c r="C64" s="34" t="str">
        <f>$H$7</f>
        <v>USD</v>
      </c>
      <c r="D64" s="34"/>
      <c r="E64" s="34"/>
      <c r="F64" s="34"/>
    </row>
    <row r="65" spans="1:6" hidden="1">
      <c r="A65" s="34" t="str">
        <f>"Deposit " &amp; $C$64 &amp; " " &amp; ROUND($B$64,2) &amp; " @"</f>
        <v>Deposit USD 1418.56 @</v>
      </c>
      <c r="B65" s="37">
        <f>$H$14-$H$15</f>
        <v>1.4999999999999999E-2</v>
      </c>
      <c r="C65" s="34"/>
      <c r="D65" s="34"/>
      <c r="E65" s="34"/>
      <c r="F65" s="34"/>
    </row>
    <row r="66" spans="1:6" hidden="1">
      <c r="A66" s="34"/>
      <c r="B66" s="37"/>
      <c r="C66" s="34"/>
      <c r="D66" s="34"/>
      <c r="E66" s="34"/>
      <c r="F66" s="34"/>
    </row>
    <row r="67" spans="1:6" hidden="1">
      <c r="A67" s="38" t="str">
        <f>"After " &amp; $H$12 &amp; " " &amp; $I$12</f>
        <v>After 12 months</v>
      </c>
      <c r="B67" s="35"/>
      <c r="C67" s="34"/>
      <c r="D67" s="34"/>
      <c r="E67" s="34"/>
      <c r="F67" s="34"/>
    </row>
    <row r="68" spans="1:6" hidden="1">
      <c r="A68" s="34" t="str">
        <f>"Value of " &amp; $C$64 &amp; " " &amp; ROUND($B$64,2) &amp; " is now"</f>
        <v>Value of USD 1418.56 is now</v>
      </c>
      <c r="B68" s="35">
        <f>D63*EXP(H14-H15)</f>
        <v>1440</v>
      </c>
      <c r="C68" s="34" t="str">
        <f>C64</f>
        <v>USD</v>
      </c>
      <c r="D68" s="34"/>
      <c r="E68" s="34"/>
      <c r="F68" s="34"/>
    </row>
    <row r="69" spans="1:6" hidden="1">
      <c r="A69" s="34" t="s">
        <v>86</v>
      </c>
      <c r="B69" s="35">
        <f>B68</f>
        <v>1440</v>
      </c>
      <c r="C69" s="34" t="str">
        <f>C68</f>
        <v>USD</v>
      </c>
      <c r="D69" s="34"/>
      <c r="E69" s="34"/>
      <c r="F69" s="34"/>
    </row>
    <row r="70" spans="1:6" hidden="1">
      <c r="A70" s="34" t="s">
        <v>87</v>
      </c>
      <c r="B70" s="34">
        <f>H10*H11</f>
        <v>1000</v>
      </c>
      <c r="C70" s="34" t="str">
        <f>H6</f>
        <v>GBP</v>
      </c>
      <c r="D70" s="34"/>
      <c r="E70" s="34"/>
      <c r="F70" s="34"/>
    </row>
    <row r="71" spans="1:6" hidden="1">
      <c r="A71" s="34" t="str">
        <f>"Repay loan interest @ " &amp; ROUND($H$13+$H$15,3)*100 &amp; "%"</f>
        <v>Repay loan interest @ 3%</v>
      </c>
      <c r="B71" s="35">
        <f>E63*EXP(H13+H15)-E63</f>
        <v>29.794220702224266</v>
      </c>
      <c r="C71" s="34" t="str">
        <f>C70</f>
        <v>GBP</v>
      </c>
      <c r="D71" s="34"/>
      <c r="E71" s="34"/>
      <c r="F71" s="34"/>
    </row>
    <row r="72" spans="1:6" hidden="1">
      <c r="A72" s="38" t="s">
        <v>63</v>
      </c>
      <c r="B72" s="39">
        <f>B70-(B71+E63)</f>
        <v>-8.1122848597486836</v>
      </c>
      <c r="C72" s="38" t="str">
        <f>C71</f>
        <v>GBP</v>
      </c>
      <c r="D72" s="34"/>
      <c r="E72" s="34"/>
      <c r="F72" s="34"/>
    </row>
    <row r="73" spans="1:6" hidden="1"/>
  </sheetData>
  <sheetProtection password="9213" sheet="1" objects="1" scenarios="1" formatCells="0" formatColumns="0" formatRows="0"/>
  <dataValidations count="7">
    <dataValidation type="custom" allowBlank="1" showInputMessage="1" showErrorMessage="1" errorTitle="Invalid sell rate" error="The sell rate should be less than or equal to the buy rate" sqref="D12:D13 D17">
      <formula1>E12=1</formula1>
    </dataValidation>
    <dataValidation type="list" allowBlank="1" showInputMessage="1" showErrorMessage="1" sqref="H6:H7 B7:B9">
      <formula1>rngCCY</formula1>
    </dataValidation>
    <dataValidation type="list" showInputMessage="1" showErrorMessage="1" sqref="I12">
      <formula1>rngPeriod</formula1>
    </dataValidation>
    <dataValidation type="decimal" allowBlank="1" showInputMessage="1" showErrorMessage="1" errorTitle="Error" error="Currency rate must be greater than zero" sqref="H8:H9 C12:C13 C17">
      <formula1>0.01</formula1>
      <formula2>100000</formula2>
    </dataValidation>
    <dataValidation type="decimal" allowBlank="1" showInputMessage="1" showErrorMessage="1" sqref="H10">
      <formula1>0.0001</formula1>
      <formula2>9999999</formula2>
    </dataValidation>
    <dataValidation type="decimal" allowBlank="1" showInputMessage="1" showErrorMessage="1" sqref="H11">
      <formula1>0.001</formula1>
      <formula2>999999999</formula2>
    </dataValidation>
    <dataValidation type="decimal" allowBlank="1" showInputMessage="1" showErrorMessage="1" sqref="H13 H14 H15">
      <formula1>0</formula1>
      <formula2>999</formula2>
    </dataValidation>
  </dataValidations>
  <hyperlinks>
    <hyperlink ref="J2" r:id="rId1"/>
    <hyperlink ref="L2" r:id="rId2"/>
    <hyperlink ref="N2" r:id="rId3"/>
  </hyperlinks>
  <pageMargins left="0.7" right="0.7" top="0.75" bottom="0.75" header="0.3" footer="0.3"/>
  <pageSetup paperSize="9" orientation="portrait" r:id="rId4"/>
  <drawing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sqref="A1:XFD1048576"/>
    </sheetView>
  </sheetViews>
  <sheetFormatPr defaultRowHeight="15"/>
  <cols>
    <col min="1" max="1" width="8.5703125" bestFit="1" customWidth="1"/>
  </cols>
  <sheetData>
    <row r="1" spans="1:6">
      <c r="A1" s="1" t="s">
        <v>3</v>
      </c>
      <c r="B1" s="2" t="s">
        <v>4</v>
      </c>
      <c r="D1" t="s">
        <v>52</v>
      </c>
      <c r="F1" t="s">
        <v>66</v>
      </c>
    </row>
    <row r="2" spans="1:6">
      <c r="A2" t="s">
        <v>5</v>
      </c>
      <c r="B2">
        <v>10</v>
      </c>
      <c r="D2" t="s">
        <v>42</v>
      </c>
      <c r="F2" t="s">
        <v>67</v>
      </c>
    </row>
    <row r="3" spans="1:6">
      <c r="A3" t="s">
        <v>6</v>
      </c>
      <c r="B3">
        <v>10</v>
      </c>
      <c r="D3" t="s">
        <v>43</v>
      </c>
      <c r="F3" t="s">
        <v>68</v>
      </c>
    </row>
    <row r="4" spans="1:6">
      <c r="A4" t="s">
        <v>7</v>
      </c>
      <c r="B4">
        <v>1000</v>
      </c>
      <c r="D4" t="s">
        <v>44</v>
      </c>
      <c r="F4" t="s">
        <v>69</v>
      </c>
    </row>
    <row r="5" spans="1:6">
      <c r="A5" t="s">
        <v>8</v>
      </c>
      <c r="B5">
        <v>10</v>
      </c>
      <c r="D5" t="s">
        <v>45</v>
      </c>
    </row>
    <row r="6" spans="1:6">
      <c r="A6" t="s">
        <v>9</v>
      </c>
      <c r="B6">
        <v>10</v>
      </c>
      <c r="D6" t="s">
        <v>46</v>
      </c>
    </row>
    <row r="7" spans="1:6">
      <c r="A7" t="s">
        <v>10</v>
      </c>
      <c r="B7">
        <v>10</v>
      </c>
      <c r="D7" t="s">
        <v>47</v>
      </c>
    </row>
    <row r="8" spans="1:6">
      <c r="A8" t="s">
        <v>11</v>
      </c>
      <c r="B8">
        <v>10</v>
      </c>
      <c r="D8" t="s">
        <v>48</v>
      </c>
    </row>
    <row r="9" spans="1:6">
      <c r="A9" t="s">
        <v>12</v>
      </c>
      <c r="B9">
        <v>1000</v>
      </c>
      <c r="D9" t="s">
        <v>49</v>
      </c>
    </row>
    <row r="10" spans="1:6">
      <c r="A10" t="s">
        <v>13</v>
      </c>
      <c r="B10">
        <v>1000</v>
      </c>
      <c r="D10" t="s">
        <v>50</v>
      </c>
    </row>
    <row r="11" spans="1:6">
      <c r="A11" t="s">
        <v>14</v>
      </c>
      <c r="B11">
        <v>10</v>
      </c>
      <c r="D11" t="s">
        <v>51</v>
      </c>
    </row>
    <row r="12" spans="1:6">
      <c r="A12" t="s">
        <v>15</v>
      </c>
      <c r="B12">
        <v>10</v>
      </c>
    </row>
    <row r="13" spans="1:6">
      <c r="A13" t="s">
        <v>16</v>
      </c>
      <c r="B13">
        <v>10</v>
      </c>
    </row>
    <row r="14" spans="1:6">
      <c r="A14" t="s">
        <v>17</v>
      </c>
      <c r="B14">
        <v>10</v>
      </c>
    </row>
    <row r="15" spans="1:6">
      <c r="A15" t="s">
        <v>18</v>
      </c>
      <c r="B15">
        <v>10</v>
      </c>
    </row>
    <row r="16" spans="1:6">
      <c r="A16" t="s">
        <v>19</v>
      </c>
      <c r="B16">
        <v>10</v>
      </c>
    </row>
    <row r="17" spans="1:2">
      <c r="A17" t="s">
        <v>20</v>
      </c>
      <c r="B17">
        <v>1000</v>
      </c>
    </row>
    <row r="18" spans="1:2">
      <c r="A18" t="s">
        <v>21</v>
      </c>
      <c r="B18">
        <v>10</v>
      </c>
    </row>
    <row r="19" spans="1:2">
      <c r="A19" t="s">
        <v>22</v>
      </c>
      <c r="B19">
        <v>10</v>
      </c>
    </row>
    <row r="20" spans="1:2">
      <c r="A20" t="s">
        <v>23</v>
      </c>
      <c r="B20">
        <v>10</v>
      </c>
    </row>
    <row r="21" spans="1:2">
      <c r="A21" t="s">
        <v>24</v>
      </c>
      <c r="B21">
        <v>10</v>
      </c>
    </row>
    <row r="22" spans="1:2">
      <c r="A22" t="s">
        <v>25</v>
      </c>
      <c r="B22">
        <v>10</v>
      </c>
    </row>
    <row r="23" spans="1:2">
      <c r="A23" t="s">
        <v>26</v>
      </c>
      <c r="B23">
        <v>10</v>
      </c>
    </row>
    <row r="24" spans="1:2">
      <c r="A24" t="s">
        <v>27</v>
      </c>
      <c r="B24">
        <v>1000</v>
      </c>
    </row>
    <row r="25" spans="1:2">
      <c r="A25" t="s">
        <v>28</v>
      </c>
      <c r="B25">
        <v>10</v>
      </c>
    </row>
    <row r="26" spans="1:2">
      <c r="A26" t="s">
        <v>29</v>
      </c>
      <c r="B26">
        <v>10</v>
      </c>
    </row>
    <row r="27" spans="1:2">
      <c r="A27" t="s">
        <v>30</v>
      </c>
      <c r="B27">
        <v>10</v>
      </c>
    </row>
    <row r="28" spans="1:2">
      <c r="A28" t="s">
        <v>31</v>
      </c>
      <c r="B28">
        <v>10</v>
      </c>
    </row>
    <row r="29" spans="1:2">
      <c r="A29" t="s">
        <v>32</v>
      </c>
      <c r="B29">
        <v>10</v>
      </c>
    </row>
    <row r="30" spans="1:2">
      <c r="A30" t="s">
        <v>33</v>
      </c>
      <c r="B30">
        <v>1000</v>
      </c>
    </row>
    <row r="31" spans="1:2">
      <c r="A31" t="s">
        <v>34</v>
      </c>
      <c r="B31">
        <v>10</v>
      </c>
    </row>
    <row r="32" spans="1:2">
      <c r="A32" t="s">
        <v>35</v>
      </c>
      <c r="B32">
        <v>10</v>
      </c>
    </row>
    <row r="33" spans="1:2">
      <c r="A33" t="s">
        <v>36</v>
      </c>
      <c r="B33">
        <v>1000</v>
      </c>
    </row>
    <row r="34" spans="1:2">
      <c r="A34" t="s">
        <v>37</v>
      </c>
      <c r="B34">
        <v>10</v>
      </c>
    </row>
    <row r="35" spans="1:2">
      <c r="A35" t="s">
        <v>38</v>
      </c>
      <c r="B35">
        <v>10</v>
      </c>
    </row>
    <row r="36" spans="1:2">
      <c r="A36" t="s">
        <v>39</v>
      </c>
      <c r="B36">
        <v>10</v>
      </c>
    </row>
    <row r="37" spans="1:2">
      <c r="A37" t="s">
        <v>40</v>
      </c>
      <c r="B37">
        <v>1000</v>
      </c>
    </row>
    <row r="38" spans="1:2">
      <c r="A38" t="s">
        <v>41</v>
      </c>
      <c r="B38">
        <v>10</v>
      </c>
    </row>
  </sheetData>
  <sheetProtection password="9213" sheet="1" objects="1" scenario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sqref="A1:XFD1048576"/>
    </sheetView>
  </sheetViews>
  <sheetFormatPr defaultRowHeight="12.75"/>
  <cols>
    <col min="1" max="1" width="176.42578125" style="9" customWidth="1"/>
    <col min="2" max="16384" width="9.140625" style="9"/>
  </cols>
  <sheetData>
    <row r="1" spans="1:1" ht="27">
      <c r="A1" s="8" t="s">
        <v>70</v>
      </c>
    </row>
    <row r="2" spans="1:1" ht="255">
      <c r="A2" s="10" t="s">
        <v>71</v>
      </c>
    </row>
    <row r="3" spans="1:1" ht="20.25">
      <c r="A3" s="11" t="s">
        <v>72</v>
      </c>
    </row>
  </sheetData>
  <sheetProtection password="9213" sheet="1" objects="1" scenarios="1" selectLockedCells="1" selectUnlockedCell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Arbitrage examples</vt:lpstr>
      <vt:lpstr>data</vt:lpstr>
      <vt:lpstr>Disclaimer</vt:lpstr>
      <vt:lpstr>rngArb</vt:lpstr>
      <vt:lpstr>rngCCY</vt:lpstr>
      <vt:lpstr>rngFutures</vt:lpstr>
      <vt:lpstr>rngPeriod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2014-12-23T14:35:13Z</dcterms:created>
  <dcterms:modified xsi:type="dcterms:W3CDTF">2018-02-12T14:01:45Z</dcterms:modified>
</cp:coreProperties>
</file>