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3120" yWindow="2970" windowWidth="16110" windowHeight="3480" activeTab="1"/>
  </bookViews>
  <sheets>
    <sheet name="记录" sheetId="1" r:id="rId1"/>
    <sheet name="定投" sheetId="3" r:id="rId2"/>
    <sheet name="笔记" sheetId="4" r:id="rId3"/>
    <sheet name="古债平衡" sheetId="8" r:id="rId4"/>
    <sheet name="H股ETF" sheetId="9" r:id="rId5"/>
    <sheet name="红利ETF" sheetId="13" r:id="rId6"/>
    <sheet name="300" sheetId="10" r:id="rId7"/>
    <sheet name="500" sheetId="12" r:id="rId8"/>
    <sheet name="cyb" sheetId="14" r:id="rId9"/>
    <sheet name="中证红利" sheetId="18" r:id="rId10"/>
  </sheets>
  <calcPr calcId="124519"/>
</workbook>
</file>

<file path=xl/calcChain.xml><?xml version="1.0" encoding="utf-8"?>
<calcChain xmlns="http://schemas.openxmlformats.org/spreadsheetml/2006/main">
  <c r="F2" i="10"/>
  <c r="F2" i="12"/>
  <c r="F2" i="14"/>
  <c r="J32" i="3"/>
  <c r="J31"/>
  <c r="J30"/>
  <c r="E3" i="10"/>
  <c r="E4"/>
  <c r="E5"/>
  <c r="E6"/>
  <c r="E7"/>
  <c r="E8"/>
  <c r="E9"/>
  <c r="E10"/>
  <c r="E11"/>
  <c r="E12"/>
  <c r="E13"/>
  <c r="E14"/>
  <c r="E15"/>
  <c r="E16"/>
  <c r="E17"/>
  <c r="E18"/>
  <c r="E19"/>
  <c r="E20"/>
  <c r="E21"/>
  <c r="E22"/>
  <c r="E23"/>
  <c r="E24"/>
  <c r="E25"/>
  <c r="E26"/>
  <c r="E27"/>
  <c r="E28"/>
  <c r="E29"/>
  <c r="E30"/>
  <c r="E31"/>
  <c r="E32"/>
  <c r="E33"/>
  <c r="E34"/>
  <c r="E2"/>
  <c r="E2" i="18"/>
  <c r="D2"/>
  <c r="E3" i="12"/>
  <c r="E4"/>
  <c r="E7"/>
  <c r="E8"/>
  <c r="E9"/>
  <c r="E10"/>
  <c r="E11"/>
  <c r="E12"/>
  <c r="E13"/>
  <c r="E14"/>
  <c r="E15"/>
  <c r="E16"/>
  <c r="E17"/>
  <c r="E18"/>
  <c r="E19"/>
  <c r="E20"/>
  <c r="E21"/>
  <c r="E22"/>
  <c r="E2"/>
  <c r="E3" i="14"/>
  <c r="E4"/>
  <c r="E2"/>
  <c r="E6"/>
  <c r="E7"/>
  <c r="E8"/>
  <c r="E9"/>
  <c r="E10"/>
  <c r="E11"/>
  <c r="E12"/>
  <c r="E13"/>
  <c r="E14"/>
  <c r="E15"/>
  <c r="E16"/>
  <c r="D3"/>
  <c r="D4"/>
  <c r="D5"/>
  <c r="E5" s="1"/>
  <c r="D6"/>
  <c r="D7"/>
  <c r="D8"/>
  <c r="D9"/>
  <c r="D10"/>
  <c r="D11"/>
  <c r="D12"/>
  <c r="D13"/>
  <c r="D14"/>
  <c r="D15"/>
  <c r="D16"/>
  <c r="D3" i="12"/>
  <c r="D4"/>
  <c r="D5"/>
  <c r="E5" s="1"/>
  <c r="D6"/>
  <c r="E6" s="1"/>
  <c r="D7"/>
  <c r="D8"/>
  <c r="D9"/>
  <c r="D10"/>
  <c r="D11"/>
  <c r="D12"/>
  <c r="D13"/>
  <c r="D14"/>
  <c r="D15"/>
  <c r="D16"/>
  <c r="D17"/>
  <c r="D18"/>
  <c r="D19"/>
  <c r="D20"/>
  <c r="D21"/>
  <c r="F11" i="13" l="1"/>
  <c r="F12"/>
  <c r="F13"/>
  <c r="F14"/>
  <c r="F15"/>
  <c r="F16"/>
  <c r="F17"/>
  <c r="F18"/>
  <c r="F19"/>
  <c r="F20"/>
  <c r="F21"/>
  <c r="F22"/>
  <c r="F23"/>
  <c r="F24"/>
  <c r="F25"/>
  <c r="F10"/>
  <c r="J34" i="3" l="1"/>
  <c r="G42"/>
  <c r="E42"/>
  <c r="G39"/>
  <c r="G40"/>
  <c r="G38"/>
  <c r="E40"/>
  <c r="E38"/>
  <c r="E39"/>
  <c r="E41"/>
  <c r="G41"/>
  <c r="E67"/>
  <c r="E68"/>
  <c r="E69"/>
  <c r="E72"/>
  <c r="E73"/>
  <c r="E74"/>
  <c r="E77"/>
  <c r="E78"/>
  <c r="E79"/>
  <c r="D28" i="10"/>
  <c r="D29"/>
  <c r="D30"/>
  <c r="D31"/>
  <c r="D32"/>
  <c r="D33"/>
  <c r="D34"/>
  <c r="D35"/>
  <c r="E35" s="1"/>
  <c r="D36"/>
  <c r="E36" s="1"/>
  <c r="D37"/>
  <c r="E37" s="1"/>
  <c r="D38"/>
  <c r="E38" s="1"/>
  <c r="D39"/>
  <c r="E39" s="1"/>
  <c r="D40"/>
  <c r="E40" s="1"/>
  <c r="D41"/>
  <c r="E41" s="1"/>
  <c r="D42"/>
  <c r="E42" s="1"/>
  <c r="D43"/>
  <c r="E43" s="1"/>
  <c r="D2" i="14"/>
  <c r="H26" i="13"/>
  <c r="I25"/>
  <c r="G25"/>
  <c r="I24"/>
  <c r="G24"/>
  <c r="I23"/>
  <c r="G23"/>
  <c r="I22"/>
  <c r="G22"/>
  <c r="I21"/>
  <c r="G21"/>
  <c r="I20"/>
  <c r="G20"/>
  <c r="I19"/>
  <c r="G19"/>
  <c r="I18"/>
  <c r="G18"/>
  <c r="I17"/>
  <c r="G17"/>
  <c r="I16"/>
  <c r="G16"/>
  <c r="I15"/>
  <c r="G15"/>
  <c r="I14"/>
  <c r="G14"/>
  <c r="I13"/>
  <c r="G13"/>
  <c r="I12"/>
  <c r="G12"/>
  <c r="I11"/>
  <c r="G11"/>
  <c r="I10"/>
  <c r="G10"/>
  <c r="D2" i="12"/>
  <c r="D24" i="10"/>
  <c r="D25"/>
  <c r="D26"/>
  <c r="D27"/>
  <c r="D23"/>
  <c r="D13"/>
  <c r="D12"/>
  <c r="D11"/>
  <c r="D10"/>
  <c r="J42" i="3"/>
  <c r="J41"/>
  <c r="J40"/>
  <c r="J44"/>
  <c r="D7" i="10"/>
  <c r="D8"/>
  <c r="D9"/>
  <c r="J33" i="3" l="1"/>
  <c r="J29" s="1"/>
  <c r="J13" i="13"/>
  <c r="J21"/>
  <c r="J17"/>
  <c r="J24"/>
  <c r="J20"/>
  <c r="J16"/>
  <c r="J12"/>
  <c r="J10"/>
  <c r="J22"/>
  <c r="J18"/>
  <c r="J14"/>
  <c r="J25"/>
  <c r="J23"/>
  <c r="J19"/>
  <c r="J15"/>
  <c r="J11"/>
  <c r="J39" i="3"/>
  <c r="K40" s="1"/>
  <c r="D3" i="10"/>
  <c r="D4"/>
  <c r="D5"/>
  <c r="D6"/>
  <c r="D2"/>
  <c r="K42" i="3" l="1"/>
  <c r="K43"/>
  <c r="K41"/>
  <c r="E23" i="8"/>
  <c r="I11" i="9"/>
  <c r="I12"/>
  <c r="I13"/>
  <c r="I14"/>
  <c r="I15"/>
  <c r="I16"/>
  <c r="I17"/>
  <c r="I18"/>
  <c r="I19"/>
  <c r="I20"/>
  <c r="I21"/>
  <c r="I22"/>
  <c r="I23"/>
  <c r="I24"/>
  <c r="I25"/>
  <c r="I10"/>
  <c r="H26"/>
  <c r="F25"/>
  <c r="G25" s="1"/>
  <c r="F24"/>
  <c r="G24"/>
  <c r="F11"/>
  <c r="G11" s="1"/>
  <c r="F12"/>
  <c r="G12" s="1"/>
  <c r="F13"/>
  <c r="G13" s="1"/>
  <c r="F14"/>
  <c r="G14" s="1"/>
  <c r="F15"/>
  <c r="G15" s="1"/>
  <c r="F16"/>
  <c r="G16" s="1"/>
  <c r="F17"/>
  <c r="G17" s="1"/>
  <c r="F18"/>
  <c r="G18" s="1"/>
  <c r="F19"/>
  <c r="G19" s="1"/>
  <c r="F20"/>
  <c r="G20" s="1"/>
  <c r="F21"/>
  <c r="G21" s="1"/>
  <c r="F22"/>
  <c r="G22" s="1"/>
  <c r="F23"/>
  <c r="G23" s="1"/>
  <c r="F10"/>
  <c r="G10" s="1"/>
  <c r="S10" l="1"/>
  <c r="P10"/>
  <c r="P11"/>
  <c r="P12"/>
  <c r="P13"/>
  <c r="P14"/>
  <c r="P15"/>
  <c r="P16"/>
  <c r="P17"/>
  <c r="R17"/>
  <c r="R16"/>
  <c r="R15"/>
  <c r="R14"/>
  <c r="R13"/>
  <c r="R12"/>
  <c r="R11"/>
  <c r="R10"/>
  <c r="K32" i="3" l="1"/>
  <c r="S9" i="9"/>
  <c r="S17"/>
  <c r="S12"/>
  <c r="S11"/>
  <c r="S13"/>
  <c r="K33" i="3" l="1"/>
  <c r="K30"/>
  <c r="K31"/>
</calcChain>
</file>

<file path=xl/sharedStrings.xml><?xml version="1.0" encoding="utf-8"?>
<sst xmlns="http://schemas.openxmlformats.org/spreadsheetml/2006/main" count="259" uniqueCount="188">
  <si>
    <r>
      <rPr>
        <sz val="14"/>
        <color rgb="FF33353C"/>
        <rFont val="宋体"/>
        <family val="3"/>
        <charset val="134"/>
      </rPr>
      <t>标普红利指数</t>
    </r>
    <r>
      <rPr>
        <sz val="11"/>
        <color theme="1"/>
        <rFont val="宋体"/>
        <family val="2"/>
        <charset val="134"/>
        <scheme val="minor"/>
      </rPr>
      <t>，</t>
    </r>
    <r>
      <rPr>
        <sz val="14"/>
        <color rgb="FF33353C"/>
        <rFont val="宋体"/>
        <family val="3"/>
        <charset val="134"/>
      </rPr>
      <t>也叫标普红利机会指数</t>
    </r>
    <r>
      <rPr>
        <sz val="11"/>
        <color theme="1"/>
        <rFont val="宋体"/>
        <family val="2"/>
        <charset val="134"/>
        <scheme val="minor"/>
      </rPr>
      <t>，</t>
    </r>
    <r>
      <rPr>
        <sz val="14"/>
        <color rgb="FF33353C"/>
        <rFont val="宋体"/>
        <family val="3"/>
        <charset val="134"/>
      </rPr>
      <t>请注意</t>
    </r>
    <r>
      <rPr>
        <sz val="11"/>
        <color theme="1"/>
        <rFont val="宋体"/>
        <family val="2"/>
        <charset val="134"/>
        <scheme val="minor"/>
      </rPr>
      <t>，</t>
    </r>
    <r>
      <rPr>
        <sz val="14"/>
        <color rgb="FF33353C"/>
        <rFont val="宋体"/>
        <family val="3"/>
        <charset val="134"/>
      </rPr>
      <t>这不是跟踪美股的指数</t>
    </r>
    <r>
      <rPr>
        <sz val="11"/>
        <color theme="1"/>
        <rFont val="宋体"/>
        <family val="2"/>
        <charset val="134"/>
        <scheme val="minor"/>
      </rPr>
      <t>，</t>
    </r>
    <r>
      <rPr>
        <sz val="14"/>
        <color rgb="FF33353C"/>
        <rFont val="宋体"/>
        <family val="3"/>
        <charset val="134"/>
      </rPr>
      <t>而是标普公司针对中国股市开发的指数</t>
    </r>
    <r>
      <rPr>
        <sz val="11"/>
        <color theme="1"/>
        <rFont val="宋体"/>
        <family val="2"/>
        <charset val="134"/>
        <scheme val="minor"/>
      </rPr>
      <t>。</t>
    </r>
    <r>
      <rPr>
        <sz val="14"/>
        <color rgb="FF33353C"/>
        <rFont val="宋体"/>
        <family val="3"/>
        <charset val="134"/>
      </rPr>
      <t>这个指数也是选取股息率最高的</t>
    </r>
    <r>
      <rPr>
        <sz val="14"/>
        <color rgb="FF33353C"/>
        <rFont val="Arial"/>
        <family val="2"/>
      </rPr>
      <t>100</t>
    </r>
    <r>
      <rPr>
        <sz val="14"/>
        <color rgb="FF33353C"/>
        <rFont val="宋体"/>
        <family val="3"/>
        <charset val="134"/>
      </rPr>
      <t>只股票</t>
    </r>
    <r>
      <rPr>
        <sz val="11"/>
        <color theme="1"/>
        <rFont val="宋体"/>
        <family val="2"/>
        <charset val="134"/>
        <scheme val="minor"/>
      </rPr>
      <t>，</t>
    </r>
    <r>
      <rPr>
        <sz val="14"/>
        <color rgb="FF33353C"/>
        <rFont val="宋体"/>
        <family val="3"/>
        <charset val="134"/>
      </rPr>
      <t>但是股票入选之前先得满足诸如过去</t>
    </r>
    <r>
      <rPr>
        <sz val="14"/>
        <color rgb="FF33353C"/>
        <rFont val="Arial"/>
        <family val="2"/>
      </rPr>
      <t>3</t>
    </r>
    <r>
      <rPr>
        <sz val="14"/>
        <color rgb="FF33353C"/>
        <rFont val="宋体"/>
        <family val="3"/>
        <charset val="134"/>
      </rPr>
      <t>年盈利增长必须为正</t>
    </r>
    <r>
      <rPr>
        <sz val="11"/>
        <color theme="1"/>
        <rFont val="宋体"/>
        <family val="2"/>
        <charset val="134"/>
        <scheme val="minor"/>
      </rPr>
      <t>，</t>
    </r>
    <r>
      <rPr>
        <sz val="14"/>
        <color rgb="FF33353C"/>
        <rFont val="宋体"/>
        <family val="3"/>
        <charset val="134"/>
      </rPr>
      <t>过去</t>
    </r>
    <r>
      <rPr>
        <sz val="14"/>
        <color rgb="FF33353C"/>
        <rFont val="Arial"/>
        <family val="2"/>
      </rPr>
      <t>12</t>
    </r>
    <r>
      <rPr>
        <sz val="14"/>
        <color rgb="FF33353C"/>
        <rFont val="宋体"/>
        <family val="3"/>
        <charset val="134"/>
      </rPr>
      <t>个月的净利润必须为正</t>
    </r>
    <r>
      <rPr>
        <sz val="11"/>
        <color theme="1"/>
        <rFont val="宋体"/>
        <family val="2"/>
        <charset val="134"/>
        <scheme val="minor"/>
      </rPr>
      <t>，</t>
    </r>
    <r>
      <rPr>
        <sz val="14"/>
        <color rgb="FF33353C"/>
        <rFont val="宋体"/>
        <family val="3"/>
        <charset val="134"/>
      </rPr>
      <t>每只股票权重不超过</t>
    </r>
    <r>
      <rPr>
        <sz val="14"/>
        <color rgb="FF33353C"/>
        <rFont val="Arial"/>
        <family val="2"/>
      </rPr>
      <t>3%</t>
    </r>
    <r>
      <rPr>
        <sz val="11"/>
        <color theme="1"/>
        <rFont val="宋体"/>
        <family val="2"/>
        <charset val="134"/>
        <scheme val="minor"/>
      </rPr>
      <t>，</t>
    </r>
    <r>
      <rPr>
        <sz val="14"/>
        <color rgb="FF33353C"/>
        <rFont val="宋体"/>
        <family val="3"/>
        <charset val="134"/>
      </rPr>
      <t>单个行业不超过</t>
    </r>
    <r>
      <rPr>
        <sz val="14"/>
        <color rgb="FF33353C"/>
        <rFont val="Arial"/>
        <family val="2"/>
      </rPr>
      <t>33%</t>
    </r>
    <r>
      <rPr>
        <sz val="14"/>
        <color rgb="FF33353C"/>
        <rFont val="宋体"/>
        <family val="3"/>
        <charset val="134"/>
      </rPr>
      <t>等等条件</t>
    </r>
    <r>
      <rPr>
        <sz val="11"/>
        <color theme="1"/>
        <rFont val="宋体"/>
        <family val="2"/>
        <charset val="134"/>
        <scheme val="minor"/>
      </rPr>
      <t>；</t>
    </r>
    <phoneticPr fontId="1" type="noConversion"/>
  </si>
  <si>
    <t>标普红利指数</t>
    <phoneticPr fontId="1" type="noConversion"/>
  </si>
  <si>
    <t>中证红利指数</t>
  </si>
  <si>
    <t>深证红利指数</t>
  </si>
  <si>
    <r>
      <t>由深证市场能给投资者提供长期稳定分红的40只股票</t>
    </r>
    <r>
      <rPr>
        <sz val="11"/>
        <color theme="1"/>
        <rFont val="宋体"/>
        <family val="2"/>
        <charset val="134"/>
        <scheme val="minor"/>
      </rPr>
      <t>；</t>
    </r>
  </si>
  <si>
    <r>
      <t>上证红利是挑选上海证券交易所过去两年平均现金股息率最高的50只股票</t>
    </r>
    <r>
      <rPr>
        <sz val="11"/>
        <color theme="1"/>
        <rFont val="宋体"/>
        <family val="2"/>
        <charset val="134"/>
        <scheme val="minor"/>
      </rPr>
      <t>；</t>
    </r>
  </si>
  <si>
    <r>
      <rPr>
        <sz val="12"/>
        <color rgb="FF33353C"/>
        <rFont val="宋体"/>
        <family val="3"/>
        <charset val="134"/>
      </rPr>
      <t>选择沪深两市中现金股息率高</t>
    </r>
    <r>
      <rPr>
        <sz val="11"/>
        <color theme="1"/>
        <rFont val="宋体"/>
        <family val="2"/>
        <charset val="134"/>
        <scheme val="minor"/>
      </rPr>
      <t>、</t>
    </r>
    <r>
      <rPr>
        <sz val="12"/>
        <color rgb="FF33353C"/>
        <rFont val="宋体"/>
        <family val="3"/>
        <charset val="134"/>
      </rPr>
      <t>分红稳定</t>
    </r>
    <r>
      <rPr>
        <sz val="11"/>
        <color theme="1"/>
        <rFont val="宋体"/>
        <family val="2"/>
        <charset val="134"/>
        <scheme val="minor"/>
      </rPr>
      <t>、</t>
    </r>
    <r>
      <rPr>
        <sz val="12"/>
        <color rgb="FF33353C"/>
        <rFont val="宋体"/>
        <family val="3"/>
        <charset val="134"/>
      </rPr>
      <t>具有一定规模及流动性的</t>
    </r>
    <r>
      <rPr>
        <sz val="12"/>
        <color rgb="FF33353C"/>
        <rFont val="Arial"/>
        <family val="2"/>
      </rPr>
      <t>100</t>
    </r>
    <r>
      <rPr>
        <sz val="12"/>
        <color rgb="FF33353C"/>
        <rFont val="宋体"/>
        <family val="3"/>
        <charset val="134"/>
      </rPr>
      <t>只股票组成</t>
    </r>
    <r>
      <rPr>
        <sz val="11"/>
        <color theme="1"/>
        <rFont val="宋体"/>
        <family val="2"/>
        <charset val="134"/>
        <scheme val="minor"/>
      </rPr>
      <t>；</t>
    </r>
    <r>
      <rPr>
        <sz val="11"/>
        <color theme="1"/>
        <rFont val="宋体"/>
        <family val="2"/>
        <scheme val="minor"/>
      </rPr>
      <t>(场内没有，场外有)</t>
    </r>
    <phoneticPr fontId="1" type="noConversion"/>
  </si>
  <si>
    <t>华泰柏瑞沪深300ETF(510300)</t>
    <phoneticPr fontId="1" type="noConversion"/>
  </si>
  <si>
    <t>嘉实沪深300ETF(159919)</t>
  </si>
  <si>
    <t>股息</t>
    <phoneticPr fontId="1" type="noConversion"/>
  </si>
  <si>
    <t>PE （市盈率）</t>
    <phoneticPr fontId="1" type="noConversion"/>
  </si>
  <si>
    <t>市净率PB</t>
    <phoneticPr fontId="1" type="noConversion"/>
  </si>
  <si>
    <t>净资产收益率ROE</t>
    <phoneticPr fontId="1" type="noConversion"/>
  </si>
  <si>
    <r>
      <rPr>
        <sz val="14"/>
        <color rgb="FF33353C"/>
        <rFont val="宋体"/>
        <family val="3"/>
        <charset val="134"/>
      </rPr>
      <t>沪深选</t>
    </r>
    <r>
      <rPr>
        <sz val="14"/>
        <color rgb="FF33353C"/>
        <rFont val="Arial"/>
        <family val="2"/>
      </rPr>
      <t>300</t>
    </r>
    <r>
      <rPr>
        <sz val="14"/>
        <color rgb="FF33353C"/>
        <rFont val="宋体"/>
        <family val="3"/>
        <charset val="134"/>
      </rPr>
      <t>只票</t>
    </r>
    <phoneticPr fontId="1" type="noConversion"/>
  </si>
  <si>
    <r>
      <rPr>
        <sz val="12"/>
        <color rgb="FF33353C"/>
        <rFont val="宋体"/>
        <family val="3"/>
        <charset val="134"/>
      </rPr>
      <t>上证红利</t>
    </r>
    <r>
      <rPr>
        <sz val="12"/>
        <color rgb="FF33353C"/>
        <rFont val="Arial"/>
        <family val="2"/>
      </rPr>
      <t>ETF</t>
    </r>
    <phoneticPr fontId="1" type="noConversion"/>
  </si>
  <si>
    <t>代码</t>
    <phoneticPr fontId="1" type="noConversion"/>
  </si>
  <si>
    <t>价格</t>
    <phoneticPr fontId="1" type="noConversion"/>
  </si>
  <si>
    <t>数量</t>
    <phoneticPr fontId="1" type="noConversion"/>
  </si>
  <si>
    <t>总额</t>
    <phoneticPr fontId="1" type="noConversion"/>
  </si>
  <si>
    <t>深红利</t>
    <phoneticPr fontId="1" type="noConversion"/>
  </si>
  <si>
    <t>红利基金</t>
    <phoneticPr fontId="1" type="noConversion"/>
  </si>
  <si>
    <t>H股ETF</t>
    <phoneticPr fontId="1" type="noConversion"/>
  </si>
  <si>
    <t>红利ETF</t>
    <phoneticPr fontId="1" type="noConversion"/>
  </si>
  <si>
    <t>H股ETF</t>
    <phoneticPr fontId="1" type="noConversion"/>
  </si>
  <si>
    <t>目标价</t>
    <phoneticPr fontId="1" type="noConversion"/>
  </si>
  <si>
    <t>成立时间</t>
    <phoneticPr fontId="1" type="noConversion"/>
  </si>
  <si>
    <t>近1年</t>
  </si>
  <si>
    <t>近3年</t>
  </si>
  <si>
    <t>近3月</t>
    <phoneticPr fontId="1" type="noConversion"/>
  </si>
  <si>
    <t>近6月</t>
    <phoneticPr fontId="1" type="noConversion"/>
  </si>
  <si>
    <t>成立来</t>
    <phoneticPr fontId="1" type="noConversion"/>
  </si>
  <si>
    <t>名称</t>
    <phoneticPr fontId="1" type="noConversion"/>
  </si>
  <si>
    <t>ID</t>
    <phoneticPr fontId="1" type="noConversion"/>
  </si>
  <si>
    <t>近1月</t>
    <phoneticPr fontId="1" type="noConversion"/>
  </si>
  <si>
    <t>广发可转债债券C</t>
    <phoneticPr fontId="1" type="noConversion"/>
  </si>
  <si>
    <t>006483</t>
    <phoneticPr fontId="1" type="noConversion"/>
  </si>
  <si>
    <t>三星</t>
    <phoneticPr fontId="1" type="noConversion"/>
  </si>
  <si>
    <t>270049</t>
    <phoneticPr fontId="1" type="noConversion"/>
  </si>
  <si>
    <t>广发纯债债券C</t>
    <phoneticPr fontId="1" type="noConversion"/>
  </si>
  <si>
    <t>规模</t>
    <phoneticPr fontId="1" type="noConversion"/>
  </si>
  <si>
    <t>050111</t>
    <phoneticPr fontId="1" type="noConversion"/>
  </si>
  <si>
    <t>博时信用债券C</t>
    <phoneticPr fontId="1" type="noConversion"/>
  </si>
  <si>
    <t>11.87亿</t>
    <phoneticPr fontId="1" type="noConversion"/>
  </si>
  <si>
    <t>000188</t>
    <phoneticPr fontId="1" type="noConversion"/>
  </si>
  <si>
    <t>000016</t>
    <phoneticPr fontId="1" type="noConversion"/>
  </si>
  <si>
    <t>华夏纯债债券C</t>
    <phoneticPr fontId="1" type="noConversion"/>
  </si>
  <si>
    <t>大成景旭纯债债券C</t>
    <phoneticPr fontId="1" type="noConversion"/>
  </si>
  <si>
    <t>华泰柏瑞丰盛纯债债券C</t>
    <phoneticPr fontId="1" type="noConversion"/>
  </si>
  <si>
    <t>000153</t>
    <phoneticPr fontId="1" type="noConversion"/>
  </si>
  <si>
    <t>长信可转债C</t>
    <phoneticPr fontId="1" type="noConversion"/>
  </si>
  <si>
    <t>11.61亿</t>
    <phoneticPr fontId="1" type="noConversion"/>
  </si>
  <si>
    <t>14.78亿</t>
    <phoneticPr fontId="1" type="noConversion"/>
  </si>
  <si>
    <t>60%-%80机构</t>
    <phoneticPr fontId="1" type="noConversion"/>
  </si>
  <si>
    <t>持有结构</t>
    <phoneticPr fontId="1" type="noConversion"/>
  </si>
  <si>
    <t>96%个人</t>
    <phoneticPr fontId="1" type="noConversion"/>
  </si>
  <si>
    <t>工银瑞信双利债券B</t>
    <phoneticPr fontId="1" type="noConversion"/>
  </si>
  <si>
    <t>1.69亿</t>
    <phoneticPr fontId="1" type="noConversion"/>
  </si>
  <si>
    <t>21.90亿</t>
    <phoneticPr fontId="1" type="noConversion"/>
  </si>
  <si>
    <t>1.62亿</t>
    <phoneticPr fontId="1" type="noConversion"/>
  </si>
  <si>
    <t>3.16亿元</t>
    <phoneticPr fontId="1" type="noConversion"/>
  </si>
  <si>
    <t>基金比较基准</t>
  </si>
  <si>
    <t>中债综合指数</t>
  </si>
  <si>
    <t>中国债券总指数收益率×90%+沪深300指数收益率×10%</t>
    <phoneticPr fontId="1" type="noConversion"/>
  </si>
  <si>
    <t>中信标普可转债指数收益率×70%+中证综合债指数收益率×20%+沪深300指数收益率×10%</t>
  </si>
  <si>
    <t>中证可转换债券指数收益率×70%+中债综合财富(总值)指数收益率×20%+沪深300指数收益率×10%</t>
    <phoneticPr fontId="1" type="noConversion"/>
  </si>
  <si>
    <t>中债总全价指数收益率</t>
  </si>
  <si>
    <t>中债综合全价(总值)指数</t>
  </si>
  <si>
    <t>中债综合财富指数收益率</t>
  </si>
  <si>
    <t>广发沪深300ETF联接C (002987)</t>
  </si>
  <si>
    <t>002987</t>
    <phoneticPr fontId="1" type="noConversion"/>
  </si>
  <si>
    <t>管理费率</t>
  </si>
  <si>
    <t>0.50%（每年）</t>
  </si>
  <si>
    <t>托管费率</t>
  </si>
  <si>
    <t>0.10%（每年）</t>
  </si>
  <si>
    <t>销售服务费率</t>
  </si>
  <si>
    <t>0.20%（每年）</t>
  </si>
  <si>
    <t>0.70%（每年）</t>
  </si>
  <si>
    <t>最高认购费率</t>
  </si>
  <si>
    <t>0.00%（前端）</t>
  </si>
  <si>
    <t>如果市盈率的数值低于股息率的数值，这是投资股票的大好机会。</t>
  </si>
  <si>
    <t>270045</t>
    <phoneticPr fontId="1" type="noConversion"/>
  </si>
  <si>
    <t>PE</t>
    <phoneticPr fontId="1" type="noConversion"/>
  </si>
  <si>
    <t>股票比例</t>
    <phoneticPr fontId="1" type="noConversion"/>
  </si>
  <si>
    <t>债类比例</t>
    <phoneticPr fontId="1" type="noConversion"/>
  </si>
  <si>
    <t>85</t>
    <phoneticPr fontId="1" type="noConversion"/>
  </si>
  <si>
    <t>10</t>
    <phoneticPr fontId="1" type="noConversion"/>
  </si>
  <si>
    <t>20</t>
    <phoneticPr fontId="1" type="noConversion"/>
  </si>
  <si>
    <t>80</t>
    <phoneticPr fontId="1" type="noConversion"/>
  </si>
  <si>
    <t>15</t>
    <phoneticPr fontId="1" type="noConversion"/>
  </si>
  <si>
    <t>5</t>
    <phoneticPr fontId="1" type="noConversion"/>
  </si>
  <si>
    <t>12</t>
    <phoneticPr fontId="1" type="noConversion"/>
  </si>
  <si>
    <t>The Kelly Criterion
Kelly % = W – [(1 – W) / R] [1] 
Where:
　　W = Winning probability
　　R = Win/loss ratio</t>
    <phoneticPr fontId="1" type="noConversion"/>
  </si>
  <si>
    <t>050123</t>
    <phoneticPr fontId="1" type="noConversion"/>
  </si>
  <si>
    <t>110028</t>
    <phoneticPr fontId="1" type="noConversion"/>
  </si>
  <si>
    <t>广发双债添利债券C</t>
  </si>
  <si>
    <t>中债企业债总全价指数收益率×45%+中信标普可转债指数收益率×45%+中债国债总指数收益率×10%</t>
  </si>
  <si>
    <t>中国债券总指数</t>
  </si>
  <si>
    <t>博时天颐债券C</t>
  </si>
  <si>
    <t>三年期定期存款利率(税后)+1%</t>
  </si>
  <si>
    <t>三年期银行定期存款收益率(税后)+1.0%</t>
  </si>
  <si>
    <t>易方达安心回报债券B</t>
  </si>
  <si>
    <t>0.35%（每年）</t>
  </si>
  <si>
    <t>最高申购费率</t>
  </si>
  <si>
    <t>最高赎回费率</t>
  </si>
  <si>
    <t>1.50%（前端）</t>
  </si>
  <si>
    <t>0.80%（每年）</t>
  </si>
  <si>
    <t>0.40%（每年）</t>
  </si>
  <si>
    <t>2.00%（前端）</t>
  </si>
  <si>
    <t>纯债</t>
    <phoneticPr fontId="1" type="noConversion"/>
  </si>
  <si>
    <t>混债</t>
    <phoneticPr fontId="1" type="noConversion"/>
  </si>
  <si>
    <t>比例</t>
    <phoneticPr fontId="1" type="noConversion"/>
  </si>
  <si>
    <t>总</t>
    <phoneticPr fontId="1" type="noConversion"/>
  </si>
  <si>
    <t>股</t>
    <phoneticPr fontId="1" type="noConversion"/>
  </si>
  <si>
    <t>投入A</t>
    <phoneticPr fontId="1" type="noConversion"/>
  </si>
  <si>
    <t>投入B</t>
    <phoneticPr fontId="1" type="noConversion"/>
  </si>
  <si>
    <t>减仓数</t>
    <phoneticPr fontId="1" type="noConversion"/>
  </si>
  <si>
    <t>维持仓位</t>
    <phoneticPr fontId="1" type="noConversion"/>
  </si>
  <si>
    <t>价格</t>
    <phoneticPr fontId="1" type="noConversion"/>
  </si>
  <si>
    <t>所需成本</t>
    <phoneticPr fontId="1" type="noConversion"/>
  </si>
  <si>
    <t>网格资金</t>
    <phoneticPr fontId="1" type="noConversion"/>
  </si>
  <si>
    <t>网格仓位</t>
    <phoneticPr fontId="1" type="noConversion"/>
  </si>
  <si>
    <t>现金</t>
    <phoneticPr fontId="1" type="noConversion"/>
  </si>
  <si>
    <t>投资于固定收益类资产的比例不低于基金资产的 80%，其中对可转债（含可分离交易可转债）的投资比例不低于基金固定收益类 资产的 80%；对权益类资产的投资比例不高于基金资产的 20%，现金（不包括结 算备付金、存出保证金、应收申购款等） 或者到期日在一年以内的政府债券不低 于基金资产净值的 5%。</t>
  </si>
  <si>
    <t>投资策略</t>
    <phoneticPr fontId="1" type="noConversion"/>
  </si>
  <si>
    <t>本基金不从二级市场买入股票或权证,也不参与一级市场新股申购、股票增发,持有的因可转换债券转股所形成的股票、因所持股票所派发的权证和因投资分离交易可转债所形成的权证将在其可交易之日起的90个交易日内卖出. 本基金对固定收益类资产的投资比例不低于基金资产的80%;投资于信用债和可转债的比例合计不低于固定收益类资产的80%.现金和到期日不超过一年的政府债券不低于基金资产净值的5%.</t>
    <phoneticPr fontId="1" type="noConversion"/>
  </si>
  <si>
    <t>债券（含可转换债券）等固定收益类资产占基金资产的比例不低于 80％，股票等权益类资产占基金资产的比例不超过 20％，基金持有现金及到期日在一年以内的政府债券占基金资产净值的比例不低于 5%，其中现金不包括结算备付金、存出保证金和应收申购款等</t>
    <phoneticPr fontId="1" type="noConversion"/>
  </si>
  <si>
    <t>嘉实纯债债券C</t>
    <phoneticPr fontId="1" type="noConversion"/>
  </si>
  <si>
    <t>070038</t>
    <phoneticPr fontId="1" type="noConversion"/>
  </si>
  <si>
    <t>可转债</t>
    <phoneticPr fontId="1" type="noConversion"/>
  </si>
  <si>
    <t>092002</t>
    <phoneticPr fontId="1" type="noConversion"/>
  </si>
  <si>
    <r>
      <rPr>
        <sz val="11"/>
        <color rgb="FF555555"/>
        <rFont val="宋体"/>
        <family val="3"/>
        <charset val="134"/>
      </rPr>
      <t>大成债券投资基金</t>
    </r>
    <r>
      <rPr>
        <sz val="11"/>
        <color rgb="FF555555"/>
        <rFont val="Arial"/>
        <family val="2"/>
      </rPr>
      <t>C</t>
    </r>
    <phoneticPr fontId="1" type="noConversion"/>
  </si>
  <si>
    <t>南方天天利B</t>
    <phoneticPr fontId="1" type="noConversion"/>
  </si>
  <si>
    <t>债券价格的涨跌与利率成反向关系。如果有降息、存准率下调的的动作时，债券价格就会有上涨，债券基金的收益也会上升，反之如果利率上升，债券价格便会下滑。在近年央行连续降息后，国内利率下行，对债券是有利的哦。</t>
  </si>
  <si>
    <t>000033</t>
    <phoneticPr fontId="1" type="noConversion"/>
  </si>
  <si>
    <t>易方达信用债债券C</t>
    <phoneticPr fontId="1" type="noConversion"/>
  </si>
  <si>
    <t>货基</t>
    <phoneticPr fontId="1" type="noConversion"/>
  </si>
  <si>
    <t>初始值：</t>
    <phoneticPr fontId="1" type="noConversion"/>
  </si>
  <si>
    <t>百分比</t>
    <phoneticPr fontId="1" type="noConversion"/>
  </si>
  <si>
    <t>买入步长</t>
    <phoneticPr fontId="1" type="noConversion"/>
  </si>
  <si>
    <t>卖出步长</t>
    <phoneticPr fontId="1" type="noConversion"/>
  </si>
  <si>
    <t>序列</t>
    <phoneticPr fontId="1" type="noConversion"/>
  </si>
  <si>
    <t>买入价</t>
    <phoneticPr fontId="1" type="noConversion"/>
  </si>
  <si>
    <t>目标价</t>
    <phoneticPr fontId="1" type="noConversion"/>
  </si>
  <si>
    <t>仓位(元)</t>
    <phoneticPr fontId="1" type="noConversion"/>
  </si>
  <si>
    <t>当前盈余</t>
    <phoneticPr fontId="1" type="noConversion"/>
  </si>
  <si>
    <t>当前仓位（元）</t>
    <phoneticPr fontId="1" type="noConversion"/>
  </si>
  <si>
    <t>定投300额度</t>
    <phoneticPr fontId="1" type="noConversion"/>
  </si>
  <si>
    <t>年平均指数的平方/当前指数的平方*25+涨跌系数*10</t>
    <phoneticPr fontId="1" type="noConversion"/>
  </si>
  <si>
    <t>M250</t>
    <phoneticPr fontId="1" type="noConversion"/>
  </si>
  <si>
    <t>定投额</t>
    <phoneticPr fontId="1" type="noConversion"/>
  </si>
  <si>
    <t>M5</t>
    <phoneticPr fontId="1" type="noConversion"/>
  </si>
  <si>
    <t>M120</t>
    <phoneticPr fontId="1" type="noConversion"/>
  </si>
  <si>
    <t>m250</t>
    <phoneticPr fontId="1" type="noConversion"/>
  </si>
  <si>
    <t>m250-m5</t>
    <phoneticPr fontId="1" type="noConversion"/>
  </si>
  <si>
    <t>m120-m5</t>
    <phoneticPr fontId="1" type="noConversion"/>
  </si>
  <si>
    <t>天数</t>
    <phoneticPr fontId="1" type="noConversion"/>
  </si>
  <si>
    <t>B</t>
    <phoneticPr fontId="1" type="noConversion"/>
  </si>
  <si>
    <t>A</t>
    <phoneticPr fontId="1" type="noConversion"/>
  </si>
  <si>
    <t>博时宏观回报债券B</t>
  </si>
  <si>
    <t>051016</t>
  </si>
  <si>
    <t>易方达增强回报债券B</t>
  </si>
  <si>
    <t>110018</t>
  </si>
  <si>
    <t>易方达稳健收益债券B</t>
  </si>
  <si>
    <t>110008</t>
  </si>
  <si>
    <t>广发聚财信用债券B</t>
  </si>
  <si>
    <t>270030</t>
    <phoneticPr fontId="1" type="noConversion"/>
  </si>
  <si>
    <t>华泰柏瑞稳健收益债券C类</t>
    <phoneticPr fontId="1" type="noConversion"/>
  </si>
  <si>
    <t>460108</t>
    <phoneticPr fontId="1" type="noConversion"/>
  </si>
  <si>
    <t>月增长低于1.7的不投</t>
    <phoneticPr fontId="1" type="noConversion"/>
  </si>
  <si>
    <t>博时转债增强债券C</t>
  </si>
  <si>
    <t>050119</t>
  </si>
  <si>
    <t>000131</t>
    <phoneticPr fontId="1" type="noConversion"/>
  </si>
  <si>
    <t>大成景兴信用债债券C</t>
    <phoneticPr fontId="1" type="noConversion"/>
  </si>
  <si>
    <t>维持仓位（元）</t>
    <phoneticPr fontId="1" type="noConversion"/>
  </si>
  <si>
    <t>当前仓位(股数)</t>
    <phoneticPr fontId="1" type="noConversion"/>
  </si>
  <si>
    <t>PE排位</t>
    <phoneticPr fontId="1" type="noConversion"/>
  </si>
  <si>
    <t>&lt;10%</t>
    <phoneticPr fontId="1" type="noConversion"/>
  </si>
  <si>
    <t>极度低估</t>
    <phoneticPr fontId="1" type="noConversion"/>
  </si>
  <si>
    <t>10%-20%</t>
    <phoneticPr fontId="1" type="noConversion"/>
  </si>
  <si>
    <t>低估</t>
    <phoneticPr fontId="1" type="noConversion"/>
  </si>
  <si>
    <t>20%-50%</t>
    <phoneticPr fontId="1" type="noConversion"/>
  </si>
  <si>
    <t>正常偏低</t>
    <phoneticPr fontId="1" type="noConversion"/>
  </si>
  <si>
    <t>80%-90%</t>
    <phoneticPr fontId="1" type="noConversion"/>
  </si>
  <si>
    <t>高估</t>
    <phoneticPr fontId="1" type="noConversion"/>
  </si>
  <si>
    <t>&gt;90%</t>
    <phoneticPr fontId="1" type="noConversion"/>
  </si>
  <si>
    <t>极度高估</t>
    <phoneticPr fontId="1" type="noConversion"/>
  </si>
  <si>
    <t>510300</t>
    <phoneticPr fontId="1" type="noConversion"/>
  </si>
  <si>
    <t>700</t>
    <phoneticPr fontId="1" type="noConversion"/>
  </si>
</sst>
</file>

<file path=xl/styles.xml><?xml version="1.0" encoding="utf-8"?>
<styleSheet xmlns="http://schemas.openxmlformats.org/spreadsheetml/2006/main">
  <numFmts count="5">
    <numFmt numFmtId="176" formatCode="0.00_ "/>
    <numFmt numFmtId="177" formatCode="0;[Red]0"/>
    <numFmt numFmtId="178" formatCode="0_ "/>
    <numFmt numFmtId="179" formatCode="0.000_ "/>
    <numFmt numFmtId="180" formatCode="0_);[Red]\(0\)"/>
  </numFmts>
  <fonts count="24">
    <font>
      <sz val="11"/>
      <color theme="1"/>
      <name val="宋体"/>
      <family val="2"/>
      <charset val="134"/>
      <scheme val="minor"/>
    </font>
    <font>
      <sz val="9"/>
      <name val="宋体"/>
      <family val="2"/>
      <charset val="134"/>
      <scheme val="minor"/>
    </font>
    <font>
      <sz val="14"/>
      <color rgb="FF33353C"/>
      <name val="Arial"/>
      <family val="2"/>
    </font>
    <font>
      <sz val="14"/>
      <color rgb="FF33353C"/>
      <name val="宋体"/>
      <family val="3"/>
      <charset val="134"/>
    </font>
    <font>
      <sz val="12"/>
      <color rgb="FF33353C"/>
      <name val="Arial"/>
      <family val="2"/>
    </font>
    <font>
      <b/>
      <sz val="12"/>
      <color rgb="FF33353C"/>
      <name val="Arial"/>
      <family val="2"/>
    </font>
    <font>
      <sz val="12"/>
      <color rgb="FF33353C"/>
      <name val="宋体"/>
      <family val="3"/>
      <charset val="134"/>
    </font>
    <font>
      <sz val="11"/>
      <color theme="1"/>
      <name val="宋体"/>
      <family val="2"/>
      <scheme val="minor"/>
    </font>
    <font>
      <u/>
      <sz val="11"/>
      <color theme="10"/>
      <name val="宋体"/>
      <family val="3"/>
      <charset val="134"/>
    </font>
    <font>
      <b/>
      <sz val="11"/>
      <color rgb="FFFF0000"/>
      <name val="宋体"/>
      <family val="3"/>
      <charset val="134"/>
      <scheme val="minor"/>
    </font>
    <font>
      <b/>
      <sz val="11"/>
      <color theme="1"/>
      <name val="宋体"/>
      <family val="3"/>
      <charset val="134"/>
      <scheme val="minor"/>
    </font>
    <font>
      <sz val="9"/>
      <color rgb="FF000000"/>
      <name val="微软雅黑"/>
      <family val="2"/>
      <charset val="134"/>
    </font>
    <font>
      <sz val="9"/>
      <color rgb="FF333333"/>
      <name val="Arial"/>
      <family val="2"/>
    </font>
    <font>
      <sz val="12"/>
      <color rgb="FFFF0000"/>
      <name val="Arial"/>
      <family val="2"/>
    </font>
    <font>
      <b/>
      <sz val="10"/>
      <color rgb="FF33353C"/>
      <name val="Arial"/>
      <family val="2"/>
    </font>
    <font>
      <sz val="12"/>
      <color rgb="FF008000"/>
      <name val="Arial"/>
      <family val="2"/>
    </font>
    <font>
      <sz val="11"/>
      <color rgb="FF000000"/>
      <name val="Microsoft yahei"/>
      <family val="2"/>
      <charset val="134"/>
    </font>
    <font>
      <u/>
      <sz val="11"/>
      <color theme="10"/>
      <name val="宋体"/>
      <family val="3"/>
      <charset val="134"/>
    </font>
    <font>
      <sz val="11"/>
      <color rgb="FF555555"/>
      <name val="Arial"/>
      <family val="2"/>
    </font>
    <font>
      <sz val="11"/>
      <color rgb="FF33353C"/>
      <name val="Arial"/>
      <family val="2"/>
    </font>
    <font>
      <sz val="12"/>
      <color rgb="FF000000"/>
      <name val="宋体"/>
      <family val="3"/>
      <charset val="134"/>
      <scheme val="minor"/>
    </font>
    <font>
      <sz val="11"/>
      <color rgb="FF555555"/>
      <name val="宋体"/>
      <family val="3"/>
      <charset val="134"/>
    </font>
    <font>
      <sz val="11"/>
      <color rgb="FF666666"/>
      <name val="SimSun"/>
      <charset val="134"/>
    </font>
    <font>
      <sz val="11"/>
      <color indexed="8"/>
      <name val="宋体"/>
      <family val="3"/>
      <charset val="134"/>
    </font>
  </fonts>
  <fills count="7">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E7E7E7"/>
        <bgColor indexed="64"/>
      </patternFill>
    </fill>
    <fill>
      <patternFill patternType="solid">
        <fgColor theme="0" tint="-0.14999847407452621"/>
        <bgColor indexed="64"/>
      </patternFill>
    </fill>
    <fill>
      <patternFill patternType="solid">
        <fgColor rgb="FF00B0F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mediumDashed">
        <color rgb="FFDAE3E8"/>
      </bottom>
      <diagonal/>
    </border>
    <border>
      <left style="medium">
        <color rgb="FFD3D3D3"/>
      </left>
      <right style="medium">
        <color rgb="FFD3D3D3"/>
      </right>
      <top style="medium">
        <color rgb="FFD3D3D3"/>
      </top>
      <bottom style="medium">
        <color rgb="FFD3D3D3"/>
      </bottom>
      <diagonal/>
    </border>
    <border>
      <left style="thin">
        <color auto="1"/>
      </left>
      <right/>
      <top style="thin">
        <color auto="1"/>
      </top>
      <bottom style="thin">
        <color auto="1"/>
      </bottom>
      <diagonal/>
    </border>
  </borders>
  <cellStyleXfs count="3">
    <xf numFmtId="0" fontId="0" fillId="0" borderId="0">
      <alignment vertical="center"/>
    </xf>
    <xf numFmtId="0" fontId="8" fillId="0" borderId="0" applyNumberFormat="0" applyFill="0" applyBorder="0" applyAlignment="0" applyProtection="0">
      <alignment vertical="top"/>
      <protection locked="0"/>
    </xf>
    <xf numFmtId="0" fontId="23" fillId="0" borderId="0">
      <alignment vertical="center"/>
    </xf>
  </cellStyleXfs>
  <cellXfs count="80">
    <xf numFmtId="0" fontId="0" fillId="0" borderId="0" xfId="0">
      <alignment vertical="center"/>
    </xf>
    <xf numFmtId="49" fontId="2" fillId="0" borderId="0" xfId="0" applyNumberFormat="1" applyFont="1" applyAlignment="1">
      <alignment vertical="top" wrapText="1"/>
    </xf>
    <xf numFmtId="49" fontId="0" fillId="0" borderId="0" xfId="0" applyNumberFormat="1" applyAlignment="1">
      <alignment vertical="top" wrapText="1"/>
    </xf>
    <xf numFmtId="0" fontId="4" fillId="0" borderId="0" xfId="0" applyFont="1">
      <alignment vertical="center"/>
    </xf>
    <xf numFmtId="0" fontId="5" fillId="0" borderId="0" xfId="0" applyFont="1">
      <alignment vertical="center"/>
    </xf>
    <xf numFmtId="0" fontId="8" fillId="0" borderId="0" xfId="1" applyAlignment="1" applyProtection="1">
      <alignment vertical="center"/>
    </xf>
    <xf numFmtId="0" fontId="0" fillId="0" borderId="0" xfId="0" applyFont="1">
      <alignment vertical="center"/>
    </xf>
    <xf numFmtId="0" fontId="0" fillId="0" borderId="1" xfId="0" applyBorder="1">
      <alignment vertical="center"/>
    </xf>
    <xf numFmtId="0" fontId="9" fillId="0" borderId="1" xfId="0" applyFont="1" applyBorder="1">
      <alignment vertical="center"/>
    </xf>
    <xf numFmtId="0" fontId="0" fillId="2" borderId="1" xfId="0" applyFill="1" applyBorder="1">
      <alignment vertical="center"/>
    </xf>
    <xf numFmtId="0" fontId="10" fillId="0" borderId="1" xfId="0" applyFont="1" applyBorder="1">
      <alignment vertical="center"/>
    </xf>
    <xf numFmtId="0" fontId="11" fillId="0" borderId="0" xfId="0" applyFont="1">
      <alignment vertical="center"/>
    </xf>
    <xf numFmtId="0" fontId="0" fillId="2" borderId="0" xfId="0" applyFill="1">
      <alignment vertical="center"/>
    </xf>
    <xf numFmtId="0" fontId="0" fillId="0" borderId="2" xfId="0" applyFill="1" applyBorder="1">
      <alignment vertical="center"/>
    </xf>
    <xf numFmtId="14" fontId="0" fillId="0" borderId="0" xfId="0" applyNumberFormat="1">
      <alignment vertical="center"/>
    </xf>
    <xf numFmtId="10" fontId="0" fillId="0" borderId="0" xfId="0" applyNumberFormat="1">
      <alignment vertical="center"/>
    </xf>
    <xf numFmtId="0" fontId="10" fillId="0" borderId="0" xfId="0" applyFont="1">
      <alignment vertical="center"/>
    </xf>
    <xf numFmtId="49" fontId="10" fillId="0" borderId="0" xfId="0" applyNumberFormat="1" applyFont="1">
      <alignment vertical="center"/>
    </xf>
    <xf numFmtId="49" fontId="0" fillId="0" borderId="0" xfId="0" applyNumberFormat="1">
      <alignment vertical="center"/>
    </xf>
    <xf numFmtId="0" fontId="0" fillId="0" borderId="0" xfId="0" applyFill="1">
      <alignment vertical="center"/>
    </xf>
    <xf numFmtId="49" fontId="0" fillId="0" borderId="0" xfId="0" applyNumberFormat="1" applyFill="1">
      <alignment vertical="center"/>
    </xf>
    <xf numFmtId="14" fontId="0" fillId="0" borderId="0" xfId="0" applyNumberFormat="1" applyFill="1">
      <alignment vertical="center"/>
    </xf>
    <xf numFmtId="10" fontId="0" fillId="0" borderId="0" xfId="0" applyNumberFormat="1" applyFill="1">
      <alignment vertical="center"/>
    </xf>
    <xf numFmtId="14" fontId="12" fillId="0" borderId="0" xfId="0" applyNumberFormat="1" applyFont="1" applyFill="1">
      <alignment vertical="center"/>
    </xf>
    <xf numFmtId="0" fontId="16" fillId="0" borderId="3" xfId="0" applyFont="1" applyBorder="1" applyAlignment="1">
      <alignment vertical="center" wrapText="1"/>
    </xf>
    <xf numFmtId="0" fontId="16" fillId="0" borderId="0" xfId="0" applyFont="1">
      <alignment vertical="center"/>
    </xf>
    <xf numFmtId="49" fontId="0" fillId="2" borderId="0" xfId="0" applyNumberFormat="1" applyFill="1">
      <alignment vertical="center"/>
    </xf>
    <xf numFmtId="14" fontId="14" fillId="2" borderId="0" xfId="0" applyNumberFormat="1" applyFont="1" applyFill="1">
      <alignment vertical="center"/>
    </xf>
    <xf numFmtId="10" fontId="15" fillId="2" borderId="0" xfId="0" applyNumberFormat="1" applyFont="1" applyFill="1">
      <alignment vertical="center"/>
    </xf>
    <xf numFmtId="10" fontId="0" fillId="2" borderId="0" xfId="0" applyNumberFormat="1" applyFill="1">
      <alignment vertical="center"/>
    </xf>
    <xf numFmtId="0" fontId="16" fillId="2" borderId="0" xfId="0" applyFont="1" applyFill="1">
      <alignment vertical="center"/>
    </xf>
    <xf numFmtId="14" fontId="0" fillId="2" borderId="0" xfId="0" applyNumberFormat="1" applyFill="1">
      <alignment vertical="center"/>
    </xf>
    <xf numFmtId="0" fontId="18" fillId="4" borderId="4" xfId="0" applyFont="1" applyFill="1" applyBorder="1" applyAlignment="1">
      <alignment horizontal="left" vertical="center" wrapText="1"/>
    </xf>
    <xf numFmtId="0" fontId="18" fillId="3" borderId="4" xfId="0" applyFont="1" applyFill="1" applyBorder="1" applyAlignment="1">
      <alignment horizontal="left" vertical="center" wrapText="1"/>
    </xf>
    <xf numFmtId="0" fontId="19" fillId="0" borderId="0" xfId="0" applyFont="1">
      <alignment vertical="center"/>
    </xf>
    <xf numFmtId="0" fontId="17" fillId="2" borderId="0" xfId="1" applyFont="1" applyFill="1" applyAlignment="1" applyProtection="1">
      <alignment vertical="center" wrapText="1"/>
    </xf>
    <xf numFmtId="0" fontId="18" fillId="2" borderId="0" xfId="0" applyFont="1" applyFill="1">
      <alignment vertical="center"/>
    </xf>
    <xf numFmtId="0" fontId="0" fillId="5" borderId="0" xfId="0" applyFill="1">
      <alignment vertical="center"/>
    </xf>
    <xf numFmtId="49" fontId="0" fillId="0" borderId="1" xfId="0" applyNumberFormat="1" applyBorder="1">
      <alignment vertical="center"/>
    </xf>
    <xf numFmtId="49" fontId="0" fillId="0" borderId="1" xfId="0" applyNumberFormat="1" applyFill="1" applyBorder="1">
      <alignment vertical="center"/>
    </xf>
    <xf numFmtId="0" fontId="8" fillId="0" borderId="0" xfId="1" applyAlignment="1" applyProtection="1">
      <alignment vertical="center" wrapText="1"/>
    </xf>
    <xf numFmtId="0" fontId="18" fillId="0" borderId="0" xfId="0" applyFont="1">
      <alignment vertical="center"/>
    </xf>
    <xf numFmtId="0" fontId="8" fillId="2" borderId="0" xfId="1" applyFill="1" applyAlignment="1" applyProtection="1">
      <alignment vertical="center" wrapText="1"/>
    </xf>
    <xf numFmtId="0" fontId="0" fillId="6" borderId="1" xfId="0" applyFill="1" applyBorder="1">
      <alignment vertical="center"/>
    </xf>
    <xf numFmtId="176" fontId="10" fillId="0" borderId="0" xfId="0" applyNumberFormat="1" applyFont="1">
      <alignment vertical="center"/>
    </xf>
    <xf numFmtId="176" fontId="0" fillId="0" borderId="0" xfId="0" applyNumberFormat="1">
      <alignment vertical="center"/>
    </xf>
    <xf numFmtId="0" fontId="0" fillId="0" borderId="0" xfId="0" applyNumberFormat="1">
      <alignment vertical="center"/>
    </xf>
    <xf numFmtId="0" fontId="10" fillId="0" borderId="0" xfId="0" applyFont="1" applyAlignment="1">
      <alignment horizontal="right" vertical="center"/>
    </xf>
    <xf numFmtId="10" fontId="15" fillId="2" borderId="0" xfId="0" applyNumberFormat="1" applyFont="1" applyFill="1" applyAlignment="1">
      <alignment horizontal="right" vertical="center"/>
    </xf>
    <xf numFmtId="0" fontId="0" fillId="2" borderId="0" xfId="0" applyFill="1" applyAlignment="1">
      <alignment horizontal="right" vertical="center"/>
    </xf>
    <xf numFmtId="10" fontId="0" fillId="2" borderId="0" xfId="0" applyNumberFormat="1" applyFill="1" applyAlignment="1">
      <alignment horizontal="right" vertical="center"/>
    </xf>
    <xf numFmtId="10" fontId="0" fillId="0" borderId="0" xfId="0" applyNumberFormat="1" applyAlignment="1">
      <alignment horizontal="right" vertical="center"/>
    </xf>
    <xf numFmtId="10" fontId="0" fillId="0" borderId="0" xfId="0" applyNumberFormat="1" applyFill="1" applyAlignment="1">
      <alignment horizontal="right" vertical="center"/>
    </xf>
    <xf numFmtId="10" fontId="13" fillId="0" borderId="0" xfId="0" applyNumberFormat="1" applyFont="1" applyAlignment="1">
      <alignment horizontal="right" vertical="center"/>
    </xf>
    <xf numFmtId="0" fontId="0" fillId="0" borderId="0" xfId="0" applyAlignment="1">
      <alignment horizontal="right" vertical="center"/>
    </xf>
    <xf numFmtId="0" fontId="0" fillId="0" borderId="1" xfId="0" applyBorder="1" applyAlignment="1">
      <alignment horizontal="right" vertical="center"/>
    </xf>
    <xf numFmtId="177" fontId="0" fillId="0" borderId="0" xfId="0" applyNumberFormat="1">
      <alignment vertical="center"/>
    </xf>
    <xf numFmtId="0" fontId="20" fillId="0" borderId="0" xfId="0" applyFont="1">
      <alignment vertical="center"/>
    </xf>
    <xf numFmtId="0" fontId="0" fillId="2" borderId="0" xfId="0" applyNumberFormat="1" applyFill="1">
      <alignment vertical="center"/>
    </xf>
    <xf numFmtId="14" fontId="12" fillId="2" borderId="0" xfId="0" applyNumberFormat="1" applyFont="1" applyFill="1">
      <alignment vertical="center"/>
    </xf>
    <xf numFmtId="10" fontId="13" fillId="2" borderId="0" xfId="0" applyNumberFormat="1" applyFont="1" applyFill="1">
      <alignment vertical="center"/>
    </xf>
    <xf numFmtId="10" fontId="13" fillId="2" borderId="0" xfId="0" applyNumberFormat="1" applyFont="1" applyFill="1" applyAlignment="1">
      <alignment horizontal="right" vertical="center"/>
    </xf>
    <xf numFmtId="0" fontId="0" fillId="0" borderId="1" xfId="0" applyBorder="1" applyAlignment="1">
      <alignment horizontal="left" vertical="center"/>
    </xf>
    <xf numFmtId="0" fontId="22" fillId="0" borderId="0" xfId="0" applyFont="1">
      <alignment vertical="center"/>
    </xf>
    <xf numFmtId="178" fontId="0" fillId="0" borderId="1" xfId="0" applyNumberFormat="1" applyBorder="1" applyAlignment="1">
      <alignment vertical="center"/>
    </xf>
    <xf numFmtId="179" fontId="0" fillId="0" borderId="0" xfId="0" applyNumberFormat="1">
      <alignment vertical="center"/>
    </xf>
    <xf numFmtId="179" fontId="0" fillId="0" borderId="1" xfId="0" applyNumberFormat="1" applyBorder="1">
      <alignment vertical="center"/>
    </xf>
    <xf numFmtId="0" fontId="0" fillId="0" borderId="1" xfId="0" applyFill="1" applyBorder="1">
      <alignment vertical="center"/>
    </xf>
    <xf numFmtId="0" fontId="0" fillId="2" borderId="5" xfId="0" applyFill="1" applyBorder="1">
      <alignment vertical="center"/>
    </xf>
    <xf numFmtId="0" fontId="0" fillId="0" borderId="1" xfId="0" applyBorder="1" applyAlignment="1">
      <alignment vertical="center"/>
    </xf>
    <xf numFmtId="49" fontId="0" fillId="0" borderId="0" xfId="0" applyNumberFormat="1" applyFill="1" applyBorder="1">
      <alignment vertical="center"/>
    </xf>
    <xf numFmtId="176" fontId="0" fillId="0" borderId="0" xfId="0" applyNumberFormat="1" applyAlignment="1">
      <alignment horizontal="center" vertical="center"/>
    </xf>
    <xf numFmtId="176" fontId="0" fillId="0" borderId="0" xfId="0" applyNumberFormat="1" applyAlignment="1">
      <alignment horizontal="right" vertical="center"/>
    </xf>
    <xf numFmtId="176" fontId="0" fillId="0" borderId="1" xfId="0" applyNumberFormat="1" applyBorder="1">
      <alignment vertical="center"/>
    </xf>
    <xf numFmtId="0" fontId="0" fillId="0" borderId="1" xfId="0" applyNumberFormat="1" applyBorder="1" applyAlignment="1">
      <alignment horizontal="left" vertical="center"/>
    </xf>
    <xf numFmtId="0" fontId="0" fillId="0" borderId="0" xfId="0" applyNumberFormat="1" applyFill="1">
      <alignment vertical="center"/>
    </xf>
    <xf numFmtId="178" fontId="0" fillId="0" borderId="0" xfId="0" applyNumberFormat="1">
      <alignment vertical="center"/>
    </xf>
    <xf numFmtId="178" fontId="0" fillId="0" borderId="2" xfId="0" applyNumberFormat="1" applyFill="1" applyBorder="1">
      <alignment vertical="center"/>
    </xf>
    <xf numFmtId="180" fontId="0" fillId="0" borderId="0" xfId="0" applyNumberFormat="1">
      <alignment vertical="center"/>
    </xf>
    <xf numFmtId="0" fontId="0" fillId="0" borderId="0" xfId="0" applyAlignment="1">
      <alignment horizontal="left" vertical="center" wrapText="1"/>
    </xf>
  </cellXfs>
  <cellStyles count="3">
    <cellStyle name="常规" xfId="0" builtinId="0"/>
    <cellStyle name="常规 4" xfId="2"/>
    <cellStyle name="超链接" xfId="1" builtinId="8"/>
  </cellStyles>
  <dxfs count="0"/>
  <tableStyles count="0" defaultTableStyle="TableStyleMedium9" defaultPivotStyle="PivotStyleLight16"/>
  <colors>
    <mruColors>
      <color rgb="FF0066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15</xdr:col>
      <xdr:colOff>95250</xdr:colOff>
      <xdr:row>10</xdr:row>
      <xdr:rowOff>114300</xdr:rowOff>
    </xdr:to>
    <xdr:pic>
      <xdr:nvPicPr>
        <xdr:cNvPr id="2049" name="Picture 1" descr="https://www.jisilu.cn/uploads/questions/20150913/260b9dd3393169e780c8b4bfb9e04f6f.png"/>
        <xdr:cNvPicPr>
          <a:picLocks noChangeAspect="1" noChangeArrowheads="1"/>
        </xdr:cNvPicPr>
      </xdr:nvPicPr>
      <xdr:blipFill>
        <a:blip xmlns:r="http://schemas.openxmlformats.org/officeDocument/2006/relationships" r:embed="rId1"/>
        <a:srcRect/>
        <a:stretch>
          <a:fillRect/>
        </a:stretch>
      </xdr:blipFill>
      <xdr:spPr bwMode="auto">
        <a:xfrm>
          <a:off x="2743200" y="342900"/>
          <a:ext cx="7639050" cy="1485900"/>
        </a:xfrm>
        <a:prstGeom prst="rect">
          <a:avLst/>
        </a:prstGeom>
        <a:noFill/>
      </xdr:spPr>
    </xdr:pic>
    <xdr:clientData/>
  </xdr:twoCellAnchor>
  <xdr:twoCellAnchor editAs="oneCell">
    <xdr:from>
      <xdr:col>3</xdr:col>
      <xdr:colOff>0</xdr:colOff>
      <xdr:row>31</xdr:row>
      <xdr:rowOff>0</xdr:rowOff>
    </xdr:from>
    <xdr:to>
      <xdr:col>6</xdr:col>
      <xdr:colOff>590861</xdr:colOff>
      <xdr:row>40</xdr:row>
      <xdr:rowOff>133963</xdr:rowOff>
    </xdr:to>
    <xdr:pic>
      <xdr:nvPicPr>
        <xdr:cNvPr id="3" name="图片 2" descr="dfc2fd99746abb4235eba39f46fd8a6f.png"/>
        <xdr:cNvPicPr>
          <a:picLocks noChangeAspect="1"/>
        </xdr:cNvPicPr>
      </xdr:nvPicPr>
      <xdr:blipFill>
        <a:blip xmlns:r="http://schemas.openxmlformats.org/officeDocument/2006/relationships" r:embed="rId2" cstate="print"/>
        <a:stretch>
          <a:fillRect/>
        </a:stretch>
      </xdr:blipFill>
      <xdr:spPr>
        <a:xfrm>
          <a:off x="2057400" y="6705600"/>
          <a:ext cx="3010211" cy="1677013"/>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und.eastmoney.com/159919.html"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fund.eastmoney.com/110028.html" TargetMode="External"/><Relationship Id="rId1" Type="http://schemas.openxmlformats.org/officeDocument/2006/relationships/hyperlink" Target="http://fund.eastmoney.com/270045.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1"/>
  <dimension ref="A1:G16"/>
  <sheetViews>
    <sheetView workbookViewId="0">
      <selection activeCell="A2" sqref="A2:XFD2"/>
    </sheetView>
  </sheetViews>
  <sheetFormatPr defaultRowHeight="13.5"/>
  <cols>
    <col min="2" max="6" width="18.25" customWidth="1"/>
    <col min="7" max="7" width="126.375" style="2" customWidth="1"/>
  </cols>
  <sheetData>
    <row r="1" spans="1:7">
      <c r="C1" t="s">
        <v>9</v>
      </c>
      <c r="D1" t="s">
        <v>10</v>
      </c>
      <c r="E1" t="s">
        <v>11</v>
      </c>
      <c r="F1" t="s">
        <v>12</v>
      </c>
    </row>
    <row r="2" spans="1:7" ht="85.5" customHeight="1">
      <c r="A2">
        <v>501029</v>
      </c>
      <c r="B2" t="s">
        <v>1</v>
      </c>
      <c r="G2" s="1" t="s">
        <v>0</v>
      </c>
    </row>
    <row r="3" spans="1:7" ht="15">
      <c r="A3">
        <v>399922</v>
      </c>
      <c r="B3" s="3" t="s">
        <v>2</v>
      </c>
      <c r="C3" s="3"/>
      <c r="D3" s="3"/>
      <c r="E3" s="3"/>
      <c r="F3" s="3"/>
      <c r="G3" s="3" t="s">
        <v>6</v>
      </c>
    </row>
    <row r="4" spans="1:7" ht="15">
      <c r="A4">
        <v>159905</v>
      </c>
      <c r="B4" s="3" t="s">
        <v>3</v>
      </c>
      <c r="C4" s="3"/>
      <c r="D4" s="3"/>
      <c r="E4" s="3"/>
      <c r="F4" s="3"/>
      <c r="G4" s="3" t="s">
        <v>4</v>
      </c>
    </row>
    <row r="5" spans="1:7" ht="15.75">
      <c r="A5">
        <v>510880</v>
      </c>
      <c r="B5" s="6" t="s">
        <v>14</v>
      </c>
      <c r="C5" s="4"/>
      <c r="D5" s="4"/>
      <c r="E5" s="4"/>
      <c r="F5" s="4"/>
      <c r="G5" s="3" t="s">
        <v>5</v>
      </c>
    </row>
    <row r="6" spans="1:7" ht="18.75">
      <c r="A6">
        <v>510300</v>
      </c>
      <c r="B6" t="s">
        <v>7</v>
      </c>
      <c r="G6" s="1" t="s">
        <v>13</v>
      </c>
    </row>
    <row r="7" spans="1:7" ht="18">
      <c r="A7">
        <v>159919</v>
      </c>
      <c r="B7" s="5" t="s">
        <v>8</v>
      </c>
      <c r="C7" s="5"/>
      <c r="D7" s="5"/>
      <c r="E7" s="5"/>
      <c r="F7" s="5"/>
      <c r="G7" s="1"/>
    </row>
    <row r="8" spans="1:7">
      <c r="A8">
        <v>510900</v>
      </c>
      <c r="B8" t="s">
        <v>21</v>
      </c>
    </row>
    <row r="16" spans="1:7" ht="14.25">
      <c r="F16" s="11"/>
    </row>
  </sheetData>
  <phoneticPr fontId="1" type="noConversion"/>
  <hyperlinks>
    <hyperlink ref="B7" r:id="rId1" display="http://fund.eastmoney.com/159919.html"/>
  </hyperlinks>
  <pageMargins left="0.7" right="0.7" top="0.75" bottom="0.75" header="0.3" footer="0.3"/>
  <pageSetup paperSize="9" orientation="portrait" horizontalDpi="200" verticalDpi="200" r:id="rId2"/>
</worksheet>
</file>

<file path=xl/worksheets/sheet10.xml><?xml version="1.0" encoding="utf-8"?>
<worksheet xmlns="http://schemas.openxmlformats.org/spreadsheetml/2006/main" xmlns:r="http://schemas.openxmlformats.org/officeDocument/2006/relationships">
  <dimension ref="A1:E2"/>
  <sheetViews>
    <sheetView workbookViewId="0">
      <selection activeCell="E2" sqref="E2"/>
    </sheetView>
  </sheetViews>
  <sheetFormatPr defaultRowHeight="13.5"/>
  <cols>
    <col min="1" max="1" width="13.375" customWidth="1"/>
    <col min="2" max="3" width="9.5" bestFit="1" customWidth="1"/>
  </cols>
  <sheetData>
    <row r="1" spans="1:5">
      <c r="B1" s="71" t="s">
        <v>150</v>
      </c>
      <c r="C1" s="71" t="s">
        <v>148</v>
      </c>
      <c r="E1" s="78" t="s">
        <v>149</v>
      </c>
    </row>
    <row r="2" spans="1:5">
      <c r="A2" s="14">
        <v>43486</v>
      </c>
      <c r="B2" s="72">
        <v>1540</v>
      </c>
      <c r="C2" s="45">
        <v>1569</v>
      </c>
      <c r="D2" s="45">
        <f t="shared" ref="D2" si="0">(C2-B2)</f>
        <v>29</v>
      </c>
      <c r="E2" s="78">
        <f>(D2)*100/(B2-677)*10</f>
        <v>33.603707995365006</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3"/>
  <dimension ref="B1:AI81"/>
  <sheetViews>
    <sheetView tabSelected="1" topLeftCell="A10" workbookViewId="0">
      <selection activeCell="J33" sqref="J33"/>
    </sheetView>
  </sheetViews>
  <sheetFormatPr defaultRowHeight="13.5"/>
  <cols>
    <col min="2" max="2" width="41" customWidth="1"/>
    <col min="3" max="3" width="14.125" style="18" customWidth="1"/>
    <col min="4" max="5" width="14.125" style="45" customWidth="1"/>
    <col min="6" max="6" width="14.125" style="18" customWidth="1"/>
    <col min="7" max="7" width="11.625" bestFit="1" customWidth="1"/>
    <col min="8" max="8" width="8.875" customWidth="1"/>
    <col min="9" max="9" width="12.75" style="54" bestFit="1" customWidth="1"/>
    <col min="11" max="11" width="11.625" customWidth="1"/>
    <col min="12" max="12" width="11" customWidth="1"/>
    <col min="16" max="16" width="21.5" customWidth="1"/>
  </cols>
  <sheetData>
    <row r="1" spans="2:35" ht="17.25" thickBot="1">
      <c r="B1" s="16" t="s">
        <v>31</v>
      </c>
      <c r="C1" s="17" t="s">
        <v>32</v>
      </c>
      <c r="D1" s="44" t="s">
        <v>113</v>
      </c>
      <c r="E1" s="44" t="s">
        <v>114</v>
      </c>
      <c r="F1" s="17" t="s">
        <v>39</v>
      </c>
      <c r="G1" s="16" t="s">
        <v>25</v>
      </c>
      <c r="H1" s="16" t="s">
        <v>33</v>
      </c>
      <c r="I1" s="47" t="s">
        <v>28</v>
      </c>
      <c r="J1" s="16" t="s">
        <v>29</v>
      </c>
      <c r="K1" s="16" t="s">
        <v>26</v>
      </c>
      <c r="L1" s="16" t="s">
        <v>27</v>
      </c>
      <c r="M1" s="16" t="s">
        <v>30</v>
      </c>
      <c r="N1" s="16" t="s">
        <v>123</v>
      </c>
      <c r="O1" s="16" t="s">
        <v>53</v>
      </c>
      <c r="P1" s="24" t="s">
        <v>60</v>
      </c>
    </row>
    <row r="2" spans="2:35" s="12" customFormat="1" ht="29.25" thickBot="1">
      <c r="B2" s="12" t="s">
        <v>49</v>
      </c>
      <c r="C2" s="26">
        <v>519976</v>
      </c>
      <c r="D2" s="56">
        <v>11355</v>
      </c>
      <c r="E2" s="56">
        <v>5364</v>
      </c>
      <c r="F2" s="26" t="s">
        <v>50</v>
      </c>
      <c r="G2" s="27">
        <v>40998</v>
      </c>
      <c r="H2" s="28">
        <v>-3.6999999999999998E-2</v>
      </c>
      <c r="I2" s="48">
        <v>-5.4300000000000001E-2</v>
      </c>
      <c r="J2" s="29">
        <v>-1.0800000000000001E-2</v>
      </c>
      <c r="K2" s="29">
        <v>-4.58E-2</v>
      </c>
      <c r="L2" s="29">
        <v>-0.16250000000000001</v>
      </c>
      <c r="M2" s="29">
        <v>1.1455</v>
      </c>
      <c r="N2" s="57" t="s">
        <v>122</v>
      </c>
      <c r="O2" s="12" t="s">
        <v>52</v>
      </c>
      <c r="P2" s="30" t="s">
        <v>63</v>
      </c>
      <c r="Q2" s="32" t="s">
        <v>70</v>
      </c>
      <c r="R2" s="33" t="s">
        <v>76</v>
      </c>
      <c r="S2" s="32" t="s">
        <v>72</v>
      </c>
      <c r="T2" s="33" t="s">
        <v>75</v>
      </c>
      <c r="U2" s="32" t="s">
        <v>74</v>
      </c>
      <c r="V2" s="33"/>
      <c r="W2" s="33"/>
      <c r="X2" s="33"/>
      <c r="Y2" s="33"/>
      <c r="Z2" s="33"/>
      <c r="AA2" s="33"/>
      <c r="AB2" s="33"/>
      <c r="AC2" s="33" t="s">
        <v>101</v>
      </c>
      <c r="AD2" s="32" t="s">
        <v>77</v>
      </c>
      <c r="AE2" s="33" t="s">
        <v>78</v>
      </c>
      <c r="AF2" s="32" t="s">
        <v>102</v>
      </c>
      <c r="AG2" s="33" t="s">
        <v>78</v>
      </c>
      <c r="AH2" s="32" t="s">
        <v>103</v>
      </c>
      <c r="AI2" s="33" t="s">
        <v>104</v>
      </c>
    </row>
    <row r="3" spans="2:35" s="12" customFormat="1" ht="14.25">
      <c r="B3" s="42" t="s">
        <v>100</v>
      </c>
      <c r="C3" s="26" t="s">
        <v>93</v>
      </c>
      <c r="D3" s="56">
        <v>9190</v>
      </c>
      <c r="E3" s="56">
        <v>6179</v>
      </c>
      <c r="F3" s="26"/>
      <c r="I3" s="49"/>
      <c r="P3" s="36" t="s">
        <v>99</v>
      </c>
    </row>
    <row r="4" spans="2:35" s="12" customFormat="1" ht="18.75" customHeight="1" thickBot="1">
      <c r="B4" s="12" t="s">
        <v>169</v>
      </c>
      <c r="C4" s="26" t="s">
        <v>170</v>
      </c>
      <c r="D4" s="58">
        <v>1000</v>
      </c>
      <c r="E4" s="58"/>
      <c r="F4" s="26"/>
      <c r="G4" s="31"/>
      <c r="H4" s="29"/>
      <c r="I4" s="50"/>
      <c r="J4" s="29"/>
      <c r="K4" s="29"/>
      <c r="L4" s="29"/>
      <c r="M4" s="29"/>
    </row>
    <row r="5" spans="2:35" s="12" customFormat="1" ht="29.25" thickBot="1">
      <c r="B5" s="12" t="s">
        <v>34</v>
      </c>
      <c r="C5" s="26" t="s">
        <v>35</v>
      </c>
      <c r="D5" s="56">
        <v>2403</v>
      </c>
      <c r="E5" s="56"/>
      <c r="F5" s="26"/>
      <c r="G5" s="31">
        <v>43406</v>
      </c>
      <c r="H5" s="29">
        <v>5.4999999999999997E-3</v>
      </c>
      <c r="I5" s="49"/>
      <c r="P5" s="12" t="s">
        <v>64</v>
      </c>
      <c r="Q5" s="32" t="s">
        <v>70</v>
      </c>
      <c r="R5" s="33" t="s">
        <v>105</v>
      </c>
      <c r="S5" s="32" t="s">
        <v>72</v>
      </c>
      <c r="T5" s="33" t="s">
        <v>75</v>
      </c>
      <c r="U5" s="32" t="s">
        <v>74</v>
      </c>
      <c r="V5" s="33"/>
      <c r="W5" s="33"/>
      <c r="X5" s="33"/>
      <c r="Y5" s="33"/>
      <c r="Z5" s="33"/>
      <c r="AA5" s="33"/>
      <c r="AB5" s="33"/>
      <c r="AC5" s="33" t="s">
        <v>106</v>
      </c>
      <c r="AD5" s="32" t="s">
        <v>77</v>
      </c>
      <c r="AE5" s="33" t="s">
        <v>78</v>
      </c>
      <c r="AF5" s="32" t="s">
        <v>102</v>
      </c>
      <c r="AG5" s="33" t="s">
        <v>78</v>
      </c>
      <c r="AH5" s="32" t="s">
        <v>103</v>
      </c>
      <c r="AI5" s="33" t="s">
        <v>107</v>
      </c>
    </row>
    <row r="6" spans="2:35" s="12" customFormat="1" ht="29.25" thickBot="1">
      <c r="B6" s="12" t="s">
        <v>41</v>
      </c>
      <c r="C6" s="26" t="s">
        <v>40</v>
      </c>
      <c r="D6" s="56">
        <v>2064</v>
      </c>
      <c r="E6" s="56">
        <v>1054</v>
      </c>
      <c r="F6" s="26" t="s">
        <v>42</v>
      </c>
      <c r="G6" s="31">
        <v>39974</v>
      </c>
      <c r="H6" s="29">
        <v>-1.3100000000000001E-2</v>
      </c>
      <c r="I6" s="50">
        <v>1.8E-3</v>
      </c>
      <c r="J6" s="29">
        <v>4.53E-2</v>
      </c>
      <c r="K6" s="29">
        <v>2.4799999999999999E-2</v>
      </c>
      <c r="L6" s="29">
        <v>3.9399999999999998E-2</v>
      </c>
      <c r="M6" s="29">
        <v>1.3714999999999999</v>
      </c>
      <c r="P6" s="12" t="s">
        <v>62</v>
      </c>
      <c r="Q6" s="32" t="s">
        <v>70</v>
      </c>
      <c r="R6" s="33" t="s">
        <v>76</v>
      </c>
      <c r="S6" s="32" t="s">
        <v>72</v>
      </c>
      <c r="T6" s="33" t="s">
        <v>75</v>
      </c>
      <c r="U6" s="32" t="s">
        <v>74</v>
      </c>
      <c r="V6" s="33"/>
      <c r="W6" s="33"/>
      <c r="X6" s="33"/>
      <c r="Y6" s="33"/>
      <c r="Z6" s="33"/>
      <c r="AA6" s="33"/>
      <c r="AB6" s="33"/>
      <c r="AC6" s="33" t="s">
        <v>101</v>
      </c>
      <c r="AD6" s="32" t="s">
        <v>77</v>
      </c>
      <c r="AE6" s="33" t="s">
        <v>78</v>
      </c>
      <c r="AF6" s="32" t="s">
        <v>102</v>
      </c>
      <c r="AG6" s="33" t="s">
        <v>78</v>
      </c>
      <c r="AH6" s="32" t="s">
        <v>103</v>
      </c>
      <c r="AI6" s="33" t="s">
        <v>104</v>
      </c>
    </row>
    <row r="7" spans="2:35" s="12" customFormat="1" ht="14.25">
      <c r="B7" s="36" t="s">
        <v>97</v>
      </c>
      <c r="C7" s="26" t="s">
        <v>92</v>
      </c>
      <c r="D7" s="56">
        <v>500</v>
      </c>
      <c r="E7" s="56">
        <v>1017</v>
      </c>
      <c r="F7" s="26"/>
      <c r="I7" s="49"/>
      <c r="P7" s="36" t="s">
        <v>98</v>
      </c>
    </row>
    <row r="8" spans="2:35" s="12" customFormat="1" ht="14.25">
      <c r="B8" s="36" t="s">
        <v>130</v>
      </c>
      <c r="C8" s="26" t="s">
        <v>129</v>
      </c>
      <c r="D8" s="56">
        <v>1200</v>
      </c>
      <c r="E8" s="56">
        <v>914</v>
      </c>
      <c r="F8" s="26"/>
      <c r="I8" s="49"/>
      <c r="P8" s="36" t="s">
        <v>96</v>
      </c>
    </row>
    <row r="9" spans="2:35" s="12" customFormat="1" ht="16.5">
      <c r="B9" s="26" t="s">
        <v>55</v>
      </c>
      <c r="C9" s="26">
        <v>485011</v>
      </c>
      <c r="D9" s="58">
        <v>1000</v>
      </c>
      <c r="E9" s="58"/>
      <c r="F9" s="26" t="s">
        <v>59</v>
      </c>
      <c r="G9" s="59">
        <v>40406</v>
      </c>
      <c r="H9" s="60">
        <v>1.1000000000000001E-3</v>
      </c>
      <c r="I9" s="61">
        <v>2.5700000000000001E-2</v>
      </c>
      <c r="J9" s="60">
        <v>4.8399999999999999E-2</v>
      </c>
      <c r="K9" s="60">
        <v>9.1800000000000007E-2</v>
      </c>
      <c r="L9" s="60">
        <v>0.13100000000000001</v>
      </c>
      <c r="M9" s="60">
        <v>0.79490000000000005</v>
      </c>
      <c r="N9" s="12" t="s">
        <v>125</v>
      </c>
      <c r="P9" s="30" t="s">
        <v>67</v>
      </c>
    </row>
    <row r="10" spans="2:35" s="12" customFormat="1">
      <c r="B10" s="12" t="s">
        <v>162</v>
      </c>
      <c r="C10" s="26" t="s">
        <v>163</v>
      </c>
      <c r="D10" s="58">
        <v>200</v>
      </c>
      <c r="E10" s="58"/>
      <c r="F10" s="26"/>
      <c r="G10" s="31"/>
      <c r="H10" s="29"/>
      <c r="I10" s="50"/>
      <c r="J10" s="29"/>
      <c r="K10" s="29"/>
      <c r="L10" s="29"/>
      <c r="M10" s="29"/>
    </row>
    <row r="11" spans="2:35" s="12" customFormat="1">
      <c r="B11" s="12" t="s">
        <v>160</v>
      </c>
      <c r="C11" s="26" t="s">
        <v>161</v>
      </c>
      <c r="D11" s="58">
        <v>200</v>
      </c>
      <c r="E11" s="58"/>
      <c r="F11" s="26"/>
      <c r="G11" s="31"/>
      <c r="H11" s="29"/>
      <c r="I11" s="50"/>
      <c r="J11" s="29"/>
      <c r="K11" s="29"/>
      <c r="L11" s="29"/>
      <c r="M11" s="29"/>
    </row>
    <row r="12" spans="2:35" s="12" customFormat="1">
      <c r="B12" s="12" t="s">
        <v>158</v>
      </c>
      <c r="C12" s="26" t="s">
        <v>159</v>
      </c>
      <c r="D12" s="58">
        <v>500</v>
      </c>
      <c r="E12" s="58"/>
      <c r="F12" s="26"/>
      <c r="G12" s="31"/>
      <c r="H12" s="29"/>
      <c r="I12" s="50"/>
      <c r="J12" s="29"/>
      <c r="K12" s="29"/>
      <c r="L12" s="29"/>
      <c r="M12" s="29"/>
    </row>
    <row r="13" spans="2:35" s="12" customFormat="1">
      <c r="B13" s="12" t="s">
        <v>164</v>
      </c>
      <c r="C13" s="26" t="s">
        <v>165</v>
      </c>
      <c r="D13" s="58">
        <v>200</v>
      </c>
      <c r="E13" s="58"/>
      <c r="F13" s="26"/>
      <c r="G13" s="31"/>
      <c r="H13" s="29"/>
      <c r="I13" s="50"/>
      <c r="J13" s="29"/>
      <c r="K13" s="29"/>
      <c r="L13" s="29"/>
      <c r="M13" s="29"/>
    </row>
    <row r="14" spans="2:35" s="12" customFormat="1" ht="14.25" thickBot="1">
      <c r="B14" s="12" t="s">
        <v>172</v>
      </c>
      <c r="C14" s="26" t="s">
        <v>171</v>
      </c>
      <c r="D14" s="58"/>
      <c r="E14" s="58">
        <v>5173</v>
      </c>
      <c r="F14" s="26"/>
      <c r="G14" s="31"/>
      <c r="H14" s="29"/>
      <c r="I14" s="50"/>
      <c r="J14" s="29"/>
      <c r="K14" s="29"/>
      <c r="L14" s="29"/>
      <c r="M14" s="29"/>
    </row>
    <row r="15" spans="2:35" s="12" customFormat="1" ht="15.75" customHeight="1" thickBot="1">
      <c r="B15" s="35" t="s">
        <v>68</v>
      </c>
      <c r="C15" s="26" t="s">
        <v>69</v>
      </c>
      <c r="D15" s="56">
        <v>628</v>
      </c>
      <c r="E15" s="56">
        <v>0</v>
      </c>
      <c r="F15" s="26"/>
      <c r="G15" s="31"/>
      <c r="H15" s="29"/>
      <c r="I15" s="50"/>
      <c r="J15" s="29"/>
      <c r="K15" s="29"/>
      <c r="L15" s="29"/>
      <c r="M15" s="29"/>
      <c r="Q15" s="32" t="s">
        <v>70</v>
      </c>
      <c r="R15" s="33" t="s">
        <v>71</v>
      </c>
      <c r="S15" s="32" t="s">
        <v>72</v>
      </c>
      <c r="T15" s="33" t="s">
        <v>73</v>
      </c>
      <c r="U15" s="32" t="s">
        <v>74</v>
      </c>
      <c r="V15" s="33"/>
      <c r="W15" s="33"/>
      <c r="X15" s="33"/>
      <c r="Y15" s="33"/>
      <c r="Z15" s="33"/>
      <c r="AA15" s="33"/>
      <c r="AB15" s="33"/>
      <c r="AC15" s="33" t="s">
        <v>75</v>
      </c>
    </row>
    <row r="16" spans="2:35" s="19" customFormat="1" ht="16.5">
      <c r="B16" s="19" t="s">
        <v>38</v>
      </c>
      <c r="C16" s="20" t="s">
        <v>37</v>
      </c>
      <c r="D16" s="46">
        <v>1434</v>
      </c>
      <c r="E16" s="46">
        <v>2305</v>
      </c>
      <c r="F16" s="20" t="s">
        <v>51</v>
      </c>
      <c r="G16" s="21">
        <v>41255</v>
      </c>
      <c r="H16" s="22">
        <v>2.5000000000000001E-3</v>
      </c>
      <c r="I16" s="52">
        <v>1.5900000000000001E-2</v>
      </c>
      <c r="J16" s="22">
        <v>3.4799999999999998E-2</v>
      </c>
      <c r="K16" s="22">
        <v>6.0499999999999998E-2</v>
      </c>
      <c r="L16" s="22">
        <v>8.7099999999999997E-2</v>
      </c>
      <c r="M16" s="22">
        <v>0.39169999999999999</v>
      </c>
      <c r="N16" s="19" t="s">
        <v>36</v>
      </c>
      <c r="O16" s="19" t="s">
        <v>54</v>
      </c>
      <c r="P16" s="25" t="s">
        <v>65</v>
      </c>
    </row>
    <row r="17" spans="2:16" ht="16.5">
      <c r="B17" t="s">
        <v>47</v>
      </c>
      <c r="C17" s="20" t="s">
        <v>43</v>
      </c>
      <c r="D17" s="46">
        <v>5362</v>
      </c>
      <c r="E17" s="46">
        <v>4014</v>
      </c>
      <c r="F17" s="20" t="s">
        <v>56</v>
      </c>
      <c r="G17" s="14">
        <v>41519</v>
      </c>
      <c r="H17" s="15">
        <v>3.0000000000000001E-3</v>
      </c>
      <c r="I17" s="51">
        <v>2.76E-2</v>
      </c>
      <c r="J17" s="15">
        <v>4.7699999999999999E-2</v>
      </c>
      <c r="K17" s="15">
        <v>9.6000000000000002E-2</v>
      </c>
      <c r="L17" s="15">
        <v>0.1229</v>
      </c>
      <c r="M17" s="15">
        <v>0.34060000000000001</v>
      </c>
      <c r="P17" s="25" t="s">
        <v>66</v>
      </c>
    </row>
    <row r="18" spans="2:16" s="19" customFormat="1" ht="16.5">
      <c r="B18" s="37" t="s">
        <v>45</v>
      </c>
      <c r="C18" s="20" t="s">
        <v>44</v>
      </c>
      <c r="D18" s="46">
        <v>1200</v>
      </c>
      <c r="E18" s="75">
        <v>0</v>
      </c>
      <c r="F18" s="20" t="s">
        <v>57</v>
      </c>
      <c r="G18" s="23">
        <v>41341</v>
      </c>
      <c r="H18" s="22">
        <v>2.5000000000000001E-3</v>
      </c>
      <c r="I18" s="52">
        <v>1.84E-2</v>
      </c>
      <c r="J18" s="22">
        <v>3.8300000000000001E-2</v>
      </c>
      <c r="K18" s="22">
        <v>6.8400000000000002E-2</v>
      </c>
      <c r="L18" s="22">
        <v>8.5300000000000001E-2</v>
      </c>
      <c r="M18" s="22">
        <v>0.25140000000000001</v>
      </c>
      <c r="P18" s="25" t="s">
        <v>61</v>
      </c>
    </row>
    <row r="19" spans="2:16" ht="16.5">
      <c r="B19" t="s">
        <v>46</v>
      </c>
      <c r="C19" s="20" t="s">
        <v>48</v>
      </c>
      <c r="D19" s="46">
        <v>2000</v>
      </c>
      <c r="E19" s="46">
        <v>974</v>
      </c>
      <c r="F19" s="20" t="s">
        <v>58</v>
      </c>
      <c r="G19" s="14">
        <v>41478</v>
      </c>
      <c r="H19" s="15">
        <v>2.7000000000000001E-3</v>
      </c>
      <c r="I19" s="53">
        <v>1.9900000000000001E-2</v>
      </c>
      <c r="J19" s="15">
        <v>3.4799999999999998E-2</v>
      </c>
      <c r="K19" s="15">
        <v>5.3100000000000001E-2</v>
      </c>
      <c r="L19" s="15">
        <v>9.6500000000000002E-2</v>
      </c>
      <c r="M19" s="15">
        <v>0.35639999999999999</v>
      </c>
      <c r="P19" s="25" t="s">
        <v>61</v>
      </c>
    </row>
    <row r="20" spans="2:16" ht="14.25">
      <c r="B20" s="40" t="s">
        <v>94</v>
      </c>
      <c r="C20" s="20" t="s">
        <v>80</v>
      </c>
      <c r="D20" s="46">
        <v>1251</v>
      </c>
      <c r="E20" s="46">
        <v>4402</v>
      </c>
      <c r="N20" t="s">
        <v>124</v>
      </c>
      <c r="P20" s="41" t="s">
        <v>95</v>
      </c>
    </row>
    <row r="21" spans="2:16" ht="14.25">
      <c r="B21" s="40" t="s">
        <v>166</v>
      </c>
      <c r="C21" s="20" t="s">
        <v>167</v>
      </c>
      <c r="D21" s="46">
        <v>1000</v>
      </c>
      <c r="E21" s="46"/>
      <c r="P21" s="41"/>
    </row>
    <row r="22" spans="2:16" ht="14.25">
      <c r="B22" s="18" t="s">
        <v>134</v>
      </c>
      <c r="C22" s="20" t="s">
        <v>133</v>
      </c>
      <c r="E22" s="46">
        <v>1300</v>
      </c>
      <c r="P22" s="41"/>
    </row>
    <row r="23" spans="2:16" ht="14.25">
      <c r="B23" s="18" t="s">
        <v>126</v>
      </c>
      <c r="C23" s="20" t="s">
        <v>127</v>
      </c>
      <c r="D23" s="46">
        <v>1000</v>
      </c>
      <c r="E23" s="46"/>
      <c r="P23" s="41"/>
    </row>
    <row r="24" spans="2:16">
      <c r="B24" t="s">
        <v>131</v>
      </c>
      <c r="D24" s="46">
        <v>3035</v>
      </c>
      <c r="E24" s="46"/>
    </row>
    <row r="25" spans="2:16">
      <c r="B25" t="s">
        <v>121</v>
      </c>
      <c r="D25" s="46">
        <v>4148</v>
      </c>
      <c r="E25" s="46">
        <v>0</v>
      </c>
    </row>
    <row r="26" spans="2:16">
      <c r="I26" s="51"/>
      <c r="J26" s="15"/>
      <c r="K26" s="15"/>
    </row>
    <row r="28" spans="2:16">
      <c r="I28" s="7" t="s">
        <v>157</v>
      </c>
      <c r="J28" s="55"/>
      <c r="K28" s="7" t="s">
        <v>110</v>
      </c>
    </row>
    <row r="29" spans="2:16">
      <c r="B29" s="12" t="s">
        <v>168</v>
      </c>
      <c r="I29" s="7" t="s">
        <v>111</v>
      </c>
      <c r="J29" s="64">
        <f>SUM(J30:J34)</f>
        <v>90472.7</v>
      </c>
      <c r="K29" s="7"/>
    </row>
    <row r="30" spans="2:16">
      <c r="I30" s="7" t="s">
        <v>108</v>
      </c>
      <c r="J30" s="64">
        <f>SUM(D16:E23)</f>
        <v>26242</v>
      </c>
      <c r="K30" s="62">
        <f>J30/J29</f>
        <v>0.29005434788615791</v>
      </c>
    </row>
    <row r="31" spans="2:16">
      <c r="I31" s="7" t="s">
        <v>109</v>
      </c>
      <c r="J31" s="64">
        <f>SUM(D6:E14)</f>
        <v>14022</v>
      </c>
      <c r="K31" s="62">
        <f>J31/J29</f>
        <v>0.15498597919593424</v>
      </c>
    </row>
    <row r="32" spans="2:16">
      <c r="I32" s="7" t="s">
        <v>128</v>
      </c>
      <c r="J32" s="64">
        <f>SUM(D2:E5)</f>
        <v>35491</v>
      </c>
      <c r="K32" s="62">
        <f>J32/J29</f>
        <v>0.39228408127534603</v>
      </c>
    </row>
    <row r="33" spans="2:11">
      <c r="I33" s="7" t="s">
        <v>112</v>
      </c>
      <c r="J33" s="69">
        <f>SUM(G38:G42)</f>
        <v>7534.7000000000007</v>
      </c>
      <c r="K33" s="62">
        <f>J33/J29</f>
        <v>8.3281476069576796E-2</v>
      </c>
    </row>
    <row r="34" spans="2:11">
      <c r="I34" s="67" t="s">
        <v>135</v>
      </c>
      <c r="J34" s="64">
        <f>SUM(D24:D25)</f>
        <v>7183</v>
      </c>
      <c r="K34" s="7"/>
    </row>
    <row r="35" spans="2:11">
      <c r="I35"/>
      <c r="J35" s="54"/>
    </row>
    <row r="36" spans="2:11">
      <c r="I36"/>
      <c r="J36" s="54"/>
    </row>
    <row r="37" spans="2:11">
      <c r="B37" s="10"/>
      <c r="C37" s="10" t="s">
        <v>15</v>
      </c>
      <c r="D37" s="10" t="s">
        <v>16</v>
      </c>
      <c r="E37" s="10" t="s">
        <v>24</v>
      </c>
      <c r="F37" s="10" t="s">
        <v>17</v>
      </c>
      <c r="G37" s="10" t="s">
        <v>18</v>
      </c>
      <c r="I37"/>
      <c r="J37" s="54"/>
    </row>
    <row r="38" spans="2:11">
      <c r="B38" s="8" t="s">
        <v>20</v>
      </c>
      <c r="C38" s="8">
        <v>501029</v>
      </c>
      <c r="D38" s="8">
        <v>0.89400000000000002</v>
      </c>
      <c r="E38" s="8">
        <f>D38*1.05</f>
        <v>0.93870000000000009</v>
      </c>
      <c r="F38" s="8">
        <v>0</v>
      </c>
      <c r="G38" s="55">
        <f>D38*F38</f>
        <v>0</v>
      </c>
      <c r="I38" s="7" t="s">
        <v>156</v>
      </c>
      <c r="J38" s="55"/>
      <c r="K38" s="7" t="s">
        <v>110</v>
      </c>
    </row>
    <row r="39" spans="2:11">
      <c r="B39" s="8" t="s">
        <v>19</v>
      </c>
      <c r="C39" s="8">
        <v>159905</v>
      </c>
      <c r="D39" s="8">
        <v>1.381</v>
      </c>
      <c r="E39" s="8">
        <f>D39*1.05</f>
        <v>1.4500500000000001</v>
      </c>
      <c r="F39" s="8">
        <v>0</v>
      </c>
      <c r="G39" s="55">
        <f t="shared" ref="G39:G42" si="0">D39*F39</f>
        <v>0</v>
      </c>
      <c r="I39" s="7" t="s">
        <v>111</v>
      </c>
      <c r="J39" s="64">
        <f>SUM(J40:J44)</f>
        <v>27523</v>
      </c>
      <c r="K39" s="7"/>
    </row>
    <row r="40" spans="2:11">
      <c r="B40" s="8" t="s">
        <v>22</v>
      </c>
      <c r="C40" s="8">
        <v>510880</v>
      </c>
      <c r="D40" s="8">
        <v>2.6379999999999999</v>
      </c>
      <c r="E40" s="8">
        <f>D40*1.05</f>
        <v>2.7698999999999998</v>
      </c>
      <c r="F40" s="8">
        <v>0</v>
      </c>
      <c r="G40" s="55">
        <f t="shared" si="0"/>
        <v>0</v>
      </c>
      <c r="I40" s="7" t="s">
        <v>108</v>
      </c>
      <c r="J40" s="64">
        <f>SUM(E16:E23)</f>
        <v>12995</v>
      </c>
      <c r="K40" s="62">
        <f>J40/J39</f>
        <v>0.47215056498201502</v>
      </c>
    </row>
    <row r="41" spans="2:11">
      <c r="B41" s="8" t="s">
        <v>23</v>
      </c>
      <c r="C41" s="8">
        <v>510900</v>
      </c>
      <c r="D41" s="8">
        <v>1.2989999999999999</v>
      </c>
      <c r="E41" s="8">
        <f>D41*1.05</f>
        <v>1.36395</v>
      </c>
      <c r="F41" s="8">
        <v>4000</v>
      </c>
      <c r="G41" s="55">
        <f>D41*F41</f>
        <v>5196</v>
      </c>
      <c r="I41" s="7" t="s">
        <v>109</v>
      </c>
      <c r="J41" s="64">
        <f>SUM(E6:E13)</f>
        <v>2985</v>
      </c>
      <c r="K41" s="62">
        <f>J41/J39</f>
        <v>0.1084547469389238</v>
      </c>
    </row>
    <row r="42" spans="2:11">
      <c r="B42" s="35" t="s">
        <v>68</v>
      </c>
      <c r="C42" s="26" t="s">
        <v>186</v>
      </c>
      <c r="D42" s="45">
        <v>3.3410000000000002</v>
      </c>
      <c r="E42" s="45">
        <f>D42*1.05</f>
        <v>3.5080500000000003</v>
      </c>
      <c r="F42" s="18" t="s">
        <v>187</v>
      </c>
      <c r="G42" s="55">
        <f t="shared" si="0"/>
        <v>2338.7000000000003</v>
      </c>
      <c r="I42" s="7" t="s">
        <v>128</v>
      </c>
      <c r="J42" s="64">
        <f>SUM(E2:E3)</f>
        <v>11543</v>
      </c>
      <c r="K42" s="62">
        <f>J42/J39</f>
        <v>0.41939468807906116</v>
      </c>
    </row>
    <row r="43" spans="2:11">
      <c r="I43" s="7" t="s">
        <v>112</v>
      </c>
      <c r="J43" s="69">
        <v>0</v>
      </c>
      <c r="K43" s="62">
        <f>J43/J39</f>
        <v>0</v>
      </c>
    </row>
    <row r="44" spans="2:11">
      <c r="I44" s="67" t="s">
        <v>135</v>
      </c>
      <c r="J44" s="64">
        <f>SUM(D33:D34)</f>
        <v>0</v>
      </c>
      <c r="K44" s="7"/>
    </row>
    <row r="64" spans="2:3">
      <c r="B64" s="62" t="s">
        <v>155</v>
      </c>
      <c r="C64" s="74">
        <v>22</v>
      </c>
    </row>
    <row r="66" spans="2:9">
      <c r="B66" s="8" t="s">
        <v>22</v>
      </c>
      <c r="C66" s="38" t="s">
        <v>150</v>
      </c>
      <c r="D66" s="73">
        <v>2559</v>
      </c>
      <c r="E66" s="73"/>
    </row>
    <row r="67" spans="2:9">
      <c r="B67" s="7"/>
      <c r="C67" s="38" t="s">
        <v>151</v>
      </c>
      <c r="D67" s="73">
        <v>2520</v>
      </c>
      <c r="E67" s="73">
        <f>MIN(IFERROR(D67-D66,0),0)*100*$C$64/(D66-1800)</f>
        <v>-113.04347826086956</v>
      </c>
      <c r="F67" s="18" t="s">
        <v>154</v>
      </c>
    </row>
    <row r="68" spans="2:9">
      <c r="B68" s="7"/>
      <c r="C68" s="38" t="s">
        <v>152</v>
      </c>
      <c r="D68" s="73">
        <v>2547</v>
      </c>
      <c r="E68" s="73">
        <f>(D68-D66)*100*$C$64/(D66-1800)</f>
        <v>-34.782608695652172</v>
      </c>
      <c r="F68" s="18" t="s">
        <v>153</v>
      </c>
    </row>
    <row r="69" spans="2:9">
      <c r="E69" s="73">
        <f>(D68+D67-D66*2)*100*$C$64/(D66-1800)</f>
        <v>-147.82608695652175</v>
      </c>
    </row>
    <row r="71" spans="2:9">
      <c r="B71" s="8" t="s">
        <v>19</v>
      </c>
      <c r="C71" s="38" t="s">
        <v>150</v>
      </c>
      <c r="D71" s="73">
        <v>1277</v>
      </c>
      <c r="E71" s="73"/>
    </row>
    <row r="72" spans="2:9">
      <c r="B72" s="7"/>
      <c r="C72" s="38" t="s">
        <v>151</v>
      </c>
      <c r="D72" s="73">
        <v>1359</v>
      </c>
      <c r="E72" s="73">
        <f>MIN(IFERROR(D72-D71,0),0)*100*$C$64/(D71-1800)</f>
        <v>0</v>
      </c>
      <c r="F72" s="18" t="s">
        <v>154</v>
      </c>
    </row>
    <row r="73" spans="2:9">
      <c r="B73" s="7"/>
      <c r="C73" s="38" t="s">
        <v>152</v>
      </c>
      <c r="D73" s="73">
        <v>1537</v>
      </c>
      <c r="E73" s="73">
        <f>(D73-D71)*100*$C$64/(D71-1000)</f>
        <v>2064.9819494584835</v>
      </c>
      <c r="F73" s="18" t="s">
        <v>153</v>
      </c>
    </row>
    <row r="74" spans="2:9">
      <c r="E74" s="73">
        <f>(D73+D72-D71*2)*100*$C$64/(D71-1000)</f>
        <v>2716.2454873646211</v>
      </c>
    </row>
    <row r="76" spans="2:9">
      <c r="B76" s="8" t="s">
        <v>20</v>
      </c>
      <c r="C76" s="38" t="s">
        <v>150</v>
      </c>
      <c r="D76" s="73">
        <v>869</v>
      </c>
      <c r="E76" s="73"/>
    </row>
    <row r="77" spans="2:9">
      <c r="B77" s="7"/>
      <c r="C77" s="38" t="s">
        <v>151</v>
      </c>
      <c r="D77" s="73">
        <v>877</v>
      </c>
      <c r="E77" s="73">
        <f>MIN(IFERROR(D77-D76,0),0)*100*$C$64/(D76-1800)</f>
        <v>0</v>
      </c>
      <c r="F77" s="18" t="s">
        <v>154</v>
      </c>
    </row>
    <row r="78" spans="2:9">
      <c r="B78" s="7"/>
      <c r="C78" s="38" t="s">
        <v>152</v>
      </c>
      <c r="D78" s="73">
        <v>958</v>
      </c>
      <c r="E78" s="73">
        <f>(D78-D76)*100*$C$64/(D76-800)</f>
        <v>2837.68115942029</v>
      </c>
      <c r="F78" s="18" t="s">
        <v>153</v>
      </c>
    </row>
    <row r="79" spans="2:9">
      <c r="E79" s="73">
        <f>(D78+D77-D76*2)*100*$C$64/(D76-800)</f>
        <v>3092.753623188406</v>
      </c>
    </row>
    <row r="80" spans="2:9">
      <c r="C80"/>
      <c r="D80" s="54"/>
      <c r="E80"/>
      <c r="F80"/>
      <c r="I80"/>
    </row>
    <row r="81" spans="3:9">
      <c r="C81"/>
      <c r="D81" s="54"/>
      <c r="E81"/>
      <c r="F81"/>
      <c r="I81"/>
    </row>
  </sheetData>
  <phoneticPr fontId="1" type="noConversion"/>
  <hyperlinks>
    <hyperlink ref="B20" r:id="rId1" display="http://fund.eastmoney.com/270045.html"/>
    <hyperlink ref="B3" r:id="rId2" display="http://fund.eastmoney.com/110028.html"/>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sheetPr codeName="Sheet4"/>
  <dimension ref="B5:B6"/>
  <sheetViews>
    <sheetView workbookViewId="0">
      <selection activeCell="B10" sqref="B9:B10"/>
    </sheetView>
  </sheetViews>
  <sheetFormatPr defaultRowHeight="13.5"/>
  <cols>
    <col min="2" max="2" width="185.5" customWidth="1"/>
  </cols>
  <sheetData>
    <row r="5" spans="2:2" ht="14.25">
      <c r="B5" s="34" t="s">
        <v>79</v>
      </c>
    </row>
    <row r="6" spans="2:2">
      <c r="B6" s="63" t="s">
        <v>132</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codeName="Sheet5"/>
  <dimension ref="C17:N49"/>
  <sheetViews>
    <sheetView workbookViewId="0">
      <selection activeCell="D32" sqref="D32"/>
    </sheetView>
  </sheetViews>
  <sheetFormatPr defaultRowHeight="13.5"/>
  <cols>
    <col min="4" max="4" width="13.75" customWidth="1"/>
  </cols>
  <sheetData>
    <row r="17" spans="3:14">
      <c r="E17" s="38" t="s">
        <v>81</v>
      </c>
      <c r="F17" s="38" t="s">
        <v>89</v>
      </c>
      <c r="G17" s="38" t="s">
        <v>85</v>
      </c>
      <c r="H17" s="38" t="s">
        <v>90</v>
      </c>
      <c r="I17" s="38">
        <v>15</v>
      </c>
      <c r="J17" s="38">
        <v>20</v>
      </c>
      <c r="K17" s="38">
        <v>25</v>
      </c>
      <c r="L17" s="38">
        <v>30</v>
      </c>
      <c r="M17" s="38">
        <v>35</v>
      </c>
      <c r="N17" s="38">
        <v>40</v>
      </c>
    </row>
    <row r="18" spans="3:14">
      <c r="E18" s="38" t="s">
        <v>82</v>
      </c>
      <c r="F18" s="38">
        <v>70</v>
      </c>
      <c r="G18" s="38">
        <v>50</v>
      </c>
      <c r="H18" s="38">
        <v>40</v>
      </c>
      <c r="I18" s="38">
        <v>35</v>
      </c>
      <c r="J18" s="38">
        <v>30</v>
      </c>
      <c r="K18" s="39">
        <v>25</v>
      </c>
      <c r="L18" s="38" t="s">
        <v>86</v>
      </c>
      <c r="M18" s="38" t="s">
        <v>88</v>
      </c>
      <c r="N18" s="39">
        <v>0</v>
      </c>
    </row>
    <row r="19" spans="3:14">
      <c r="E19" s="38" t="s">
        <v>83</v>
      </c>
      <c r="F19" s="38">
        <v>30</v>
      </c>
      <c r="G19" s="38">
        <v>50</v>
      </c>
      <c r="H19" s="38">
        <v>60</v>
      </c>
      <c r="I19" s="38">
        <v>65</v>
      </c>
      <c r="J19" s="38">
        <v>70</v>
      </c>
      <c r="K19" s="39">
        <v>75</v>
      </c>
      <c r="L19" s="38" t="s">
        <v>87</v>
      </c>
      <c r="M19" s="38" t="s">
        <v>84</v>
      </c>
      <c r="N19" s="39">
        <v>100</v>
      </c>
    </row>
    <row r="20" spans="3:14">
      <c r="C20" s="38"/>
      <c r="D20" s="38"/>
      <c r="E20" s="38">
        <v>40</v>
      </c>
      <c r="F20" s="38">
        <v>35</v>
      </c>
      <c r="G20" s="38">
        <v>30</v>
      </c>
      <c r="H20" s="39">
        <v>25</v>
      </c>
      <c r="I20" s="38" t="s">
        <v>86</v>
      </c>
      <c r="J20" s="38" t="s">
        <v>88</v>
      </c>
      <c r="K20" s="39">
        <v>0</v>
      </c>
    </row>
    <row r="22" spans="3:14">
      <c r="D22" t="s">
        <v>146</v>
      </c>
      <c r="E22" s="70" t="s">
        <v>147</v>
      </c>
    </row>
    <row r="23" spans="3:14">
      <c r="E23">
        <f>(4000-3180)/3180</f>
        <v>0.25786163522012578</v>
      </c>
    </row>
    <row r="28" spans="3:14" ht="123" customHeight="1">
      <c r="E28" s="79" t="s">
        <v>91</v>
      </c>
      <c r="F28" s="79"/>
      <c r="G28" s="79"/>
      <c r="H28" s="79"/>
      <c r="I28" s="79"/>
      <c r="J28" s="79"/>
      <c r="K28" s="79"/>
    </row>
    <row r="44" spans="6:7">
      <c r="F44" t="s">
        <v>175</v>
      </c>
    </row>
    <row r="45" spans="6:7">
      <c r="F45" t="s">
        <v>176</v>
      </c>
      <c r="G45" t="s">
        <v>177</v>
      </c>
    </row>
    <row r="46" spans="6:7">
      <c r="F46" t="s">
        <v>178</v>
      </c>
      <c r="G46" t="s">
        <v>179</v>
      </c>
    </row>
    <row r="47" spans="6:7">
      <c r="F47" t="s">
        <v>180</v>
      </c>
      <c r="G47" t="s">
        <v>181</v>
      </c>
    </row>
    <row r="48" spans="6:7">
      <c r="F48" t="s">
        <v>182</v>
      </c>
      <c r="G48" t="s">
        <v>183</v>
      </c>
    </row>
    <row r="49" spans="6:7">
      <c r="F49" t="s">
        <v>184</v>
      </c>
      <c r="G49" t="s">
        <v>185</v>
      </c>
    </row>
  </sheetData>
  <mergeCells count="1">
    <mergeCell ref="E28:K28"/>
  </mergeCells>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sheetPr codeName="Sheet6"/>
  <dimension ref="A3:S26"/>
  <sheetViews>
    <sheetView workbookViewId="0">
      <selection activeCell="D3" sqref="D3"/>
    </sheetView>
  </sheetViews>
  <sheetFormatPr defaultRowHeight="13.5"/>
  <cols>
    <col min="6" max="7" width="9" style="65"/>
    <col min="8" max="8" width="13.375" customWidth="1"/>
    <col min="9" max="9" width="11.75" customWidth="1"/>
  </cols>
  <sheetData>
    <row r="3" spans="1:19">
      <c r="A3" s="9" t="s">
        <v>21</v>
      </c>
      <c r="B3" s="68">
        <v>510900</v>
      </c>
      <c r="C3" s="7" t="s">
        <v>136</v>
      </c>
      <c r="D3" s="43">
        <v>1.25</v>
      </c>
      <c r="M3" s="66"/>
      <c r="N3" s="7" t="s">
        <v>117</v>
      </c>
      <c r="O3" s="7" t="s">
        <v>120</v>
      </c>
      <c r="P3" s="7" t="s">
        <v>119</v>
      </c>
      <c r="Q3" s="7" t="s">
        <v>115</v>
      </c>
      <c r="R3" s="7" t="s">
        <v>116</v>
      </c>
      <c r="S3" s="13" t="s">
        <v>118</v>
      </c>
    </row>
    <row r="4" spans="1:19">
      <c r="C4" s="7" t="s">
        <v>138</v>
      </c>
      <c r="D4" s="7">
        <v>0.03</v>
      </c>
      <c r="E4" t="s">
        <v>137</v>
      </c>
      <c r="M4" s="66">
        <v>1</v>
      </c>
      <c r="N4" s="7">
        <v>4.9000000000000004</v>
      </c>
      <c r="O4" s="7"/>
      <c r="P4" s="7"/>
      <c r="Q4" s="7"/>
      <c r="R4" s="7"/>
    </row>
    <row r="5" spans="1:19">
      <c r="C5" s="7" t="s">
        <v>139</v>
      </c>
      <c r="D5" s="7">
        <v>0.05</v>
      </c>
      <c r="M5" s="66">
        <v>2</v>
      </c>
      <c r="N5" s="7">
        <v>4.5999999999999996</v>
      </c>
      <c r="O5" s="7"/>
      <c r="P5" s="7"/>
      <c r="R5" s="7"/>
    </row>
    <row r="6" spans="1:19">
      <c r="C6" s="67" t="s">
        <v>144</v>
      </c>
      <c r="D6" s="67">
        <v>0</v>
      </c>
      <c r="M6" s="66">
        <v>3</v>
      </c>
      <c r="N6" s="7">
        <v>4.3</v>
      </c>
      <c r="O6" s="7"/>
      <c r="P6" s="7"/>
      <c r="Q6">
        <v>6500</v>
      </c>
      <c r="R6" s="7"/>
    </row>
    <row r="7" spans="1:19">
      <c r="M7" s="66">
        <v>4</v>
      </c>
      <c r="N7" s="7">
        <v>4</v>
      </c>
      <c r="O7" s="7"/>
      <c r="P7" s="7"/>
      <c r="Q7">
        <v>6000</v>
      </c>
      <c r="R7" s="7"/>
    </row>
    <row r="8" spans="1:19">
      <c r="M8" s="66">
        <v>5</v>
      </c>
      <c r="N8" s="7">
        <v>3.7</v>
      </c>
      <c r="O8" s="7"/>
      <c r="P8" s="7"/>
      <c r="Q8">
        <v>5500</v>
      </c>
      <c r="R8" s="7"/>
    </row>
    <row r="9" spans="1:19">
      <c r="E9" s="7" t="s">
        <v>140</v>
      </c>
      <c r="F9" s="66" t="s">
        <v>141</v>
      </c>
      <c r="G9" s="66" t="s">
        <v>142</v>
      </c>
      <c r="H9" s="7" t="s">
        <v>143</v>
      </c>
      <c r="I9" s="67" t="s">
        <v>145</v>
      </c>
      <c r="M9" s="66">
        <v>6</v>
      </c>
      <c r="N9" s="7">
        <v>3.4</v>
      </c>
      <c r="O9" s="7">
        <v>0</v>
      </c>
      <c r="P9" s="7">
        <v>0</v>
      </c>
      <c r="Q9">
        <v>5000</v>
      </c>
      <c r="R9" s="7"/>
      <c r="S9">
        <f>SUM(P9)</f>
        <v>0</v>
      </c>
    </row>
    <row r="10" spans="1:19">
      <c r="E10" s="7">
        <v>3</v>
      </c>
      <c r="F10" s="66">
        <f>$D$3*(1+E10*$D$4)</f>
        <v>1.3625</v>
      </c>
      <c r="G10" s="66">
        <f>F10*(1+$D$5)</f>
        <v>1.430625</v>
      </c>
      <c r="H10" s="7">
        <v>2000</v>
      </c>
      <c r="I10" s="7">
        <f>SUM($H$10:H10)+$D$6</f>
        <v>2000</v>
      </c>
      <c r="M10" s="66">
        <v>7</v>
      </c>
      <c r="N10" s="7">
        <v>3.1</v>
      </c>
      <c r="O10" s="7">
        <v>4500</v>
      </c>
      <c r="P10" s="7">
        <f t="shared" ref="P10:P17" si="0">N10*O10</f>
        <v>13950</v>
      </c>
      <c r="Q10">
        <v>4500</v>
      </c>
      <c r="R10" s="7">
        <f>SUM(O9:O10)</f>
        <v>4500</v>
      </c>
      <c r="S10">
        <f>SUM(P9:P10)</f>
        <v>13950</v>
      </c>
    </row>
    <row r="11" spans="1:19">
      <c r="E11" s="7">
        <v>2</v>
      </c>
      <c r="F11" s="66">
        <f t="shared" ref="F11:F25" si="1">$D$3*(1+E11*$D$4)</f>
        <v>1.3250000000000002</v>
      </c>
      <c r="G11" s="66">
        <f t="shared" ref="G11:G25" si="2">F11*(1+$D$5)</f>
        <v>1.3912500000000003</v>
      </c>
      <c r="H11" s="7">
        <v>2000</v>
      </c>
      <c r="I11" s="7">
        <f>SUM($H$10:H11)+$D$6</f>
        <v>4000</v>
      </c>
      <c r="M11" s="66">
        <v>8</v>
      </c>
      <c r="N11" s="7">
        <v>2.8</v>
      </c>
      <c r="O11" s="7">
        <v>5000</v>
      </c>
      <c r="P11" s="7">
        <f t="shared" si="0"/>
        <v>14000</v>
      </c>
      <c r="Q11">
        <v>4000</v>
      </c>
      <c r="R11" s="7">
        <f>SUM(O9:O11)</f>
        <v>9500</v>
      </c>
      <c r="S11">
        <f>SUM(P9:P11)</f>
        <v>27950</v>
      </c>
    </row>
    <row r="12" spans="1:19">
      <c r="E12" s="7">
        <v>1</v>
      </c>
      <c r="F12" s="66">
        <f t="shared" si="1"/>
        <v>1.2875000000000001</v>
      </c>
      <c r="G12" s="66">
        <f t="shared" si="2"/>
        <v>1.3518750000000002</v>
      </c>
      <c r="H12" s="7">
        <v>2000</v>
      </c>
      <c r="I12" s="7">
        <f>SUM($H$10:H12)+$D$6</f>
        <v>6000</v>
      </c>
      <c r="M12" s="66">
        <v>9</v>
      </c>
      <c r="N12" s="7">
        <v>2.5</v>
      </c>
      <c r="O12" s="7">
        <v>5500</v>
      </c>
      <c r="P12" s="7">
        <f t="shared" si="0"/>
        <v>13750</v>
      </c>
      <c r="Q12">
        <v>3500</v>
      </c>
      <c r="R12" s="7">
        <f>SUM(O9:O12)</f>
        <v>15000</v>
      </c>
      <c r="S12">
        <f>SUM(P9:P12)</f>
        <v>41700</v>
      </c>
    </row>
    <row r="13" spans="1:19">
      <c r="E13" s="7">
        <v>0</v>
      </c>
      <c r="F13" s="66">
        <f t="shared" si="1"/>
        <v>1.25</v>
      </c>
      <c r="G13" s="66">
        <f t="shared" si="2"/>
        <v>1.3125</v>
      </c>
      <c r="H13" s="7">
        <v>2000</v>
      </c>
      <c r="I13" s="7">
        <f>SUM($H$10:H13)+$D$6</f>
        <v>8000</v>
      </c>
      <c r="M13" s="66">
        <v>10</v>
      </c>
      <c r="N13" s="7">
        <v>2.2000000000000002</v>
      </c>
      <c r="O13" s="7">
        <v>6000</v>
      </c>
      <c r="P13" s="7">
        <f t="shared" si="0"/>
        <v>13200.000000000002</v>
      </c>
      <c r="Q13">
        <v>3000</v>
      </c>
      <c r="R13" s="7">
        <f>SUM(O9:O13)</f>
        <v>21000</v>
      </c>
      <c r="S13">
        <f>SUM(P9:P13)</f>
        <v>54900</v>
      </c>
    </row>
    <row r="14" spans="1:19">
      <c r="E14" s="7">
        <v>-1</v>
      </c>
      <c r="F14" s="66">
        <f t="shared" si="1"/>
        <v>1.2124999999999999</v>
      </c>
      <c r="G14" s="66">
        <f t="shared" si="2"/>
        <v>1.2731250000000001</v>
      </c>
      <c r="H14" s="7">
        <v>2000</v>
      </c>
      <c r="I14" s="7">
        <f>SUM($H$10:H14)+$D$6</f>
        <v>10000</v>
      </c>
      <c r="M14" s="66">
        <v>11</v>
      </c>
      <c r="N14" s="7">
        <v>1.9</v>
      </c>
      <c r="O14" s="7">
        <v>6500</v>
      </c>
      <c r="P14" s="7">
        <f t="shared" si="0"/>
        <v>12350</v>
      </c>
      <c r="Q14">
        <v>2500</v>
      </c>
      <c r="R14" s="7">
        <f>SUM(O9:O14)</f>
        <v>27500</v>
      </c>
    </row>
    <row r="15" spans="1:19">
      <c r="E15" s="7">
        <v>-2</v>
      </c>
      <c r="F15" s="66">
        <f t="shared" si="1"/>
        <v>1.1749999999999998</v>
      </c>
      <c r="G15" s="66">
        <f t="shared" si="2"/>
        <v>1.2337499999999999</v>
      </c>
      <c r="H15" s="7">
        <v>3000</v>
      </c>
      <c r="I15" s="7">
        <f>SUM($H$10:H15)+$D$6</f>
        <v>13000</v>
      </c>
      <c r="M15" s="66">
        <v>12</v>
      </c>
      <c r="N15" s="7">
        <v>1.6</v>
      </c>
      <c r="O15" s="7">
        <v>7000</v>
      </c>
      <c r="P15" s="7">
        <f t="shared" si="0"/>
        <v>11200</v>
      </c>
      <c r="Q15">
        <v>2000</v>
      </c>
      <c r="R15" s="7">
        <f>SUM(O9:O15)</f>
        <v>34500</v>
      </c>
    </row>
    <row r="16" spans="1:19">
      <c r="E16" s="7">
        <v>-3</v>
      </c>
      <c r="F16" s="66">
        <f t="shared" si="1"/>
        <v>1.1375</v>
      </c>
      <c r="G16" s="66">
        <f t="shared" si="2"/>
        <v>1.194375</v>
      </c>
      <c r="H16" s="7">
        <v>3000</v>
      </c>
      <c r="I16" s="7">
        <f>SUM($H$10:H16)+$D$6</f>
        <v>16000</v>
      </c>
      <c r="M16" s="66">
        <v>13</v>
      </c>
      <c r="N16" s="7">
        <v>1.3</v>
      </c>
      <c r="O16" s="7">
        <v>7500</v>
      </c>
      <c r="P16" s="7">
        <f t="shared" si="0"/>
        <v>9750</v>
      </c>
      <c r="R16" s="7">
        <f>SUM(O9:O16)</f>
        <v>42000</v>
      </c>
    </row>
    <row r="17" spans="5:19">
      <c r="E17" s="7">
        <v>-4</v>
      </c>
      <c r="F17" s="66">
        <f t="shared" si="1"/>
        <v>1.1000000000000001</v>
      </c>
      <c r="G17" s="66">
        <f t="shared" si="2"/>
        <v>1.1550000000000002</v>
      </c>
      <c r="H17" s="7">
        <v>3000</v>
      </c>
      <c r="I17" s="7">
        <f>SUM($H$10:H17)+$D$6</f>
        <v>19000</v>
      </c>
      <c r="M17" s="66">
        <v>14</v>
      </c>
      <c r="N17" s="7">
        <v>1</v>
      </c>
      <c r="O17" s="7">
        <v>8000</v>
      </c>
      <c r="P17" s="7">
        <f t="shared" si="0"/>
        <v>8000</v>
      </c>
      <c r="R17" s="7">
        <f>SUM(O9:O17)</f>
        <v>50000</v>
      </c>
      <c r="S17">
        <f>SUM(P9:P17)</f>
        <v>96200</v>
      </c>
    </row>
    <row r="18" spans="5:19">
      <c r="E18" s="7">
        <v>-5</v>
      </c>
      <c r="F18" s="66">
        <f t="shared" si="1"/>
        <v>1.0625</v>
      </c>
      <c r="G18" s="66">
        <f t="shared" si="2"/>
        <v>1.1156250000000001</v>
      </c>
      <c r="H18" s="7">
        <v>4000</v>
      </c>
      <c r="I18" s="7">
        <f>SUM($H$10:H18)+$D$6</f>
        <v>23000</v>
      </c>
      <c r="M18" s="66">
        <v>15</v>
      </c>
      <c r="N18" s="7">
        <v>0.7</v>
      </c>
      <c r="O18" s="7"/>
      <c r="P18" s="7"/>
      <c r="Q18" s="7"/>
      <c r="R18" s="7"/>
    </row>
    <row r="19" spans="5:19">
      <c r="E19" s="7">
        <v>-6</v>
      </c>
      <c r="F19" s="66">
        <f t="shared" si="1"/>
        <v>1.0250000000000001</v>
      </c>
      <c r="G19" s="66">
        <f t="shared" si="2"/>
        <v>1.0762500000000002</v>
      </c>
      <c r="H19" s="7">
        <v>4000</v>
      </c>
      <c r="I19" s="7">
        <f>SUM($H$10:H19)+$D$6</f>
        <v>27000</v>
      </c>
    </row>
    <row r="20" spans="5:19">
      <c r="E20" s="7">
        <v>-7</v>
      </c>
      <c r="F20" s="66">
        <f t="shared" si="1"/>
        <v>0.98750000000000004</v>
      </c>
      <c r="G20" s="66">
        <f t="shared" si="2"/>
        <v>1.036875</v>
      </c>
      <c r="H20" s="7">
        <v>4000</v>
      </c>
      <c r="I20" s="7">
        <f>SUM($H$10:H20)+$D$6</f>
        <v>31000</v>
      </c>
    </row>
    <row r="21" spans="5:19">
      <c r="E21" s="7">
        <v>-8</v>
      </c>
      <c r="F21" s="66">
        <f t="shared" si="1"/>
        <v>0.95</v>
      </c>
      <c r="G21" s="66">
        <f t="shared" si="2"/>
        <v>0.99749999999999994</v>
      </c>
      <c r="H21" s="7">
        <v>4000</v>
      </c>
      <c r="I21" s="7">
        <f>SUM($H$10:H21)+$D$6</f>
        <v>35000</v>
      </c>
    </row>
    <row r="22" spans="5:19">
      <c r="E22" s="7">
        <v>-9</v>
      </c>
      <c r="F22" s="66">
        <f t="shared" si="1"/>
        <v>0.91249999999999998</v>
      </c>
      <c r="G22" s="66">
        <f t="shared" si="2"/>
        <v>0.958125</v>
      </c>
      <c r="H22" s="7">
        <v>4000</v>
      </c>
      <c r="I22" s="7">
        <f>SUM($H$10:H22)+$D$6</f>
        <v>39000</v>
      </c>
    </row>
    <row r="23" spans="5:19">
      <c r="E23" s="7">
        <v>-10</v>
      </c>
      <c r="F23" s="66">
        <f t="shared" si="1"/>
        <v>0.875</v>
      </c>
      <c r="G23" s="66">
        <f t="shared" si="2"/>
        <v>0.91875000000000007</v>
      </c>
      <c r="H23" s="7">
        <v>5000</v>
      </c>
      <c r="I23" s="7">
        <f>SUM($H$10:H23)+$D$6</f>
        <v>44000</v>
      </c>
    </row>
    <row r="24" spans="5:19">
      <c r="E24" s="7">
        <v>-11</v>
      </c>
      <c r="F24" s="66">
        <f t="shared" si="1"/>
        <v>0.83750000000000002</v>
      </c>
      <c r="G24" s="66">
        <f t="shared" si="2"/>
        <v>0.87937500000000002</v>
      </c>
      <c r="H24" s="7">
        <v>5000</v>
      </c>
      <c r="I24" s="7">
        <f>SUM($H$10:H24)+$D$6</f>
        <v>49000</v>
      </c>
    </row>
    <row r="25" spans="5:19">
      <c r="E25" s="67">
        <v>-12</v>
      </c>
      <c r="F25" s="66">
        <f t="shared" si="1"/>
        <v>0.8</v>
      </c>
      <c r="G25" s="66">
        <f t="shared" si="2"/>
        <v>0.84000000000000008</v>
      </c>
      <c r="H25" s="7">
        <v>5000</v>
      </c>
      <c r="I25" s="7">
        <f>SUM($H$10:H25)+$D$6</f>
        <v>54000</v>
      </c>
    </row>
    <row r="26" spans="5:19">
      <c r="H26">
        <f>SUM(H10:H25)</f>
        <v>54000</v>
      </c>
    </row>
  </sheetData>
  <sortState ref="Q36:Q43">
    <sortCondition ref="Q16"/>
  </sortState>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2"/>
  <dimension ref="A3:J26"/>
  <sheetViews>
    <sheetView workbookViewId="0">
      <selection activeCell="F12" sqref="F12"/>
    </sheetView>
  </sheetViews>
  <sheetFormatPr defaultRowHeight="13.5"/>
  <cols>
    <col min="6" max="6" width="9.5" style="65" bestFit="1" customWidth="1"/>
    <col min="7" max="7" width="9" style="65"/>
    <col min="8" max="8" width="13.375" customWidth="1"/>
    <col min="9" max="9" width="11.75" customWidth="1"/>
    <col min="10" max="10" width="10.125" style="76" customWidth="1"/>
  </cols>
  <sheetData>
    <row r="3" spans="1:10">
      <c r="A3" s="9" t="s">
        <v>21</v>
      </c>
      <c r="B3" s="68">
        <v>510900</v>
      </c>
      <c r="C3" s="7" t="s">
        <v>136</v>
      </c>
      <c r="D3" s="43">
        <v>2.5</v>
      </c>
    </row>
    <row r="4" spans="1:10">
      <c r="C4" s="7" t="s">
        <v>138</v>
      </c>
      <c r="D4" s="7">
        <v>0.03</v>
      </c>
      <c r="E4" t="s">
        <v>137</v>
      </c>
    </row>
    <row r="5" spans="1:10">
      <c r="C5" s="7" t="s">
        <v>139</v>
      </c>
      <c r="D5" s="7">
        <v>0.05</v>
      </c>
    </row>
    <row r="6" spans="1:10">
      <c r="C6" s="67" t="s">
        <v>144</v>
      </c>
      <c r="D6" s="67">
        <v>0</v>
      </c>
    </row>
    <row r="9" spans="1:10">
      <c r="E9" s="7" t="s">
        <v>140</v>
      </c>
      <c r="F9" s="66" t="s">
        <v>141</v>
      </c>
      <c r="G9" s="66" t="s">
        <v>142</v>
      </c>
      <c r="H9" s="7" t="s">
        <v>143</v>
      </c>
      <c r="I9" s="67" t="s">
        <v>173</v>
      </c>
      <c r="J9" s="77" t="s">
        <v>174</v>
      </c>
    </row>
    <row r="10" spans="1:10">
      <c r="E10" s="7">
        <v>3</v>
      </c>
      <c r="F10" s="66">
        <f>$D$3*(1+E11*$D$4)</f>
        <v>2.6500000000000004</v>
      </c>
      <c r="G10" s="66">
        <f>F10*(1+$D$5)</f>
        <v>2.7825000000000006</v>
      </c>
      <c r="H10" s="7">
        <v>2500</v>
      </c>
      <c r="I10" s="7">
        <f>SUM($H$10:H10)+$D$6</f>
        <v>2500</v>
      </c>
      <c r="J10" s="76">
        <f>INT(H10/(F10*100))*100</f>
        <v>900</v>
      </c>
    </row>
    <row r="11" spans="1:10">
      <c r="E11" s="7">
        <v>2</v>
      </c>
      <c r="F11" s="66">
        <f t="shared" ref="F11:F25" si="0">$D$3*(1+E12*$D$4)</f>
        <v>2.5750000000000002</v>
      </c>
      <c r="G11" s="66">
        <f t="shared" ref="G11:G25" si="1">F11*(1+$D$5)</f>
        <v>2.7037500000000003</v>
      </c>
      <c r="H11" s="7">
        <v>2500</v>
      </c>
      <c r="I11" s="7">
        <f>SUM($H$10:H11)+$D$6</f>
        <v>5000</v>
      </c>
      <c r="J11" s="76">
        <f t="shared" ref="J11:J25" si="2">INT(H11/(F11*100))*100</f>
        <v>900</v>
      </c>
    </row>
    <row r="12" spans="1:10">
      <c r="E12" s="7">
        <v>1</v>
      </c>
      <c r="F12" s="66">
        <f t="shared" si="0"/>
        <v>2.5</v>
      </c>
      <c r="G12" s="66">
        <f t="shared" si="1"/>
        <v>2.625</v>
      </c>
      <c r="H12" s="7">
        <v>2500</v>
      </c>
      <c r="I12" s="7">
        <f>SUM($H$10:H12)+$D$6</f>
        <v>7500</v>
      </c>
      <c r="J12" s="76">
        <f t="shared" si="2"/>
        <v>1000</v>
      </c>
    </row>
    <row r="13" spans="1:10">
      <c r="E13" s="7">
        <v>0</v>
      </c>
      <c r="F13" s="66">
        <f t="shared" si="0"/>
        <v>2.4249999999999998</v>
      </c>
      <c r="G13" s="66">
        <f t="shared" si="1"/>
        <v>2.5462500000000001</v>
      </c>
      <c r="H13" s="7">
        <v>2500</v>
      </c>
      <c r="I13" s="7">
        <f>SUM($H$10:H13)+$D$6</f>
        <v>10000</v>
      </c>
      <c r="J13" s="76">
        <f t="shared" si="2"/>
        <v>1000</v>
      </c>
    </row>
    <row r="14" spans="1:10">
      <c r="E14" s="7">
        <v>-1</v>
      </c>
      <c r="F14" s="66">
        <f t="shared" si="0"/>
        <v>2.3499999999999996</v>
      </c>
      <c r="G14" s="66">
        <f t="shared" si="1"/>
        <v>2.4674999999999998</v>
      </c>
      <c r="H14" s="7">
        <v>2500</v>
      </c>
      <c r="I14" s="7">
        <f>SUM($H$10:H14)+$D$6</f>
        <v>12500</v>
      </c>
      <c r="J14" s="76">
        <f t="shared" si="2"/>
        <v>1000</v>
      </c>
    </row>
    <row r="15" spans="1:10">
      <c r="E15" s="7">
        <v>-2</v>
      </c>
      <c r="F15" s="66">
        <f t="shared" si="0"/>
        <v>2.2749999999999999</v>
      </c>
      <c r="G15" s="66">
        <f t="shared" si="1"/>
        <v>2.3887499999999999</v>
      </c>
      <c r="H15" s="7">
        <v>3000</v>
      </c>
      <c r="I15" s="7">
        <f>SUM($H$10:H15)+$D$6</f>
        <v>15500</v>
      </c>
      <c r="J15" s="76">
        <f t="shared" si="2"/>
        <v>1300</v>
      </c>
    </row>
    <row r="16" spans="1:10">
      <c r="E16" s="7">
        <v>-3</v>
      </c>
      <c r="F16" s="66">
        <f t="shared" si="0"/>
        <v>2.2000000000000002</v>
      </c>
      <c r="G16" s="66">
        <f t="shared" si="1"/>
        <v>2.3100000000000005</v>
      </c>
      <c r="H16" s="7">
        <v>3000</v>
      </c>
      <c r="I16" s="7">
        <f>SUM($H$10:H16)+$D$6</f>
        <v>18500</v>
      </c>
      <c r="J16" s="76">
        <f t="shared" si="2"/>
        <v>1300</v>
      </c>
    </row>
    <row r="17" spans="5:10">
      <c r="E17" s="7">
        <v>-4</v>
      </c>
      <c r="F17" s="66">
        <f t="shared" si="0"/>
        <v>2.125</v>
      </c>
      <c r="G17" s="66">
        <f t="shared" si="1"/>
        <v>2.2312500000000002</v>
      </c>
      <c r="H17" s="7">
        <v>3000</v>
      </c>
      <c r="I17" s="7">
        <f>SUM($H$10:H17)+$D$6</f>
        <v>21500</v>
      </c>
      <c r="J17" s="76">
        <f t="shared" si="2"/>
        <v>1400</v>
      </c>
    </row>
    <row r="18" spans="5:10">
      <c r="E18" s="7">
        <v>-5</v>
      </c>
      <c r="F18" s="66">
        <f t="shared" si="0"/>
        <v>2.0500000000000003</v>
      </c>
      <c r="G18" s="66">
        <f t="shared" si="1"/>
        <v>2.1525000000000003</v>
      </c>
      <c r="H18" s="7">
        <v>4000</v>
      </c>
      <c r="I18" s="7">
        <f>SUM($H$10:H18)+$D$6</f>
        <v>25500</v>
      </c>
      <c r="J18" s="76">
        <f t="shared" si="2"/>
        <v>1900</v>
      </c>
    </row>
    <row r="19" spans="5:10">
      <c r="E19" s="7">
        <v>-6</v>
      </c>
      <c r="F19" s="66">
        <f t="shared" si="0"/>
        <v>1.9750000000000001</v>
      </c>
      <c r="G19" s="66">
        <f t="shared" si="1"/>
        <v>2.07375</v>
      </c>
      <c r="H19" s="7">
        <v>4000</v>
      </c>
      <c r="I19" s="7">
        <f>SUM($H$10:H19)+$D$6</f>
        <v>29500</v>
      </c>
      <c r="J19" s="76">
        <f t="shared" si="2"/>
        <v>2000</v>
      </c>
    </row>
    <row r="20" spans="5:10">
      <c r="E20" s="7">
        <v>-7</v>
      </c>
      <c r="F20" s="66">
        <f t="shared" si="0"/>
        <v>1.9</v>
      </c>
      <c r="G20" s="66">
        <f t="shared" si="1"/>
        <v>1.9949999999999999</v>
      </c>
      <c r="H20" s="7">
        <v>4000</v>
      </c>
      <c r="I20" s="7">
        <f>SUM($H$10:H20)+$D$6</f>
        <v>33500</v>
      </c>
      <c r="J20" s="76">
        <f t="shared" si="2"/>
        <v>2100</v>
      </c>
    </row>
    <row r="21" spans="5:10">
      <c r="E21" s="7">
        <v>-8</v>
      </c>
      <c r="F21" s="66">
        <f t="shared" si="0"/>
        <v>1.825</v>
      </c>
      <c r="G21" s="66">
        <f t="shared" si="1"/>
        <v>1.91625</v>
      </c>
      <c r="H21" s="7">
        <v>4000</v>
      </c>
      <c r="I21" s="7">
        <f>SUM($H$10:H21)+$D$6</f>
        <v>37500</v>
      </c>
      <c r="J21" s="76">
        <f t="shared" si="2"/>
        <v>2100</v>
      </c>
    </row>
    <row r="22" spans="5:10">
      <c r="E22" s="7">
        <v>-9</v>
      </c>
      <c r="F22" s="66">
        <f t="shared" si="0"/>
        <v>1.75</v>
      </c>
      <c r="G22" s="66">
        <f t="shared" si="1"/>
        <v>1.8375000000000001</v>
      </c>
      <c r="H22" s="7">
        <v>4000</v>
      </c>
      <c r="I22" s="7">
        <f>SUM($H$10:H22)+$D$6</f>
        <v>41500</v>
      </c>
      <c r="J22" s="76">
        <f t="shared" si="2"/>
        <v>2200</v>
      </c>
    </row>
    <row r="23" spans="5:10">
      <c r="E23" s="7">
        <v>-10</v>
      </c>
      <c r="F23" s="66">
        <f t="shared" si="0"/>
        <v>1.675</v>
      </c>
      <c r="G23" s="66">
        <f t="shared" si="1"/>
        <v>1.75875</v>
      </c>
      <c r="H23" s="7">
        <v>5000</v>
      </c>
      <c r="I23" s="7">
        <f>SUM($H$10:H23)+$D$6</f>
        <v>46500</v>
      </c>
      <c r="J23" s="76">
        <f t="shared" si="2"/>
        <v>2900</v>
      </c>
    </row>
    <row r="24" spans="5:10">
      <c r="E24" s="7">
        <v>-11</v>
      </c>
      <c r="F24" s="66">
        <f t="shared" si="0"/>
        <v>1.6</v>
      </c>
      <c r="G24" s="66">
        <f t="shared" si="1"/>
        <v>1.6800000000000002</v>
      </c>
      <c r="H24" s="7">
        <v>5000</v>
      </c>
      <c r="I24" s="7">
        <f>SUM($H$10:H24)+$D$6</f>
        <v>51500</v>
      </c>
      <c r="J24" s="76">
        <f t="shared" si="2"/>
        <v>3100</v>
      </c>
    </row>
    <row r="25" spans="5:10">
      <c r="E25" s="67">
        <v>-12</v>
      </c>
      <c r="F25" s="66">
        <f t="shared" si="0"/>
        <v>2.5</v>
      </c>
      <c r="G25" s="66">
        <f t="shared" si="1"/>
        <v>2.625</v>
      </c>
      <c r="H25" s="7">
        <v>5000</v>
      </c>
      <c r="I25" s="7">
        <f>SUM($H$10:H25)+$D$6</f>
        <v>56500</v>
      </c>
      <c r="J25" s="76">
        <f t="shared" si="2"/>
        <v>2000</v>
      </c>
    </row>
    <row r="26" spans="5:10">
      <c r="H26">
        <f>SUM(H10:H25)</f>
        <v>56500</v>
      </c>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7"/>
  <dimension ref="A1:N43"/>
  <sheetViews>
    <sheetView workbookViewId="0">
      <selection activeCell="E2" sqref="E2"/>
    </sheetView>
  </sheetViews>
  <sheetFormatPr defaultRowHeight="13.5"/>
  <cols>
    <col min="1" max="1" width="10.5" bestFit="1" customWidth="1"/>
    <col min="2" max="2" width="10.5" style="72" customWidth="1"/>
    <col min="3" max="3" width="10.5" style="45" customWidth="1"/>
    <col min="5" max="5" width="7.625" style="78" customWidth="1"/>
  </cols>
  <sheetData>
    <row r="1" spans="1:14">
      <c r="B1" s="71" t="s">
        <v>150</v>
      </c>
      <c r="C1" s="71" t="s">
        <v>148</v>
      </c>
      <c r="E1" s="78" t="s">
        <v>149</v>
      </c>
    </row>
    <row r="2" spans="1:14">
      <c r="A2" s="14">
        <v>43486</v>
      </c>
      <c r="B2" s="72">
        <v>3182</v>
      </c>
      <c r="C2" s="45">
        <v>3565</v>
      </c>
      <c r="D2" s="45">
        <f t="shared" ref="D2:D13" si="0">(C2-B2)</f>
        <v>383</v>
      </c>
      <c r="E2" s="78">
        <f>(D2)*100/(B2-807)*4</f>
        <v>64.505263157894731</v>
      </c>
      <c r="F2" s="78">
        <f>SUM(E2:E197)</f>
        <v>910.8519071005295</v>
      </c>
    </row>
    <row r="3" spans="1:14">
      <c r="A3" s="14">
        <v>43487</v>
      </c>
      <c r="B3" s="72">
        <v>3147</v>
      </c>
      <c r="C3" s="45">
        <v>3556</v>
      </c>
      <c r="D3" s="45">
        <f t="shared" si="0"/>
        <v>409</v>
      </c>
      <c r="E3" s="78">
        <f t="shared" ref="E3:E34" si="1">(D3)*100/(B3-807)*4</f>
        <v>69.914529914529908</v>
      </c>
    </row>
    <row r="4" spans="1:14">
      <c r="A4" s="14">
        <v>43488</v>
      </c>
      <c r="B4" s="72">
        <v>3149</v>
      </c>
      <c r="C4" s="45">
        <v>3552</v>
      </c>
      <c r="D4" s="45">
        <f t="shared" si="0"/>
        <v>403</v>
      </c>
      <c r="E4" s="78">
        <f t="shared" si="1"/>
        <v>68.830059777967548</v>
      </c>
    </row>
    <row r="5" spans="1:14">
      <c r="A5" s="14">
        <v>43489</v>
      </c>
      <c r="B5" s="72">
        <v>3154</v>
      </c>
      <c r="C5" s="45">
        <v>3548</v>
      </c>
      <c r="D5" s="45">
        <f t="shared" si="0"/>
        <v>394</v>
      </c>
      <c r="E5" s="78">
        <f t="shared" si="1"/>
        <v>67.149552620366421</v>
      </c>
    </row>
    <row r="6" spans="1:14">
      <c r="A6" s="14">
        <v>43490</v>
      </c>
      <c r="B6" s="72">
        <v>3161</v>
      </c>
      <c r="C6" s="45">
        <v>3544</v>
      </c>
      <c r="D6" s="45">
        <f t="shared" si="0"/>
        <v>383</v>
      </c>
      <c r="E6" s="78">
        <f t="shared" si="1"/>
        <v>65.080713678844518</v>
      </c>
    </row>
    <row r="7" spans="1:14">
      <c r="A7" s="14">
        <v>43491</v>
      </c>
      <c r="D7" s="45">
        <f t="shared" si="0"/>
        <v>0</v>
      </c>
      <c r="E7" s="78">
        <f t="shared" si="1"/>
        <v>0</v>
      </c>
    </row>
    <row r="8" spans="1:14">
      <c r="A8" s="14">
        <v>43492</v>
      </c>
      <c r="D8" s="45">
        <f t="shared" si="0"/>
        <v>0</v>
      </c>
      <c r="E8" s="78">
        <f t="shared" si="1"/>
        <v>0</v>
      </c>
    </row>
    <row r="9" spans="1:14">
      <c r="A9" s="14">
        <v>43493</v>
      </c>
      <c r="B9" s="72">
        <v>3169</v>
      </c>
      <c r="C9" s="45">
        <v>3539</v>
      </c>
      <c r="D9" s="45">
        <f t="shared" si="0"/>
        <v>370</v>
      </c>
      <c r="E9" s="78">
        <f t="shared" si="1"/>
        <v>62.658763759525826</v>
      </c>
    </row>
    <row r="10" spans="1:14">
      <c r="A10" s="14">
        <v>43494</v>
      </c>
      <c r="B10" s="72">
        <v>3169</v>
      </c>
      <c r="C10" s="45">
        <v>3535</v>
      </c>
      <c r="D10" s="45">
        <f t="shared" si="0"/>
        <v>366</v>
      </c>
      <c r="E10" s="78">
        <f t="shared" si="1"/>
        <v>61.981371718882301</v>
      </c>
    </row>
    <row r="11" spans="1:14">
      <c r="A11" s="14">
        <v>43495</v>
      </c>
      <c r="B11" s="72">
        <v>3179</v>
      </c>
      <c r="C11" s="45">
        <v>3531</v>
      </c>
      <c r="D11" s="45">
        <f t="shared" si="0"/>
        <v>352</v>
      </c>
      <c r="E11" s="78">
        <f t="shared" si="1"/>
        <v>59.359190556492415</v>
      </c>
    </row>
    <row r="12" spans="1:14">
      <c r="A12" s="14">
        <v>43496</v>
      </c>
      <c r="B12" s="72">
        <v>3183</v>
      </c>
      <c r="C12" s="45">
        <v>3526</v>
      </c>
      <c r="D12" s="45">
        <f t="shared" si="0"/>
        <v>343</v>
      </c>
      <c r="E12" s="78">
        <f t="shared" si="1"/>
        <v>57.744107744107744</v>
      </c>
    </row>
    <row r="13" spans="1:14">
      <c r="A13" s="14">
        <v>43497</v>
      </c>
      <c r="B13" s="72">
        <v>3192</v>
      </c>
      <c r="C13" s="45">
        <v>3521</v>
      </c>
      <c r="D13" s="45">
        <f t="shared" si="0"/>
        <v>329</v>
      </c>
      <c r="E13" s="78">
        <f t="shared" si="1"/>
        <v>55.178197064989519</v>
      </c>
    </row>
    <row r="14" spans="1:14">
      <c r="A14" s="14">
        <v>43498</v>
      </c>
      <c r="D14" s="45"/>
      <c r="E14" s="78">
        <f t="shared" si="1"/>
        <v>0</v>
      </c>
      <c r="N14" s="45"/>
    </row>
    <row r="15" spans="1:14">
      <c r="A15" s="14">
        <v>43499</v>
      </c>
      <c r="D15" s="45"/>
      <c r="E15" s="78">
        <f t="shared" si="1"/>
        <v>0</v>
      </c>
    </row>
    <row r="16" spans="1:14">
      <c r="A16" s="14">
        <v>43500</v>
      </c>
      <c r="D16" s="45"/>
      <c r="E16" s="78">
        <f t="shared" si="1"/>
        <v>0</v>
      </c>
    </row>
    <row r="17" spans="1:5">
      <c r="A17" s="14">
        <v>43501</v>
      </c>
      <c r="D17" s="45"/>
      <c r="E17" s="78">
        <f t="shared" si="1"/>
        <v>0</v>
      </c>
    </row>
    <row r="18" spans="1:5">
      <c r="A18" s="14">
        <v>43502</v>
      </c>
      <c r="D18" s="45"/>
      <c r="E18" s="78">
        <f t="shared" si="1"/>
        <v>0</v>
      </c>
    </row>
    <row r="19" spans="1:5">
      <c r="A19" s="14">
        <v>43503</v>
      </c>
      <c r="D19" s="45"/>
      <c r="E19" s="78">
        <f t="shared" si="1"/>
        <v>0</v>
      </c>
    </row>
    <row r="20" spans="1:5">
      <c r="A20" s="14">
        <v>43504</v>
      </c>
      <c r="D20" s="45"/>
      <c r="E20" s="78">
        <f t="shared" si="1"/>
        <v>0</v>
      </c>
    </row>
    <row r="21" spans="1:5">
      <c r="A21" s="14">
        <v>43505</v>
      </c>
      <c r="D21" s="45"/>
      <c r="E21" s="78">
        <f t="shared" si="1"/>
        <v>0</v>
      </c>
    </row>
    <row r="22" spans="1:5">
      <c r="A22" s="14">
        <v>43506</v>
      </c>
      <c r="D22" s="45"/>
      <c r="E22" s="78">
        <f t="shared" si="1"/>
        <v>0</v>
      </c>
    </row>
    <row r="23" spans="1:5">
      <c r="A23" s="14">
        <v>43507</v>
      </c>
      <c r="B23" s="72">
        <v>3213</v>
      </c>
      <c r="C23" s="45">
        <v>3517</v>
      </c>
      <c r="D23" s="45">
        <f t="shared" ref="D23:D43" si="2">(C23-B23)</f>
        <v>304</v>
      </c>
      <c r="E23" s="78">
        <f t="shared" si="1"/>
        <v>50.540315876974233</v>
      </c>
    </row>
    <row r="24" spans="1:5">
      <c r="A24" s="14">
        <v>43508</v>
      </c>
      <c r="B24" s="72">
        <v>3245</v>
      </c>
      <c r="C24" s="45">
        <v>3513</v>
      </c>
      <c r="D24" s="45">
        <f t="shared" si="2"/>
        <v>268</v>
      </c>
      <c r="E24" s="78">
        <f t="shared" si="1"/>
        <v>43.970467596390485</v>
      </c>
    </row>
    <row r="25" spans="1:5">
      <c r="A25" s="14">
        <v>43509</v>
      </c>
      <c r="B25" s="72">
        <v>3287</v>
      </c>
      <c r="C25" s="45">
        <v>3509</v>
      </c>
      <c r="D25" s="45">
        <f t="shared" si="2"/>
        <v>222</v>
      </c>
      <c r="E25" s="78">
        <f t="shared" si="1"/>
        <v>35.806451612903224</v>
      </c>
    </row>
    <row r="26" spans="1:5">
      <c r="A26" s="14">
        <v>43510</v>
      </c>
      <c r="B26" s="72">
        <v>3334</v>
      </c>
      <c r="C26" s="45">
        <v>3505</v>
      </c>
      <c r="D26" s="45">
        <f t="shared" si="2"/>
        <v>171</v>
      </c>
      <c r="E26" s="78">
        <f t="shared" si="1"/>
        <v>27.06766917293233</v>
      </c>
    </row>
    <row r="27" spans="1:5">
      <c r="A27" s="14">
        <v>43511</v>
      </c>
      <c r="B27" s="72">
        <v>3280.0583486238502</v>
      </c>
      <c r="C27" s="45">
        <v>3502</v>
      </c>
      <c r="D27" s="45">
        <f t="shared" si="2"/>
        <v>221.94165137614982</v>
      </c>
      <c r="E27" s="78">
        <f t="shared" si="1"/>
        <v>35.897519603554962</v>
      </c>
    </row>
    <row r="28" spans="1:5">
      <c r="A28" s="14">
        <v>43512</v>
      </c>
      <c r="B28" s="72">
        <v>3354</v>
      </c>
      <c r="C28" s="45">
        <v>3502</v>
      </c>
      <c r="D28" s="45">
        <f t="shared" si="2"/>
        <v>148</v>
      </c>
      <c r="E28" s="78">
        <f t="shared" si="1"/>
        <v>23.243031016882608</v>
      </c>
    </row>
    <row r="29" spans="1:5">
      <c r="A29" s="14">
        <v>43513</v>
      </c>
      <c r="D29" s="45">
        <f t="shared" si="2"/>
        <v>0</v>
      </c>
      <c r="E29" s="78">
        <f t="shared" si="1"/>
        <v>0</v>
      </c>
    </row>
    <row r="30" spans="1:5">
      <c r="A30" s="14">
        <v>43514</v>
      </c>
      <c r="B30" s="72">
        <v>3371</v>
      </c>
      <c r="C30" s="45">
        <v>3498</v>
      </c>
      <c r="D30" s="45">
        <f t="shared" si="2"/>
        <v>127</v>
      </c>
      <c r="E30" s="78">
        <f t="shared" si="1"/>
        <v>19.812792511700469</v>
      </c>
    </row>
    <row r="31" spans="1:5">
      <c r="A31" s="14">
        <v>43515</v>
      </c>
      <c r="B31" s="72">
        <v>3410</v>
      </c>
      <c r="C31" s="45">
        <v>3495</v>
      </c>
      <c r="D31" s="45">
        <f t="shared" si="2"/>
        <v>85</v>
      </c>
      <c r="E31" s="78">
        <f t="shared" si="1"/>
        <v>13.061851709565886</v>
      </c>
    </row>
    <row r="32" spans="1:5">
      <c r="A32" s="14">
        <v>43516</v>
      </c>
      <c r="B32" s="72">
        <v>3414</v>
      </c>
      <c r="C32" s="45">
        <v>3492</v>
      </c>
      <c r="D32" s="45">
        <f t="shared" si="2"/>
        <v>78</v>
      </c>
      <c r="E32" s="78">
        <f t="shared" si="1"/>
        <v>11.967779056386652</v>
      </c>
    </row>
    <row r="33" spans="1:5">
      <c r="A33" s="14">
        <v>43517</v>
      </c>
      <c r="B33" s="72">
        <v>3422</v>
      </c>
      <c r="C33" s="45">
        <v>3489</v>
      </c>
      <c r="D33" s="45">
        <f t="shared" si="2"/>
        <v>67</v>
      </c>
      <c r="E33" s="78">
        <f t="shared" si="1"/>
        <v>10.248565965583174</v>
      </c>
    </row>
    <row r="34" spans="1:5">
      <c r="A34" s="14">
        <v>43518</v>
      </c>
      <c r="B34" s="72">
        <v>3441</v>
      </c>
      <c r="C34" s="45">
        <v>3486</v>
      </c>
      <c r="D34" s="45">
        <f t="shared" si="2"/>
        <v>45</v>
      </c>
      <c r="E34" s="78">
        <f t="shared" si="1"/>
        <v>6.83371298405467</v>
      </c>
    </row>
    <row r="35" spans="1:5">
      <c r="A35" s="14">
        <v>43519</v>
      </c>
      <c r="D35" s="45">
        <f t="shared" si="2"/>
        <v>0</v>
      </c>
      <c r="E35" s="78">
        <f t="shared" ref="E35:E43" si="3">(D35)*100/(B35-807)*7</f>
        <v>0</v>
      </c>
    </row>
    <row r="36" spans="1:5">
      <c r="A36" s="14">
        <v>43520</v>
      </c>
      <c r="D36" s="45">
        <f t="shared" si="2"/>
        <v>0</v>
      </c>
      <c r="E36" s="78">
        <f t="shared" si="3"/>
        <v>0</v>
      </c>
    </row>
    <row r="37" spans="1:5">
      <c r="A37" s="14">
        <v>43521</v>
      </c>
      <c r="D37" s="45">
        <f t="shared" si="2"/>
        <v>0</v>
      </c>
      <c r="E37" s="78">
        <f t="shared" si="3"/>
        <v>0</v>
      </c>
    </row>
    <row r="38" spans="1:5">
      <c r="A38" s="14">
        <v>43522</v>
      </c>
      <c r="D38" s="45">
        <f t="shared" si="2"/>
        <v>0</v>
      </c>
      <c r="E38" s="78">
        <f t="shared" si="3"/>
        <v>0</v>
      </c>
    </row>
    <row r="39" spans="1:5">
      <c r="A39" s="14">
        <v>43523</v>
      </c>
      <c r="D39" s="45">
        <f t="shared" si="2"/>
        <v>0</v>
      </c>
      <c r="E39" s="78">
        <f t="shared" si="3"/>
        <v>0</v>
      </c>
    </row>
    <row r="40" spans="1:5">
      <c r="D40" s="45">
        <f t="shared" si="2"/>
        <v>0</v>
      </c>
      <c r="E40" s="78">
        <f t="shared" si="3"/>
        <v>0</v>
      </c>
    </row>
    <row r="41" spans="1:5">
      <c r="D41" s="45">
        <f t="shared" si="2"/>
        <v>0</v>
      </c>
      <c r="E41" s="78">
        <f t="shared" si="3"/>
        <v>0</v>
      </c>
    </row>
    <row r="42" spans="1:5">
      <c r="D42" s="45">
        <f t="shared" si="2"/>
        <v>0</v>
      </c>
      <c r="E42" s="78">
        <f t="shared" si="3"/>
        <v>0</v>
      </c>
    </row>
    <row r="43" spans="1:5">
      <c r="D43" s="45">
        <f t="shared" si="2"/>
        <v>0</v>
      </c>
      <c r="E43" s="78">
        <f t="shared" si="3"/>
        <v>0</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sheetPr codeName="Sheet8"/>
  <dimension ref="A1:F22"/>
  <sheetViews>
    <sheetView workbookViewId="0">
      <selection activeCell="F2" sqref="F2"/>
    </sheetView>
  </sheetViews>
  <sheetFormatPr defaultRowHeight="13.5"/>
  <cols>
    <col min="1" max="1" width="11.625" customWidth="1"/>
    <col min="2" max="3" width="9.5" bestFit="1" customWidth="1"/>
    <col min="5" max="5" width="16.125" style="78" customWidth="1"/>
  </cols>
  <sheetData>
    <row r="1" spans="1:6">
      <c r="B1" s="71" t="s">
        <v>150</v>
      </c>
      <c r="C1" s="71" t="s">
        <v>148</v>
      </c>
      <c r="E1" s="78" t="s">
        <v>149</v>
      </c>
    </row>
    <row r="2" spans="1:6">
      <c r="A2" s="14">
        <v>43514</v>
      </c>
      <c r="B2" s="72">
        <v>4507</v>
      </c>
      <c r="C2" s="45">
        <v>5095</v>
      </c>
      <c r="D2" s="45">
        <f>(C2-B2)</f>
        <v>588</v>
      </c>
      <c r="E2" s="78">
        <f>(D2)*100/(B2-1500)*2</f>
        <v>39.108746258729632</v>
      </c>
      <c r="F2" s="78">
        <f>SUM(E2:E197)</f>
        <v>185.97167232189375</v>
      </c>
    </row>
    <row r="3" spans="1:6">
      <c r="A3" s="14">
        <v>43515</v>
      </c>
      <c r="B3">
        <v>4582</v>
      </c>
      <c r="C3">
        <v>5090</v>
      </c>
      <c r="D3" s="45">
        <f t="shared" ref="D3:D21" si="0">(C3-B3)</f>
        <v>508</v>
      </c>
      <c r="E3" s="78">
        <f t="shared" ref="E3:E22" si="1">(D3)*100/(B3-1500)*2</f>
        <v>32.965606748864374</v>
      </c>
    </row>
    <row r="4" spans="1:6">
      <c r="A4" s="14">
        <v>43516</v>
      </c>
      <c r="B4">
        <v>4604</v>
      </c>
      <c r="C4">
        <v>5520</v>
      </c>
      <c r="D4" s="45">
        <f t="shared" si="0"/>
        <v>916</v>
      </c>
      <c r="E4" s="78">
        <f t="shared" si="1"/>
        <v>59.020618556701031</v>
      </c>
    </row>
    <row r="5" spans="1:6">
      <c r="A5" s="14">
        <v>43517</v>
      </c>
      <c r="B5">
        <v>4630</v>
      </c>
      <c r="C5">
        <v>5080</v>
      </c>
      <c r="D5" s="45">
        <f t="shared" si="0"/>
        <v>450</v>
      </c>
      <c r="E5" s="78">
        <f t="shared" si="1"/>
        <v>28.753993610223642</v>
      </c>
    </row>
    <row r="6" spans="1:6">
      <c r="A6" s="14">
        <v>43518</v>
      </c>
      <c r="B6">
        <v>4662</v>
      </c>
      <c r="C6">
        <v>5075</v>
      </c>
      <c r="D6" s="45">
        <f t="shared" si="0"/>
        <v>413</v>
      </c>
      <c r="E6" s="78">
        <f t="shared" si="1"/>
        <v>26.122707147375078</v>
      </c>
    </row>
    <row r="7" spans="1:6">
      <c r="A7" s="14">
        <v>43519</v>
      </c>
      <c r="D7" s="45">
        <f t="shared" si="0"/>
        <v>0</v>
      </c>
      <c r="E7" s="78">
        <f t="shared" si="1"/>
        <v>0</v>
      </c>
    </row>
    <row r="8" spans="1:6">
      <c r="A8" s="14">
        <v>43520</v>
      </c>
      <c r="D8" s="45">
        <f t="shared" si="0"/>
        <v>0</v>
      </c>
      <c r="E8" s="78">
        <f t="shared" si="1"/>
        <v>0</v>
      </c>
    </row>
    <row r="9" spans="1:6">
      <c r="A9" s="14">
        <v>43521</v>
      </c>
      <c r="D9" s="45">
        <f t="shared" si="0"/>
        <v>0</v>
      </c>
      <c r="E9" s="78">
        <f t="shared" si="1"/>
        <v>0</v>
      </c>
    </row>
    <row r="10" spans="1:6">
      <c r="A10" s="14">
        <v>43522</v>
      </c>
      <c r="D10" s="45">
        <f t="shared" si="0"/>
        <v>0</v>
      </c>
      <c r="E10" s="78">
        <f t="shared" si="1"/>
        <v>0</v>
      </c>
    </row>
    <row r="11" spans="1:6">
      <c r="A11" s="14">
        <v>43523</v>
      </c>
      <c r="D11" s="45">
        <f t="shared" si="0"/>
        <v>0</v>
      </c>
      <c r="E11" s="78">
        <f t="shared" si="1"/>
        <v>0</v>
      </c>
    </row>
    <row r="12" spans="1:6">
      <c r="A12" s="14">
        <v>43524</v>
      </c>
      <c r="D12" s="45">
        <f t="shared" si="0"/>
        <v>0</v>
      </c>
      <c r="E12" s="78">
        <f t="shared" si="1"/>
        <v>0</v>
      </c>
    </row>
    <row r="13" spans="1:6">
      <c r="A13" s="14">
        <v>43525</v>
      </c>
      <c r="D13" s="45">
        <f t="shared" si="0"/>
        <v>0</v>
      </c>
      <c r="E13" s="78">
        <f t="shared" si="1"/>
        <v>0</v>
      </c>
    </row>
    <row r="14" spans="1:6">
      <c r="A14" s="14">
        <v>43526</v>
      </c>
      <c r="D14" s="45">
        <f t="shared" si="0"/>
        <v>0</v>
      </c>
      <c r="E14" s="78">
        <f t="shared" si="1"/>
        <v>0</v>
      </c>
    </row>
    <row r="15" spans="1:6">
      <c r="A15" s="14">
        <v>43527</v>
      </c>
      <c r="D15" s="45">
        <f t="shared" si="0"/>
        <v>0</v>
      </c>
      <c r="E15" s="78">
        <f t="shared" si="1"/>
        <v>0</v>
      </c>
    </row>
    <row r="16" spans="1:6">
      <c r="A16" s="14">
        <v>43528</v>
      </c>
      <c r="D16" s="45">
        <f t="shared" si="0"/>
        <v>0</v>
      </c>
      <c r="E16" s="78">
        <f t="shared" si="1"/>
        <v>0</v>
      </c>
    </row>
    <row r="17" spans="1:5">
      <c r="A17" s="14">
        <v>43529</v>
      </c>
      <c r="D17" s="45">
        <f t="shared" si="0"/>
        <v>0</v>
      </c>
      <c r="E17" s="78">
        <f t="shared" si="1"/>
        <v>0</v>
      </c>
    </row>
    <row r="18" spans="1:5">
      <c r="A18" s="14">
        <v>43530</v>
      </c>
      <c r="D18" s="45">
        <f t="shared" si="0"/>
        <v>0</v>
      </c>
      <c r="E18" s="78">
        <f t="shared" si="1"/>
        <v>0</v>
      </c>
    </row>
    <row r="19" spans="1:5">
      <c r="A19" s="14">
        <v>43531</v>
      </c>
      <c r="D19" s="45">
        <f t="shared" si="0"/>
        <v>0</v>
      </c>
      <c r="E19" s="78">
        <f t="shared" si="1"/>
        <v>0</v>
      </c>
    </row>
    <row r="20" spans="1:5">
      <c r="A20" s="14">
        <v>43532</v>
      </c>
      <c r="D20" s="45">
        <f t="shared" si="0"/>
        <v>0</v>
      </c>
      <c r="E20" s="78">
        <f t="shared" si="1"/>
        <v>0</v>
      </c>
    </row>
    <row r="21" spans="1:5">
      <c r="A21" s="14">
        <v>43533</v>
      </c>
      <c r="D21" s="45">
        <f t="shared" si="0"/>
        <v>0</v>
      </c>
      <c r="E21" s="78">
        <f t="shared" si="1"/>
        <v>0</v>
      </c>
    </row>
    <row r="22" spans="1:5">
      <c r="E22" s="78">
        <f t="shared" si="1"/>
        <v>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sheetPr codeName="Sheet9"/>
  <dimension ref="A1:F25"/>
  <sheetViews>
    <sheetView workbookViewId="0">
      <selection activeCell="F2" sqref="F2"/>
    </sheetView>
  </sheetViews>
  <sheetFormatPr defaultRowHeight="13.5"/>
  <cols>
    <col min="1" max="1" width="12.625" customWidth="1"/>
    <col min="2" max="3" width="9.5" bestFit="1" customWidth="1"/>
    <col min="5" max="5" width="16.125" style="78" customWidth="1"/>
  </cols>
  <sheetData>
    <row r="1" spans="1:6">
      <c r="B1" s="71" t="s">
        <v>150</v>
      </c>
      <c r="C1" s="71" t="s">
        <v>148</v>
      </c>
      <c r="E1" s="78" t="s">
        <v>149</v>
      </c>
    </row>
    <row r="2" spans="1:6">
      <c r="A2" s="14">
        <v>43514</v>
      </c>
      <c r="B2" s="72">
        <v>1356</v>
      </c>
      <c r="C2" s="45">
        <v>1529</v>
      </c>
      <c r="D2" s="45">
        <f>(C2-B2)</f>
        <v>173</v>
      </c>
      <c r="E2" s="78">
        <f>(D2)*100/(B2-585)*1</f>
        <v>22.438391699092087</v>
      </c>
      <c r="F2" s="78">
        <f>SUM(E2:E39)</f>
        <v>88.774608026866701</v>
      </c>
    </row>
    <row r="3" spans="1:6">
      <c r="A3" s="14">
        <v>43515</v>
      </c>
      <c r="B3" s="72">
        <v>1382</v>
      </c>
      <c r="C3" s="45">
        <v>1528</v>
      </c>
      <c r="D3" s="45">
        <f t="shared" ref="D3:D16" si="0">(C3-B3)</f>
        <v>146</v>
      </c>
      <c r="E3" s="78">
        <f t="shared" ref="E3:E4" si="1">(D3)*100/(B3-585)*1</f>
        <v>18.318695106649937</v>
      </c>
    </row>
    <row r="4" spans="1:6">
      <c r="A4" s="14">
        <v>43516</v>
      </c>
      <c r="B4" s="72">
        <v>1382</v>
      </c>
      <c r="C4" s="45">
        <v>1528</v>
      </c>
      <c r="D4" s="45">
        <f t="shared" si="0"/>
        <v>146</v>
      </c>
      <c r="E4" s="78">
        <f t="shared" si="1"/>
        <v>18.318695106649937</v>
      </c>
    </row>
    <row r="5" spans="1:6">
      <c r="A5" s="14">
        <v>43517</v>
      </c>
      <c r="B5" s="72">
        <v>1398</v>
      </c>
      <c r="C5" s="45">
        <v>1525</v>
      </c>
      <c r="D5" s="45">
        <f t="shared" si="0"/>
        <v>127</v>
      </c>
      <c r="E5" s="78">
        <f t="shared" ref="E5:E16" si="2">MAX(-100,(D5)*100/(B5-585)*1)</f>
        <v>15.621156211562116</v>
      </c>
    </row>
    <row r="6" spans="1:6">
      <c r="A6" s="14">
        <v>43518</v>
      </c>
      <c r="B6" s="72">
        <v>1409</v>
      </c>
      <c r="C6" s="45">
        <v>1525</v>
      </c>
      <c r="D6" s="45">
        <f t="shared" si="0"/>
        <v>116</v>
      </c>
      <c r="E6" s="78">
        <f t="shared" si="2"/>
        <v>14.077669902912621</v>
      </c>
    </row>
    <row r="7" spans="1:6">
      <c r="A7" s="14">
        <v>43519</v>
      </c>
      <c r="B7" s="72"/>
      <c r="C7" s="45"/>
      <c r="D7" s="45">
        <f t="shared" si="0"/>
        <v>0</v>
      </c>
      <c r="E7" s="78">
        <f t="shared" si="2"/>
        <v>0</v>
      </c>
    </row>
    <row r="8" spans="1:6">
      <c r="A8" s="14">
        <v>43520</v>
      </c>
      <c r="B8" s="72"/>
      <c r="C8" s="45"/>
      <c r="D8" s="45">
        <f t="shared" si="0"/>
        <v>0</v>
      </c>
      <c r="E8" s="78">
        <f t="shared" si="2"/>
        <v>0</v>
      </c>
    </row>
    <row r="9" spans="1:6">
      <c r="A9" s="14">
        <v>43521</v>
      </c>
      <c r="B9" s="72"/>
      <c r="C9" s="45"/>
      <c r="D9" s="45">
        <f t="shared" si="0"/>
        <v>0</v>
      </c>
      <c r="E9" s="78">
        <f t="shared" si="2"/>
        <v>0</v>
      </c>
    </row>
    <row r="10" spans="1:6">
      <c r="A10" s="14">
        <v>43522</v>
      </c>
      <c r="B10" s="72"/>
      <c r="C10" s="45"/>
      <c r="D10" s="45">
        <f t="shared" si="0"/>
        <v>0</v>
      </c>
      <c r="E10" s="78">
        <f t="shared" si="2"/>
        <v>0</v>
      </c>
    </row>
    <row r="11" spans="1:6">
      <c r="A11" s="14">
        <v>43523</v>
      </c>
      <c r="B11" s="72"/>
      <c r="C11" s="45"/>
      <c r="D11" s="45">
        <f t="shared" si="0"/>
        <v>0</v>
      </c>
      <c r="E11" s="78">
        <f t="shared" si="2"/>
        <v>0</v>
      </c>
    </row>
    <row r="12" spans="1:6">
      <c r="A12" s="14">
        <v>43524</v>
      </c>
      <c r="B12" s="72"/>
      <c r="C12" s="45"/>
      <c r="D12" s="45">
        <f t="shared" si="0"/>
        <v>0</v>
      </c>
      <c r="E12" s="78">
        <f t="shared" si="2"/>
        <v>0</v>
      </c>
    </row>
    <row r="13" spans="1:6">
      <c r="A13" s="14">
        <v>43525</v>
      </c>
      <c r="B13" s="72"/>
      <c r="C13" s="45"/>
      <c r="D13" s="45">
        <f t="shared" si="0"/>
        <v>0</v>
      </c>
      <c r="E13" s="78">
        <f t="shared" si="2"/>
        <v>0</v>
      </c>
    </row>
    <row r="14" spans="1:6">
      <c r="A14" s="14">
        <v>43526</v>
      </c>
      <c r="B14" s="72"/>
      <c r="C14" s="45"/>
      <c r="D14" s="45">
        <f t="shared" si="0"/>
        <v>0</v>
      </c>
      <c r="E14" s="78">
        <f t="shared" si="2"/>
        <v>0</v>
      </c>
    </row>
    <row r="15" spans="1:6">
      <c r="A15" s="14">
        <v>43527</v>
      </c>
      <c r="B15" s="72"/>
      <c r="C15" s="45"/>
      <c r="D15" s="45">
        <f t="shared" si="0"/>
        <v>0</v>
      </c>
      <c r="E15" s="78">
        <f t="shared" si="2"/>
        <v>0</v>
      </c>
    </row>
    <row r="16" spans="1:6">
      <c r="A16" s="14">
        <v>43528</v>
      </c>
      <c r="B16" s="72"/>
      <c r="C16" s="45"/>
      <c r="D16" s="45">
        <f t="shared" si="0"/>
        <v>0</v>
      </c>
      <c r="E16" s="78">
        <f t="shared" si="2"/>
        <v>0</v>
      </c>
    </row>
    <row r="17" spans="1:4">
      <c r="A17" s="14">
        <v>43529</v>
      </c>
      <c r="B17" s="72"/>
      <c r="C17" s="45"/>
      <c r="D17" s="45"/>
    </row>
    <row r="18" spans="1:4">
      <c r="A18" s="14">
        <v>43530</v>
      </c>
      <c r="B18" s="72"/>
      <c r="C18" s="45"/>
      <c r="D18" s="45"/>
    </row>
    <row r="19" spans="1:4">
      <c r="A19" s="14">
        <v>43531</v>
      </c>
      <c r="B19" s="72"/>
      <c r="C19" s="45"/>
      <c r="D19" s="45"/>
    </row>
    <row r="20" spans="1:4">
      <c r="A20" s="14">
        <v>43532</v>
      </c>
      <c r="B20" s="72"/>
      <c r="C20" s="45"/>
      <c r="D20" s="45"/>
    </row>
    <row r="21" spans="1:4">
      <c r="A21" s="14">
        <v>43533</v>
      </c>
      <c r="B21" s="72"/>
      <c r="C21" s="45"/>
      <c r="D21" s="45"/>
    </row>
    <row r="22" spans="1:4">
      <c r="A22" s="14">
        <v>43534</v>
      </c>
      <c r="B22" s="72"/>
      <c r="C22" s="45"/>
      <c r="D22" s="45"/>
    </row>
    <row r="23" spans="1:4">
      <c r="A23" s="14">
        <v>43535</v>
      </c>
      <c r="B23" s="72"/>
      <c r="C23" s="45"/>
      <c r="D23" s="45"/>
    </row>
    <row r="24" spans="1:4">
      <c r="A24" s="14">
        <v>43536</v>
      </c>
      <c r="B24" s="72"/>
      <c r="C24" s="45"/>
      <c r="D24" s="45"/>
    </row>
    <row r="25" spans="1:4">
      <c r="A25" s="14">
        <v>43537</v>
      </c>
      <c r="B25" s="72"/>
      <c r="C25" s="45"/>
      <c r="D25" s="45"/>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记录</vt:lpstr>
      <vt:lpstr>定投</vt:lpstr>
      <vt:lpstr>笔记</vt:lpstr>
      <vt:lpstr>古债平衡</vt:lpstr>
      <vt:lpstr>H股ETF</vt:lpstr>
      <vt:lpstr>红利ETF</vt:lpstr>
      <vt:lpstr>300</vt:lpstr>
      <vt:lpstr>500</vt:lpstr>
      <vt:lpstr>cyb</vt:lpstr>
      <vt:lpstr>中证红利</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2019-02-24T07:58:39Z</dcterms:modified>
</cp:coreProperties>
</file>