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8700" activeTab="6"/>
  </bookViews>
  <sheets>
    <sheet name="记录" sheetId="1" r:id="rId1"/>
    <sheet name="Sheet2" sheetId="16" r:id="rId2"/>
    <sheet name="定投" sheetId="3" r:id="rId3"/>
    <sheet name="笔记" sheetId="4" r:id="rId4"/>
    <sheet name="古债平衡" sheetId="8" r:id="rId5"/>
    <sheet name="H股ETF" sheetId="9" r:id="rId6"/>
    <sheet name="红利ETF" sheetId="13" r:id="rId7"/>
    <sheet name="300" sheetId="10" r:id="rId8"/>
    <sheet name="500" sheetId="12" r:id="rId9"/>
    <sheet name="cyb" sheetId="14" r:id="rId10"/>
    <sheet name="Sheet1" sheetId="15" r:id="rId11"/>
  </sheets>
  <externalReferences>
    <externalReference r:id="rId12"/>
  </externalReferences>
  <calcPr calcId="124519"/>
</workbook>
</file>

<file path=xl/calcChain.xml><?xml version="1.0" encoding="utf-8"?>
<calcChain xmlns="http://schemas.openxmlformats.org/spreadsheetml/2006/main">
  <c r="J36" i="3"/>
  <c r="J31" s="1"/>
  <c r="J32"/>
  <c r="J33"/>
  <c r="G44"/>
  <c r="J35" s="1"/>
  <c r="E44"/>
  <c r="G41"/>
  <c r="G42"/>
  <c r="G40"/>
  <c r="E42"/>
  <c r="E40"/>
  <c r="E41"/>
  <c r="E43"/>
  <c r="G43"/>
  <c r="E69"/>
  <c r="E70"/>
  <c r="E71"/>
  <c r="E74"/>
  <c r="E75"/>
  <c r="E76"/>
  <c r="E79"/>
  <c r="E80"/>
  <c r="E81"/>
  <c r="E31" i="10"/>
  <c r="E32"/>
  <c r="E33"/>
  <c r="E34"/>
  <c r="E35"/>
  <c r="E36"/>
  <c r="E37"/>
  <c r="E38"/>
  <c r="E39"/>
  <c r="E40"/>
  <c r="E41"/>
  <c r="E42"/>
  <c r="E43"/>
  <c r="D28"/>
  <c r="D29"/>
  <c r="E29" s="1"/>
  <c r="D30"/>
  <c r="D31"/>
  <c r="D32"/>
  <c r="D33"/>
  <c r="D34"/>
  <c r="D35"/>
  <c r="D36"/>
  <c r="D37"/>
  <c r="D38"/>
  <c r="D39"/>
  <c r="D40"/>
  <c r="D41"/>
  <c r="D42"/>
  <c r="D43"/>
  <c r="O14"/>
  <c r="E14"/>
  <c r="E15"/>
  <c r="E16"/>
  <c r="E17"/>
  <c r="E18"/>
  <c r="E19"/>
  <c r="E20"/>
  <c r="E21"/>
  <c r="E22"/>
  <c r="D2" i="14"/>
  <c r="E2" s="1"/>
  <c r="J34" i="13"/>
  <c r="F35"/>
  <c r="G35" s="1"/>
  <c r="F36"/>
  <c r="J36" s="1"/>
  <c r="F37"/>
  <c r="F38"/>
  <c r="F39"/>
  <c r="F40"/>
  <c r="J40" s="1"/>
  <c r="F41"/>
  <c r="F42"/>
  <c r="G36"/>
  <c r="J37"/>
  <c r="G38"/>
  <c r="G39"/>
  <c r="J41"/>
  <c r="G42"/>
  <c r="G37"/>
  <c r="H26"/>
  <c r="I25"/>
  <c r="F25"/>
  <c r="G25" s="1"/>
  <c r="I24"/>
  <c r="F24"/>
  <c r="G24" s="1"/>
  <c r="I23"/>
  <c r="F23"/>
  <c r="G23" s="1"/>
  <c r="I22"/>
  <c r="F22"/>
  <c r="G22" s="1"/>
  <c r="I21"/>
  <c r="F21"/>
  <c r="G21" s="1"/>
  <c r="I20"/>
  <c r="F20"/>
  <c r="G20" s="1"/>
  <c r="I19"/>
  <c r="F19"/>
  <c r="G19" s="1"/>
  <c r="I18"/>
  <c r="F18"/>
  <c r="G18" s="1"/>
  <c r="I17"/>
  <c r="F17"/>
  <c r="G17" s="1"/>
  <c r="I16"/>
  <c r="F16"/>
  <c r="G16" s="1"/>
  <c r="I15"/>
  <c r="F15"/>
  <c r="G15" s="1"/>
  <c r="I14"/>
  <c r="F14"/>
  <c r="G14" s="1"/>
  <c r="I13"/>
  <c r="F13"/>
  <c r="G13" s="1"/>
  <c r="I12"/>
  <c r="F12"/>
  <c r="G12" s="1"/>
  <c r="I11"/>
  <c r="F11"/>
  <c r="G11" s="1"/>
  <c r="I10"/>
  <c r="F10"/>
  <c r="G10" s="1"/>
  <c r="D2" i="12"/>
  <c r="E2" s="1"/>
  <c r="D24" i="10"/>
  <c r="E24" s="1"/>
  <c r="D25"/>
  <c r="E25" s="1"/>
  <c r="D26"/>
  <c r="E26" s="1"/>
  <c r="D27"/>
  <c r="E27" s="1"/>
  <c r="E30"/>
  <c r="D23"/>
  <c r="E23" s="1"/>
  <c r="D13"/>
  <c r="E13" s="1"/>
  <c r="D12"/>
  <c r="E12" s="1"/>
  <c r="D11"/>
  <c r="D10"/>
  <c r="E10" s="1"/>
  <c r="J34" i="3"/>
  <c r="J44"/>
  <c r="J43"/>
  <c r="J42"/>
  <c r="J46"/>
  <c r="D7" i="10"/>
  <c r="E7" s="1"/>
  <c r="D8"/>
  <c r="E8" s="1"/>
  <c r="D9"/>
  <c r="E9" s="1"/>
  <c r="E11" l="1"/>
  <c r="E28"/>
  <c r="G34" i="13"/>
  <c r="I34" s="1"/>
  <c r="G40"/>
  <c r="J42"/>
  <c r="J38"/>
  <c r="G41"/>
  <c r="J39"/>
  <c r="J35"/>
  <c r="J13"/>
  <c r="J21"/>
  <c r="J17"/>
  <c r="J24"/>
  <c r="J20"/>
  <c r="J16"/>
  <c r="J12"/>
  <c r="J10"/>
  <c r="J22"/>
  <c r="J18"/>
  <c r="J14"/>
  <c r="J25"/>
  <c r="J23"/>
  <c r="J19"/>
  <c r="J15"/>
  <c r="J11"/>
  <c r="J41" i="3"/>
  <c r="K42" s="1"/>
  <c r="D3" i="10"/>
  <c r="D4"/>
  <c r="D5"/>
  <c r="D6"/>
  <c r="D2"/>
  <c r="E4" l="1"/>
  <c r="E5"/>
  <c r="E6"/>
  <c r="E2"/>
  <c r="E3"/>
  <c r="I37" i="13"/>
  <c r="I36"/>
  <c r="I38"/>
  <c r="I35"/>
  <c r="I40"/>
  <c r="I39"/>
  <c r="I42"/>
  <c r="I41"/>
  <c r="K44" i="3"/>
  <c r="K45"/>
  <c r="K43"/>
  <c r="E23" i="8"/>
  <c r="I11" i="9"/>
  <c r="I12"/>
  <c r="I13"/>
  <c r="I14"/>
  <c r="I15"/>
  <c r="I16"/>
  <c r="I17"/>
  <c r="I18"/>
  <c r="I19"/>
  <c r="I20"/>
  <c r="I21"/>
  <c r="I22"/>
  <c r="I23"/>
  <c r="I24"/>
  <c r="I25"/>
  <c r="I10"/>
  <c r="H26"/>
  <c r="F25"/>
  <c r="G25" s="1"/>
  <c r="F24"/>
  <c r="G24"/>
  <c r="F11"/>
  <c r="G11" s="1"/>
  <c r="F12"/>
  <c r="G12" s="1"/>
  <c r="F13"/>
  <c r="G13" s="1"/>
  <c r="F14"/>
  <c r="G14" s="1"/>
  <c r="F15"/>
  <c r="G15" s="1"/>
  <c r="F16"/>
  <c r="G16" s="1"/>
  <c r="F17"/>
  <c r="G17" s="1"/>
  <c r="F18"/>
  <c r="G18" s="1"/>
  <c r="F19"/>
  <c r="G19" s="1"/>
  <c r="F20"/>
  <c r="G20" s="1"/>
  <c r="F21"/>
  <c r="G21" s="1"/>
  <c r="F22"/>
  <c r="G22" s="1"/>
  <c r="F23"/>
  <c r="G23" s="1"/>
  <c r="F10"/>
  <c r="G10" s="1"/>
  <c r="S10" l="1"/>
  <c r="P10"/>
  <c r="P11"/>
  <c r="P12"/>
  <c r="P13"/>
  <c r="P14"/>
  <c r="P15"/>
  <c r="P16"/>
  <c r="P17"/>
  <c r="R17"/>
  <c r="R16"/>
  <c r="R15"/>
  <c r="R14"/>
  <c r="R13"/>
  <c r="R12"/>
  <c r="R11"/>
  <c r="R10"/>
  <c r="K34" i="3" l="1"/>
  <c r="S9" i="9"/>
  <c r="S17"/>
  <c r="S12"/>
  <c r="S11"/>
  <c r="S13"/>
  <c r="K35" i="3" l="1"/>
  <c r="K32"/>
  <c r="K33"/>
</calcChain>
</file>

<file path=xl/sharedStrings.xml><?xml version="1.0" encoding="utf-8"?>
<sst xmlns="http://schemas.openxmlformats.org/spreadsheetml/2006/main" count="319" uniqueCount="251">
  <si>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</si>
  <si>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</si>
  <si>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</si>
  <si>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</si>
  <si>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</si>
  <si>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</si>
  <si>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</si>
  <si>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</si>
  <si>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</si>
  <si>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</si>
  <si>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</si>
  <si>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</si>
  <si>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</si>
  <si>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</si>
  <si>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</si>
  <si>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</si>
  <si>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</si>
  <si>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</si>
  <si>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</si>
  <si>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</si>
  <si>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</si>
  <si>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</si>
  <si>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</si>
  <si>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</si>
  <si>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</si>
  <si>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</si>
  <si>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</si>
  <si>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</si>
  <si>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</si>
  <si>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</si>
  <si>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</si>
  <si>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</si>
  <si>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</si>
  <si>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</si>
  <si>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</si>
  <si>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</si>
  <si>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</si>
  <si>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</si>
  <si>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</si>
  <si>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</si>
  <si>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</si>
  <si>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</si>
  <si>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</si>
  <si>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</si>
  <si>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</si>
  <si>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</si>
  <si>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</si>
  <si>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</si>
  <si>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</si>
  <si>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</si>
  <si>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</si>
  <si>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</si>
  <si>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</si>
  <si>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</si>
  <si>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</si>
  <si>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</si>
  <si>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</si>
  <si>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</si>
  <si>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</si>
  <si>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</si>
  <si>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</si>
  <si>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</si>
  <si>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</si>
  <si>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</si>
  <si>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</si>
  <si>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</si>
  <si>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</si>
  <si>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</si>
  <si>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</si>
  <si>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</si>
  <si>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</si>
  <si>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</si>
  <si>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</si>
  <si>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</si>
  <si>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</si>
  <si>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</si>
  <si>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</si>
  <si>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</si>
  <si>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</si>
  <si>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</si>
  <si>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</si>
  <si>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</si>
  <si>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</si>
  <si>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</si>
  <si>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</si>
  <si>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</si>
  <si>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</si>
  <si>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</si>
  <si>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</si>
  <si>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</si>
  <si>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</si>
  <si>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</si>
  <si>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</si>
  <si>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</si>
  <si>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</si>
  <si>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</si>
  <si>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</si>
  <si>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</si>
  <si>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</si>
  <si>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</si>
  <si>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</si>
  <si>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</si>
  <si>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</si>
  <si>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</si>
  <si>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</si>
  <si>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</si>
  <si>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</si>
  <si>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</si>
  <si>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</si>
  <si>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</si>
  <si>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</si>
  <si>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</si>
  <si>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</si>
  <si>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</si>
  <si>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</si>
  <si>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</si>
  <si>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</si>
  <si>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</si>
  <si>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</si>
  <si>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</si>
  <si>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</si>
  <si>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</si>
  <si>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</si>
  <si>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</si>
  <si>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</si>
  <si>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</si>
  <si>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</si>
  <si>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</si>
  <si>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</si>
  <si>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</si>
  <si>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</si>
  <si>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</si>
  <si>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</si>
  <si>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</si>
  <si>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</si>
  <si>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</si>
  <si>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</si>
  <si>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</si>
  <si>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</si>
  <si>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</si>
  <si>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</si>
  <si>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</si>
  <si>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</si>
  <si>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</si>
  <si>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</si>
  <si>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</si>
  <si>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</si>
  <si>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</si>
  <si>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</si>
  <si>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</si>
  <si>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</si>
  <si>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</si>
  <si>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</si>
  <si>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</si>
  <si>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</si>
  <si>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</si>
  <si>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</si>
  <si>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</si>
  <si>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</si>
  <si>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</si>
  <si>
    <t>博时宏观回报债券B</t>
  </si>
  <si>
    <t>051016</t>
  </si>
  <si>
    <t>易方达增强回报债券B</t>
  </si>
  <si>
    <t>110018</t>
  </si>
  <si>
    <t>易方达稳健收益债券B</t>
  </si>
  <si>
    <t>110008</t>
  </si>
  <si>
    <t>易方达信用债债券C</t>
    <phoneticPr fontId="1" type="noConversion"/>
  </si>
  <si>
    <t>000033</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</si>
  <si>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</si>
  <si>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</si>
  <si>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</si>
  <si>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</si>
  <si>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</si>
  <si>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</si>
  <si>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</si>
  <si>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</si>
  <si>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</si>
  <si>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维持仓位（元）</t>
    <phoneticPr fontId="1" type="noConversion"/>
  </si>
  <si>
    <t>当前仓位(股数)</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</si>
  <si>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</si>
  <si>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</si>
  <si>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</si>
  <si>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</si>
  <si>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</si>
  <si>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</si>
  <si>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</si>
  <si>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</si>
  <si>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</si>
  <si>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</si>
  <si>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</si>
  <si>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代码</t>
  </si>
  <si>
    <t>名称</t>
  </si>
  <si>
    <t>净值</t>
  </si>
  <si>
    <t>累计净值</t>
  </si>
  <si>
    <t>上日净值</t>
  </si>
  <si>
    <t>涨跌幅</t>
  </si>
  <si>
    <t>净值日期</t>
  </si>
  <si>
    <t>华夏上证50ETF</t>
    <phoneticPr fontId="27" type="noConversion"/>
  </si>
  <si>
    <t>sh511010</t>
  </si>
  <si>
    <t>国泰上证5年期国债ETF</t>
    <phoneticPr fontId="27" type="noConversion"/>
  </si>
  <si>
    <t>sh511210</t>
  </si>
  <si>
    <t>博时上证企债30ETF</t>
    <phoneticPr fontId="27" type="noConversion"/>
  </si>
  <si>
    <t>sh518800</t>
  </si>
  <si>
    <t>国泰黄金ETF</t>
    <phoneticPr fontId="27" type="noConversion"/>
  </si>
  <si>
    <t>sh518880</t>
  </si>
  <si>
    <t>华安黄金易(ETF)</t>
    <phoneticPr fontId="27" type="noConversion"/>
  </si>
  <si>
    <t>sh510660</t>
  </si>
  <si>
    <t>华夏医药ETF</t>
    <phoneticPr fontId="27" type="noConversion"/>
  </si>
  <si>
    <t>sh510610</t>
  </si>
  <si>
    <t>华夏能源ETF</t>
    <phoneticPr fontId="27" type="noConversion"/>
  </si>
  <si>
    <t>sh510170</t>
  </si>
  <si>
    <t>国联安商品ETF</t>
    <phoneticPr fontId="27" type="noConversion"/>
  </si>
  <si>
    <t>sh510630</t>
  </si>
  <si>
    <t>华夏消费ETF</t>
    <phoneticPr fontId="27" type="noConversion"/>
  </si>
  <si>
    <t>sh510620</t>
  </si>
  <si>
    <t>华夏材料ETF</t>
    <phoneticPr fontId="27" type="noConversion"/>
  </si>
  <si>
    <t>sh510230</t>
  </si>
  <si>
    <t>金融ETF</t>
    <phoneticPr fontId="27" type="noConversion"/>
  </si>
  <si>
    <t>sz150118</t>
  </si>
  <si>
    <t>国泰国证房地产行业指数分级B</t>
    <phoneticPr fontId="27" type="noConversion"/>
  </si>
  <si>
    <t>sz150019</t>
  </si>
  <si>
    <t>银华锐进</t>
    <phoneticPr fontId="27" type="noConversion"/>
  </si>
  <si>
    <t>sz150144</t>
  </si>
  <si>
    <t>银华中证转债指数增强分级B</t>
    <phoneticPr fontId="27" type="noConversion"/>
  </si>
  <si>
    <t>of163109</t>
  </si>
  <si>
    <t>申万菱信深证成指分级</t>
    <phoneticPr fontId="27" type="noConversion"/>
  </si>
  <si>
    <t>sz150022</t>
  </si>
  <si>
    <t>申万菱信深证成指分级收益</t>
    <phoneticPr fontId="27" type="noConversion"/>
  </si>
  <si>
    <t>sz150023</t>
  </si>
  <si>
    <t>申万菱信深证成指分级进取</t>
    <phoneticPr fontId="27" type="noConversion"/>
  </si>
  <si>
    <t>of121099</t>
  </si>
  <si>
    <t>瑞福分级</t>
    <phoneticPr fontId="27" type="noConversion"/>
  </si>
  <si>
    <t>of121007</t>
  </si>
  <si>
    <t>瑞福优先</t>
    <phoneticPr fontId="27" type="noConversion"/>
  </si>
  <si>
    <t>sz150001</t>
  </si>
  <si>
    <t>瑞福进取</t>
    <phoneticPr fontId="27" type="noConversion"/>
  </si>
  <si>
    <t>sz163801</t>
  </si>
  <si>
    <t>中银中国混合(LOF)</t>
    <phoneticPr fontId="27" type="noConversion"/>
  </si>
  <si>
    <t>of040002</t>
  </si>
  <si>
    <t>华安中国A股增强指数</t>
    <phoneticPr fontId="27" type="noConversion"/>
  </si>
  <si>
    <t>of202110</t>
  </si>
  <si>
    <t>南方润元C</t>
    <phoneticPr fontId="27" type="noConversion"/>
  </si>
  <si>
    <t>of162703</t>
  </si>
  <si>
    <t>广发小盘成长混合(LOF)</t>
    <phoneticPr fontId="27" type="noConversion"/>
  </si>
  <si>
    <t>of070031</t>
  </si>
  <si>
    <t>嘉实全球房地产(QDII)</t>
    <phoneticPr fontId="27" type="noConversion"/>
  </si>
  <si>
    <t>of202213</t>
  </si>
  <si>
    <t>南方核心竞争混合</t>
    <phoneticPr fontId="27" type="noConversion"/>
  </si>
  <si>
    <t>sh519976</t>
    <phoneticPr fontId="1" type="noConversion"/>
  </si>
  <si>
    <t>600</t>
    <phoneticPr fontId="1" type="noConversion"/>
  </si>
  <si>
    <t>510300</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</si>
</sst>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31">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
      <b/>
      <sz val="9"/>
      <color indexed="8"/>
      <name val="微软雅黑"/>
      <family val="2"/>
      <charset val="134"/>
    </font>
    <font>
      <b/>
      <sz val="9"/>
      <name val="微软雅黑"/>
      <family val="2"/>
      <charset val="134"/>
    </font>
    <font>
      <sz val="9"/>
      <color indexed="8"/>
      <name val="微软雅黑"/>
      <family val="2"/>
      <charset val="134"/>
    </font>
    <font>
      <sz val="9"/>
      <name val="宋体"/>
      <family val="2"/>
      <charset val="134"/>
    </font>
    <font>
      <sz val="9"/>
      <color rgb="FF008000"/>
      <name val="微软雅黑"/>
      <family val="2"/>
      <charset val="134"/>
    </font>
    <font>
      <sz val="9"/>
      <color rgb="FFFF0000"/>
      <name val="微软雅黑"/>
      <family val="2"/>
      <charset val="134"/>
    </font>
    <font>
      <sz val="11"/>
      <color rgb="FF000000"/>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
      <left/>
      <right/>
      <top/>
      <bottom style="medium">
        <color indexed="64"/>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90">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49" fontId="0" fillId="7" borderId="0" xfId="0" applyNumberFormat="1" applyFill="1">
      <alignment vertical="center"/>
    </xf>
    <xf numFmtId="178" fontId="0" fillId="0" borderId="0" xfId="0" applyNumberFormat="1">
      <alignment vertical="center"/>
    </xf>
    <xf numFmtId="178" fontId="0" fillId="0" borderId="2" xfId="0" applyNumberFormat="1" applyFill="1" applyBorder="1">
      <alignment vertical="center"/>
    </xf>
    <xf numFmtId="0" fontId="24" fillId="0" borderId="6" xfId="2" applyNumberFormat="1" applyFont="1" applyBorder="1" applyAlignment="1">
      <alignment horizontal="center" vertical="center" wrapText="1"/>
    </xf>
    <xf numFmtId="0" fontId="24" fillId="0" borderId="6" xfId="2" applyNumberFormat="1" applyFont="1" applyBorder="1" applyAlignment="1">
      <alignment horizontal="center" vertical="center"/>
    </xf>
    <xf numFmtId="0" fontId="25" fillId="0" borderId="6" xfId="2" applyNumberFormat="1" applyFont="1" applyBorder="1" applyAlignment="1">
      <alignment horizontal="center" vertical="center" wrapText="1"/>
    </xf>
    <xf numFmtId="0" fontId="26" fillId="0" borderId="0" xfId="0" applyFont="1">
      <alignment vertical="center"/>
    </xf>
    <xf numFmtId="0" fontId="26" fillId="0" borderId="0" xfId="0" applyFont="1" applyBorder="1">
      <alignment vertical="center"/>
    </xf>
    <xf numFmtId="10" fontId="28" fillId="0" borderId="0" xfId="0" applyNumberFormat="1" applyFont="1">
      <alignment vertical="center"/>
    </xf>
    <xf numFmtId="14" fontId="26" fillId="0" borderId="0" xfId="0" applyNumberFormat="1" applyFont="1">
      <alignment vertical="center"/>
    </xf>
    <xf numFmtId="10" fontId="29" fillId="0" borderId="0" xfId="0" applyNumberFormat="1" applyFont="1">
      <alignment vertical="center"/>
    </xf>
    <xf numFmtId="10" fontId="26" fillId="0" borderId="0" xfId="0" applyNumberFormat="1" applyFont="1">
      <alignment vertical="center"/>
    </xf>
    <xf numFmtId="0" fontId="11" fillId="0" borderId="0" xfId="0" applyFont="1" applyAlignment="1">
      <alignment vertical="center" wrapText="1"/>
    </xf>
    <xf numFmtId="0" fontId="0" fillId="0" borderId="0" xfId="0" applyAlignment="1">
      <alignment horizontal="left" vertical="center" wrapText="1"/>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685799</xdr:colOff>
      <xdr:row>3</xdr:row>
      <xdr:rowOff>171449</xdr:rowOff>
    </xdr:from>
    <xdr:to>
      <xdr:col>5</xdr:col>
      <xdr:colOff>523874</xdr:colOff>
      <xdr:row>23</xdr:row>
      <xdr:rowOff>9524</xdr:rowOff>
    </xdr:to>
    <xdr:sp macro="" textlink="">
      <xdr:nvSpPr>
        <xdr:cNvPr id="4097" name="AutoShape 1" descr="E:\kebie\tushare-git\data\ETF%E9%87%8F%E5%8C%96%E5%AE%9A%E6%8A%95v2.0 - %E9%9B%86%E6%80%9D%E5%BD%95_files\dfc2fd99746abb4235eba39f46fd8a6f.png"/>
        <xdr:cNvSpPr>
          <a:spLocks noChangeAspect="1" noChangeArrowheads="1"/>
        </xdr:cNvSpPr>
      </xdr:nvSpPr>
      <xdr:spPr bwMode="auto">
        <a:xfrm>
          <a:off x="685799" y="685799"/>
          <a:ext cx="3267075" cy="3267075"/>
        </a:xfrm>
        <a:prstGeom prst="rect">
          <a:avLst/>
        </a:prstGeom>
        <a:noFill/>
      </xdr:spPr>
    </xdr:sp>
    <xdr:clientData/>
  </xdr:twoCellAnchor>
  <xdr:twoCellAnchor editAs="oneCell">
    <xdr:from>
      <xdr:col>4</xdr:col>
      <xdr:colOff>0</xdr:colOff>
      <xdr:row>35</xdr:row>
      <xdr:rowOff>0</xdr:rowOff>
    </xdr:from>
    <xdr:to>
      <xdr:col>8</xdr:col>
      <xdr:colOff>267011</xdr:colOff>
      <xdr:row>44</xdr:row>
      <xdr:rowOff>133963</xdr:rowOff>
    </xdr:to>
    <xdr:pic>
      <xdr:nvPicPr>
        <xdr:cNvPr id="4" name="图片 3" descr="dfc2fd99746abb4235eba39f46fd8a6f.png"/>
        <xdr:cNvPicPr>
          <a:picLocks noChangeAspect="1"/>
        </xdr:cNvPicPr>
      </xdr:nvPicPr>
      <xdr:blipFill>
        <a:blip xmlns:r="http://schemas.openxmlformats.org/officeDocument/2006/relationships" r:embed="rId1" cstate="print"/>
        <a:stretch>
          <a:fillRect/>
        </a:stretch>
      </xdr:blipFill>
      <xdr:spPr>
        <a:xfrm>
          <a:off x="2743200" y="6000750"/>
          <a:ext cx="3010211" cy="16770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0718;&#32423;&#34892;&#2477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股票指数"/>
      <sheetName val="开放式基金"/>
      <sheetName val="贵金属"/>
      <sheetName val="鼎级行情"/>
    </sheetNames>
    <definedNames>
      <definedName name="更新开放式基金净值"/>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A2" sqref="A2:XFD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10.xml><?xml version="1.0" encoding="utf-8"?>
<worksheet xmlns="http://schemas.openxmlformats.org/spreadsheetml/2006/main" xmlns:r="http://schemas.openxmlformats.org/officeDocument/2006/relationships">
  <dimension ref="A1:F2"/>
  <sheetViews>
    <sheetView workbookViewId="0">
      <selection activeCell="F2" sqref="F2"/>
    </sheetView>
  </sheetViews>
  <sheetFormatPr defaultRowHeight="13.5"/>
  <cols>
    <col min="1" max="1" width="12.625" customWidth="1"/>
    <col min="2" max="3" width="9.5" bestFit="1" customWidth="1"/>
  </cols>
  <sheetData>
    <row r="1" spans="1:6">
      <c r="B1" s="71" t="s">
        <v>151</v>
      </c>
      <c r="C1" s="71" t="s">
        <v>149</v>
      </c>
      <c r="E1" s="45" t="s">
        <v>150</v>
      </c>
    </row>
    <row r="2" spans="1:6">
      <c r="A2" s="14">
        <v>43483</v>
      </c>
      <c r="B2" s="72">
        <v>1356</v>
      </c>
      <c r="C2" s="45">
        <v>1529</v>
      </c>
      <c r="D2" s="45">
        <f>(C2-B2)</f>
        <v>173</v>
      </c>
      <c r="E2" s="45">
        <f>MAX(10,(D2)*100/(B2-585)*1)</f>
        <v>22.438391699092087</v>
      </c>
      <c r="F2" s="45"/>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I6:J8"/>
  <sheetViews>
    <sheetView topLeftCell="A34" workbookViewId="0">
      <selection activeCell="J41" sqref="J41"/>
    </sheetView>
  </sheetViews>
  <sheetFormatPr defaultRowHeight="13.5"/>
  <sheetData>
    <row r="6" spans="9:10">
      <c r="I6">
        <v>300</v>
      </c>
      <c r="J6">
        <v>318686</v>
      </c>
    </row>
    <row r="7" spans="9:10">
      <c r="I7">
        <v>500</v>
      </c>
      <c r="J7">
        <v>53408</v>
      </c>
    </row>
    <row r="8" spans="9:10">
      <c r="J8">
        <v>27040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27"/>
  <sheetViews>
    <sheetView workbookViewId="0">
      <selection activeCell="A2" sqref="A2"/>
    </sheetView>
  </sheetViews>
  <sheetFormatPr defaultRowHeight="13.5"/>
  <sheetData>
    <row r="1" spans="1:9" ht="15" thickBot="1">
      <c r="A1" s="79" t="s">
        <v>190</v>
      </c>
      <c r="B1" s="80" t="s">
        <v>191</v>
      </c>
      <c r="C1" s="81" t="s">
        <v>192</v>
      </c>
      <c r="D1" s="80" t="s">
        <v>193</v>
      </c>
      <c r="E1" s="81" t="s">
        <v>194</v>
      </c>
      <c r="F1" s="80" t="s">
        <v>195</v>
      </c>
      <c r="G1" s="80" t="s">
        <v>196</v>
      </c>
      <c r="H1" s="82"/>
      <c r="I1" s="82"/>
    </row>
    <row r="2" spans="1:9" ht="14.25">
      <c r="A2" s="83" t="s">
        <v>248</v>
      </c>
      <c r="B2" s="82" t="s">
        <v>197</v>
      </c>
      <c r="C2" s="82">
        <v>2.5099999999999998</v>
      </c>
      <c r="D2" s="82">
        <v>3.5009999999999999</v>
      </c>
      <c r="E2" s="82">
        <v>2.5680000000000001</v>
      </c>
      <c r="F2" s="84">
        <v>-2.2599999999999999E-2</v>
      </c>
      <c r="G2" s="85">
        <v>43511</v>
      </c>
      <c r="H2" s="82"/>
      <c r="I2" s="82"/>
    </row>
    <row r="3" spans="1:9" ht="14.25">
      <c r="A3" s="83" t="s">
        <v>198</v>
      </c>
      <c r="B3" s="82" t="s">
        <v>199</v>
      </c>
      <c r="C3" s="82">
        <v>117.00700000000001</v>
      </c>
      <c r="D3" s="82">
        <v>1.1830000000000001</v>
      </c>
      <c r="E3" s="82">
        <v>117.017</v>
      </c>
      <c r="F3" s="84">
        <v>-1E-4</v>
      </c>
      <c r="G3" s="85">
        <v>43511</v>
      </c>
      <c r="H3" s="82"/>
      <c r="I3" s="82"/>
    </row>
    <row r="4" spans="1:9" ht="14.25">
      <c r="A4" s="82" t="s">
        <v>200</v>
      </c>
      <c r="B4" s="82" t="s">
        <v>201</v>
      </c>
      <c r="C4" s="82">
        <v>112.619</v>
      </c>
      <c r="D4" s="82">
        <v>1.1262000000000001</v>
      </c>
      <c r="E4" s="82">
        <v>113.206</v>
      </c>
      <c r="F4" s="84">
        <v>-5.1999999999999998E-3</v>
      </c>
      <c r="G4" s="85">
        <v>43046</v>
      </c>
      <c r="H4" s="82"/>
      <c r="I4" s="82"/>
    </row>
    <row r="5" spans="1:9" ht="14.25">
      <c r="A5" s="83" t="s">
        <v>202</v>
      </c>
      <c r="B5" s="82" t="s">
        <v>203</v>
      </c>
      <c r="C5" s="82">
        <v>2.8393999999999999</v>
      </c>
      <c r="D5" s="82">
        <v>1.0741000000000001</v>
      </c>
      <c r="E5" s="82">
        <v>2.8206000000000002</v>
      </c>
      <c r="F5" s="86">
        <v>6.7000000000000002E-3</v>
      </c>
      <c r="G5" s="85">
        <v>43511</v>
      </c>
      <c r="H5" s="82"/>
      <c r="I5" s="82"/>
    </row>
    <row r="6" spans="1:9" ht="14.25">
      <c r="A6" s="83" t="s">
        <v>204</v>
      </c>
      <c r="B6" s="82" t="s">
        <v>205</v>
      </c>
      <c r="C6" s="82">
        <v>2.8607</v>
      </c>
      <c r="D6" s="82">
        <v>1.0802</v>
      </c>
      <c r="E6" s="82">
        <v>2.8418999999999999</v>
      </c>
      <c r="F6" s="86">
        <v>6.6E-3</v>
      </c>
      <c r="G6" s="85">
        <v>43511</v>
      </c>
      <c r="H6" s="82"/>
      <c r="I6" s="82"/>
    </row>
    <row r="7" spans="1:9" ht="14.25">
      <c r="A7" s="83" t="s">
        <v>206</v>
      </c>
      <c r="B7" s="82" t="s">
        <v>207</v>
      </c>
      <c r="C7" s="82">
        <v>1.5310999999999999</v>
      </c>
      <c r="D7" s="82">
        <v>1.5310999999999999</v>
      </c>
      <c r="E7" s="82">
        <v>1.5432999999999999</v>
      </c>
      <c r="F7" s="84">
        <v>-7.9000000000000008E-3</v>
      </c>
      <c r="G7" s="85">
        <v>43511</v>
      </c>
      <c r="H7" s="82"/>
      <c r="I7" s="87"/>
    </row>
    <row r="8" spans="1:9" ht="14.25">
      <c r="A8" s="88" t="s">
        <v>208</v>
      </c>
      <c r="B8" s="82" t="s">
        <v>209</v>
      </c>
      <c r="C8" s="82">
        <v>0.76629999999999998</v>
      </c>
      <c r="D8" s="82">
        <v>0.76629999999999998</v>
      </c>
      <c r="E8" s="82">
        <v>0.77190000000000003</v>
      </c>
      <c r="F8" s="84">
        <v>-7.3000000000000001E-3</v>
      </c>
      <c r="G8" s="85">
        <v>42457</v>
      </c>
      <c r="H8" s="82"/>
      <c r="I8" s="87"/>
    </row>
    <row r="9" spans="1:9" ht="14.25">
      <c r="A9" s="88" t="s">
        <v>210</v>
      </c>
      <c r="B9" s="82" t="s">
        <v>211</v>
      </c>
      <c r="C9" s="82">
        <v>1.536</v>
      </c>
      <c r="D9" s="82">
        <v>0.47599999999999998</v>
      </c>
      <c r="E9" s="82">
        <v>1.548</v>
      </c>
      <c r="F9" s="84">
        <v>-7.7999999999999996E-3</v>
      </c>
      <c r="G9" s="85">
        <v>43511</v>
      </c>
      <c r="H9" s="82"/>
      <c r="I9" s="82"/>
    </row>
    <row r="10" spans="1:9" ht="14.25">
      <c r="A10" s="88" t="s">
        <v>212</v>
      </c>
      <c r="B10" s="82" t="s">
        <v>213</v>
      </c>
      <c r="C10" s="82">
        <v>2.2151000000000001</v>
      </c>
      <c r="D10" s="82">
        <v>2.2151000000000001</v>
      </c>
      <c r="E10" s="82">
        <v>2.2515999999999998</v>
      </c>
      <c r="F10" s="84">
        <v>-1.6199999999999999E-2</v>
      </c>
      <c r="G10" s="85">
        <v>43511</v>
      </c>
      <c r="H10" s="82"/>
      <c r="I10" s="82"/>
    </row>
    <row r="11" spans="1:9" ht="14.25">
      <c r="A11" s="88" t="s">
        <v>214</v>
      </c>
      <c r="B11" s="82" t="s">
        <v>215</v>
      </c>
      <c r="C11" s="82">
        <v>0.99209999999999998</v>
      </c>
      <c r="D11" s="82">
        <v>0.99209999999999998</v>
      </c>
      <c r="E11" s="82">
        <v>0.99960000000000004</v>
      </c>
      <c r="F11" s="84">
        <v>-7.4999999999999997E-3</v>
      </c>
      <c r="G11" s="85">
        <v>42457</v>
      </c>
      <c r="H11" s="82"/>
      <c r="I11" s="82"/>
    </row>
    <row r="12" spans="1:9" ht="14.25">
      <c r="A12" s="88" t="s">
        <v>216</v>
      </c>
      <c r="B12" s="82" t="s">
        <v>217</v>
      </c>
      <c r="C12" s="82">
        <v>5.1424000000000003</v>
      </c>
      <c r="D12" s="82">
        <v>1.6167</v>
      </c>
      <c r="E12" s="82">
        <v>5.2587999999999999</v>
      </c>
      <c r="F12" s="84">
        <v>-2.2100000000000002E-2</v>
      </c>
      <c r="G12" s="85">
        <v>43511</v>
      </c>
      <c r="H12" s="82"/>
      <c r="I12" s="82"/>
    </row>
    <row r="13" spans="1:9" ht="14.25">
      <c r="A13" s="88" t="s">
        <v>218</v>
      </c>
      <c r="B13" s="82" t="s">
        <v>219</v>
      </c>
      <c r="C13" s="82">
        <v>0.86519999999999997</v>
      </c>
      <c r="D13" s="82">
        <v>2.1576</v>
      </c>
      <c r="E13" s="82">
        <v>0.90629999999999999</v>
      </c>
      <c r="F13" s="84">
        <v>-4.53E-2</v>
      </c>
      <c r="G13" s="85">
        <v>43511</v>
      </c>
      <c r="H13" s="82"/>
      <c r="I13" s="82"/>
    </row>
    <row r="14" spans="1:9" ht="14.25">
      <c r="A14" s="88" t="s">
        <v>220</v>
      </c>
      <c r="B14" s="82" t="s">
        <v>221</v>
      </c>
      <c r="C14" s="82">
        <v>0.61399999999999999</v>
      </c>
      <c r="D14" s="82">
        <v>0.61399999999999999</v>
      </c>
      <c r="E14" s="82">
        <v>0.63900000000000001</v>
      </c>
      <c r="F14" s="84">
        <v>-3.9100000000000003E-2</v>
      </c>
      <c r="G14" s="85">
        <v>43511</v>
      </c>
      <c r="H14" s="82"/>
      <c r="I14" s="82"/>
    </row>
    <row r="15" spans="1:9" ht="14.25">
      <c r="A15" s="88" t="s">
        <v>222</v>
      </c>
      <c r="B15" s="82" t="s">
        <v>223</v>
      </c>
      <c r="C15" s="82">
        <v>0.94199999999999995</v>
      </c>
      <c r="D15" s="82">
        <v>1.5940000000000001</v>
      </c>
      <c r="E15" s="82">
        <v>0.96599999999999997</v>
      </c>
      <c r="F15" s="84">
        <v>-2.4799999999999999E-2</v>
      </c>
      <c r="G15" s="85">
        <v>43512</v>
      </c>
      <c r="H15" s="82"/>
      <c r="I15" s="82"/>
    </row>
    <row r="16" spans="1:9" ht="14.25">
      <c r="A16" s="88" t="s">
        <v>224</v>
      </c>
      <c r="B16" s="82" t="s">
        <v>225</v>
      </c>
      <c r="C16" s="82">
        <v>0.4481</v>
      </c>
      <c r="D16" s="82">
        <v>0.64839999999999998</v>
      </c>
      <c r="E16" s="82">
        <v>0.45300000000000001</v>
      </c>
      <c r="F16" s="84">
        <v>-1.0800000000000001E-2</v>
      </c>
      <c r="G16" s="85">
        <v>43511</v>
      </c>
      <c r="H16" s="82"/>
      <c r="I16" s="82"/>
    </row>
    <row r="17" spans="1:9" ht="14.25">
      <c r="A17" s="88" t="s">
        <v>226</v>
      </c>
      <c r="B17" s="82" t="s">
        <v>227</v>
      </c>
      <c r="C17" s="82">
        <v>0.81610000000000005</v>
      </c>
      <c r="D17" s="82">
        <v>1.2168000000000001</v>
      </c>
      <c r="E17" s="82">
        <v>0.82499999999999996</v>
      </c>
      <c r="F17" s="84">
        <v>-1.0800000000000001E-2</v>
      </c>
      <c r="G17" s="85">
        <v>43511</v>
      </c>
      <c r="H17" s="82"/>
      <c r="I17" s="82"/>
    </row>
    <row r="18" spans="1:9" ht="14.25">
      <c r="A18" s="82" t="s">
        <v>228</v>
      </c>
      <c r="B18" s="82" t="s">
        <v>229</v>
      </c>
      <c r="C18" s="82">
        <v>8.0100000000000005E-2</v>
      </c>
      <c r="D18" s="82">
        <v>8.0100000000000005E-2</v>
      </c>
      <c r="E18" s="82">
        <v>8.1000000000000003E-2</v>
      </c>
      <c r="F18" s="84">
        <v>-1.11E-2</v>
      </c>
      <c r="G18" s="85">
        <v>43511</v>
      </c>
      <c r="H18" s="82"/>
      <c r="I18" s="82"/>
    </row>
    <row r="19" spans="1:9" ht="14.25">
      <c r="A19" s="82" t="s">
        <v>230</v>
      </c>
      <c r="B19" s="82" t="s">
        <v>231</v>
      </c>
      <c r="C19" s="82">
        <v>1.45</v>
      </c>
      <c r="D19" s="82">
        <v>1.5329999999999999</v>
      </c>
      <c r="E19" s="82">
        <v>1.4319999999999999</v>
      </c>
      <c r="F19" s="86">
        <v>1.26E-2</v>
      </c>
      <c r="G19" s="85">
        <v>42229</v>
      </c>
      <c r="H19" s="82"/>
      <c r="I19" s="82"/>
    </row>
    <row r="20" spans="1:9" ht="14.25">
      <c r="A20" s="82" t="s">
        <v>232</v>
      </c>
      <c r="B20" s="82" t="s">
        <v>233</v>
      </c>
      <c r="C20" s="82">
        <v>1.0285</v>
      </c>
      <c r="D20" s="82">
        <v>1.1930000000000001</v>
      </c>
      <c r="E20" s="82">
        <v>1.028</v>
      </c>
      <c r="F20" s="86">
        <v>5.0000000000000001E-4</v>
      </c>
      <c r="G20" s="85">
        <v>42229</v>
      </c>
      <c r="H20" s="82"/>
      <c r="I20" s="82"/>
    </row>
    <row r="21" spans="1:9" ht="14.25">
      <c r="A21" s="82" t="s">
        <v>234</v>
      </c>
      <c r="B21" s="82" t="s">
        <v>235</v>
      </c>
      <c r="C21" s="82">
        <v>1.8720000000000001</v>
      </c>
      <c r="D21" s="82">
        <v>1.8720000000000001</v>
      </c>
      <c r="E21" s="82">
        <v>1.8360000000000001</v>
      </c>
      <c r="F21" s="86">
        <v>1.9599999999999999E-2</v>
      </c>
      <c r="G21" s="85">
        <v>42229</v>
      </c>
      <c r="H21" s="82"/>
      <c r="I21" s="82"/>
    </row>
    <row r="22" spans="1:9" ht="14.25">
      <c r="A22" s="82" t="s">
        <v>236</v>
      </c>
      <c r="B22" s="82" t="s">
        <v>237</v>
      </c>
      <c r="C22" s="82">
        <v>1.1076999999999999</v>
      </c>
      <c r="D22" s="82">
        <v>4.0256999999999996</v>
      </c>
      <c r="E22" s="82">
        <v>1.1191</v>
      </c>
      <c r="F22" s="84">
        <v>-1.0200000000000001E-2</v>
      </c>
      <c r="G22" s="85">
        <v>43511</v>
      </c>
      <c r="H22" s="82"/>
      <c r="I22" s="82"/>
    </row>
    <row r="23" spans="1:9" ht="14.25">
      <c r="A23" s="82" t="s">
        <v>238</v>
      </c>
      <c r="B23" s="82" t="s">
        <v>239</v>
      </c>
      <c r="C23" s="82">
        <v>0.67800000000000005</v>
      </c>
      <c r="D23" s="82">
        <v>3.4249999999999998</v>
      </c>
      <c r="E23" s="82">
        <v>0.68899999999999995</v>
      </c>
      <c r="F23" s="84">
        <v>-1.6E-2</v>
      </c>
      <c r="G23" s="85">
        <v>43511</v>
      </c>
      <c r="H23" s="82"/>
      <c r="I23" s="82"/>
    </row>
    <row r="24" spans="1:9" ht="14.25">
      <c r="A24" s="82" t="s">
        <v>240</v>
      </c>
      <c r="B24" s="82" t="s">
        <v>241</v>
      </c>
      <c r="C24" s="82">
        <v>1.256</v>
      </c>
      <c r="D24" s="82">
        <v>1.286</v>
      </c>
      <c r="E24" s="82">
        <v>1.2549999999999999</v>
      </c>
      <c r="F24" s="86">
        <v>8.0000000000000004E-4</v>
      </c>
      <c r="G24" s="85">
        <v>43511</v>
      </c>
      <c r="H24" s="82"/>
      <c r="I24" s="82"/>
    </row>
    <row r="25" spans="1:9" ht="14.25">
      <c r="A25" s="82" t="s">
        <v>242</v>
      </c>
      <c r="B25" s="82" t="s">
        <v>243</v>
      </c>
      <c r="C25" s="82">
        <v>1.1344000000000001</v>
      </c>
      <c r="D25" s="82">
        <v>3.4723999999999999</v>
      </c>
      <c r="E25" s="82">
        <v>1.1518999999999999</v>
      </c>
      <c r="F25" s="84">
        <v>-1.52E-2</v>
      </c>
      <c r="G25" s="85">
        <v>43511</v>
      </c>
      <c r="H25" s="82"/>
      <c r="I25" s="82"/>
    </row>
    <row r="26" spans="1:9" ht="14.25">
      <c r="A26" s="82" t="s">
        <v>244</v>
      </c>
      <c r="B26" s="82" t="s">
        <v>245</v>
      </c>
      <c r="C26" s="82">
        <v>1.1519999999999999</v>
      </c>
      <c r="D26" s="82">
        <v>1.3839999999999999</v>
      </c>
      <c r="E26" s="82">
        <v>1.1479999999999999</v>
      </c>
      <c r="F26" s="86">
        <v>3.5000000000000001E-3</v>
      </c>
      <c r="G26" s="85">
        <v>43511</v>
      </c>
      <c r="H26" s="82"/>
      <c r="I26" s="82"/>
    </row>
    <row r="27" spans="1:9" ht="14.25">
      <c r="A27" s="82" t="s">
        <v>246</v>
      </c>
      <c r="B27" s="82" t="s">
        <v>247</v>
      </c>
      <c r="C27" s="82">
        <v>1.0477000000000001</v>
      </c>
      <c r="D27" s="82">
        <v>1.5986</v>
      </c>
      <c r="E27" s="82">
        <v>1.0478000000000001</v>
      </c>
      <c r="F27" s="84">
        <v>-1E-4</v>
      </c>
      <c r="G27" s="85">
        <v>43511</v>
      </c>
      <c r="H27" s="82"/>
      <c r="I27" s="82"/>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sheetPr codeName="Sheet3"/>
  <dimension ref="B1:AI83"/>
  <sheetViews>
    <sheetView topLeftCell="A4" workbookViewId="0">
      <selection activeCell="J37" sqref="J37"/>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123</v>
      </c>
      <c r="O1" s="16" t="s">
        <v>53</v>
      </c>
      <c r="P1" s="24" t="s">
        <v>60</v>
      </c>
    </row>
    <row r="2" spans="2:35" s="12" customFormat="1" ht="29.25" thickBot="1">
      <c r="B2" s="12" t="s">
        <v>49</v>
      </c>
      <c r="C2" s="26">
        <v>519976</v>
      </c>
      <c r="D2" s="56">
        <v>11355</v>
      </c>
      <c r="E2" s="56">
        <v>5307</v>
      </c>
      <c r="F2" s="26" t="s">
        <v>50</v>
      </c>
      <c r="G2" s="27">
        <v>40998</v>
      </c>
      <c r="H2" s="28">
        <v>-3.6999999999999998E-2</v>
      </c>
      <c r="I2" s="48">
        <v>-5.4300000000000001E-2</v>
      </c>
      <c r="J2" s="29">
        <v>-1.0800000000000001E-2</v>
      </c>
      <c r="K2" s="29">
        <v>-4.58E-2</v>
      </c>
      <c r="L2" s="29">
        <v>-0.16250000000000001</v>
      </c>
      <c r="M2" s="29">
        <v>1.1455</v>
      </c>
      <c r="N2" s="57" t="s">
        <v>122</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5" thickBot="1">
      <c r="B3" s="42" t="s">
        <v>100</v>
      </c>
      <c r="C3" s="76" t="s">
        <v>93</v>
      </c>
      <c r="D3" s="56">
        <v>9190</v>
      </c>
      <c r="E3" s="56">
        <v>6140</v>
      </c>
      <c r="F3" s="26"/>
      <c r="I3" s="49"/>
      <c r="P3" s="36" t="s">
        <v>99</v>
      </c>
    </row>
    <row r="4" spans="2:35" s="12" customFormat="1" ht="29.25" thickBot="1">
      <c r="B4" s="12" t="s">
        <v>34</v>
      </c>
      <c r="C4" s="26" t="s">
        <v>35</v>
      </c>
      <c r="D4" s="56">
        <v>2403</v>
      </c>
      <c r="E4" s="56"/>
      <c r="F4" s="26"/>
      <c r="G4" s="31">
        <v>43406</v>
      </c>
      <c r="H4" s="29">
        <v>5.4999999999999997E-3</v>
      </c>
      <c r="I4" s="49"/>
      <c r="P4" s="12" t="s">
        <v>64</v>
      </c>
      <c r="Q4" s="32" t="s">
        <v>70</v>
      </c>
      <c r="R4" s="33" t="s">
        <v>105</v>
      </c>
      <c r="S4" s="32" t="s">
        <v>72</v>
      </c>
      <c r="T4" s="33" t="s">
        <v>75</v>
      </c>
      <c r="U4" s="32" t="s">
        <v>74</v>
      </c>
      <c r="V4" s="33"/>
      <c r="W4" s="33"/>
      <c r="X4" s="33"/>
      <c r="Y4" s="33"/>
      <c r="Z4" s="33"/>
      <c r="AA4" s="33"/>
      <c r="AB4" s="33"/>
      <c r="AC4" s="33" t="s">
        <v>106</v>
      </c>
      <c r="AD4" s="32" t="s">
        <v>77</v>
      </c>
      <c r="AE4" s="33" t="s">
        <v>78</v>
      </c>
      <c r="AF4" s="32" t="s">
        <v>102</v>
      </c>
      <c r="AG4" s="33" t="s">
        <v>78</v>
      </c>
      <c r="AH4" s="32" t="s">
        <v>103</v>
      </c>
      <c r="AI4" s="33" t="s">
        <v>107</v>
      </c>
    </row>
    <row r="5" spans="2:35" s="12" customFormat="1" ht="29.25" thickBot="1">
      <c r="B5" s="12" t="s">
        <v>41</v>
      </c>
      <c r="C5" s="26" t="s">
        <v>40</v>
      </c>
      <c r="D5" s="56">
        <v>2064</v>
      </c>
      <c r="E5" s="56">
        <v>1046</v>
      </c>
      <c r="F5" s="26" t="s">
        <v>42</v>
      </c>
      <c r="G5" s="31">
        <v>39974</v>
      </c>
      <c r="H5" s="29">
        <v>-1.3100000000000001E-2</v>
      </c>
      <c r="I5" s="50">
        <v>1.8E-3</v>
      </c>
      <c r="J5" s="29">
        <v>4.53E-2</v>
      </c>
      <c r="K5" s="29">
        <v>2.4799999999999999E-2</v>
      </c>
      <c r="L5" s="29">
        <v>3.9399999999999998E-2</v>
      </c>
      <c r="M5" s="29">
        <v>1.3714999999999999</v>
      </c>
      <c r="P5" s="12" t="s">
        <v>62</v>
      </c>
      <c r="Q5" s="32" t="s">
        <v>70</v>
      </c>
      <c r="R5" s="33" t="s">
        <v>76</v>
      </c>
      <c r="S5" s="32" t="s">
        <v>72</v>
      </c>
      <c r="T5" s="33" t="s">
        <v>75</v>
      </c>
      <c r="U5" s="32" t="s">
        <v>74</v>
      </c>
      <c r="V5" s="33"/>
      <c r="W5" s="33"/>
      <c r="X5" s="33"/>
      <c r="Y5" s="33"/>
      <c r="Z5" s="33"/>
      <c r="AA5" s="33"/>
      <c r="AB5" s="33"/>
      <c r="AC5" s="33" t="s">
        <v>101</v>
      </c>
      <c r="AD5" s="32" t="s">
        <v>77</v>
      </c>
      <c r="AE5" s="33" t="s">
        <v>78</v>
      </c>
      <c r="AF5" s="32" t="s">
        <v>102</v>
      </c>
      <c r="AG5" s="33" t="s">
        <v>78</v>
      </c>
      <c r="AH5" s="32" t="s">
        <v>103</v>
      </c>
      <c r="AI5" s="33" t="s">
        <v>104</v>
      </c>
    </row>
    <row r="6" spans="2:35" s="12" customFormat="1" ht="14.25">
      <c r="B6" s="36" t="s">
        <v>97</v>
      </c>
      <c r="C6" s="26" t="s">
        <v>92</v>
      </c>
      <c r="D6" s="56">
        <v>500</v>
      </c>
      <c r="E6" s="56">
        <v>1004</v>
      </c>
      <c r="F6" s="26"/>
      <c r="I6" s="49"/>
      <c r="P6" s="36" t="s">
        <v>98</v>
      </c>
    </row>
    <row r="7" spans="2:35" s="12" customFormat="1" ht="15" thickBot="1">
      <c r="B7" s="36" t="s">
        <v>130</v>
      </c>
      <c r="C7" s="76" t="s">
        <v>129</v>
      </c>
      <c r="D7" s="56">
        <v>1200</v>
      </c>
      <c r="E7" s="56">
        <v>0</v>
      </c>
      <c r="F7" s="26"/>
      <c r="I7" s="49"/>
      <c r="P7" s="36" t="s">
        <v>96</v>
      </c>
    </row>
    <row r="8" spans="2:35" s="12" customFormat="1" ht="15.75" customHeight="1" thickBot="1">
      <c r="B8" s="35" t="s">
        <v>68</v>
      </c>
      <c r="C8" s="26" t="s">
        <v>69</v>
      </c>
      <c r="D8" s="56">
        <v>628</v>
      </c>
      <c r="E8" s="56">
        <v>0</v>
      </c>
      <c r="F8" s="26"/>
      <c r="G8" s="31"/>
      <c r="H8" s="29"/>
      <c r="I8" s="50"/>
      <c r="J8" s="29"/>
      <c r="K8" s="29"/>
      <c r="L8" s="29"/>
      <c r="M8" s="29"/>
      <c r="Q8" s="32" t="s">
        <v>70</v>
      </c>
      <c r="R8" s="33" t="s">
        <v>71</v>
      </c>
      <c r="S8" s="32" t="s">
        <v>72</v>
      </c>
      <c r="T8" s="33" t="s">
        <v>73</v>
      </c>
      <c r="U8" s="32" t="s">
        <v>74</v>
      </c>
      <c r="V8" s="33"/>
      <c r="W8" s="33"/>
      <c r="X8" s="33"/>
      <c r="Y8" s="33"/>
      <c r="Z8" s="33"/>
      <c r="AA8" s="33"/>
      <c r="AB8" s="33"/>
      <c r="AC8" s="33" t="s">
        <v>75</v>
      </c>
    </row>
    <row r="9" spans="2:35" s="12" customFormat="1" ht="16.5">
      <c r="B9" s="26" t="s">
        <v>55</v>
      </c>
      <c r="C9" s="76">
        <v>485011</v>
      </c>
      <c r="D9" s="58">
        <v>1000</v>
      </c>
      <c r="E9" s="58"/>
      <c r="F9" s="26" t="s">
        <v>59</v>
      </c>
      <c r="G9" s="59">
        <v>40406</v>
      </c>
      <c r="H9" s="60">
        <v>1.1000000000000001E-3</v>
      </c>
      <c r="I9" s="61">
        <v>2.5700000000000001E-2</v>
      </c>
      <c r="J9" s="60">
        <v>4.8399999999999999E-2</v>
      </c>
      <c r="K9" s="60">
        <v>9.1800000000000007E-2</v>
      </c>
      <c r="L9" s="60">
        <v>0.13100000000000001</v>
      </c>
      <c r="M9" s="60">
        <v>0.79490000000000005</v>
      </c>
      <c r="N9" s="12" t="s">
        <v>125</v>
      </c>
      <c r="P9" s="30" t="s">
        <v>67</v>
      </c>
    </row>
    <row r="10" spans="2:35" s="12" customFormat="1">
      <c r="B10" s="12" t="s">
        <v>164</v>
      </c>
      <c r="C10" s="76" t="s">
        <v>165</v>
      </c>
      <c r="D10" s="58">
        <v>200</v>
      </c>
      <c r="E10" s="58"/>
      <c r="F10" s="26"/>
      <c r="G10" s="31"/>
      <c r="H10" s="29"/>
      <c r="I10" s="50"/>
      <c r="J10" s="29"/>
      <c r="K10" s="29"/>
      <c r="L10" s="29"/>
      <c r="M10" s="29"/>
    </row>
    <row r="11" spans="2:35" s="12" customFormat="1">
      <c r="B11" s="12" t="s">
        <v>162</v>
      </c>
      <c r="C11" s="76" t="s">
        <v>163</v>
      </c>
      <c r="D11" s="58">
        <v>200</v>
      </c>
      <c r="E11" s="58"/>
      <c r="F11" s="26"/>
      <c r="G11" s="31"/>
      <c r="H11" s="29"/>
      <c r="I11" s="50"/>
      <c r="J11" s="29"/>
      <c r="K11" s="29"/>
      <c r="L11" s="29"/>
      <c r="M11" s="29"/>
    </row>
    <row r="12" spans="2:35" s="12" customFormat="1">
      <c r="B12" s="12" t="s">
        <v>160</v>
      </c>
      <c r="C12" s="76" t="s">
        <v>161</v>
      </c>
      <c r="D12" s="58">
        <v>500</v>
      </c>
      <c r="E12" s="58"/>
      <c r="F12" s="26"/>
      <c r="G12" s="31"/>
      <c r="H12" s="29"/>
      <c r="I12" s="50"/>
      <c r="J12" s="29"/>
      <c r="K12" s="29"/>
      <c r="L12" s="29"/>
      <c r="M12" s="29"/>
    </row>
    <row r="13" spans="2:35" s="12" customFormat="1">
      <c r="B13" s="12" t="s">
        <v>168</v>
      </c>
      <c r="C13" s="26" t="s">
        <v>169</v>
      </c>
      <c r="D13" s="58">
        <v>200</v>
      </c>
      <c r="E13" s="58"/>
      <c r="F13" s="26"/>
      <c r="G13" s="31"/>
      <c r="H13" s="29"/>
      <c r="I13" s="50"/>
      <c r="J13" s="29"/>
      <c r="K13" s="29"/>
      <c r="L13" s="29"/>
      <c r="M13" s="29"/>
    </row>
    <row r="14" spans="2:35" s="12" customFormat="1">
      <c r="B14" s="12" t="s">
        <v>173</v>
      </c>
      <c r="C14" s="26" t="s">
        <v>174</v>
      </c>
      <c r="D14" s="58">
        <v>1000</v>
      </c>
      <c r="E14" s="58"/>
      <c r="F14" s="26"/>
      <c r="G14" s="31"/>
      <c r="H14" s="29"/>
      <c r="I14" s="50"/>
      <c r="J14" s="29"/>
      <c r="K14" s="29"/>
      <c r="L14" s="29"/>
      <c r="M14" s="29"/>
    </row>
    <row r="15" spans="2:35" s="12" customFormat="1">
      <c r="B15" s="12" t="s">
        <v>133</v>
      </c>
      <c r="C15" s="26">
        <v>110018</v>
      </c>
      <c r="D15" s="58">
        <v>200</v>
      </c>
      <c r="E15" s="58"/>
      <c r="F15" s="26" t="s">
        <v>157</v>
      </c>
      <c r="G15" s="31"/>
      <c r="H15" s="29"/>
      <c r="I15" s="50"/>
      <c r="J15" s="29"/>
      <c r="K15" s="29"/>
      <c r="L15" s="29"/>
      <c r="M15" s="29"/>
    </row>
    <row r="16" spans="2:35" s="12" customFormat="1">
      <c r="B16" s="12" t="s">
        <v>176</v>
      </c>
      <c r="C16" s="26" t="s">
        <v>175</v>
      </c>
      <c r="D16" s="58"/>
      <c r="E16" s="58">
        <v>5165</v>
      </c>
      <c r="F16" s="26"/>
      <c r="G16" s="31"/>
      <c r="H16" s="29"/>
      <c r="I16" s="50"/>
      <c r="J16" s="29"/>
      <c r="K16" s="29"/>
      <c r="L16" s="29"/>
      <c r="M16" s="29"/>
    </row>
    <row r="17" spans="2:16" s="19" customFormat="1">
      <c r="B17" s="19" t="s">
        <v>166</v>
      </c>
      <c r="C17" s="76" t="s">
        <v>167</v>
      </c>
      <c r="D17" s="75"/>
      <c r="E17" s="75"/>
      <c r="F17" s="20"/>
      <c r="G17" s="21"/>
      <c r="H17" s="22"/>
      <c r="I17" s="52"/>
      <c r="J17" s="22"/>
      <c r="K17" s="22"/>
      <c r="L17" s="22"/>
      <c r="M17" s="22"/>
    </row>
    <row r="18" spans="2:16" s="19" customFormat="1" ht="16.5">
      <c r="B18" s="19" t="s">
        <v>38</v>
      </c>
      <c r="C18" s="76" t="s">
        <v>37</v>
      </c>
      <c r="D18" s="46">
        <v>1434</v>
      </c>
      <c r="E18" s="46">
        <v>4091</v>
      </c>
      <c r="F18" s="20" t="s">
        <v>51</v>
      </c>
      <c r="G18" s="21">
        <v>41255</v>
      </c>
      <c r="H18" s="22">
        <v>2.5000000000000001E-3</v>
      </c>
      <c r="I18" s="52">
        <v>1.5900000000000001E-2</v>
      </c>
      <c r="J18" s="22">
        <v>3.4799999999999998E-2</v>
      </c>
      <c r="K18" s="22">
        <v>6.0499999999999998E-2</v>
      </c>
      <c r="L18" s="22">
        <v>8.7099999999999997E-2</v>
      </c>
      <c r="M18" s="22">
        <v>0.39169999999999999</v>
      </c>
      <c r="N18" s="19" t="s">
        <v>36</v>
      </c>
      <c r="O18" s="19" t="s">
        <v>54</v>
      </c>
      <c r="P18" s="25" t="s">
        <v>65</v>
      </c>
    </row>
    <row r="19" spans="2:16" ht="16.5">
      <c r="B19" t="s">
        <v>47</v>
      </c>
      <c r="C19" s="76" t="s">
        <v>43</v>
      </c>
      <c r="D19" s="46">
        <v>5362</v>
      </c>
      <c r="E19" s="46">
        <v>3997</v>
      </c>
      <c r="F19" s="20" t="s">
        <v>56</v>
      </c>
      <c r="G19" s="14">
        <v>41519</v>
      </c>
      <c r="H19" s="15">
        <v>3.0000000000000001E-3</v>
      </c>
      <c r="I19" s="51">
        <v>2.76E-2</v>
      </c>
      <c r="J19" s="15">
        <v>4.7699999999999999E-2</v>
      </c>
      <c r="K19" s="15">
        <v>9.6000000000000002E-2</v>
      </c>
      <c r="L19" s="15">
        <v>0.1229</v>
      </c>
      <c r="M19" s="15">
        <v>0.34060000000000001</v>
      </c>
      <c r="P19" s="25" t="s">
        <v>66</v>
      </c>
    </row>
    <row r="20" spans="2:16" s="19" customFormat="1" ht="16.5">
      <c r="B20" s="37" t="s">
        <v>45</v>
      </c>
      <c r="C20" s="76" t="s">
        <v>44</v>
      </c>
      <c r="D20" s="46">
        <v>1200</v>
      </c>
      <c r="E20" s="58">
        <v>0</v>
      </c>
      <c r="F20" s="20" t="s">
        <v>57</v>
      </c>
      <c r="G20" s="23">
        <v>41341</v>
      </c>
      <c r="H20" s="22">
        <v>2.5000000000000001E-3</v>
      </c>
      <c r="I20" s="52">
        <v>1.84E-2</v>
      </c>
      <c r="J20" s="22">
        <v>3.8300000000000001E-2</v>
      </c>
      <c r="K20" s="22">
        <v>6.8400000000000002E-2</v>
      </c>
      <c r="L20" s="22">
        <v>8.5300000000000001E-2</v>
      </c>
      <c r="M20" s="22">
        <v>0.25140000000000001</v>
      </c>
      <c r="P20" s="25" t="s">
        <v>61</v>
      </c>
    </row>
    <row r="21" spans="2:16" ht="16.5">
      <c r="B21" t="s">
        <v>46</v>
      </c>
      <c r="C21" s="76" t="s">
        <v>48</v>
      </c>
      <c r="D21" s="46">
        <v>2000</v>
      </c>
      <c r="E21" s="46">
        <v>1880</v>
      </c>
      <c r="F21" s="20" t="s">
        <v>58</v>
      </c>
      <c r="G21" s="14">
        <v>41478</v>
      </c>
      <c r="H21" s="15">
        <v>2.7000000000000001E-3</v>
      </c>
      <c r="I21" s="53">
        <v>1.9900000000000001E-2</v>
      </c>
      <c r="J21" s="15">
        <v>3.4799999999999998E-2</v>
      </c>
      <c r="K21" s="15">
        <v>5.3100000000000001E-2</v>
      </c>
      <c r="L21" s="15">
        <v>9.6500000000000002E-2</v>
      </c>
      <c r="M21" s="15">
        <v>0.35639999999999999</v>
      </c>
      <c r="P21" s="25" t="s">
        <v>61</v>
      </c>
    </row>
    <row r="22" spans="2:16" ht="14.25">
      <c r="B22" s="40" t="s">
        <v>94</v>
      </c>
      <c r="C22" s="76" t="s">
        <v>80</v>
      </c>
      <c r="D22" s="46">
        <v>1251</v>
      </c>
      <c r="E22" s="46">
        <v>2583</v>
      </c>
      <c r="N22" t="s">
        <v>124</v>
      </c>
      <c r="P22" s="41" t="s">
        <v>95</v>
      </c>
    </row>
    <row r="23" spans="2:16" ht="14.25">
      <c r="B23" s="40" t="s">
        <v>170</v>
      </c>
      <c r="C23" s="18" t="s">
        <v>171</v>
      </c>
      <c r="D23" s="46">
        <v>1000</v>
      </c>
      <c r="E23" s="46"/>
      <c r="P23" s="41"/>
    </row>
    <row r="24" spans="2:16" ht="14.25">
      <c r="B24" s="18" t="s">
        <v>135</v>
      </c>
      <c r="C24" s="18" t="s">
        <v>134</v>
      </c>
      <c r="E24" s="46">
        <v>1300</v>
      </c>
      <c r="P24" s="41"/>
    </row>
    <row r="25" spans="2:16" ht="14.25">
      <c r="B25" s="18" t="s">
        <v>126</v>
      </c>
      <c r="C25" s="76" t="s">
        <v>127</v>
      </c>
      <c r="D25" s="46">
        <v>1000</v>
      </c>
      <c r="E25" s="46"/>
      <c r="P25" s="41"/>
    </row>
    <row r="26" spans="2:16">
      <c r="B26" t="s">
        <v>131</v>
      </c>
      <c r="D26" s="46">
        <v>3035</v>
      </c>
      <c r="E26" s="46"/>
    </row>
    <row r="27" spans="2:16">
      <c r="B27" t="s">
        <v>121</v>
      </c>
      <c r="D27" s="46">
        <v>4148</v>
      </c>
      <c r="E27" s="46">
        <v>0</v>
      </c>
    </row>
    <row r="28" spans="2:16">
      <c r="I28" s="51"/>
      <c r="J28" s="15"/>
      <c r="K28" s="15"/>
    </row>
    <row r="30" spans="2:16">
      <c r="I30" s="7" t="s">
        <v>159</v>
      </c>
      <c r="J30" s="55"/>
      <c r="K30" s="7" t="s">
        <v>110</v>
      </c>
    </row>
    <row r="31" spans="2:16">
      <c r="B31" s="12" t="s">
        <v>172</v>
      </c>
      <c r="I31" s="7" t="s">
        <v>111</v>
      </c>
      <c r="J31" s="64">
        <f>SUM(J32:J36)</f>
        <v>60908.6</v>
      </c>
      <c r="K31" s="7"/>
    </row>
    <row r="32" spans="2:16">
      <c r="I32" s="7" t="s">
        <v>108</v>
      </c>
      <c r="J32" s="64">
        <f>SUM(D18:D25)</f>
        <v>13247</v>
      </c>
      <c r="K32" s="62">
        <f>J32/J31</f>
        <v>0.21748981260445979</v>
      </c>
    </row>
    <row r="33" spans="2:11">
      <c r="I33" s="7" t="s">
        <v>109</v>
      </c>
      <c r="J33" s="64">
        <f>SUM(D5:D16)</f>
        <v>7692</v>
      </c>
      <c r="K33" s="62">
        <f>J33/J31</f>
        <v>0.12628758500441645</v>
      </c>
    </row>
    <row r="34" spans="2:11">
      <c r="I34" s="7" t="s">
        <v>128</v>
      </c>
      <c r="J34" s="64">
        <f>SUM(D2:D4)</f>
        <v>22948</v>
      </c>
      <c r="K34" s="62">
        <f>J34/J31</f>
        <v>0.37676124553839691</v>
      </c>
    </row>
    <row r="35" spans="2:11">
      <c r="I35" s="7" t="s">
        <v>112</v>
      </c>
      <c r="J35" s="69">
        <f>SUM(G40:G44)</f>
        <v>9838.6</v>
      </c>
      <c r="K35" s="62">
        <f>J35/J31</f>
        <v>0.16153055561940352</v>
      </c>
    </row>
    <row r="36" spans="2:11">
      <c r="I36" s="67" t="s">
        <v>136</v>
      </c>
      <c r="J36" s="64">
        <f>SUM(D26:D27)</f>
        <v>7183</v>
      </c>
      <c r="K36" s="7"/>
    </row>
    <row r="37" spans="2:11">
      <c r="I37"/>
      <c r="J37" s="54"/>
    </row>
    <row r="38" spans="2:11">
      <c r="I38"/>
      <c r="J38" s="54"/>
    </row>
    <row r="39" spans="2:11">
      <c r="B39" s="10"/>
      <c r="C39" s="10" t="s">
        <v>15</v>
      </c>
      <c r="D39" s="10" t="s">
        <v>16</v>
      </c>
      <c r="E39" s="10" t="s">
        <v>24</v>
      </c>
      <c r="F39" s="10" t="s">
        <v>17</v>
      </c>
      <c r="G39" s="10" t="s">
        <v>18</v>
      </c>
      <c r="I39"/>
      <c r="J39" s="54"/>
    </row>
    <row r="40" spans="2:11">
      <c r="B40" s="8" t="s">
        <v>20</v>
      </c>
      <c r="C40" s="8">
        <v>501029</v>
      </c>
      <c r="D40" s="8">
        <v>0.89400000000000002</v>
      </c>
      <c r="E40" s="8">
        <f>D40*1.05</f>
        <v>0.93870000000000009</v>
      </c>
      <c r="F40" s="8">
        <v>0</v>
      </c>
      <c r="G40" s="55">
        <f>D40*F40</f>
        <v>0</v>
      </c>
      <c r="I40" s="7" t="s">
        <v>158</v>
      </c>
      <c r="J40" s="55"/>
      <c r="K40" s="7" t="s">
        <v>110</v>
      </c>
    </row>
    <row r="41" spans="2:11">
      <c r="B41" s="8" t="s">
        <v>19</v>
      </c>
      <c r="C41" s="8">
        <v>159905</v>
      </c>
      <c r="D41" s="8">
        <v>1.381</v>
      </c>
      <c r="E41" s="8">
        <f>D41*1.05</f>
        <v>1.4500500000000001</v>
      </c>
      <c r="F41" s="8">
        <v>0</v>
      </c>
      <c r="G41" s="55">
        <f t="shared" ref="G41:G44" si="0">D41*F41</f>
        <v>0</v>
      </c>
      <c r="I41" s="7" t="s">
        <v>111</v>
      </c>
      <c r="J41" s="64">
        <f>SUM(J42:J46)</f>
        <v>27348</v>
      </c>
      <c r="K41" s="7"/>
    </row>
    <row r="42" spans="2:11">
      <c r="B42" s="8" t="s">
        <v>22</v>
      </c>
      <c r="C42" s="8">
        <v>510880</v>
      </c>
      <c r="D42" s="8">
        <v>2.6379999999999999</v>
      </c>
      <c r="E42" s="8">
        <f>D42*1.05</f>
        <v>2.7698999999999998</v>
      </c>
      <c r="F42" s="8">
        <v>1000</v>
      </c>
      <c r="G42" s="55">
        <f t="shared" si="0"/>
        <v>2638</v>
      </c>
      <c r="I42" s="7" t="s">
        <v>108</v>
      </c>
      <c r="J42" s="64">
        <f>SUM(E18:E25)</f>
        <v>13851</v>
      </c>
      <c r="K42" s="62">
        <f>J42/J41</f>
        <v>0.50647213690215009</v>
      </c>
    </row>
    <row r="43" spans="2:11">
      <c r="B43" s="8" t="s">
        <v>23</v>
      </c>
      <c r="C43" s="8">
        <v>510900</v>
      </c>
      <c r="D43" s="8">
        <v>1.2989999999999999</v>
      </c>
      <c r="E43" s="8">
        <f>D43*1.05</f>
        <v>1.36395</v>
      </c>
      <c r="F43" s="8">
        <v>4000</v>
      </c>
      <c r="G43" s="55">
        <f>D43*F43</f>
        <v>5196</v>
      </c>
      <c r="I43" s="7" t="s">
        <v>109</v>
      </c>
      <c r="J43" s="64">
        <f>SUM(E5:E15)</f>
        <v>2050</v>
      </c>
      <c r="K43" s="62">
        <f>J43/J41</f>
        <v>7.4959777680269124E-2</v>
      </c>
    </row>
    <row r="44" spans="2:11">
      <c r="B44" s="35" t="s">
        <v>68</v>
      </c>
      <c r="C44" s="26" t="s">
        <v>250</v>
      </c>
      <c r="D44" s="45">
        <v>3.3410000000000002</v>
      </c>
      <c r="E44" s="45">
        <f>D44*1.05</f>
        <v>3.5080500000000003</v>
      </c>
      <c r="F44" s="18" t="s">
        <v>249</v>
      </c>
      <c r="G44" s="55">
        <f t="shared" si="0"/>
        <v>2004.6000000000001</v>
      </c>
      <c r="I44" s="7" t="s">
        <v>128</v>
      </c>
      <c r="J44" s="64">
        <f>SUM(E2:E3)</f>
        <v>11447</v>
      </c>
      <c r="K44" s="62">
        <f>J44/J41</f>
        <v>0.41856808541758084</v>
      </c>
    </row>
    <row r="45" spans="2:11">
      <c r="I45" s="7" t="s">
        <v>112</v>
      </c>
      <c r="J45" s="69">
        <v>0</v>
      </c>
      <c r="K45" s="62">
        <f>J45/J41</f>
        <v>0</v>
      </c>
    </row>
    <row r="46" spans="2:11">
      <c r="I46" s="67" t="s">
        <v>136</v>
      </c>
      <c r="J46" s="64">
        <f>SUM(D35:D36)</f>
        <v>0</v>
      </c>
      <c r="K46" s="7"/>
    </row>
    <row r="66" spans="2:6">
      <c r="B66" s="62" t="s">
        <v>156</v>
      </c>
      <c r="C66" s="74">
        <v>22</v>
      </c>
    </row>
    <row r="68" spans="2:6">
      <c r="B68" s="8" t="s">
        <v>22</v>
      </c>
      <c r="C68" s="38" t="s">
        <v>151</v>
      </c>
      <c r="D68" s="73">
        <v>2559</v>
      </c>
      <c r="E68" s="73"/>
    </row>
    <row r="69" spans="2:6">
      <c r="B69" s="7"/>
      <c r="C69" s="38" t="s">
        <v>152</v>
      </c>
      <c r="D69" s="73">
        <v>2520</v>
      </c>
      <c r="E69" s="73">
        <f>MIN(IFERROR(D69-D68,0),0)*100*$C$66/(D68-1800)</f>
        <v>-113.04347826086956</v>
      </c>
      <c r="F69" s="18" t="s">
        <v>155</v>
      </c>
    </row>
    <row r="70" spans="2:6">
      <c r="B70" s="7"/>
      <c r="C70" s="38" t="s">
        <v>153</v>
      </c>
      <c r="D70" s="73">
        <v>2547</v>
      </c>
      <c r="E70" s="73">
        <f>(D70-D68)*100*$C$66/(D68-1800)</f>
        <v>-34.782608695652172</v>
      </c>
      <c r="F70" s="18" t="s">
        <v>154</v>
      </c>
    </row>
    <row r="71" spans="2:6">
      <c r="E71" s="73">
        <f>(D70+D69-D68*2)*100*$C$66/(D68-1800)</f>
        <v>-147.82608695652175</v>
      </c>
    </row>
    <row r="73" spans="2:6">
      <c r="B73" s="8" t="s">
        <v>19</v>
      </c>
      <c r="C73" s="38" t="s">
        <v>151</v>
      </c>
      <c r="D73" s="73">
        <v>1277</v>
      </c>
      <c r="E73" s="73"/>
    </row>
    <row r="74" spans="2:6">
      <c r="B74" s="7"/>
      <c r="C74" s="38" t="s">
        <v>152</v>
      </c>
      <c r="D74" s="73">
        <v>1359</v>
      </c>
      <c r="E74" s="73">
        <f>MIN(IFERROR(D74-D73,0),0)*100*$C$66/(D73-1800)</f>
        <v>0</v>
      </c>
      <c r="F74" s="18" t="s">
        <v>155</v>
      </c>
    </row>
    <row r="75" spans="2:6">
      <c r="B75" s="7"/>
      <c r="C75" s="38" t="s">
        <v>153</v>
      </c>
      <c r="D75" s="73">
        <v>1537</v>
      </c>
      <c r="E75" s="73">
        <f>(D75-D73)*100*$C$66/(D73-1000)</f>
        <v>2064.9819494584835</v>
      </c>
      <c r="F75" s="18" t="s">
        <v>154</v>
      </c>
    </row>
    <row r="76" spans="2:6">
      <c r="E76" s="73">
        <f>(D75+D74-D73*2)*100*$C$66/(D73-1000)</f>
        <v>2716.2454873646211</v>
      </c>
    </row>
    <row r="78" spans="2:6">
      <c r="B78" s="8" t="s">
        <v>20</v>
      </c>
      <c r="C78" s="38" t="s">
        <v>151</v>
      </c>
      <c r="D78" s="73">
        <v>869</v>
      </c>
      <c r="E78" s="73"/>
    </row>
    <row r="79" spans="2:6">
      <c r="B79" s="7"/>
      <c r="C79" s="38" t="s">
        <v>152</v>
      </c>
      <c r="D79" s="73">
        <v>877</v>
      </c>
      <c r="E79" s="73">
        <f>MIN(IFERROR(D79-D78,0),0)*100*$C$66/(D78-1800)</f>
        <v>0</v>
      </c>
      <c r="F79" s="18" t="s">
        <v>155</v>
      </c>
    </row>
    <row r="80" spans="2:6">
      <c r="B80" s="7"/>
      <c r="C80" s="38" t="s">
        <v>153</v>
      </c>
      <c r="D80" s="73">
        <v>958</v>
      </c>
      <c r="E80" s="73">
        <f>(D80-D78)*100*$C$66/(D78-800)</f>
        <v>2837.68115942029</v>
      </c>
      <c r="F80" s="18" t="s">
        <v>154</v>
      </c>
    </row>
    <row r="81" spans="3:9">
      <c r="E81" s="73">
        <f>(D80+D79-D78*2)*100*$C$66/(D78-800)</f>
        <v>3092.753623188406</v>
      </c>
    </row>
    <row r="82" spans="3:9">
      <c r="C82"/>
      <c r="D82" s="54"/>
      <c r="E82"/>
      <c r="F82"/>
      <c r="I82"/>
    </row>
    <row r="83" spans="3:9">
      <c r="C83"/>
      <c r="D83" s="54"/>
      <c r="E83"/>
      <c r="F83"/>
      <c r="I83"/>
    </row>
  </sheetData>
  <phoneticPr fontId="1" type="noConversion"/>
  <hyperlinks>
    <hyperlink ref="B22" r:id="rId1" display="http://fund.eastmoney.com/270045.html"/>
    <hyperlink ref="B3" r:id="rId2" display="http://fund.eastmoney.com/110028.html"/>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35" sqref="B35"/>
    </sheetView>
  </sheetViews>
  <sheetFormatPr defaultRowHeight="13.5"/>
  <cols>
    <col min="2" max="2" width="185.5" customWidth="1"/>
  </cols>
  <sheetData>
    <row r="5" spans="2:2" ht="14.25">
      <c r="B5" s="34" t="s">
        <v>79</v>
      </c>
    </row>
    <row r="6" spans="2:2">
      <c r="B6" s="63" t="s">
        <v>132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49"/>
  <sheetViews>
    <sheetView topLeftCell="A40" workbookViewId="0">
      <selection activeCell="F46" sqref="F46"/>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147</v>
      </c>
      <c r="E22" s="70" t="s">
        <v>148</v>
      </c>
    </row>
    <row r="23" spans="3:14">
      <c r="E23">
        <f>(4000-3180)/3180</f>
        <v>0.25786163522012578</v>
      </c>
    </row>
    <row r="28" spans="3:14" ht="123" customHeight="1">
      <c r="E28" s="89" t="s">
        <v>91</v>
      </c>
      <c r="F28" s="89"/>
      <c r="G28" s="89"/>
      <c r="H28" s="89"/>
      <c r="I28" s="89"/>
      <c r="J28" s="89"/>
      <c r="K28" s="89"/>
    </row>
    <row r="44" spans="6:7">
      <c r="F44" t="s">
        <v>179</v>
      </c>
    </row>
    <row r="45" spans="6:7">
      <c r="F45" t="s">
        <v>180</v>
      </c>
      <c r="G45" t="s">
        <v>181</v>
      </c>
    </row>
    <row r="46" spans="6:7">
      <c r="F46" t="s">
        <v>182</v>
      </c>
      <c r="G46" t="s">
        <v>183</v>
      </c>
    </row>
    <row r="47" spans="6:7">
      <c r="F47" t="s">
        <v>184</v>
      </c>
      <c r="G47" t="s">
        <v>185</v>
      </c>
    </row>
    <row r="48" spans="6:7">
      <c r="F48" t="s">
        <v>186</v>
      </c>
      <c r="G48" t="s">
        <v>187</v>
      </c>
    </row>
    <row r="49" spans="6:7">
      <c r="F49" t="s">
        <v>188</v>
      </c>
      <c r="G49" t="s">
        <v>189</v>
      </c>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3:S26"/>
  <sheetViews>
    <sheetView workbookViewId="0">
      <selection activeCell="K40" sqref="K40"/>
    </sheetView>
  </sheetViews>
  <sheetFormatPr defaultRowHeight="13.5"/>
  <cols>
    <col min="6" max="7" width="9" style="65"/>
    <col min="8" max="8" width="13.375" customWidth="1"/>
    <col min="9" max="9" width="11.75" customWidth="1"/>
  </cols>
  <sheetData>
    <row r="3" spans="1:19">
      <c r="A3" s="9" t="s">
        <v>21</v>
      </c>
      <c r="B3" s="68">
        <v>510900</v>
      </c>
      <c r="C3" s="7" t="s">
        <v>137</v>
      </c>
      <c r="D3" s="43">
        <v>1.25</v>
      </c>
      <c r="M3" s="66"/>
      <c r="N3" s="7" t="s">
        <v>117</v>
      </c>
      <c r="O3" s="7" t="s">
        <v>120</v>
      </c>
      <c r="P3" s="7" t="s">
        <v>119</v>
      </c>
      <c r="Q3" s="7" t="s">
        <v>115</v>
      </c>
      <c r="R3" s="7" t="s">
        <v>116</v>
      </c>
      <c r="S3" s="13" t="s">
        <v>118</v>
      </c>
    </row>
    <row r="4" spans="1:19">
      <c r="C4" s="7" t="s">
        <v>139</v>
      </c>
      <c r="D4" s="7">
        <v>0.03</v>
      </c>
      <c r="E4" t="s">
        <v>138</v>
      </c>
      <c r="M4" s="66">
        <v>1</v>
      </c>
      <c r="N4" s="7">
        <v>4.9000000000000004</v>
      </c>
      <c r="O4" s="7"/>
      <c r="P4" s="7"/>
      <c r="Q4" s="7"/>
      <c r="R4" s="7"/>
    </row>
    <row r="5" spans="1:19">
      <c r="C5" s="7" t="s">
        <v>140</v>
      </c>
      <c r="D5" s="7">
        <v>0.05</v>
      </c>
      <c r="M5" s="66">
        <v>2</v>
      </c>
      <c r="N5" s="7">
        <v>4.5999999999999996</v>
      </c>
      <c r="O5" s="7"/>
      <c r="P5" s="7"/>
      <c r="R5" s="7"/>
    </row>
    <row r="6" spans="1:19">
      <c r="C6" s="67" t="s">
        <v>145</v>
      </c>
      <c r="D6" s="67">
        <v>0</v>
      </c>
      <c r="M6" s="66">
        <v>3</v>
      </c>
      <c r="N6" s="7">
        <v>4.3</v>
      </c>
      <c r="O6" s="7"/>
      <c r="P6" s="7"/>
      <c r="Q6">
        <v>6500</v>
      </c>
      <c r="R6" s="7"/>
    </row>
    <row r="7" spans="1:19">
      <c r="M7" s="66">
        <v>4</v>
      </c>
      <c r="N7" s="7">
        <v>4</v>
      </c>
      <c r="O7" s="7"/>
      <c r="P7" s="7"/>
      <c r="Q7">
        <v>6000</v>
      </c>
      <c r="R7" s="7"/>
    </row>
    <row r="8" spans="1:19">
      <c r="M8" s="66">
        <v>5</v>
      </c>
      <c r="N8" s="7">
        <v>3.7</v>
      </c>
      <c r="O8" s="7"/>
      <c r="P8" s="7"/>
      <c r="Q8">
        <v>5500</v>
      </c>
      <c r="R8" s="7"/>
    </row>
    <row r="9" spans="1:19">
      <c r="E9" s="7" t="s">
        <v>141</v>
      </c>
      <c r="F9" s="66" t="s">
        <v>142</v>
      </c>
      <c r="G9" s="66" t="s">
        <v>143</v>
      </c>
      <c r="H9" s="7" t="s">
        <v>144</v>
      </c>
      <c r="I9" s="67" t="s">
        <v>146</v>
      </c>
      <c r="M9" s="66">
        <v>6</v>
      </c>
      <c r="N9" s="7">
        <v>3.4</v>
      </c>
      <c r="O9" s="7">
        <v>0</v>
      </c>
      <c r="P9" s="7">
        <v>0</v>
      </c>
      <c r="Q9">
        <v>5000</v>
      </c>
      <c r="R9" s="7"/>
      <c r="S9">
        <f>SUM(P9)</f>
        <v>0</v>
      </c>
    </row>
    <row r="10" spans="1:19">
      <c r="E10" s="7">
        <v>3</v>
      </c>
      <c r="F10" s="66">
        <f>$D$3*(1+E10*$D$4)</f>
        <v>1.3625</v>
      </c>
      <c r="G10" s="66">
        <f>F10*(1+$D$5)</f>
        <v>1.430625</v>
      </c>
      <c r="H10" s="7">
        <v>2000</v>
      </c>
      <c r="I10" s="7">
        <f>SUM($H$10:H10)+$D$6</f>
        <v>2000</v>
      </c>
      <c r="M10" s="66">
        <v>7</v>
      </c>
      <c r="N10" s="7">
        <v>3.1</v>
      </c>
      <c r="O10" s="7">
        <v>4500</v>
      </c>
      <c r="P10" s="7">
        <f t="shared" ref="P10:P17" si="0">N10*O10</f>
        <v>13950</v>
      </c>
      <c r="Q10">
        <v>4500</v>
      </c>
      <c r="R10" s="7">
        <f>SUM(O9:O10)</f>
        <v>4500</v>
      </c>
      <c r="S10">
        <f>SUM(P9:P10)</f>
        <v>13950</v>
      </c>
    </row>
    <row r="11" spans="1:19">
      <c r="E11" s="7">
        <v>2</v>
      </c>
      <c r="F11" s="66">
        <f t="shared" ref="F11:F25" si="1">$D$3*(1+E11*$D$4)</f>
        <v>1.3250000000000002</v>
      </c>
      <c r="G11" s="66">
        <f t="shared" ref="G11:G25" si="2">F11*(1+$D$5)</f>
        <v>1.3912500000000003</v>
      </c>
      <c r="H11" s="7">
        <v>2000</v>
      </c>
      <c r="I11" s="7">
        <f>SUM($H$10:H11)+$D$6</f>
        <v>4000</v>
      </c>
      <c r="M11" s="66">
        <v>8</v>
      </c>
      <c r="N11" s="7">
        <v>2.8</v>
      </c>
      <c r="O11" s="7">
        <v>5000</v>
      </c>
      <c r="P11" s="7">
        <f t="shared" si="0"/>
        <v>14000</v>
      </c>
      <c r="Q11">
        <v>4000</v>
      </c>
      <c r="R11" s="7">
        <f>SUM(O9:O11)</f>
        <v>9500</v>
      </c>
      <c r="S11">
        <f>SUM(P9:P11)</f>
        <v>27950</v>
      </c>
    </row>
    <row r="12" spans="1:19">
      <c r="E12" s="7">
        <v>1</v>
      </c>
      <c r="F12" s="66">
        <f t="shared" si="1"/>
        <v>1.2875000000000001</v>
      </c>
      <c r="G12" s="66">
        <f t="shared" si="2"/>
        <v>1.3518750000000002</v>
      </c>
      <c r="H12" s="7">
        <v>2000</v>
      </c>
      <c r="I12" s="7">
        <f>SUM($H$10:H12)+$D$6</f>
        <v>6000</v>
      </c>
      <c r="M12" s="66">
        <v>9</v>
      </c>
      <c r="N12" s="7">
        <v>2.5</v>
      </c>
      <c r="O12" s="7">
        <v>5500</v>
      </c>
      <c r="P12" s="7">
        <f t="shared" si="0"/>
        <v>13750</v>
      </c>
      <c r="Q12">
        <v>3500</v>
      </c>
      <c r="R12" s="7">
        <f>SUM(O9:O12)</f>
        <v>15000</v>
      </c>
      <c r="S12">
        <f>SUM(P9:P12)</f>
        <v>41700</v>
      </c>
    </row>
    <row r="13" spans="1:19">
      <c r="E13" s="7">
        <v>0</v>
      </c>
      <c r="F13" s="66">
        <f t="shared" si="1"/>
        <v>1.25</v>
      </c>
      <c r="G13" s="66">
        <f t="shared" si="2"/>
        <v>1.3125</v>
      </c>
      <c r="H13" s="7">
        <v>2000</v>
      </c>
      <c r="I13" s="7">
        <f>SUM($H$10:H13)+$D$6</f>
        <v>8000</v>
      </c>
      <c r="M13" s="66">
        <v>10</v>
      </c>
      <c r="N13" s="7">
        <v>2.2000000000000002</v>
      </c>
      <c r="O13" s="7">
        <v>6000</v>
      </c>
      <c r="P13" s="7">
        <f t="shared" si="0"/>
        <v>13200.000000000002</v>
      </c>
      <c r="Q13">
        <v>3000</v>
      </c>
      <c r="R13" s="7">
        <f>SUM(O9:O13)</f>
        <v>21000</v>
      </c>
      <c r="S13">
        <f>SUM(P9:P13)</f>
        <v>54900</v>
      </c>
    </row>
    <row r="14" spans="1:19">
      <c r="E14" s="7">
        <v>-1</v>
      </c>
      <c r="F14" s="66">
        <f t="shared" si="1"/>
        <v>1.2124999999999999</v>
      </c>
      <c r="G14" s="66">
        <f t="shared" si="2"/>
        <v>1.2731250000000001</v>
      </c>
      <c r="H14" s="7">
        <v>2000</v>
      </c>
      <c r="I14" s="7">
        <f>SUM($H$10:H14)+$D$6</f>
        <v>10000</v>
      </c>
      <c r="M14" s="66">
        <v>11</v>
      </c>
      <c r="N14" s="7">
        <v>1.9</v>
      </c>
      <c r="O14" s="7">
        <v>6500</v>
      </c>
      <c r="P14" s="7">
        <f t="shared" si="0"/>
        <v>12350</v>
      </c>
      <c r="Q14">
        <v>2500</v>
      </c>
      <c r="R14" s="7">
        <f>SUM(O9:O14)</f>
        <v>27500</v>
      </c>
    </row>
    <row r="15" spans="1:19">
      <c r="E15" s="7">
        <v>-2</v>
      </c>
      <c r="F15" s="66">
        <f t="shared" si="1"/>
        <v>1.1749999999999998</v>
      </c>
      <c r="G15" s="66">
        <f t="shared" si="2"/>
        <v>1.2337499999999999</v>
      </c>
      <c r="H15" s="7">
        <v>3000</v>
      </c>
      <c r="I15" s="7">
        <f>SUM($H$10:H15)+$D$6</f>
        <v>13000</v>
      </c>
      <c r="M15" s="66">
        <v>12</v>
      </c>
      <c r="N15" s="7">
        <v>1.6</v>
      </c>
      <c r="O15" s="7">
        <v>7000</v>
      </c>
      <c r="P15" s="7">
        <f t="shared" si="0"/>
        <v>11200</v>
      </c>
      <c r="Q15">
        <v>2000</v>
      </c>
      <c r="R15" s="7">
        <f>SUM(O9:O15)</f>
        <v>34500</v>
      </c>
    </row>
    <row r="16" spans="1:19">
      <c r="E16" s="7">
        <v>-3</v>
      </c>
      <c r="F16" s="66">
        <f t="shared" si="1"/>
        <v>1.1375</v>
      </c>
      <c r="G16" s="66">
        <f t="shared" si="2"/>
        <v>1.194375</v>
      </c>
      <c r="H16" s="7">
        <v>3000</v>
      </c>
      <c r="I16" s="7">
        <f>SUM($H$10:H16)+$D$6</f>
        <v>16000</v>
      </c>
      <c r="M16" s="66">
        <v>13</v>
      </c>
      <c r="N16" s="7">
        <v>1.3</v>
      </c>
      <c r="O16" s="7">
        <v>7500</v>
      </c>
      <c r="P16" s="7">
        <f t="shared" si="0"/>
        <v>9750</v>
      </c>
      <c r="R16" s="7">
        <f>SUM(O9:O16)</f>
        <v>42000</v>
      </c>
    </row>
    <row r="17" spans="5:19">
      <c r="E17" s="7">
        <v>-4</v>
      </c>
      <c r="F17" s="66">
        <f t="shared" si="1"/>
        <v>1.1000000000000001</v>
      </c>
      <c r="G17" s="66">
        <f t="shared" si="2"/>
        <v>1.1550000000000002</v>
      </c>
      <c r="H17" s="7">
        <v>3000</v>
      </c>
      <c r="I17" s="7">
        <f>SUM($H$10:H17)+$D$6</f>
        <v>19000</v>
      </c>
      <c r="M17" s="66">
        <v>14</v>
      </c>
      <c r="N17" s="7">
        <v>1</v>
      </c>
      <c r="O17" s="7">
        <v>8000</v>
      </c>
      <c r="P17" s="7">
        <f t="shared" si="0"/>
        <v>8000</v>
      </c>
      <c r="R17" s="7">
        <f>SUM(O9:O17)</f>
        <v>50000</v>
      </c>
      <c r="S17">
        <f>SUM(P9:P17)</f>
        <v>96200</v>
      </c>
    </row>
    <row r="18" spans="5:19">
      <c r="E18" s="7">
        <v>-5</v>
      </c>
      <c r="F18" s="66">
        <f t="shared" si="1"/>
        <v>1.0625</v>
      </c>
      <c r="G18" s="66">
        <f t="shared" si="2"/>
        <v>1.1156250000000001</v>
      </c>
      <c r="H18" s="7">
        <v>4000</v>
      </c>
      <c r="I18" s="7">
        <f>SUM($H$10:H18)+$D$6</f>
        <v>23000</v>
      </c>
      <c r="M18" s="66">
        <v>15</v>
      </c>
      <c r="N18" s="7">
        <v>0.7</v>
      </c>
      <c r="O18" s="7"/>
      <c r="P18" s="7"/>
      <c r="Q18" s="7"/>
      <c r="R18" s="7"/>
    </row>
    <row r="19" spans="5:19">
      <c r="E19" s="7">
        <v>-6</v>
      </c>
      <c r="F19" s="66">
        <f t="shared" si="1"/>
        <v>1.0250000000000001</v>
      </c>
      <c r="G19" s="66">
        <f t="shared" si="2"/>
        <v>1.0762500000000002</v>
      </c>
      <c r="H19" s="7">
        <v>4000</v>
      </c>
      <c r="I19" s="7">
        <f>SUM($H$10:H19)+$D$6</f>
        <v>27000</v>
      </c>
    </row>
    <row r="20" spans="5:19">
      <c r="E20" s="7">
        <v>-7</v>
      </c>
      <c r="F20" s="66">
        <f t="shared" si="1"/>
        <v>0.98750000000000004</v>
      </c>
      <c r="G20" s="66">
        <f t="shared" si="2"/>
        <v>1.036875</v>
      </c>
      <c r="H20" s="7">
        <v>4000</v>
      </c>
      <c r="I20" s="7">
        <f>SUM($H$10:H20)+$D$6</f>
        <v>31000</v>
      </c>
    </row>
    <row r="21" spans="5:19">
      <c r="E21" s="7">
        <v>-8</v>
      </c>
      <c r="F21" s="66">
        <f t="shared" si="1"/>
        <v>0.95</v>
      </c>
      <c r="G21" s="66">
        <f t="shared" si="2"/>
        <v>0.99749999999999994</v>
      </c>
      <c r="H21" s="7">
        <v>4000</v>
      </c>
      <c r="I21" s="7">
        <f>SUM($H$10:H21)+$D$6</f>
        <v>35000</v>
      </c>
    </row>
    <row r="22" spans="5:19">
      <c r="E22" s="7">
        <v>-9</v>
      </c>
      <c r="F22" s="66">
        <f t="shared" si="1"/>
        <v>0.91249999999999998</v>
      </c>
      <c r="G22" s="66">
        <f t="shared" si="2"/>
        <v>0.958125</v>
      </c>
      <c r="H22" s="7">
        <v>4000</v>
      </c>
      <c r="I22" s="7">
        <f>SUM($H$10:H22)+$D$6</f>
        <v>39000</v>
      </c>
    </row>
    <row r="23" spans="5:19">
      <c r="E23" s="7">
        <v>-10</v>
      </c>
      <c r="F23" s="66">
        <f t="shared" si="1"/>
        <v>0.875</v>
      </c>
      <c r="G23" s="66">
        <f t="shared" si="2"/>
        <v>0.91875000000000007</v>
      </c>
      <c r="H23" s="7">
        <v>5000</v>
      </c>
      <c r="I23" s="7">
        <f>SUM($H$10:H23)+$D$6</f>
        <v>44000</v>
      </c>
    </row>
    <row r="24" spans="5:19">
      <c r="E24" s="7">
        <v>-11</v>
      </c>
      <c r="F24" s="66">
        <f t="shared" si="1"/>
        <v>0.83750000000000002</v>
      </c>
      <c r="G24" s="66">
        <f t="shared" si="2"/>
        <v>0.87937500000000002</v>
      </c>
      <c r="H24" s="7">
        <v>5000</v>
      </c>
      <c r="I24" s="7">
        <f>SUM($H$10:H24)+$D$6</f>
        <v>49000</v>
      </c>
    </row>
    <row r="25" spans="5:19">
      <c r="E25" s="67">
        <v>-12</v>
      </c>
      <c r="F25" s="66">
        <f t="shared" si="1"/>
        <v>0.8</v>
      </c>
      <c r="G25" s="66">
        <f t="shared" si="2"/>
        <v>0.84000000000000008</v>
      </c>
      <c r="H25" s="7">
        <v>5000</v>
      </c>
      <c r="I25" s="7">
        <f>SUM($H$10:H25)+$D$6</f>
        <v>54000</v>
      </c>
    </row>
    <row r="26" spans="5:19">
      <c r="H26">
        <f>SUM(H10:H25)</f>
        <v>54000</v>
      </c>
    </row>
  </sheetData>
  <sortState ref="Q36:Q43">
    <sortCondition ref="Q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3:J42"/>
  <sheetViews>
    <sheetView tabSelected="1" topLeftCell="A7" workbookViewId="0">
      <selection activeCell="E34" sqref="E34:E35"/>
    </sheetView>
  </sheetViews>
  <sheetFormatPr defaultRowHeight="13.5"/>
  <cols>
    <col min="6" max="6" width="9.5" style="65" bestFit="1" customWidth="1"/>
    <col min="7" max="7" width="9" style="65"/>
    <col min="8" max="8" width="13.375" customWidth="1"/>
    <col min="9" max="9" width="11.75" customWidth="1"/>
    <col min="10" max="10" width="10.125" style="77" customWidth="1"/>
  </cols>
  <sheetData>
    <row r="3" spans="1:10">
      <c r="A3" s="9" t="s">
        <v>21</v>
      </c>
      <c r="B3" s="68">
        <v>510900</v>
      </c>
      <c r="C3" s="7" t="s">
        <v>137</v>
      </c>
      <c r="D3" s="43">
        <v>2.5</v>
      </c>
    </row>
    <row r="4" spans="1:10">
      <c r="C4" s="7" t="s">
        <v>139</v>
      </c>
      <c r="D4" s="7">
        <v>0.03</v>
      </c>
      <c r="E4" t="s">
        <v>138</v>
      </c>
    </row>
    <row r="5" spans="1:10">
      <c r="C5" s="7" t="s">
        <v>140</v>
      </c>
      <c r="D5" s="7">
        <v>0.05</v>
      </c>
    </row>
    <row r="6" spans="1:10">
      <c r="C6" s="67" t="s">
        <v>145</v>
      </c>
      <c r="D6" s="67">
        <v>0</v>
      </c>
    </row>
    <row r="9" spans="1:10">
      <c r="E9" s="7" t="s">
        <v>141</v>
      </c>
      <c r="F9" s="66" t="s">
        <v>142</v>
      </c>
      <c r="G9" s="66" t="s">
        <v>143</v>
      </c>
      <c r="H9" s="7" t="s">
        <v>144</v>
      </c>
      <c r="I9" s="67" t="s">
        <v>177</v>
      </c>
      <c r="J9" s="78" t="s">
        <v>178</v>
      </c>
    </row>
    <row r="10" spans="1:10">
      <c r="E10" s="7">
        <v>3</v>
      </c>
      <c r="F10" s="66">
        <f>$D$3*(1+E10*$D$4)</f>
        <v>2.7250000000000001</v>
      </c>
      <c r="G10" s="66">
        <f>F10*(1+$D$5)</f>
        <v>2.8612500000000001</v>
      </c>
      <c r="H10" s="7">
        <v>2500</v>
      </c>
      <c r="I10" s="7">
        <f>SUM($H$10:H10)+$D$6</f>
        <v>2500</v>
      </c>
      <c r="J10" s="77">
        <f>INT(H10/(F10*100))*100</f>
        <v>900</v>
      </c>
    </row>
    <row r="11" spans="1:10">
      <c r="E11" s="7">
        <v>2</v>
      </c>
      <c r="F11" s="66">
        <f t="shared" ref="F11:F25" si="0">$D$3*(1+E11*$D$4)</f>
        <v>2.6500000000000004</v>
      </c>
      <c r="G11" s="66">
        <f t="shared" ref="G11:G25" si="1">F11*(1+$D$5)</f>
        <v>2.7825000000000006</v>
      </c>
      <c r="H11" s="7">
        <v>2500</v>
      </c>
      <c r="I11" s="7">
        <f>SUM($H$10:H11)+$D$6</f>
        <v>5000</v>
      </c>
      <c r="J11" s="77">
        <f t="shared" ref="J11:J25" si="2">INT(H11/(F11*100))*100</f>
        <v>900</v>
      </c>
    </row>
    <row r="12" spans="1:10">
      <c r="E12" s="7">
        <v>1</v>
      </c>
      <c r="F12" s="66">
        <f t="shared" si="0"/>
        <v>2.5750000000000002</v>
      </c>
      <c r="G12" s="66">
        <f t="shared" si="1"/>
        <v>2.7037500000000003</v>
      </c>
      <c r="H12" s="7">
        <v>2500</v>
      </c>
      <c r="I12" s="7">
        <f>SUM($H$10:H12)+$D$6</f>
        <v>7500</v>
      </c>
      <c r="J12" s="77">
        <f t="shared" si="2"/>
        <v>900</v>
      </c>
    </row>
    <row r="13" spans="1:10">
      <c r="E13" s="7">
        <v>0</v>
      </c>
      <c r="F13" s="66">
        <f t="shared" si="0"/>
        <v>2.5</v>
      </c>
      <c r="G13" s="66">
        <f t="shared" si="1"/>
        <v>2.625</v>
      </c>
      <c r="H13" s="7">
        <v>2500</v>
      </c>
      <c r="I13" s="7">
        <f>SUM($H$10:H13)+$D$6</f>
        <v>10000</v>
      </c>
      <c r="J13" s="77">
        <f t="shared" si="2"/>
        <v>1000</v>
      </c>
    </row>
    <row r="14" spans="1:10">
      <c r="E14" s="7">
        <v>-1</v>
      </c>
      <c r="F14" s="66">
        <f t="shared" si="0"/>
        <v>2.4249999999999998</v>
      </c>
      <c r="G14" s="66">
        <f t="shared" si="1"/>
        <v>2.5462500000000001</v>
      </c>
      <c r="H14" s="7">
        <v>2500</v>
      </c>
      <c r="I14" s="7">
        <f>SUM($H$10:H14)+$D$6</f>
        <v>12500</v>
      </c>
      <c r="J14" s="77">
        <f t="shared" si="2"/>
        <v>1000</v>
      </c>
    </row>
    <row r="15" spans="1:10">
      <c r="E15" s="7">
        <v>-2</v>
      </c>
      <c r="F15" s="66">
        <f t="shared" si="0"/>
        <v>2.3499999999999996</v>
      </c>
      <c r="G15" s="66">
        <f t="shared" si="1"/>
        <v>2.4674999999999998</v>
      </c>
      <c r="H15" s="7">
        <v>3000</v>
      </c>
      <c r="I15" s="7">
        <f>SUM($H$10:H15)+$D$6</f>
        <v>15500</v>
      </c>
      <c r="J15" s="77">
        <f t="shared" si="2"/>
        <v>1200</v>
      </c>
    </row>
    <row r="16" spans="1:10">
      <c r="E16" s="7">
        <v>-3</v>
      </c>
      <c r="F16" s="66">
        <f t="shared" si="0"/>
        <v>2.2749999999999999</v>
      </c>
      <c r="G16" s="66">
        <f t="shared" si="1"/>
        <v>2.3887499999999999</v>
      </c>
      <c r="H16" s="7">
        <v>3000</v>
      </c>
      <c r="I16" s="7">
        <f>SUM($H$10:H16)+$D$6</f>
        <v>18500</v>
      </c>
      <c r="J16" s="77">
        <f t="shared" si="2"/>
        <v>1300</v>
      </c>
    </row>
    <row r="17" spans="5:10">
      <c r="E17" s="7">
        <v>-4</v>
      </c>
      <c r="F17" s="66">
        <f t="shared" si="0"/>
        <v>2.2000000000000002</v>
      </c>
      <c r="G17" s="66">
        <f t="shared" si="1"/>
        <v>2.3100000000000005</v>
      </c>
      <c r="H17" s="7">
        <v>3000</v>
      </c>
      <c r="I17" s="7">
        <f>SUM($H$10:H17)+$D$6</f>
        <v>21500</v>
      </c>
      <c r="J17" s="77">
        <f t="shared" si="2"/>
        <v>1300</v>
      </c>
    </row>
    <row r="18" spans="5:10">
      <c r="E18" s="7">
        <v>-5</v>
      </c>
      <c r="F18" s="66">
        <f t="shared" si="0"/>
        <v>2.125</v>
      </c>
      <c r="G18" s="66">
        <f t="shared" si="1"/>
        <v>2.2312500000000002</v>
      </c>
      <c r="H18" s="7">
        <v>4000</v>
      </c>
      <c r="I18" s="7">
        <f>SUM($H$10:H18)+$D$6</f>
        <v>25500</v>
      </c>
      <c r="J18" s="77">
        <f t="shared" si="2"/>
        <v>1800</v>
      </c>
    </row>
    <row r="19" spans="5:10">
      <c r="E19" s="7">
        <v>-6</v>
      </c>
      <c r="F19" s="66">
        <f t="shared" si="0"/>
        <v>2.0500000000000003</v>
      </c>
      <c r="G19" s="66">
        <f t="shared" si="1"/>
        <v>2.1525000000000003</v>
      </c>
      <c r="H19" s="7">
        <v>4000</v>
      </c>
      <c r="I19" s="7">
        <f>SUM($H$10:H19)+$D$6</f>
        <v>29500</v>
      </c>
      <c r="J19" s="77">
        <f t="shared" si="2"/>
        <v>1900</v>
      </c>
    </row>
    <row r="20" spans="5:10">
      <c r="E20" s="7">
        <v>-7</v>
      </c>
      <c r="F20" s="66">
        <f t="shared" si="0"/>
        <v>1.9750000000000001</v>
      </c>
      <c r="G20" s="66">
        <f t="shared" si="1"/>
        <v>2.07375</v>
      </c>
      <c r="H20" s="7">
        <v>4000</v>
      </c>
      <c r="I20" s="7">
        <f>SUM($H$10:H20)+$D$6</f>
        <v>33500</v>
      </c>
      <c r="J20" s="77">
        <f t="shared" si="2"/>
        <v>2000</v>
      </c>
    </row>
    <row r="21" spans="5:10">
      <c r="E21" s="7">
        <v>-8</v>
      </c>
      <c r="F21" s="66">
        <f t="shared" si="0"/>
        <v>1.9</v>
      </c>
      <c r="G21" s="66">
        <f t="shared" si="1"/>
        <v>1.9949999999999999</v>
      </c>
      <c r="H21" s="7">
        <v>4000</v>
      </c>
      <c r="I21" s="7">
        <f>SUM($H$10:H21)+$D$6</f>
        <v>37500</v>
      </c>
      <c r="J21" s="77">
        <f t="shared" si="2"/>
        <v>2100</v>
      </c>
    </row>
    <row r="22" spans="5:10">
      <c r="E22" s="7">
        <v>-9</v>
      </c>
      <c r="F22" s="66">
        <f t="shared" si="0"/>
        <v>1.825</v>
      </c>
      <c r="G22" s="66">
        <f t="shared" si="1"/>
        <v>1.91625</v>
      </c>
      <c r="H22" s="7">
        <v>4000</v>
      </c>
      <c r="I22" s="7">
        <f>SUM($H$10:H22)+$D$6</f>
        <v>41500</v>
      </c>
      <c r="J22" s="77">
        <f t="shared" si="2"/>
        <v>2100</v>
      </c>
    </row>
    <row r="23" spans="5:10">
      <c r="E23" s="7">
        <v>-10</v>
      </c>
      <c r="F23" s="66">
        <f t="shared" si="0"/>
        <v>1.75</v>
      </c>
      <c r="G23" s="66">
        <f t="shared" si="1"/>
        <v>1.8375000000000001</v>
      </c>
      <c r="H23" s="7">
        <v>5000</v>
      </c>
      <c r="I23" s="7">
        <f>SUM($H$10:H23)+$D$6</f>
        <v>46500</v>
      </c>
      <c r="J23" s="77">
        <f t="shared" si="2"/>
        <v>2800</v>
      </c>
    </row>
    <row r="24" spans="5:10">
      <c r="E24" s="7">
        <v>-11</v>
      </c>
      <c r="F24" s="66">
        <f t="shared" si="0"/>
        <v>1.675</v>
      </c>
      <c r="G24" s="66">
        <f t="shared" si="1"/>
        <v>1.75875</v>
      </c>
      <c r="H24" s="7">
        <v>5000</v>
      </c>
      <c r="I24" s="7">
        <f>SUM($H$10:H24)+$D$6</f>
        <v>51500</v>
      </c>
      <c r="J24" s="77">
        <f t="shared" si="2"/>
        <v>2900</v>
      </c>
    </row>
    <row r="25" spans="5:10">
      <c r="E25" s="67">
        <v>-12</v>
      </c>
      <c r="F25" s="66">
        <f t="shared" si="0"/>
        <v>1.6</v>
      </c>
      <c r="G25" s="66">
        <f t="shared" si="1"/>
        <v>1.6800000000000002</v>
      </c>
      <c r="H25" s="7">
        <v>5000</v>
      </c>
      <c r="I25" s="7">
        <f>SUM($H$10:H25)+$D$6</f>
        <v>56500</v>
      </c>
      <c r="J25" s="77">
        <f t="shared" si="2"/>
        <v>3100</v>
      </c>
    </row>
    <row r="26" spans="5:10">
      <c r="H26">
        <f>SUM(H10:H25)</f>
        <v>56500</v>
      </c>
    </row>
    <row r="34" spans="1:10">
      <c r="E34" s="7">
        <v>1</v>
      </c>
      <c r="F34" s="66">
        <v>2.5</v>
      </c>
      <c r="G34" s="66">
        <f t="shared" ref="G34:G42" si="3">F34*(1+$D$5)</f>
        <v>2.625</v>
      </c>
      <c r="H34" s="7">
        <v>3000</v>
      </c>
      <c r="I34" s="7">
        <f>SUM(G$10:$H35)+$D$6</f>
        <v>120041.73750000002</v>
      </c>
      <c r="J34" s="77">
        <f t="shared" ref="J34:J42" si="4">INT(H34/(F34*100))*100</f>
        <v>1200</v>
      </c>
    </row>
    <row r="35" spans="1:10">
      <c r="E35" s="7">
        <v>2</v>
      </c>
      <c r="F35" s="66">
        <f t="shared" ref="F35:F42" si="5">$D$3*(1+E35*$D$4)</f>
        <v>2.6500000000000004</v>
      </c>
      <c r="G35" s="66">
        <f t="shared" si="3"/>
        <v>2.7825000000000006</v>
      </c>
      <c r="H35" s="7">
        <v>4000</v>
      </c>
      <c r="I35" s="7">
        <f>SUM(G$10:$H36)+$D$6</f>
        <v>124043.89000000001</v>
      </c>
      <c r="J35" s="77">
        <f t="shared" si="4"/>
        <v>1500</v>
      </c>
    </row>
    <row r="36" spans="1:10">
      <c r="A36" s="66"/>
      <c r="B36" s="66"/>
      <c r="E36" s="7">
        <v>-6</v>
      </c>
      <c r="F36" s="66">
        <f t="shared" si="5"/>
        <v>2.0500000000000003</v>
      </c>
      <c r="G36" s="66">
        <f t="shared" si="3"/>
        <v>2.1525000000000003</v>
      </c>
      <c r="H36" s="7">
        <v>4000</v>
      </c>
      <c r="I36" s="7">
        <f>SUM(G$10:$H37)+$D$6</f>
        <v>128045.96375000001</v>
      </c>
      <c r="J36" s="77">
        <f t="shared" si="4"/>
        <v>1900</v>
      </c>
    </row>
    <row r="37" spans="1:10">
      <c r="E37" s="7">
        <v>-7</v>
      </c>
      <c r="F37" s="66">
        <f t="shared" si="5"/>
        <v>1.9750000000000001</v>
      </c>
      <c r="G37" s="66">
        <f t="shared" si="3"/>
        <v>2.07375</v>
      </c>
      <c r="H37" s="7">
        <v>4000</v>
      </c>
      <c r="I37" s="7">
        <f>SUM(G$10:$H38)+$D$6</f>
        <v>132047.95874999999</v>
      </c>
      <c r="J37" s="77">
        <f t="shared" si="4"/>
        <v>2000</v>
      </c>
    </row>
    <row r="38" spans="1:10">
      <c r="E38" s="7">
        <v>-8</v>
      </c>
      <c r="F38" s="66">
        <f t="shared" si="5"/>
        <v>1.9</v>
      </c>
      <c r="G38" s="66">
        <f t="shared" si="3"/>
        <v>1.9949999999999999</v>
      </c>
      <c r="H38" s="7">
        <v>4000</v>
      </c>
      <c r="I38" s="7">
        <f>SUM(G$10:$H39)+$D$6</f>
        <v>136049.875</v>
      </c>
      <c r="J38" s="77">
        <f t="shared" si="4"/>
        <v>2100</v>
      </c>
    </row>
    <row r="39" spans="1:10">
      <c r="E39" s="7">
        <v>-9</v>
      </c>
      <c r="F39" s="66">
        <f t="shared" si="5"/>
        <v>1.825</v>
      </c>
      <c r="G39" s="66">
        <f t="shared" si="3"/>
        <v>1.91625</v>
      </c>
      <c r="H39" s="7">
        <v>4000</v>
      </c>
      <c r="I39" s="7">
        <f>SUM(G$10:$H40)+$D$6</f>
        <v>141051.71249999999</v>
      </c>
      <c r="J39" s="77">
        <f t="shared" si="4"/>
        <v>2100</v>
      </c>
    </row>
    <row r="40" spans="1:10">
      <c r="E40" s="7">
        <v>-10</v>
      </c>
      <c r="F40" s="66">
        <f t="shared" si="5"/>
        <v>1.75</v>
      </c>
      <c r="G40" s="66">
        <f t="shared" si="3"/>
        <v>1.8375000000000001</v>
      </c>
      <c r="H40" s="7">
        <v>5000</v>
      </c>
      <c r="I40" s="7">
        <f>SUM(G$10:$H41)+$D$6</f>
        <v>146053.47125</v>
      </c>
      <c r="J40" s="77">
        <f t="shared" si="4"/>
        <v>2800</v>
      </c>
    </row>
    <row r="41" spans="1:10">
      <c r="E41" s="7">
        <v>-11</v>
      </c>
      <c r="F41" s="66">
        <f t="shared" si="5"/>
        <v>1.675</v>
      </c>
      <c r="G41" s="66">
        <f t="shared" si="3"/>
        <v>1.75875</v>
      </c>
      <c r="H41" s="7">
        <v>5000</v>
      </c>
      <c r="I41" s="7">
        <f>SUM(G$10:$H42)+$D$6</f>
        <v>151055.15125</v>
      </c>
      <c r="J41" s="77">
        <f t="shared" si="4"/>
        <v>2900</v>
      </c>
    </row>
    <row r="42" spans="1:10">
      <c r="E42" s="67">
        <v>-12</v>
      </c>
      <c r="F42" s="66">
        <f t="shared" si="5"/>
        <v>1.6</v>
      </c>
      <c r="G42" s="66">
        <f t="shared" si="3"/>
        <v>1.6800000000000002</v>
      </c>
      <c r="H42" s="7">
        <v>5000</v>
      </c>
      <c r="I42" s="7">
        <f>SUM(G$10:$H43)+$D$6</f>
        <v>151055.15125</v>
      </c>
      <c r="J42" s="77">
        <f t="shared" si="4"/>
        <v>3100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dimension ref="A1:O43"/>
  <sheetViews>
    <sheetView topLeftCell="A12" workbookViewId="0">
      <selection activeCell="E30" sqref="E30"/>
    </sheetView>
  </sheetViews>
  <sheetFormatPr defaultRowHeight="13.5"/>
  <cols>
    <col min="1" max="1" width="10.5" bestFit="1" customWidth="1"/>
    <col min="2" max="2" width="10.5" style="72" customWidth="1"/>
    <col min="3" max="3" width="10.5" style="45" customWidth="1"/>
    <col min="5" max="5" width="16.125" customWidth="1"/>
  </cols>
  <sheetData>
    <row r="1" spans="1:15">
      <c r="B1" s="71" t="s">
        <v>151</v>
      </c>
      <c r="C1" s="71" t="s">
        <v>149</v>
      </c>
      <c r="E1" s="45" t="s">
        <v>150</v>
      </c>
    </row>
    <row r="2" spans="1:15">
      <c r="A2" s="14">
        <v>43486</v>
      </c>
      <c r="B2" s="72">
        <v>3182</v>
      </c>
      <c r="C2" s="45">
        <v>3565</v>
      </c>
      <c r="D2" s="45">
        <f t="shared" ref="D2:D13" si="0">(C2-B2)</f>
        <v>383</v>
      </c>
      <c r="E2" s="45">
        <f t="shared" ref="E2:E30" si="1">(D2)*100/(B2-807)*4</f>
        <v>64.505263157894731</v>
      </c>
    </row>
    <row r="3" spans="1:15">
      <c r="A3" s="14">
        <v>43487</v>
      </c>
      <c r="B3" s="72">
        <v>3147</v>
      </c>
      <c r="C3" s="45">
        <v>3556</v>
      </c>
      <c r="D3" s="45">
        <f t="shared" si="0"/>
        <v>409</v>
      </c>
      <c r="E3" s="45">
        <f t="shared" si="1"/>
        <v>69.914529914529908</v>
      </c>
    </row>
    <row r="4" spans="1:15">
      <c r="A4" s="14">
        <v>43488</v>
      </c>
      <c r="B4" s="72">
        <v>3149</v>
      </c>
      <c r="C4" s="45">
        <v>3552</v>
      </c>
      <c r="D4" s="45">
        <f t="shared" si="0"/>
        <v>403</v>
      </c>
      <c r="E4" s="45">
        <f t="shared" si="1"/>
        <v>68.830059777967548</v>
      </c>
    </row>
    <row r="5" spans="1:15">
      <c r="A5" s="14">
        <v>43489</v>
      </c>
      <c r="B5" s="72">
        <v>3154</v>
      </c>
      <c r="C5" s="45">
        <v>3548</v>
      </c>
      <c r="D5" s="45">
        <f t="shared" si="0"/>
        <v>394</v>
      </c>
      <c r="E5" s="45">
        <f t="shared" si="1"/>
        <v>67.149552620366421</v>
      </c>
    </row>
    <row r="6" spans="1:15">
      <c r="A6" s="14">
        <v>43490</v>
      </c>
      <c r="B6" s="72">
        <v>3161</v>
      </c>
      <c r="C6" s="45">
        <v>3544</v>
      </c>
      <c r="D6" s="45">
        <f t="shared" si="0"/>
        <v>383</v>
      </c>
      <c r="E6" s="45">
        <f t="shared" si="1"/>
        <v>65.080713678844518</v>
      </c>
    </row>
    <row r="7" spans="1:15">
      <c r="A7" s="14">
        <v>43491</v>
      </c>
      <c r="D7" s="45">
        <f t="shared" si="0"/>
        <v>0</v>
      </c>
      <c r="E7" s="45">
        <f t="shared" si="1"/>
        <v>0</v>
      </c>
    </row>
    <row r="8" spans="1:15">
      <c r="A8" s="14">
        <v>43492</v>
      </c>
      <c r="D8" s="45">
        <f t="shared" si="0"/>
        <v>0</v>
      </c>
      <c r="E8" s="45">
        <f t="shared" si="1"/>
        <v>0</v>
      </c>
    </row>
    <row r="9" spans="1:15">
      <c r="A9" s="14">
        <v>43493</v>
      </c>
      <c r="B9" s="72">
        <v>3169</v>
      </c>
      <c r="C9" s="45">
        <v>3539</v>
      </c>
      <c r="D9" s="45">
        <f t="shared" si="0"/>
        <v>370</v>
      </c>
      <c r="E9" s="45">
        <f t="shared" si="1"/>
        <v>62.658763759525826</v>
      </c>
    </row>
    <row r="10" spans="1:15">
      <c r="A10" s="14">
        <v>43494</v>
      </c>
      <c r="B10" s="72">
        <v>3169</v>
      </c>
      <c r="C10" s="45">
        <v>3535</v>
      </c>
      <c r="D10" s="45">
        <f t="shared" si="0"/>
        <v>366</v>
      </c>
      <c r="E10" s="45">
        <f t="shared" si="1"/>
        <v>61.981371718882301</v>
      </c>
    </row>
    <row r="11" spans="1:15">
      <c r="A11" s="14">
        <v>43495</v>
      </c>
      <c r="B11" s="72">
        <v>3179</v>
      </c>
      <c r="C11" s="45">
        <v>3531</v>
      </c>
      <c r="D11" s="45">
        <f t="shared" si="0"/>
        <v>352</v>
      </c>
      <c r="E11" s="45">
        <f t="shared" si="1"/>
        <v>59.359190556492415</v>
      </c>
    </row>
    <row r="12" spans="1:15">
      <c r="A12" s="14">
        <v>43496</v>
      </c>
      <c r="B12" s="72">
        <v>3183</v>
      </c>
      <c r="C12" s="45">
        <v>3526</v>
      </c>
      <c r="D12" s="45">
        <f t="shared" si="0"/>
        <v>343</v>
      </c>
      <c r="E12" s="45">
        <f t="shared" si="1"/>
        <v>57.744107744107744</v>
      </c>
    </row>
    <row r="13" spans="1:15">
      <c r="A13" s="14">
        <v>43497</v>
      </c>
      <c r="B13" s="72">
        <v>3192</v>
      </c>
      <c r="C13" s="45">
        <v>3521</v>
      </c>
      <c r="D13" s="45">
        <f t="shared" si="0"/>
        <v>329</v>
      </c>
      <c r="E13" s="45">
        <f t="shared" si="1"/>
        <v>55.178197064989519</v>
      </c>
    </row>
    <row r="14" spans="1:15">
      <c r="A14" s="14">
        <v>43498</v>
      </c>
      <c r="D14" s="45"/>
      <c r="E14" s="45">
        <f t="shared" si="1"/>
        <v>0</v>
      </c>
      <c r="O14" s="45">
        <f>SUM(E2:E26)</f>
        <v>789.7866542528011</v>
      </c>
    </row>
    <row r="15" spans="1:15">
      <c r="A15" s="14">
        <v>43499</v>
      </c>
      <c r="D15" s="45"/>
      <c r="E15" s="45">
        <f t="shared" si="1"/>
        <v>0</v>
      </c>
    </row>
    <row r="16" spans="1:15">
      <c r="A16" s="14">
        <v>43500</v>
      </c>
      <c r="D16" s="45"/>
      <c r="E16" s="45">
        <f t="shared" si="1"/>
        <v>0</v>
      </c>
    </row>
    <row r="17" spans="1:5">
      <c r="A17" s="14">
        <v>43501</v>
      </c>
      <c r="D17" s="45"/>
      <c r="E17" s="45">
        <f t="shared" si="1"/>
        <v>0</v>
      </c>
    </row>
    <row r="18" spans="1:5">
      <c r="A18" s="14">
        <v>43502</v>
      </c>
      <c r="D18" s="45"/>
      <c r="E18" s="45">
        <f t="shared" si="1"/>
        <v>0</v>
      </c>
    </row>
    <row r="19" spans="1:5">
      <c r="A19" s="14">
        <v>43503</v>
      </c>
      <c r="D19" s="45"/>
      <c r="E19" s="45">
        <f t="shared" si="1"/>
        <v>0</v>
      </c>
    </row>
    <row r="20" spans="1:5">
      <c r="A20" s="14">
        <v>43504</v>
      </c>
      <c r="D20" s="45"/>
      <c r="E20" s="45">
        <f t="shared" si="1"/>
        <v>0</v>
      </c>
    </row>
    <row r="21" spans="1:5">
      <c r="A21" s="14">
        <v>43505</v>
      </c>
      <c r="D21" s="45"/>
      <c r="E21" s="45">
        <f t="shared" si="1"/>
        <v>0</v>
      </c>
    </row>
    <row r="22" spans="1:5">
      <c r="A22" s="14">
        <v>43506</v>
      </c>
      <c r="D22" s="45"/>
      <c r="E22" s="45">
        <f t="shared" si="1"/>
        <v>0</v>
      </c>
    </row>
    <row r="23" spans="1:5">
      <c r="A23" s="14">
        <v>43507</v>
      </c>
      <c r="B23" s="72">
        <v>3213</v>
      </c>
      <c r="C23" s="45">
        <v>3517</v>
      </c>
      <c r="D23" s="45">
        <f t="shared" ref="D23:D43" si="2">(C23-B23)</f>
        <v>304</v>
      </c>
      <c r="E23" s="45">
        <f t="shared" si="1"/>
        <v>50.540315876974233</v>
      </c>
    </row>
    <row r="24" spans="1:5">
      <c r="A24" s="14">
        <v>43508</v>
      </c>
      <c r="B24" s="72">
        <v>3245</v>
      </c>
      <c r="C24" s="45">
        <v>3513</v>
      </c>
      <c r="D24" s="45">
        <f t="shared" si="2"/>
        <v>268</v>
      </c>
      <c r="E24" s="45">
        <f t="shared" si="1"/>
        <v>43.970467596390485</v>
      </c>
    </row>
    <row r="25" spans="1:5">
      <c r="A25" s="14">
        <v>43509</v>
      </c>
      <c r="B25" s="72">
        <v>3287</v>
      </c>
      <c r="C25" s="45">
        <v>3509</v>
      </c>
      <c r="D25" s="45">
        <f t="shared" si="2"/>
        <v>222</v>
      </c>
      <c r="E25" s="45">
        <f t="shared" si="1"/>
        <v>35.806451612903224</v>
      </c>
    </row>
    <row r="26" spans="1:5">
      <c r="A26" s="14">
        <v>43510</v>
      </c>
      <c r="B26" s="72">
        <v>3334</v>
      </c>
      <c r="C26" s="45">
        <v>3505</v>
      </c>
      <c r="D26" s="45">
        <f t="shared" si="2"/>
        <v>171</v>
      </c>
      <c r="E26" s="45">
        <f t="shared" si="1"/>
        <v>27.06766917293233</v>
      </c>
    </row>
    <row r="27" spans="1:5">
      <c r="A27" s="14">
        <v>43511</v>
      </c>
      <c r="B27" s="72">
        <v>3280.0583486238502</v>
      </c>
      <c r="C27" s="45">
        <v>3502</v>
      </c>
      <c r="D27" s="45">
        <f t="shared" si="2"/>
        <v>221.94165137614982</v>
      </c>
      <c r="E27" s="45">
        <f t="shared" si="1"/>
        <v>35.897519603554962</v>
      </c>
    </row>
    <row r="28" spans="1:5">
      <c r="A28" s="14">
        <v>43512</v>
      </c>
      <c r="B28" s="72">
        <v>3354</v>
      </c>
      <c r="C28" s="45">
        <v>3205</v>
      </c>
      <c r="D28" s="45">
        <f t="shared" si="2"/>
        <v>-149</v>
      </c>
      <c r="E28" s="45">
        <f t="shared" si="1"/>
        <v>-23.400078523753436</v>
      </c>
    </row>
    <row r="29" spans="1:5">
      <c r="A29" s="14">
        <v>43513</v>
      </c>
      <c r="D29" s="45">
        <f t="shared" si="2"/>
        <v>0</v>
      </c>
      <c r="E29" s="45">
        <f t="shared" si="1"/>
        <v>0</v>
      </c>
    </row>
    <row r="30" spans="1:5">
      <c r="A30" s="14">
        <v>43514</v>
      </c>
      <c r="B30" s="72">
        <v>3371</v>
      </c>
      <c r="C30" s="45">
        <v>3498</v>
      </c>
      <c r="D30" s="45">
        <f t="shared" si="2"/>
        <v>127</v>
      </c>
      <c r="E30" s="45">
        <f t="shared" si="1"/>
        <v>19.812792511700469</v>
      </c>
    </row>
    <row r="31" spans="1:5">
      <c r="D31" s="45">
        <f t="shared" si="2"/>
        <v>0</v>
      </c>
      <c r="E31" s="45">
        <f t="shared" ref="E31:E43" si="3">(D31)*100/(B31-807)*4</f>
        <v>0</v>
      </c>
    </row>
    <row r="32" spans="1:5">
      <c r="D32" s="45">
        <f t="shared" si="2"/>
        <v>0</v>
      </c>
      <c r="E32" s="45">
        <f t="shared" si="3"/>
        <v>0</v>
      </c>
    </row>
    <row r="33" spans="4:5">
      <c r="D33" s="45">
        <f t="shared" si="2"/>
        <v>0</v>
      </c>
      <c r="E33" s="45">
        <f t="shared" si="3"/>
        <v>0</v>
      </c>
    </row>
    <row r="34" spans="4:5">
      <c r="D34" s="45">
        <f t="shared" si="2"/>
        <v>0</v>
      </c>
      <c r="E34" s="45">
        <f t="shared" si="3"/>
        <v>0</v>
      </c>
    </row>
    <row r="35" spans="4:5">
      <c r="D35" s="45">
        <f t="shared" si="2"/>
        <v>0</v>
      </c>
      <c r="E35" s="45">
        <f t="shared" si="3"/>
        <v>0</v>
      </c>
    </row>
    <row r="36" spans="4:5">
      <c r="D36" s="45">
        <f t="shared" si="2"/>
        <v>0</v>
      </c>
      <c r="E36" s="45">
        <f t="shared" si="3"/>
        <v>0</v>
      </c>
    </row>
    <row r="37" spans="4:5">
      <c r="D37" s="45">
        <f t="shared" si="2"/>
        <v>0</v>
      </c>
      <c r="E37" s="45">
        <f t="shared" si="3"/>
        <v>0</v>
      </c>
    </row>
    <row r="38" spans="4:5">
      <c r="D38" s="45">
        <f t="shared" si="2"/>
        <v>0</v>
      </c>
      <c r="E38" s="45">
        <f t="shared" si="3"/>
        <v>0</v>
      </c>
    </row>
    <row r="39" spans="4:5">
      <c r="D39" s="45">
        <f t="shared" si="2"/>
        <v>0</v>
      </c>
      <c r="E39" s="45">
        <f t="shared" si="3"/>
        <v>0</v>
      </c>
    </row>
    <row r="40" spans="4:5">
      <c r="D40" s="45">
        <f t="shared" si="2"/>
        <v>0</v>
      </c>
      <c r="E40" s="45">
        <f t="shared" si="3"/>
        <v>0</v>
      </c>
    </row>
    <row r="41" spans="4:5">
      <c r="D41" s="45">
        <f t="shared" si="2"/>
        <v>0</v>
      </c>
      <c r="E41" s="45">
        <f t="shared" si="3"/>
        <v>0</v>
      </c>
    </row>
    <row r="42" spans="4:5">
      <c r="D42" s="45">
        <f t="shared" si="2"/>
        <v>0</v>
      </c>
      <c r="E42" s="45">
        <f t="shared" si="3"/>
        <v>0</v>
      </c>
    </row>
    <row r="43" spans="4:5">
      <c r="D43" s="45">
        <f t="shared" si="2"/>
        <v>0</v>
      </c>
      <c r="E43" s="45">
        <f t="shared" si="3"/>
        <v>0</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E2"/>
  <sheetViews>
    <sheetView workbookViewId="0">
      <selection activeCell="E2" sqref="E2"/>
    </sheetView>
  </sheetViews>
  <sheetFormatPr defaultRowHeight="13.5"/>
  <cols>
    <col min="1" max="1" width="11.625" customWidth="1"/>
    <col min="2" max="3" width="9.5" bestFit="1" customWidth="1"/>
  </cols>
  <sheetData>
    <row r="1" spans="1:5">
      <c r="B1" s="71" t="s">
        <v>151</v>
      </c>
      <c r="C1" s="71" t="s">
        <v>149</v>
      </c>
      <c r="E1" s="45" t="s">
        <v>150</v>
      </c>
    </row>
    <row r="2" spans="1:5">
      <c r="A2" s="14">
        <v>43483</v>
      </c>
      <c r="B2" s="72">
        <v>4507</v>
      </c>
      <c r="C2" s="45">
        <v>5095</v>
      </c>
      <c r="D2" s="45">
        <f>(C2-B2)</f>
        <v>588</v>
      </c>
      <c r="E2" s="45">
        <f>MAX(-110,(D2)*100/(B2-1500)*2)</f>
        <v>39.108746258729632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记录</vt:lpstr>
      <vt:lpstr>Sheet2</vt:lpstr>
      <vt:lpstr>定投</vt:lpstr>
      <vt:lpstr>笔记</vt:lpstr>
      <vt:lpstr>古债平衡</vt:lpstr>
      <vt:lpstr>H股ETF</vt:lpstr>
      <vt:lpstr>红利ETF</vt:lpstr>
      <vt:lpstr>300</vt:lpstr>
      <vt:lpstr>500</vt:lpstr>
      <vt:lpstr>cyb</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2019-02-18T02:02:15Z</dcterms:modified>
</cp:coreProperties>
</file>